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ThisWorkbook"/>
  <mc:AlternateContent xmlns:mc="http://schemas.openxmlformats.org/markup-compatibility/2006">
    <mc:Choice Requires="x15">
      <x15ac:absPath xmlns:x15ac="http://schemas.microsoft.com/office/spreadsheetml/2010/11/ac" url="C:\Users\lphin\Documents\2025 Motion &amp; UT Updates\Excels\"/>
    </mc:Choice>
  </mc:AlternateContent>
  <xr:revisionPtr revIDLastSave="0" documentId="8_{225E57AB-688F-4813-8BBF-02134D6447C9}" xr6:coauthVersionLast="47" xr6:coauthVersionMax="47" xr10:uidLastSave="{00000000-0000-0000-0000-000000000000}"/>
  <bookViews>
    <workbookView xWindow="-110" yWindow="-110" windowWidth="19420" windowHeight="10420" tabRatio="841" firstSheet="4" activeTab="4" xr2:uid="{00000000-000D-0000-FFFF-FFFF00000000}"/>
  </bookViews>
  <sheets>
    <sheet name="Sheet1" sheetId="38" state="hidden" r:id="rId1"/>
    <sheet name="2016 List" sheetId="37" state="hidden" r:id="rId2"/>
    <sheet name="1.1 Instruction Sheet" sheetId="39" state="hidden" r:id="rId3"/>
    <sheet name="1. Information Sheet" sheetId="15" r:id="rId4"/>
    <sheet name="1a. Summary of Changes" sheetId="42" r:id="rId5"/>
    <sheet name="2a. Continuity Schedule" sheetId="30" state="hidden" r:id="rId6"/>
    <sheet name="2b. Continuity Schedule" sheetId="2" state="hidden" r:id="rId7"/>
    <sheet name="3. Appendix A" sheetId="11" state="hidden" r:id="rId8"/>
    <sheet name="2a. Continuity Schedule " sheetId="44" r:id="rId9"/>
    <sheet name="2b. Continuity Schedule " sheetId="43" r:id="rId10"/>
    <sheet name="3. Appendix A " sheetId="45" r:id="rId11"/>
    <sheet name="4. Billing Determinants" sheetId="12" r:id="rId12"/>
    <sheet name="5. Allocation of Balances_" sheetId="13" state="hidden" r:id="rId13"/>
    <sheet name="5. Allocation of Balances" sheetId="41" r:id="rId14"/>
    <sheet name="6. Class A Consumption Data" sheetId="33" r:id="rId15"/>
    <sheet name="6.1a GA Allocation" sheetId="31" r:id="rId16"/>
    <sheet name="6.2a CBR B_Allocation" sheetId="32" r:id="rId17"/>
    <sheet name="6.2 CBR B" sheetId="22" r:id="rId18"/>
    <sheet name="7. Rate Rider Calculations" sheetId="14" r:id="rId19"/>
    <sheet name="old2.1.7 Filing" sheetId="34" state="hidden" r:id="rId20"/>
    <sheet name="2.1.7 Filing" sheetId="40" state="hidden" r:id="rId21"/>
    <sheet name="Summary Sheet" sheetId="16" state="hidden" r:id="rId22"/>
  </sheets>
  <externalReferences>
    <externalReference r:id="rId23"/>
    <externalReference r:id="rId24"/>
    <externalReference r:id="rId25"/>
    <externalReference r:id="rId26"/>
  </externalReferences>
  <definedNames>
    <definedName name="_xlnm._FilterDatabase" localSheetId="20" hidden="1">'2.1.7 Filing'!$A$4:$L$2804</definedName>
    <definedName name="_xlnm._FilterDatabase" localSheetId="19" hidden="1">'old2.1.7 Filing'!$A$4:$L$3467</definedName>
    <definedName name="_GoBack" localSheetId="11">'4. Billing Determinants'!$P$19</definedName>
    <definedName name="BridgeYear">'[1]LDC Info'!$E$26</definedName>
    <definedName name="Cust3a" localSheetId="14">'6. Class A Consumption Data'!$C$25</definedName>
    <definedName name="Cust3b" localSheetId="14">'6. Class A Consumption Data'!$C$487</definedName>
    <definedName name="EBNUMBER">'[1]LDC Info'!$E$16</definedName>
    <definedName name="G1LD" localSheetId="14">'6. Class A Consumption Data'!$C$14</definedName>
    <definedName name="G1LDCBR" localSheetId="14">'6. Class A Consumption Data'!$C$17</definedName>
    <definedName name="listdata" localSheetId="2">'[2]4. Billing Determinants'!$B$21:$B$26</definedName>
    <definedName name="listdata" localSheetId="14">'4. Billing Determinants'!$B$21:$B$28</definedName>
    <definedName name="listdata">'4. Billing Determinants'!$B$19:$B$21</definedName>
    <definedName name="passwordlist">'2016 List'!$A$1:$B$71</definedName>
    <definedName name="_xlnm.Print_Area" localSheetId="3">'1. Information Sheet'!$A$1:$O$80</definedName>
    <definedName name="_xlnm.Print_Area" localSheetId="7">'3. Appendix A'!$B$1:$F$68</definedName>
    <definedName name="_xlnm.Print_Area" localSheetId="11">'4. Billing Determinants'!$A$1:$AD$50</definedName>
    <definedName name="_xlnm.Print_Area" localSheetId="18">'7. Rate Rider Calculations'!$A$1:$J$40</definedName>
    <definedName name="_xlnm.Print_Titles" localSheetId="5">'2a. Continuity Schedule'!$C:$D,'2a. Continuity Schedule'!$19:$22</definedName>
    <definedName name="_xlnm.Print_Titles" localSheetId="6">'2b. Continuity Schedule'!$C:$D,'2b. Continuity Schedule'!$19:$22</definedName>
    <definedName name="_xlnm.Print_Titles" localSheetId="7">'3. Appendix A'!$C:$D,'3. Appendix A'!$19:$22</definedName>
    <definedName name="ratedescription" localSheetId="14">[3]hidden1!$D$1:$D$122</definedName>
    <definedName name="ratedescription" localSheetId="15">[3]hidden1!$D$1:$D$122</definedName>
    <definedName name="ratedescription" localSheetId="17">[3]hidden1!$D$1:$D$122</definedName>
    <definedName name="ratedescription" localSheetId="16">[3]hidden1!$D$1:$D$122</definedName>
    <definedName name="RebaseYear">'[1]LDC Info'!$E$28</definedName>
    <definedName name="TestYear">'[1]LDC Info'!$E$24</definedName>
    <definedName name="TranCust" localSheetId="14">'6. Class A Consumption Data'!$C$19</definedName>
    <definedName name="TranCustb" localSheetId="14">'6. Class A Consumption Data'!$C$21</definedName>
    <definedName name="TransCust" localSheetId="14">'6. Class A Consumption Data'!$C$19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 i="41" l="1"/>
  <c r="D9" i="41"/>
  <c r="D8" i="41"/>
  <c r="D7" i="41"/>
  <c r="D6" i="41"/>
  <c r="D5" i="41"/>
  <c r="L41" i="15" l="1"/>
  <c r="D11" i="41" l="1"/>
  <c r="D11" i="13"/>
  <c r="H6" i="13"/>
  <c r="G6" i="13"/>
  <c r="F6" i="13"/>
  <c r="E89" i="45" l="1"/>
  <c r="D89" i="45"/>
  <c r="C89" i="45"/>
  <c r="E88" i="45"/>
  <c r="D88" i="45"/>
  <c r="C88" i="45"/>
  <c r="E87" i="45"/>
  <c r="D87" i="45"/>
  <c r="C87" i="45"/>
  <c r="E86" i="45"/>
  <c r="D86" i="45"/>
  <c r="C86" i="45"/>
  <c r="E85" i="45"/>
  <c r="D85" i="45"/>
  <c r="C85" i="45"/>
  <c r="E84" i="45"/>
  <c r="D84" i="45"/>
  <c r="C84" i="45"/>
  <c r="E83" i="45"/>
  <c r="D83" i="45"/>
  <c r="C83" i="45"/>
  <c r="E82" i="45"/>
  <c r="D82" i="45"/>
  <c r="C82" i="45"/>
  <c r="E81" i="45"/>
  <c r="D81" i="45"/>
  <c r="C81" i="45"/>
  <c r="E80" i="45"/>
  <c r="D80" i="45"/>
  <c r="C80" i="45"/>
  <c r="E79" i="45"/>
  <c r="D79" i="45"/>
  <c r="C79" i="45"/>
  <c r="E78" i="45"/>
  <c r="D78" i="45"/>
  <c r="C78" i="45"/>
  <c r="E77" i="45"/>
  <c r="D77" i="45"/>
  <c r="C77" i="45"/>
  <c r="E76" i="45"/>
  <c r="D76" i="45"/>
  <c r="C76" i="45"/>
  <c r="E75" i="45"/>
  <c r="D75" i="45"/>
  <c r="C75" i="45"/>
  <c r="E74" i="45"/>
  <c r="D74" i="45"/>
  <c r="C74" i="45"/>
  <c r="E73" i="45"/>
  <c r="D73" i="45"/>
  <c r="C73" i="45"/>
  <c r="E72" i="45"/>
  <c r="D72" i="45"/>
  <c r="C72" i="45"/>
  <c r="E71" i="45"/>
  <c r="D71" i="45"/>
  <c r="C71" i="45"/>
  <c r="E70" i="45"/>
  <c r="D70" i="45"/>
  <c r="C70" i="45"/>
  <c r="E69" i="45"/>
  <c r="D69" i="45"/>
  <c r="C69" i="45"/>
  <c r="E68" i="45"/>
  <c r="D68" i="45"/>
  <c r="C68" i="45"/>
  <c r="E67" i="45"/>
  <c r="D67" i="45"/>
  <c r="C67" i="45"/>
  <c r="E66" i="45"/>
  <c r="D66" i="45"/>
  <c r="C66" i="45"/>
  <c r="E65" i="45"/>
  <c r="D65" i="45"/>
  <c r="C65" i="45"/>
  <c r="E64" i="45"/>
  <c r="D64" i="45"/>
  <c r="C64" i="45"/>
  <c r="E63" i="45"/>
  <c r="D63" i="45"/>
  <c r="C63" i="45"/>
  <c r="E62" i="45"/>
  <c r="D62" i="45"/>
  <c r="C62" i="45"/>
  <c r="E61" i="45"/>
  <c r="D61" i="45"/>
  <c r="C61" i="45"/>
  <c r="E60" i="45"/>
  <c r="D60" i="45"/>
  <c r="C60" i="45"/>
  <c r="E59" i="45"/>
  <c r="D59" i="45"/>
  <c r="C59" i="45"/>
  <c r="E58" i="45"/>
  <c r="D58" i="45"/>
  <c r="C58" i="45"/>
  <c r="E57" i="45"/>
  <c r="D57" i="45"/>
  <c r="C57" i="45"/>
  <c r="E56" i="45"/>
  <c r="D56" i="45"/>
  <c r="C56" i="45"/>
  <c r="E55" i="45"/>
  <c r="D55" i="45"/>
  <c r="C55" i="45"/>
  <c r="E54" i="45"/>
  <c r="D54" i="45"/>
  <c r="C54" i="45"/>
  <c r="E53" i="45"/>
  <c r="D53" i="45"/>
  <c r="C53" i="45"/>
  <c r="E52" i="45"/>
  <c r="D52" i="45"/>
  <c r="C52" i="45"/>
  <c r="E51" i="45"/>
  <c r="D51" i="45"/>
  <c r="C51" i="45"/>
  <c r="E50" i="45"/>
  <c r="D50" i="45"/>
  <c r="C50" i="45"/>
  <c r="E49" i="45"/>
  <c r="D49" i="45"/>
  <c r="C49" i="45"/>
  <c r="E48" i="45"/>
  <c r="D48" i="45"/>
  <c r="C48" i="45"/>
  <c r="E47" i="45"/>
  <c r="D47" i="45"/>
  <c r="C47" i="45"/>
  <c r="E46" i="45"/>
  <c r="D46" i="45"/>
  <c r="C46" i="45"/>
  <c r="E45" i="45"/>
  <c r="D45" i="45"/>
  <c r="C45" i="45"/>
  <c r="E44" i="45"/>
  <c r="D44" i="45"/>
  <c r="C44" i="45"/>
  <c r="E43" i="45"/>
  <c r="D43" i="45"/>
  <c r="C43" i="45"/>
  <c r="E42" i="45"/>
  <c r="D42" i="45"/>
  <c r="C42" i="45"/>
  <c r="E40" i="45"/>
  <c r="D40" i="45"/>
  <c r="C40" i="45"/>
  <c r="E39" i="45"/>
  <c r="D39" i="45"/>
  <c r="C39" i="45"/>
  <c r="E38" i="45"/>
  <c r="D38" i="45"/>
  <c r="C38" i="45"/>
  <c r="E37" i="45"/>
  <c r="D37" i="45"/>
  <c r="C37" i="45"/>
  <c r="E36" i="45"/>
  <c r="D36" i="45"/>
  <c r="C36" i="45"/>
  <c r="E35" i="45"/>
  <c r="D35" i="45"/>
  <c r="C35" i="45"/>
  <c r="E34" i="45"/>
  <c r="D34" i="45"/>
  <c r="C34" i="45"/>
  <c r="E33" i="45"/>
  <c r="D33" i="45"/>
  <c r="C33" i="45"/>
  <c r="E32" i="45"/>
  <c r="D32" i="45"/>
  <c r="C32" i="45"/>
  <c r="E31" i="45"/>
  <c r="D31" i="45"/>
  <c r="C31" i="45"/>
  <c r="E30" i="45"/>
  <c r="D30" i="45"/>
  <c r="C30" i="45"/>
  <c r="E29" i="45"/>
  <c r="D29" i="45"/>
  <c r="C29" i="45"/>
  <c r="E28" i="45"/>
  <c r="D28" i="45"/>
  <c r="C28" i="45"/>
  <c r="E27" i="45"/>
  <c r="D27" i="45"/>
  <c r="C27" i="45"/>
  <c r="E26" i="45"/>
  <c r="D26" i="45"/>
  <c r="C26" i="45"/>
  <c r="E25" i="45"/>
  <c r="D25" i="45"/>
  <c r="C25" i="45"/>
  <c r="E24" i="45"/>
  <c r="D24" i="45"/>
  <c r="C24" i="45"/>
  <c r="E20" i="45"/>
  <c r="CH114" i="43" l="1"/>
  <c r="N114" i="43"/>
  <c r="T114" i="43" s="1"/>
  <c r="X114" i="43" s="1"/>
  <c r="AD114" i="43" s="1"/>
  <c r="AH114" i="43" s="1"/>
  <c r="AN114" i="43" s="1"/>
  <c r="AR114" i="43" s="1"/>
  <c r="AX114" i="43" s="1"/>
  <c r="BB114" i="43" s="1"/>
  <c r="BH114" i="43" s="1"/>
  <c r="I114" i="43"/>
  <c r="O114" i="43" s="1"/>
  <c r="S114" i="43" s="1"/>
  <c r="Y114" i="43" s="1"/>
  <c r="AC114" i="43" s="1"/>
  <c r="AI114" i="43" s="1"/>
  <c r="AM114" i="43" s="1"/>
  <c r="AS114" i="43" s="1"/>
  <c r="AW114" i="43" s="1"/>
  <c r="BC114" i="43" s="1"/>
  <c r="BG114" i="43" s="1"/>
  <c r="BM114" i="43" s="1"/>
  <c r="BQ114" i="43" s="1"/>
  <c r="CK113" i="43"/>
  <c r="CH112" i="43"/>
  <c r="BV112" i="43"/>
  <c r="I112" i="43"/>
  <c r="O112" i="43" s="1"/>
  <c r="S112" i="43" s="1"/>
  <c r="Y112" i="43" s="1"/>
  <c r="AC112" i="43" s="1"/>
  <c r="AI112" i="43" s="1"/>
  <c r="AM112" i="43" s="1"/>
  <c r="AS112" i="43" s="1"/>
  <c r="AW112" i="43" s="1"/>
  <c r="BC112" i="43" s="1"/>
  <c r="BG112" i="43" s="1"/>
  <c r="BM112" i="43" s="1"/>
  <c r="BQ112" i="43" s="1"/>
  <c r="CH111" i="43"/>
  <c r="BV111" i="43"/>
  <c r="I111" i="43"/>
  <c r="O111" i="43" s="1"/>
  <c r="S111" i="43" s="1"/>
  <c r="Y111" i="43" s="1"/>
  <c r="AC111" i="43" s="1"/>
  <c r="AI111" i="43" s="1"/>
  <c r="AM111" i="43" s="1"/>
  <c r="AS111" i="43" s="1"/>
  <c r="AW111" i="43" s="1"/>
  <c r="BC111" i="43" s="1"/>
  <c r="BG111" i="43" s="1"/>
  <c r="BM111" i="43" s="1"/>
  <c r="BQ111" i="43" s="1"/>
  <c r="CK110" i="43"/>
  <c r="AD109" i="43"/>
  <c r="AH109" i="43" s="1"/>
  <c r="AN109" i="43" s="1"/>
  <c r="AR109" i="43" s="1"/>
  <c r="AX109" i="43" s="1"/>
  <c r="BB109" i="43" s="1"/>
  <c r="BH109" i="43" s="1"/>
  <c r="BL109" i="43" s="1"/>
  <c r="BR109" i="43" s="1"/>
  <c r="BV109" i="43" s="1"/>
  <c r="BZ109" i="43" s="1"/>
  <c r="CD109" i="43" s="1"/>
  <c r="CG109" i="43" s="1"/>
  <c r="X109" i="43"/>
  <c r="S109" i="43"/>
  <c r="Y109" i="43" s="1"/>
  <c r="AC109" i="43" s="1"/>
  <c r="AI109" i="43" s="1"/>
  <c r="AM109" i="43" s="1"/>
  <c r="AS109" i="43" s="1"/>
  <c r="AW109" i="43" s="1"/>
  <c r="BC109" i="43" s="1"/>
  <c r="BG109" i="43" s="1"/>
  <c r="BM109" i="43" s="1"/>
  <c r="BQ109" i="43" s="1"/>
  <c r="N108" i="43"/>
  <c r="T108" i="43" s="1"/>
  <c r="X108" i="43" s="1"/>
  <c r="AD108" i="43" s="1"/>
  <c r="AH108" i="43" s="1"/>
  <c r="AN108" i="43" s="1"/>
  <c r="AR108" i="43" s="1"/>
  <c r="AX108" i="43" s="1"/>
  <c r="BB108" i="43" s="1"/>
  <c r="BH108" i="43" s="1"/>
  <c r="BL108" i="43" s="1"/>
  <c r="BR108" i="43" s="1"/>
  <c r="BV108" i="43" s="1"/>
  <c r="BZ108" i="43" s="1"/>
  <c r="CD108" i="43" s="1"/>
  <c r="CG108" i="43" s="1"/>
  <c r="I108" i="43"/>
  <c r="O108" i="43" s="1"/>
  <c r="S108" i="43" s="1"/>
  <c r="Y108" i="43" s="1"/>
  <c r="AC108" i="43" s="1"/>
  <c r="AI108" i="43" s="1"/>
  <c r="AM108" i="43" s="1"/>
  <c r="AS108" i="43" s="1"/>
  <c r="AW108" i="43" s="1"/>
  <c r="BC108" i="43" s="1"/>
  <c r="BG108" i="43" s="1"/>
  <c r="BM108" i="43" s="1"/>
  <c r="BQ108" i="43" s="1"/>
  <c r="CH107" i="43"/>
  <c r="O107" i="43"/>
  <c r="S107" i="43" s="1"/>
  <c r="Y107" i="43" s="1"/>
  <c r="AC107" i="43" s="1"/>
  <c r="AI107" i="43" s="1"/>
  <c r="AM107" i="43" s="1"/>
  <c r="AS107" i="43" s="1"/>
  <c r="AW107" i="43" s="1"/>
  <c r="BC107" i="43" s="1"/>
  <c r="BG107" i="43" s="1"/>
  <c r="BM107" i="43" s="1"/>
  <c r="BQ107" i="43" s="1"/>
  <c r="N107" i="43"/>
  <c r="T107" i="43" s="1"/>
  <c r="X107" i="43" s="1"/>
  <c r="AD107" i="43" s="1"/>
  <c r="AH107" i="43" s="1"/>
  <c r="AN107" i="43" s="1"/>
  <c r="AR107" i="43" s="1"/>
  <c r="AX107" i="43" s="1"/>
  <c r="BB107" i="43" s="1"/>
  <c r="BH107" i="43" s="1"/>
  <c r="BL107" i="43" s="1"/>
  <c r="BR107" i="43" s="1"/>
  <c r="BV107" i="43" s="1"/>
  <c r="BZ107" i="43" s="1"/>
  <c r="CD107" i="43" s="1"/>
  <c r="CG107" i="43" s="1"/>
  <c r="I107" i="43"/>
  <c r="O106" i="43"/>
  <c r="S106" i="43" s="1"/>
  <c r="Y106" i="43" s="1"/>
  <c r="AC106" i="43" s="1"/>
  <c r="AI106" i="43" s="1"/>
  <c r="AM106" i="43" s="1"/>
  <c r="AS106" i="43" s="1"/>
  <c r="AW106" i="43" s="1"/>
  <c r="BC106" i="43" s="1"/>
  <c r="BG106" i="43" s="1"/>
  <c r="BM106" i="43" s="1"/>
  <c r="BQ106" i="43" s="1"/>
  <c r="CK106" i="43" s="1"/>
  <c r="N106" i="43"/>
  <c r="T106" i="43" s="1"/>
  <c r="X106" i="43" s="1"/>
  <c r="AD106" i="43" s="1"/>
  <c r="AH106" i="43" s="1"/>
  <c r="AN106" i="43" s="1"/>
  <c r="AR106" i="43" s="1"/>
  <c r="AX106" i="43" s="1"/>
  <c r="BB106" i="43" s="1"/>
  <c r="BH106" i="43" s="1"/>
  <c r="BL106" i="43" s="1"/>
  <c r="BR106" i="43" s="1"/>
  <c r="BV106" i="43" s="1"/>
  <c r="BZ106" i="43" s="1"/>
  <c r="CD106" i="43" s="1"/>
  <c r="CG106" i="43" s="1"/>
  <c r="I106" i="43"/>
  <c r="BZ105" i="43"/>
  <c r="CD105" i="43" s="1"/>
  <c r="CG105" i="43" s="1"/>
  <c r="AM105" i="43"/>
  <c r="AS105" i="43" s="1"/>
  <c r="AW105" i="43" s="1"/>
  <c r="BC105" i="43" s="1"/>
  <c r="BG105" i="43" s="1"/>
  <c r="BM105" i="43" s="1"/>
  <c r="BQ105" i="43" s="1"/>
  <c r="T105" i="43"/>
  <c r="X105" i="43" s="1"/>
  <c r="AD105" i="43" s="1"/>
  <c r="AH105" i="43" s="1"/>
  <c r="AN105" i="43" s="1"/>
  <c r="AR105" i="43" s="1"/>
  <c r="AX105" i="43" s="1"/>
  <c r="BB105" i="43" s="1"/>
  <c r="BH105" i="43" s="1"/>
  <c r="BL105" i="43" s="1"/>
  <c r="BR105" i="43" s="1"/>
  <c r="BV105" i="43" s="1"/>
  <c r="S105" i="43"/>
  <c r="Y105" i="43" s="1"/>
  <c r="AC105" i="43" s="1"/>
  <c r="AI105" i="43" s="1"/>
  <c r="N105" i="43"/>
  <c r="I105" i="43"/>
  <c r="O105" i="43" s="1"/>
  <c r="X104" i="43"/>
  <c r="AD104" i="43" s="1"/>
  <c r="AH104" i="43" s="1"/>
  <c r="AN104" i="43" s="1"/>
  <c r="AR104" i="43" s="1"/>
  <c r="AX104" i="43" s="1"/>
  <c r="BB104" i="43" s="1"/>
  <c r="BH104" i="43" s="1"/>
  <c r="BL104" i="43" s="1"/>
  <c r="BR104" i="43" s="1"/>
  <c r="BV104" i="43" s="1"/>
  <c r="BZ104" i="43" s="1"/>
  <c r="CD104" i="43" s="1"/>
  <c r="CG104" i="43" s="1"/>
  <c r="O104" i="43"/>
  <c r="S104" i="43" s="1"/>
  <c r="Y104" i="43" s="1"/>
  <c r="AC104" i="43" s="1"/>
  <c r="AI104" i="43" s="1"/>
  <c r="AM104" i="43" s="1"/>
  <c r="AS104" i="43" s="1"/>
  <c r="AW104" i="43" s="1"/>
  <c r="BC104" i="43" s="1"/>
  <c r="BG104" i="43" s="1"/>
  <c r="BM104" i="43" s="1"/>
  <c r="BQ104" i="43" s="1"/>
  <c r="N104" i="43"/>
  <c r="T104" i="43" s="1"/>
  <c r="I104" i="43"/>
  <c r="T103" i="43"/>
  <c r="X103" i="43" s="1"/>
  <c r="AD103" i="43" s="1"/>
  <c r="AH103" i="43" s="1"/>
  <c r="AN103" i="43" s="1"/>
  <c r="AR103" i="43" s="1"/>
  <c r="AX103" i="43" s="1"/>
  <c r="BB103" i="43" s="1"/>
  <c r="BH103" i="43" s="1"/>
  <c r="BL103" i="43" s="1"/>
  <c r="BR103" i="43" s="1"/>
  <c r="BV103" i="43" s="1"/>
  <c r="BZ103" i="43" s="1"/>
  <c r="CD103" i="43" s="1"/>
  <c r="CG103" i="43" s="1"/>
  <c r="N103" i="43"/>
  <c r="I103" i="43"/>
  <c r="O103" i="43" s="1"/>
  <c r="S103" i="43" s="1"/>
  <c r="Y103" i="43" s="1"/>
  <c r="AC103" i="43" s="1"/>
  <c r="AI103" i="43" s="1"/>
  <c r="AM103" i="43" s="1"/>
  <c r="AS103" i="43" s="1"/>
  <c r="AW103" i="43" s="1"/>
  <c r="BC103" i="43" s="1"/>
  <c r="BG103" i="43" s="1"/>
  <c r="BM103" i="43" s="1"/>
  <c r="BQ103" i="43" s="1"/>
  <c r="O102" i="43"/>
  <c r="S102" i="43" s="1"/>
  <c r="Y102" i="43" s="1"/>
  <c r="AC102" i="43" s="1"/>
  <c r="AI102" i="43" s="1"/>
  <c r="AM102" i="43" s="1"/>
  <c r="AS102" i="43" s="1"/>
  <c r="AW102" i="43" s="1"/>
  <c r="BC102" i="43" s="1"/>
  <c r="BG102" i="43" s="1"/>
  <c r="BM102" i="43" s="1"/>
  <c r="BQ102" i="43" s="1"/>
  <c r="N102" i="43"/>
  <c r="T102" i="43" s="1"/>
  <c r="X102" i="43" s="1"/>
  <c r="AD102" i="43" s="1"/>
  <c r="AH102" i="43" s="1"/>
  <c r="AN102" i="43" s="1"/>
  <c r="AR102" i="43" s="1"/>
  <c r="AX102" i="43" s="1"/>
  <c r="BB102" i="43" s="1"/>
  <c r="BH102" i="43" s="1"/>
  <c r="BL102" i="43" s="1"/>
  <c r="BR102" i="43" s="1"/>
  <c r="BV102" i="43" s="1"/>
  <c r="BZ102" i="43" s="1"/>
  <c r="CD102" i="43" s="1"/>
  <c r="CG102" i="43" s="1"/>
  <c r="I102" i="43"/>
  <c r="BZ101" i="43"/>
  <c r="CD101" i="43" s="1"/>
  <c r="CG101" i="43" s="1"/>
  <c r="T101" i="43"/>
  <c r="X101" i="43" s="1"/>
  <c r="AD101" i="43" s="1"/>
  <c r="AH101" i="43" s="1"/>
  <c r="AN101" i="43" s="1"/>
  <c r="AR101" i="43" s="1"/>
  <c r="AX101" i="43" s="1"/>
  <c r="BB101" i="43" s="1"/>
  <c r="BH101" i="43" s="1"/>
  <c r="BL101" i="43" s="1"/>
  <c r="BR101" i="43" s="1"/>
  <c r="BV101" i="43" s="1"/>
  <c r="N101" i="43"/>
  <c r="I101" i="43"/>
  <c r="O101" i="43" s="1"/>
  <c r="S101" i="43" s="1"/>
  <c r="Y101" i="43" s="1"/>
  <c r="AC101" i="43" s="1"/>
  <c r="AI101" i="43" s="1"/>
  <c r="AM101" i="43" s="1"/>
  <c r="AS101" i="43" s="1"/>
  <c r="AW101" i="43" s="1"/>
  <c r="BC101" i="43" s="1"/>
  <c r="BG101" i="43" s="1"/>
  <c r="BM101" i="43" s="1"/>
  <c r="BQ101" i="43" s="1"/>
  <c r="CH100" i="43"/>
  <c r="O100" i="43"/>
  <c r="S100" i="43" s="1"/>
  <c r="Y100" i="43" s="1"/>
  <c r="AC100" i="43" s="1"/>
  <c r="AI100" i="43" s="1"/>
  <c r="AM100" i="43" s="1"/>
  <c r="AS100" i="43" s="1"/>
  <c r="AW100" i="43" s="1"/>
  <c r="BC100" i="43" s="1"/>
  <c r="BG100" i="43" s="1"/>
  <c r="BM100" i="43" s="1"/>
  <c r="BQ100" i="43" s="1"/>
  <c r="N100" i="43"/>
  <c r="T100" i="43" s="1"/>
  <c r="X100" i="43" s="1"/>
  <c r="AD100" i="43" s="1"/>
  <c r="AH100" i="43" s="1"/>
  <c r="AN100" i="43" s="1"/>
  <c r="AR100" i="43" s="1"/>
  <c r="AX100" i="43" s="1"/>
  <c r="BB100" i="43" s="1"/>
  <c r="BH100" i="43" s="1"/>
  <c r="BL100" i="43" s="1"/>
  <c r="BR100" i="43" s="1"/>
  <c r="BV100" i="43" s="1"/>
  <c r="BZ100" i="43" s="1"/>
  <c r="CD100" i="43" s="1"/>
  <c r="CG100" i="43" s="1"/>
  <c r="I100" i="43"/>
  <c r="T99" i="43"/>
  <c r="X99" i="43" s="1"/>
  <c r="AD99" i="43" s="1"/>
  <c r="AH99" i="43" s="1"/>
  <c r="AN99" i="43" s="1"/>
  <c r="AR99" i="43" s="1"/>
  <c r="AX99" i="43" s="1"/>
  <c r="BB99" i="43" s="1"/>
  <c r="BH99" i="43" s="1"/>
  <c r="BL99" i="43" s="1"/>
  <c r="BR99" i="43" s="1"/>
  <c r="BV99" i="43" s="1"/>
  <c r="BZ99" i="43" s="1"/>
  <c r="CD99" i="43" s="1"/>
  <c r="CG99" i="43" s="1"/>
  <c r="N99" i="43"/>
  <c r="I99" i="43"/>
  <c r="O99" i="43" s="1"/>
  <c r="S99" i="43" s="1"/>
  <c r="Y99" i="43" s="1"/>
  <c r="AC99" i="43" s="1"/>
  <c r="AI99" i="43" s="1"/>
  <c r="AM99" i="43" s="1"/>
  <c r="AS99" i="43" s="1"/>
  <c r="AW99" i="43" s="1"/>
  <c r="BC99" i="43" s="1"/>
  <c r="BG99" i="43" s="1"/>
  <c r="BM99" i="43" s="1"/>
  <c r="BQ99" i="43" s="1"/>
  <c r="AD98" i="43"/>
  <c r="AH98" i="43" s="1"/>
  <c r="AN98" i="43" s="1"/>
  <c r="AR98" i="43" s="1"/>
  <c r="AX98" i="43" s="1"/>
  <c r="BB98" i="43" s="1"/>
  <c r="BH98" i="43" s="1"/>
  <c r="BL98" i="43" s="1"/>
  <c r="BR98" i="43" s="1"/>
  <c r="BV98" i="43" s="1"/>
  <c r="BZ98" i="43" s="1"/>
  <c r="CD98" i="43" s="1"/>
  <c r="CG98" i="43" s="1"/>
  <c r="N98" i="43"/>
  <c r="T98" i="43" s="1"/>
  <c r="X98" i="43" s="1"/>
  <c r="I98" i="43"/>
  <c r="O98" i="43" s="1"/>
  <c r="S98" i="43" s="1"/>
  <c r="Y98" i="43" s="1"/>
  <c r="AC98" i="43" s="1"/>
  <c r="AI98" i="43" s="1"/>
  <c r="AM98" i="43" s="1"/>
  <c r="AS98" i="43" s="1"/>
  <c r="AW98" i="43" s="1"/>
  <c r="BC98" i="43" s="1"/>
  <c r="BG98" i="43" s="1"/>
  <c r="BM98" i="43" s="1"/>
  <c r="BQ98" i="43" s="1"/>
  <c r="BY98" i="43" s="1"/>
  <c r="CC98" i="43" s="1"/>
  <c r="AH97" i="43"/>
  <c r="AN97" i="43" s="1"/>
  <c r="AR97" i="43" s="1"/>
  <c r="AX97" i="43" s="1"/>
  <c r="BB97" i="43" s="1"/>
  <c r="BH97" i="43" s="1"/>
  <c r="BL97" i="43" s="1"/>
  <c r="BR97" i="43" s="1"/>
  <c r="BV97" i="43" s="1"/>
  <c r="BZ97" i="43" s="1"/>
  <c r="CD97" i="43" s="1"/>
  <c r="CG97" i="43" s="1"/>
  <c r="O97" i="43"/>
  <c r="S97" i="43" s="1"/>
  <c r="Y97" i="43" s="1"/>
  <c r="AC97" i="43" s="1"/>
  <c r="AI97" i="43" s="1"/>
  <c r="AM97" i="43" s="1"/>
  <c r="AS97" i="43" s="1"/>
  <c r="AW97" i="43" s="1"/>
  <c r="BC97" i="43" s="1"/>
  <c r="BG97" i="43" s="1"/>
  <c r="BM97" i="43" s="1"/>
  <c r="BQ97" i="43" s="1"/>
  <c r="N97" i="43"/>
  <c r="T97" i="43" s="1"/>
  <c r="X97" i="43" s="1"/>
  <c r="AD97" i="43" s="1"/>
  <c r="I97" i="43"/>
  <c r="CK96" i="43"/>
  <c r="CE95" i="43"/>
  <c r="CB95" i="43"/>
  <c r="BW95" i="43"/>
  <c r="BT95" i="43"/>
  <c r="BO95" i="43"/>
  <c r="BD95" i="43"/>
  <c r="AY95" i="43"/>
  <c r="AV95" i="43"/>
  <c r="AQ95" i="43"/>
  <c r="AF95" i="43"/>
  <c r="AA95" i="43"/>
  <c r="P95" i="43"/>
  <c r="K95" i="43"/>
  <c r="H95" i="43"/>
  <c r="T92" i="43"/>
  <c r="X92" i="43" s="1"/>
  <c r="AD92" i="43" s="1"/>
  <c r="AH92" i="43" s="1"/>
  <c r="AN92" i="43" s="1"/>
  <c r="AR92" i="43" s="1"/>
  <c r="AX92" i="43" s="1"/>
  <c r="BB92" i="43" s="1"/>
  <c r="BH92" i="43" s="1"/>
  <c r="N92" i="43"/>
  <c r="I92" i="43"/>
  <c r="O92" i="43" s="1"/>
  <c r="S92" i="43" s="1"/>
  <c r="Y92" i="43" s="1"/>
  <c r="AC92" i="43" s="1"/>
  <c r="AI92" i="43" s="1"/>
  <c r="AM92" i="43" s="1"/>
  <c r="AS92" i="43" s="1"/>
  <c r="AW92" i="43" s="1"/>
  <c r="BC92" i="43" s="1"/>
  <c r="CL91" i="43"/>
  <c r="CJ90" i="43"/>
  <c r="CF90" i="43"/>
  <c r="CF95" i="43" s="1"/>
  <c r="CE90" i="43"/>
  <c r="CB90" i="43"/>
  <c r="CA90" i="43"/>
  <c r="CA95" i="43" s="1"/>
  <c r="BX90" i="43"/>
  <c r="BX95" i="43" s="1"/>
  <c r="BW90" i="43"/>
  <c r="BU90" i="43"/>
  <c r="BU95" i="43" s="1"/>
  <c r="BT90" i="43"/>
  <c r="BS90" i="43"/>
  <c r="BS95" i="43" s="1"/>
  <c r="BP90" i="43"/>
  <c r="BP95" i="43" s="1"/>
  <c r="BO90" i="43"/>
  <c r="BN90" i="43"/>
  <c r="BN95" i="43" s="1"/>
  <c r="BK90" i="43"/>
  <c r="BK95" i="43" s="1"/>
  <c r="BJ90" i="43"/>
  <c r="BJ95" i="43" s="1"/>
  <c r="BI90" i="43"/>
  <c r="BI95" i="43" s="1"/>
  <c r="BF90" i="43"/>
  <c r="BF95" i="43" s="1"/>
  <c r="BE90" i="43"/>
  <c r="BE95" i="43" s="1"/>
  <c r="BD90" i="43"/>
  <c r="BA90" i="43"/>
  <c r="BA95" i="43" s="1"/>
  <c r="AZ90" i="43"/>
  <c r="AZ95" i="43" s="1"/>
  <c r="AY90" i="43"/>
  <c r="AV90" i="43"/>
  <c r="AU90" i="43"/>
  <c r="AU95" i="43" s="1"/>
  <c r="AT90" i="43"/>
  <c r="AT95" i="43" s="1"/>
  <c r="AQ90" i="43"/>
  <c r="AP90" i="43"/>
  <c r="AP95" i="43" s="1"/>
  <c r="AO90" i="43"/>
  <c r="AO95" i="43" s="1"/>
  <c r="AL90" i="43"/>
  <c r="AL95" i="43" s="1"/>
  <c r="AK90" i="43"/>
  <c r="AK95" i="43" s="1"/>
  <c r="AJ90" i="43"/>
  <c r="AJ95" i="43" s="1"/>
  <c r="AG90" i="43"/>
  <c r="AG95" i="43" s="1"/>
  <c r="AF90" i="43"/>
  <c r="AE90" i="43"/>
  <c r="AE95" i="43" s="1"/>
  <c r="AB90" i="43"/>
  <c r="AB95" i="43" s="1"/>
  <c r="AA90" i="43"/>
  <c r="Z90" i="43"/>
  <c r="Z95" i="43" s="1"/>
  <c r="W90" i="43"/>
  <c r="W95" i="43" s="1"/>
  <c r="V90" i="43"/>
  <c r="V95" i="43" s="1"/>
  <c r="U90" i="43"/>
  <c r="U95" i="43" s="1"/>
  <c r="R90" i="43"/>
  <c r="R95" i="43" s="1"/>
  <c r="Q90" i="43"/>
  <c r="Q95" i="43" s="1"/>
  <c r="P90" i="43"/>
  <c r="M90" i="43"/>
  <c r="M95" i="43" s="1"/>
  <c r="L90" i="43"/>
  <c r="L95" i="43" s="1"/>
  <c r="K90" i="43"/>
  <c r="J90" i="43"/>
  <c r="J95" i="43" s="1"/>
  <c r="H90" i="43"/>
  <c r="G90" i="43"/>
  <c r="G95" i="43" s="1"/>
  <c r="F90" i="43"/>
  <c r="F95" i="43" s="1"/>
  <c r="E90" i="43"/>
  <c r="E95" i="43" s="1"/>
  <c r="AI87" i="43"/>
  <c r="AM87" i="43" s="1"/>
  <c r="AS87" i="43" s="1"/>
  <c r="AW87" i="43" s="1"/>
  <c r="BC87" i="43" s="1"/>
  <c r="BG87" i="43" s="1"/>
  <c r="BM87" i="43" s="1"/>
  <c r="BQ87" i="43" s="1"/>
  <c r="X87" i="43"/>
  <c r="AD87" i="43" s="1"/>
  <c r="AH87" i="43" s="1"/>
  <c r="AN87" i="43" s="1"/>
  <c r="AR87" i="43" s="1"/>
  <c r="AX87" i="43" s="1"/>
  <c r="BB87" i="43" s="1"/>
  <c r="BH87" i="43" s="1"/>
  <c r="BL87" i="43" s="1"/>
  <c r="BR87" i="43" s="1"/>
  <c r="BV87" i="43" s="1"/>
  <c r="BZ87" i="43" s="1"/>
  <c r="CD87" i="43" s="1"/>
  <c r="CG87" i="43" s="1"/>
  <c r="T87" i="43"/>
  <c r="O87" i="43"/>
  <c r="S87" i="43" s="1"/>
  <c r="Y87" i="43" s="1"/>
  <c r="AC87" i="43" s="1"/>
  <c r="N87" i="43"/>
  <c r="I87" i="43"/>
  <c r="T86" i="43"/>
  <c r="O86" i="43"/>
  <c r="N86" i="43"/>
  <c r="I86" i="43"/>
  <c r="CL85" i="43"/>
  <c r="CJ84" i="43"/>
  <c r="CF84" i="43"/>
  <c r="CE84" i="43"/>
  <c r="CB84" i="43"/>
  <c r="CA84" i="43"/>
  <c r="BX84" i="43"/>
  <c r="BW84" i="43"/>
  <c r="BU84" i="43"/>
  <c r="BT84" i="43"/>
  <c r="BS84" i="43"/>
  <c r="BF84" i="43"/>
  <c r="BE84" i="43"/>
  <c r="AV84" i="43"/>
  <c r="AU84" i="43"/>
  <c r="AT84" i="43"/>
  <c r="AL84" i="43"/>
  <c r="AK84" i="43"/>
  <c r="AJ84" i="43"/>
  <c r="AG84" i="43"/>
  <c r="AF84" i="43"/>
  <c r="AE84" i="43"/>
  <c r="AB84" i="43"/>
  <c r="AA84" i="43"/>
  <c r="W84" i="43"/>
  <c r="V84" i="43"/>
  <c r="U84" i="43"/>
  <c r="R84" i="43"/>
  <c r="Q84" i="43"/>
  <c r="P84" i="43"/>
  <c r="M84" i="43"/>
  <c r="L84" i="43"/>
  <c r="K84" i="43"/>
  <c r="J84" i="43"/>
  <c r="H84" i="43"/>
  <c r="G84" i="43"/>
  <c r="F84" i="43"/>
  <c r="E84" i="43"/>
  <c r="CL83" i="43"/>
  <c r="CH82" i="43"/>
  <c r="O82" i="43"/>
  <c r="S82" i="43" s="1"/>
  <c r="Y82" i="43" s="1"/>
  <c r="AC82" i="43" s="1"/>
  <c r="AI82" i="43" s="1"/>
  <c r="AM82" i="43" s="1"/>
  <c r="AS82" i="43" s="1"/>
  <c r="AW82" i="43" s="1"/>
  <c r="BC82" i="43" s="1"/>
  <c r="BG82" i="43" s="1"/>
  <c r="BM82" i="43" s="1"/>
  <c r="BQ82" i="43" s="1"/>
  <c r="N82" i="43"/>
  <c r="T82" i="43" s="1"/>
  <c r="X82" i="43" s="1"/>
  <c r="AD82" i="43" s="1"/>
  <c r="AH82" i="43" s="1"/>
  <c r="AN82" i="43" s="1"/>
  <c r="AR82" i="43" s="1"/>
  <c r="AX82" i="43" s="1"/>
  <c r="BB82" i="43" s="1"/>
  <c r="BH82" i="43" s="1"/>
  <c r="BL82" i="43" s="1"/>
  <c r="BR82" i="43" s="1"/>
  <c r="BV82" i="43" s="1"/>
  <c r="BZ82" i="43" s="1"/>
  <c r="CD82" i="43" s="1"/>
  <c r="CG82" i="43" s="1"/>
  <c r="I82" i="43"/>
  <c r="N81" i="43"/>
  <c r="T81" i="43" s="1"/>
  <c r="X81" i="43" s="1"/>
  <c r="AD81" i="43" s="1"/>
  <c r="AH81" i="43" s="1"/>
  <c r="AN81" i="43" s="1"/>
  <c r="AR81" i="43" s="1"/>
  <c r="AX81" i="43" s="1"/>
  <c r="BB81" i="43" s="1"/>
  <c r="BH81" i="43" s="1"/>
  <c r="BL81" i="43" s="1"/>
  <c r="BR81" i="43" s="1"/>
  <c r="BV81" i="43" s="1"/>
  <c r="BZ81" i="43" s="1"/>
  <c r="CD81" i="43" s="1"/>
  <c r="CG81" i="43" s="1"/>
  <c r="I81" i="43"/>
  <c r="O81" i="43" s="1"/>
  <c r="S81" i="43" s="1"/>
  <c r="Y81" i="43" s="1"/>
  <c r="AC81" i="43" s="1"/>
  <c r="AI81" i="43" s="1"/>
  <c r="AM81" i="43" s="1"/>
  <c r="AS81" i="43" s="1"/>
  <c r="AW81" i="43" s="1"/>
  <c r="BC81" i="43" s="1"/>
  <c r="BG81" i="43" s="1"/>
  <c r="BM81" i="43" s="1"/>
  <c r="BQ81" i="43" s="1"/>
  <c r="BC80" i="43"/>
  <c r="BG80" i="43" s="1"/>
  <c r="BM80" i="43" s="1"/>
  <c r="BQ80" i="43" s="1"/>
  <c r="AI80" i="43"/>
  <c r="AM80" i="43" s="1"/>
  <c r="AS80" i="43" s="1"/>
  <c r="AW80" i="43" s="1"/>
  <c r="X80" i="43"/>
  <c r="AD80" i="43" s="1"/>
  <c r="AH80" i="43" s="1"/>
  <c r="AN80" i="43" s="1"/>
  <c r="AR80" i="43" s="1"/>
  <c r="AX80" i="43" s="1"/>
  <c r="BB80" i="43" s="1"/>
  <c r="BH80" i="43" s="1"/>
  <c r="BL80" i="43" s="1"/>
  <c r="BR80" i="43" s="1"/>
  <c r="BV80" i="43" s="1"/>
  <c r="BZ80" i="43" s="1"/>
  <c r="CD80" i="43" s="1"/>
  <c r="CG80" i="43" s="1"/>
  <c r="T80" i="43"/>
  <c r="O80" i="43"/>
  <c r="S80" i="43" s="1"/>
  <c r="Y80" i="43" s="1"/>
  <c r="AC80" i="43" s="1"/>
  <c r="N80" i="43"/>
  <c r="I80" i="43"/>
  <c r="AW79" i="43"/>
  <c r="BC79" i="43" s="1"/>
  <c r="BG79" i="43" s="1"/>
  <c r="BM79" i="43" s="1"/>
  <c r="BQ79" i="43" s="1"/>
  <c r="AC79" i="43"/>
  <c r="AI79" i="43" s="1"/>
  <c r="AM79" i="43" s="1"/>
  <c r="AS79" i="43" s="1"/>
  <c r="T79" i="43"/>
  <c r="X79" i="43" s="1"/>
  <c r="AD79" i="43" s="1"/>
  <c r="AH79" i="43" s="1"/>
  <c r="AN79" i="43" s="1"/>
  <c r="AR79" i="43" s="1"/>
  <c r="AX79" i="43" s="1"/>
  <c r="BB79" i="43" s="1"/>
  <c r="BH79" i="43" s="1"/>
  <c r="BL79" i="43" s="1"/>
  <c r="BR79" i="43" s="1"/>
  <c r="BV79" i="43" s="1"/>
  <c r="BZ79" i="43" s="1"/>
  <c r="CD79" i="43" s="1"/>
  <c r="CG79" i="43" s="1"/>
  <c r="N79" i="43"/>
  <c r="I79" i="43"/>
  <c r="O79" i="43" s="1"/>
  <c r="S79" i="43" s="1"/>
  <c r="Y79" i="43" s="1"/>
  <c r="O78" i="43"/>
  <c r="S78" i="43" s="1"/>
  <c r="Y78" i="43" s="1"/>
  <c r="AC78" i="43" s="1"/>
  <c r="AI78" i="43" s="1"/>
  <c r="AM78" i="43" s="1"/>
  <c r="AS78" i="43" s="1"/>
  <c r="AW78" i="43" s="1"/>
  <c r="BC78" i="43" s="1"/>
  <c r="BG78" i="43" s="1"/>
  <c r="BM78" i="43" s="1"/>
  <c r="BQ78" i="43" s="1"/>
  <c r="N78" i="43"/>
  <c r="T78" i="43" s="1"/>
  <c r="X78" i="43" s="1"/>
  <c r="AD78" i="43" s="1"/>
  <c r="AH78" i="43" s="1"/>
  <c r="AN78" i="43" s="1"/>
  <c r="AR78" i="43" s="1"/>
  <c r="AX78" i="43" s="1"/>
  <c r="BB78" i="43" s="1"/>
  <c r="BH78" i="43" s="1"/>
  <c r="BL78" i="43" s="1"/>
  <c r="BR78" i="43" s="1"/>
  <c r="BV78" i="43" s="1"/>
  <c r="BZ78" i="43" s="1"/>
  <c r="CD78" i="43" s="1"/>
  <c r="CG78" i="43" s="1"/>
  <c r="I78" i="43"/>
  <c r="CH77" i="43"/>
  <c r="AD77" i="43"/>
  <c r="AH77" i="43" s="1"/>
  <c r="AN77" i="43" s="1"/>
  <c r="AR77" i="43" s="1"/>
  <c r="AX77" i="43" s="1"/>
  <c r="BB77" i="43" s="1"/>
  <c r="BH77" i="43" s="1"/>
  <c r="BL77" i="43" s="1"/>
  <c r="BR77" i="43" s="1"/>
  <c r="BV77" i="43" s="1"/>
  <c r="BZ77" i="43" s="1"/>
  <c r="CD77" i="43" s="1"/>
  <c r="CG77" i="43" s="1"/>
  <c r="N77" i="43"/>
  <c r="T77" i="43" s="1"/>
  <c r="X77" i="43" s="1"/>
  <c r="I77" i="43"/>
  <c r="O77" i="43" s="1"/>
  <c r="S77" i="43" s="1"/>
  <c r="Y77" i="43" s="1"/>
  <c r="AC77" i="43" s="1"/>
  <c r="AI77" i="43" s="1"/>
  <c r="AM77" i="43" s="1"/>
  <c r="AS77" i="43" s="1"/>
  <c r="AW77" i="43" s="1"/>
  <c r="BC77" i="43" s="1"/>
  <c r="BG77" i="43" s="1"/>
  <c r="BM77" i="43" s="1"/>
  <c r="BQ77" i="43" s="1"/>
  <c r="AR76" i="43"/>
  <c r="AX76" i="43" s="1"/>
  <c r="BB76" i="43" s="1"/>
  <c r="BH76" i="43" s="1"/>
  <c r="BL76" i="43" s="1"/>
  <c r="BR76" i="43" s="1"/>
  <c r="BV76" i="43" s="1"/>
  <c r="BZ76" i="43" s="1"/>
  <c r="CD76" i="43" s="1"/>
  <c r="CG76" i="43" s="1"/>
  <c r="X76" i="43"/>
  <c r="AD76" i="43" s="1"/>
  <c r="AH76" i="43" s="1"/>
  <c r="AN76" i="43" s="1"/>
  <c r="T76" i="43"/>
  <c r="O76" i="43"/>
  <c r="S76" i="43" s="1"/>
  <c r="Y76" i="43" s="1"/>
  <c r="AC76" i="43" s="1"/>
  <c r="AI76" i="43" s="1"/>
  <c r="AM76" i="43" s="1"/>
  <c r="AS76" i="43" s="1"/>
  <c r="AW76" i="43" s="1"/>
  <c r="BC76" i="43" s="1"/>
  <c r="BG76" i="43" s="1"/>
  <c r="BM76" i="43" s="1"/>
  <c r="BQ76" i="43" s="1"/>
  <c r="N76" i="43"/>
  <c r="I76" i="43"/>
  <c r="AN75" i="43"/>
  <c r="AR75" i="43" s="1"/>
  <c r="AX75" i="43" s="1"/>
  <c r="BB75" i="43" s="1"/>
  <c r="BH75" i="43" s="1"/>
  <c r="BL75" i="43" s="1"/>
  <c r="BR75" i="43" s="1"/>
  <c r="BV75" i="43" s="1"/>
  <c r="BZ75" i="43" s="1"/>
  <c r="CD75" i="43" s="1"/>
  <c r="CG75" i="43" s="1"/>
  <c r="T75" i="43"/>
  <c r="X75" i="43" s="1"/>
  <c r="AD75" i="43" s="1"/>
  <c r="AH75" i="43" s="1"/>
  <c r="N75" i="43"/>
  <c r="I75" i="43"/>
  <c r="O75" i="43" s="1"/>
  <c r="S75" i="43" s="1"/>
  <c r="Y75" i="43" s="1"/>
  <c r="AC75" i="43" s="1"/>
  <c r="AI75" i="43" s="1"/>
  <c r="AM75" i="43" s="1"/>
  <c r="AS75" i="43" s="1"/>
  <c r="AW75" i="43" s="1"/>
  <c r="BC75" i="43" s="1"/>
  <c r="BG75" i="43" s="1"/>
  <c r="BM75" i="43" s="1"/>
  <c r="BQ75" i="43" s="1"/>
  <c r="CH73" i="43"/>
  <c r="AR73" i="43"/>
  <c r="AX73" i="43" s="1"/>
  <c r="BB73" i="43" s="1"/>
  <c r="BH73" i="43" s="1"/>
  <c r="BL73" i="43" s="1"/>
  <c r="BR73" i="43" s="1"/>
  <c r="BV73" i="43" s="1"/>
  <c r="BZ73" i="43" s="1"/>
  <c r="CD73" i="43" s="1"/>
  <c r="CG73" i="43" s="1"/>
  <c r="N73" i="43"/>
  <c r="T73" i="43" s="1"/>
  <c r="X73" i="43" s="1"/>
  <c r="AD73" i="43" s="1"/>
  <c r="AH73" i="43" s="1"/>
  <c r="AN73" i="43" s="1"/>
  <c r="I73" i="43"/>
  <c r="O73" i="43" s="1"/>
  <c r="S73" i="43" s="1"/>
  <c r="Y73" i="43" s="1"/>
  <c r="AC73" i="43" s="1"/>
  <c r="AI73" i="43" s="1"/>
  <c r="AM73" i="43" s="1"/>
  <c r="AS73" i="43" s="1"/>
  <c r="AW73" i="43" s="1"/>
  <c r="BC73" i="43" s="1"/>
  <c r="BG73" i="43" s="1"/>
  <c r="BM73" i="43" s="1"/>
  <c r="BQ73" i="43" s="1"/>
  <c r="BY73" i="43" s="1"/>
  <c r="CC73" i="43" s="1"/>
  <c r="CH72" i="43"/>
  <c r="O72" i="43"/>
  <c r="S72" i="43" s="1"/>
  <c r="Y72" i="43" s="1"/>
  <c r="AC72" i="43" s="1"/>
  <c r="AI72" i="43" s="1"/>
  <c r="AM72" i="43" s="1"/>
  <c r="AS72" i="43" s="1"/>
  <c r="AW72" i="43" s="1"/>
  <c r="BC72" i="43" s="1"/>
  <c r="BG72" i="43" s="1"/>
  <c r="BM72" i="43" s="1"/>
  <c r="BQ72" i="43" s="1"/>
  <c r="N72" i="43"/>
  <c r="T72" i="43" s="1"/>
  <c r="X72" i="43" s="1"/>
  <c r="AD72" i="43" s="1"/>
  <c r="AH72" i="43" s="1"/>
  <c r="AN72" i="43" s="1"/>
  <c r="AR72" i="43" s="1"/>
  <c r="AX72" i="43" s="1"/>
  <c r="BB72" i="43" s="1"/>
  <c r="BH72" i="43" s="1"/>
  <c r="BL72" i="43" s="1"/>
  <c r="BR72" i="43" s="1"/>
  <c r="BV72" i="43" s="1"/>
  <c r="BZ72" i="43" s="1"/>
  <c r="CD72" i="43" s="1"/>
  <c r="CG72" i="43" s="1"/>
  <c r="I72" i="43"/>
  <c r="AD71" i="43"/>
  <c r="AH71" i="43" s="1"/>
  <c r="AN71" i="43" s="1"/>
  <c r="AR71" i="43" s="1"/>
  <c r="AX71" i="43" s="1"/>
  <c r="BB71" i="43" s="1"/>
  <c r="BH71" i="43" s="1"/>
  <c r="BL71" i="43" s="1"/>
  <c r="BR71" i="43" s="1"/>
  <c r="BV71" i="43" s="1"/>
  <c r="BZ71" i="43" s="1"/>
  <c r="CD71" i="43" s="1"/>
  <c r="CG71" i="43" s="1"/>
  <c r="N71" i="43"/>
  <c r="T71" i="43" s="1"/>
  <c r="X71" i="43" s="1"/>
  <c r="I71" i="43"/>
  <c r="O71" i="43" s="1"/>
  <c r="S71" i="43" s="1"/>
  <c r="Y71" i="43" s="1"/>
  <c r="AC71" i="43" s="1"/>
  <c r="AI71" i="43" s="1"/>
  <c r="AM71" i="43" s="1"/>
  <c r="AS71" i="43" s="1"/>
  <c r="AW71" i="43" s="1"/>
  <c r="BC71" i="43" s="1"/>
  <c r="BG71" i="43" s="1"/>
  <c r="BM71" i="43" s="1"/>
  <c r="BQ71" i="43" s="1"/>
  <c r="BM70" i="43"/>
  <c r="BQ70" i="43" s="1"/>
  <c r="BY70" i="43" s="1"/>
  <c r="CC70" i="43" s="1"/>
  <c r="AR70" i="43"/>
  <c r="AX70" i="43" s="1"/>
  <c r="BB70" i="43" s="1"/>
  <c r="BH70" i="43" s="1"/>
  <c r="BL70" i="43" s="1"/>
  <c r="BR70" i="43" s="1"/>
  <c r="BV70" i="43" s="1"/>
  <c r="BZ70" i="43" s="1"/>
  <c r="CD70" i="43" s="1"/>
  <c r="CG70" i="43" s="1"/>
  <c r="T70" i="43"/>
  <c r="X70" i="43" s="1"/>
  <c r="AD70" i="43" s="1"/>
  <c r="AH70" i="43" s="1"/>
  <c r="AN70" i="43" s="1"/>
  <c r="N70" i="43"/>
  <c r="I70" i="43"/>
  <c r="O70" i="43" s="1"/>
  <c r="S70" i="43" s="1"/>
  <c r="Y70" i="43" s="1"/>
  <c r="AC70" i="43" s="1"/>
  <c r="AI70" i="43" s="1"/>
  <c r="AM70" i="43" s="1"/>
  <c r="AS70" i="43" s="1"/>
  <c r="AW70" i="43" s="1"/>
  <c r="BC70" i="43" s="1"/>
  <c r="BG70" i="43" s="1"/>
  <c r="AH69" i="43"/>
  <c r="AN69" i="43" s="1"/>
  <c r="AR69" i="43" s="1"/>
  <c r="AX69" i="43" s="1"/>
  <c r="BB69" i="43" s="1"/>
  <c r="BH69" i="43" s="1"/>
  <c r="BL69" i="43" s="1"/>
  <c r="BR69" i="43" s="1"/>
  <c r="BV69" i="43" s="1"/>
  <c r="BZ69" i="43" s="1"/>
  <c r="CD69" i="43" s="1"/>
  <c r="CG69" i="43" s="1"/>
  <c r="N69" i="43"/>
  <c r="T69" i="43" s="1"/>
  <c r="X69" i="43" s="1"/>
  <c r="AD69" i="43" s="1"/>
  <c r="I69" i="43"/>
  <c r="O69" i="43" s="1"/>
  <c r="S69" i="43" s="1"/>
  <c r="Y69" i="43" s="1"/>
  <c r="AC69" i="43" s="1"/>
  <c r="AI69" i="43" s="1"/>
  <c r="AM69" i="43" s="1"/>
  <c r="AS69" i="43" s="1"/>
  <c r="AW69" i="43" s="1"/>
  <c r="BC69" i="43" s="1"/>
  <c r="BG69" i="43" s="1"/>
  <c r="BM69" i="43" s="1"/>
  <c r="BQ69" i="43" s="1"/>
  <c r="BM68" i="43"/>
  <c r="BQ68" i="43" s="1"/>
  <c r="X68" i="43"/>
  <c r="AD68" i="43" s="1"/>
  <c r="AH68" i="43" s="1"/>
  <c r="AN68" i="43" s="1"/>
  <c r="AR68" i="43" s="1"/>
  <c r="AX68" i="43" s="1"/>
  <c r="BB68" i="43" s="1"/>
  <c r="BH68" i="43" s="1"/>
  <c r="BL68" i="43" s="1"/>
  <c r="BR68" i="43" s="1"/>
  <c r="BV68" i="43" s="1"/>
  <c r="BZ68" i="43" s="1"/>
  <c r="CD68" i="43" s="1"/>
  <c r="CG68" i="43" s="1"/>
  <c r="N68" i="43"/>
  <c r="T68" i="43" s="1"/>
  <c r="I68" i="43"/>
  <c r="O68" i="43" s="1"/>
  <c r="S68" i="43" s="1"/>
  <c r="Y68" i="43" s="1"/>
  <c r="AC68" i="43" s="1"/>
  <c r="AI68" i="43" s="1"/>
  <c r="AM68" i="43" s="1"/>
  <c r="AS68" i="43" s="1"/>
  <c r="AW68" i="43" s="1"/>
  <c r="BC68" i="43" s="1"/>
  <c r="BG68" i="43" s="1"/>
  <c r="CH67" i="43"/>
  <c r="CG67" i="43"/>
  <c r="BM67" i="43"/>
  <c r="BQ67" i="43" s="1"/>
  <c r="O67" i="43"/>
  <c r="S67" i="43" s="1"/>
  <c r="Y67" i="43" s="1"/>
  <c r="AC67" i="43" s="1"/>
  <c r="AI67" i="43" s="1"/>
  <c r="AM67" i="43" s="1"/>
  <c r="AS67" i="43" s="1"/>
  <c r="AW67" i="43" s="1"/>
  <c r="BC67" i="43" s="1"/>
  <c r="BG67" i="43" s="1"/>
  <c r="N67" i="43"/>
  <c r="T67" i="43" s="1"/>
  <c r="X67" i="43" s="1"/>
  <c r="AD67" i="43" s="1"/>
  <c r="AH67" i="43" s="1"/>
  <c r="AN67" i="43" s="1"/>
  <c r="AR67" i="43" s="1"/>
  <c r="AX67" i="43" s="1"/>
  <c r="BB67" i="43" s="1"/>
  <c r="BH67" i="43" s="1"/>
  <c r="BL67" i="43" s="1"/>
  <c r="BR67" i="43" s="1"/>
  <c r="BV67" i="43" s="1"/>
  <c r="BZ67" i="43" s="1"/>
  <c r="CD67" i="43" s="1"/>
  <c r="I67" i="43"/>
  <c r="AC66" i="43"/>
  <c r="AI66" i="43" s="1"/>
  <c r="AM66" i="43" s="1"/>
  <c r="AS66" i="43" s="1"/>
  <c r="AW66" i="43" s="1"/>
  <c r="BC66" i="43" s="1"/>
  <c r="BG66" i="43" s="1"/>
  <c r="BM66" i="43" s="1"/>
  <c r="BQ66" i="43" s="1"/>
  <c r="N66" i="43"/>
  <c r="T66" i="43" s="1"/>
  <c r="X66" i="43" s="1"/>
  <c r="AD66" i="43" s="1"/>
  <c r="AH66" i="43" s="1"/>
  <c r="AN66" i="43" s="1"/>
  <c r="AR66" i="43" s="1"/>
  <c r="AX66" i="43" s="1"/>
  <c r="BB66" i="43" s="1"/>
  <c r="BH66" i="43" s="1"/>
  <c r="BL66" i="43" s="1"/>
  <c r="BR66" i="43" s="1"/>
  <c r="BV66" i="43" s="1"/>
  <c r="BZ66" i="43" s="1"/>
  <c r="CD66" i="43" s="1"/>
  <c r="CG66" i="43" s="1"/>
  <c r="I66" i="43"/>
  <c r="O66" i="43" s="1"/>
  <c r="S66" i="43" s="1"/>
  <c r="Y66" i="43" s="1"/>
  <c r="CH65" i="43"/>
  <c r="CC65" i="43"/>
  <c r="BB65" i="43"/>
  <c r="BH65" i="43" s="1"/>
  <c r="BL65" i="43" s="1"/>
  <c r="BR65" i="43" s="1"/>
  <c r="BV65" i="43" s="1"/>
  <c r="BZ65" i="43" s="1"/>
  <c r="CD65" i="43" s="1"/>
  <c r="CG65" i="43" s="1"/>
  <c r="AX65" i="43"/>
  <c r="AS65" i="43"/>
  <c r="AW65" i="43" s="1"/>
  <c r="BC65" i="43" s="1"/>
  <c r="BG65" i="43" s="1"/>
  <c r="BM65" i="43" s="1"/>
  <c r="BQ65" i="43" s="1"/>
  <c r="BY65" i="43" s="1"/>
  <c r="T64" i="43"/>
  <c r="X64" i="43" s="1"/>
  <c r="AD64" i="43" s="1"/>
  <c r="AH64" i="43" s="1"/>
  <c r="AN64" i="43" s="1"/>
  <c r="AR64" i="43" s="1"/>
  <c r="AX64" i="43" s="1"/>
  <c r="BB64" i="43" s="1"/>
  <c r="BH64" i="43" s="1"/>
  <c r="BL64" i="43" s="1"/>
  <c r="BR64" i="43" s="1"/>
  <c r="BV64" i="43" s="1"/>
  <c r="BZ64" i="43" s="1"/>
  <c r="CD64" i="43" s="1"/>
  <c r="CG64" i="43" s="1"/>
  <c r="N64" i="43"/>
  <c r="I64" i="43"/>
  <c r="O64" i="43" s="1"/>
  <c r="S64" i="43" s="1"/>
  <c r="Y64" i="43" s="1"/>
  <c r="AC64" i="43" s="1"/>
  <c r="AI64" i="43" s="1"/>
  <c r="AM64" i="43" s="1"/>
  <c r="AS64" i="43" s="1"/>
  <c r="AW64" i="43" s="1"/>
  <c r="BC64" i="43" s="1"/>
  <c r="BG64" i="43" s="1"/>
  <c r="BM64" i="43" s="1"/>
  <c r="BQ64" i="43" s="1"/>
  <c r="CH63" i="43"/>
  <c r="AX63" i="43"/>
  <c r="BB63" i="43" s="1"/>
  <c r="BH63" i="43" s="1"/>
  <c r="BL63" i="43" s="1"/>
  <c r="BR63" i="43" s="1"/>
  <c r="BV63" i="43" s="1"/>
  <c r="T63" i="43"/>
  <c r="X63" i="43" s="1"/>
  <c r="AD63" i="43" s="1"/>
  <c r="AH63" i="43" s="1"/>
  <c r="AN63" i="43" s="1"/>
  <c r="AR63" i="43" s="1"/>
  <c r="N63" i="43"/>
  <c r="I63" i="43"/>
  <c r="O63" i="43" s="1"/>
  <c r="S63" i="43" s="1"/>
  <c r="Y63" i="43" s="1"/>
  <c r="AC63" i="43" s="1"/>
  <c r="AI63" i="43" s="1"/>
  <c r="AM63" i="43" s="1"/>
  <c r="AS63" i="43" s="1"/>
  <c r="AW63" i="43" s="1"/>
  <c r="BC63" i="43" s="1"/>
  <c r="BG63" i="43" s="1"/>
  <c r="BM63" i="43" s="1"/>
  <c r="BQ63" i="43" s="1"/>
  <c r="BY63" i="43" s="1"/>
  <c r="CC63" i="43" s="1"/>
  <c r="AS62" i="43"/>
  <c r="AW62" i="43" s="1"/>
  <c r="BC62" i="43" s="1"/>
  <c r="BG62" i="43" s="1"/>
  <c r="BM62" i="43" s="1"/>
  <c r="BQ62" i="43" s="1"/>
  <c r="AH62" i="43"/>
  <c r="AN62" i="43" s="1"/>
  <c r="AR62" i="43" s="1"/>
  <c r="AX62" i="43" s="1"/>
  <c r="BB62" i="43" s="1"/>
  <c r="BH62" i="43" s="1"/>
  <c r="BL62" i="43" s="1"/>
  <c r="BR62" i="43" s="1"/>
  <c r="BV62" i="43" s="1"/>
  <c r="BZ62" i="43" s="1"/>
  <c r="CD62" i="43" s="1"/>
  <c r="CG62" i="43" s="1"/>
  <c r="Y62" i="43"/>
  <c r="AC62" i="43" s="1"/>
  <c r="AI62" i="43" s="1"/>
  <c r="AM62" i="43" s="1"/>
  <c r="N62" i="43"/>
  <c r="T62" i="43" s="1"/>
  <c r="X62" i="43" s="1"/>
  <c r="AD62" i="43" s="1"/>
  <c r="I62" i="43"/>
  <c r="O62" i="43" s="1"/>
  <c r="S62" i="43" s="1"/>
  <c r="CH61" i="43"/>
  <c r="CG61" i="43"/>
  <c r="BR61" i="43"/>
  <c r="BV61" i="43" s="1"/>
  <c r="BZ61" i="43" s="1"/>
  <c r="CD61" i="43" s="1"/>
  <c r="AS61" i="43"/>
  <c r="AW61" i="43" s="1"/>
  <c r="BC61" i="43" s="1"/>
  <c r="BG61" i="43" s="1"/>
  <c r="BM61" i="43" s="1"/>
  <c r="BQ61" i="43" s="1"/>
  <c r="AD61" i="43"/>
  <c r="AH61" i="43" s="1"/>
  <c r="AN61" i="43" s="1"/>
  <c r="AR61" i="43" s="1"/>
  <c r="AX61" i="43" s="1"/>
  <c r="BB61" i="43" s="1"/>
  <c r="BH61" i="43" s="1"/>
  <c r="BL61" i="43" s="1"/>
  <c r="AC61" i="43"/>
  <c r="AI61" i="43" s="1"/>
  <c r="AM61" i="43" s="1"/>
  <c r="N61" i="43"/>
  <c r="T61" i="43" s="1"/>
  <c r="X61" i="43" s="1"/>
  <c r="I61" i="43"/>
  <c r="O61" i="43" s="1"/>
  <c r="S61" i="43" s="1"/>
  <c r="Y61" i="43" s="1"/>
  <c r="BV60" i="43"/>
  <c r="BZ60" i="43" s="1"/>
  <c r="CD60" i="43" s="1"/>
  <c r="CG60" i="43" s="1"/>
  <c r="AX60" i="43"/>
  <c r="BB60" i="43" s="1"/>
  <c r="BH60" i="43" s="1"/>
  <c r="BL60" i="43" s="1"/>
  <c r="BR60" i="43" s="1"/>
  <c r="AM60" i="43"/>
  <c r="AS60" i="43" s="1"/>
  <c r="AW60" i="43" s="1"/>
  <c r="BC60" i="43" s="1"/>
  <c r="BG60" i="43" s="1"/>
  <c r="BM60" i="43" s="1"/>
  <c r="BQ60" i="43" s="1"/>
  <c r="BY60" i="43" s="1"/>
  <c r="CC60" i="43" s="1"/>
  <c r="N60" i="43"/>
  <c r="T60" i="43" s="1"/>
  <c r="X60" i="43" s="1"/>
  <c r="AD60" i="43" s="1"/>
  <c r="AH60" i="43" s="1"/>
  <c r="AN60" i="43" s="1"/>
  <c r="AR60" i="43" s="1"/>
  <c r="I60" i="43"/>
  <c r="O60" i="43" s="1"/>
  <c r="S60" i="43" s="1"/>
  <c r="Y60" i="43" s="1"/>
  <c r="AC60" i="43" s="1"/>
  <c r="AI60" i="43" s="1"/>
  <c r="CH59" i="43"/>
  <c r="AX59" i="43"/>
  <c r="BB59" i="43" s="1"/>
  <c r="BH59" i="43" s="1"/>
  <c r="BL59" i="43" s="1"/>
  <c r="BR59" i="43" s="1"/>
  <c r="BV59" i="43" s="1"/>
  <c r="BZ59" i="43" s="1"/>
  <c r="CD59" i="43" s="1"/>
  <c r="CG59" i="43" s="1"/>
  <c r="AN59" i="43"/>
  <c r="AR59" i="43" s="1"/>
  <c r="T59" i="43"/>
  <c r="X59" i="43" s="1"/>
  <c r="AD59" i="43" s="1"/>
  <c r="AH59" i="43" s="1"/>
  <c r="N59" i="43"/>
  <c r="I59" i="43"/>
  <c r="O59" i="43" s="1"/>
  <c r="S59" i="43" s="1"/>
  <c r="Y59" i="43" s="1"/>
  <c r="AC59" i="43" s="1"/>
  <c r="AI59" i="43" s="1"/>
  <c r="AM59" i="43" s="1"/>
  <c r="AS59" i="43" s="1"/>
  <c r="AW59" i="43" s="1"/>
  <c r="BC59" i="43" s="1"/>
  <c r="BG59" i="43" s="1"/>
  <c r="BM59" i="43" s="1"/>
  <c r="BQ59" i="43" s="1"/>
  <c r="BH58" i="43"/>
  <c r="BL58" i="43" s="1"/>
  <c r="BR58" i="43" s="1"/>
  <c r="BV58" i="43" s="1"/>
  <c r="BZ58" i="43" s="1"/>
  <c r="CD58" i="43" s="1"/>
  <c r="CG58" i="43" s="1"/>
  <c r="T58" i="43"/>
  <c r="X58" i="43" s="1"/>
  <c r="AD58" i="43" s="1"/>
  <c r="AH58" i="43" s="1"/>
  <c r="AN58" i="43" s="1"/>
  <c r="AR58" i="43" s="1"/>
  <c r="AX58" i="43" s="1"/>
  <c r="BB58" i="43" s="1"/>
  <c r="N58" i="43"/>
  <c r="I58" i="43"/>
  <c r="O58" i="43" s="1"/>
  <c r="S58" i="43" s="1"/>
  <c r="Y58" i="43" s="1"/>
  <c r="AC58" i="43" s="1"/>
  <c r="AI58" i="43" s="1"/>
  <c r="AM58" i="43" s="1"/>
  <c r="AS58" i="43" s="1"/>
  <c r="AW58" i="43" s="1"/>
  <c r="BC58" i="43" s="1"/>
  <c r="BG58" i="43" s="1"/>
  <c r="BM58" i="43" s="1"/>
  <c r="BQ58" i="43" s="1"/>
  <c r="CH57" i="43"/>
  <c r="CD57" i="43"/>
  <c r="CG57" i="43" s="1"/>
  <c r="AN57" i="43"/>
  <c r="AR57" i="43" s="1"/>
  <c r="AX57" i="43" s="1"/>
  <c r="BB57" i="43" s="1"/>
  <c r="BH57" i="43" s="1"/>
  <c r="BL57" i="43" s="1"/>
  <c r="BR57" i="43" s="1"/>
  <c r="BV57" i="43" s="1"/>
  <c r="BZ57" i="43" s="1"/>
  <c r="O57" i="43"/>
  <c r="S57" i="43" s="1"/>
  <c r="Y57" i="43" s="1"/>
  <c r="AC57" i="43" s="1"/>
  <c r="AI57" i="43" s="1"/>
  <c r="AM57" i="43" s="1"/>
  <c r="AS57" i="43" s="1"/>
  <c r="AW57" i="43" s="1"/>
  <c r="BC57" i="43" s="1"/>
  <c r="BG57" i="43" s="1"/>
  <c r="BM57" i="43" s="1"/>
  <c r="BQ57" i="43" s="1"/>
  <c r="N57" i="43"/>
  <c r="T57" i="43" s="1"/>
  <c r="X57" i="43" s="1"/>
  <c r="AD57" i="43" s="1"/>
  <c r="AH57" i="43" s="1"/>
  <c r="I57" i="43"/>
  <c r="AR56" i="43"/>
  <c r="AX56" i="43" s="1"/>
  <c r="BB56" i="43" s="1"/>
  <c r="BH56" i="43" s="1"/>
  <c r="BL56" i="43" s="1"/>
  <c r="BR56" i="43" s="1"/>
  <c r="BV56" i="43" s="1"/>
  <c r="BZ56" i="43" s="1"/>
  <c r="CD56" i="43" s="1"/>
  <c r="CG56" i="43" s="1"/>
  <c r="AN56" i="43"/>
  <c r="AI56" i="43"/>
  <c r="AM56" i="43" s="1"/>
  <c r="AS56" i="43" s="1"/>
  <c r="AW56" i="43" s="1"/>
  <c r="BC56" i="43" s="1"/>
  <c r="BG56" i="43" s="1"/>
  <c r="BM56" i="43" s="1"/>
  <c r="BQ56" i="43" s="1"/>
  <c r="X56" i="43"/>
  <c r="AD56" i="43" s="1"/>
  <c r="AH56" i="43" s="1"/>
  <c r="T56" i="43"/>
  <c r="O56" i="43"/>
  <c r="S56" i="43" s="1"/>
  <c r="Y56" i="43" s="1"/>
  <c r="AC56" i="43" s="1"/>
  <c r="N56" i="43"/>
  <c r="I56" i="43"/>
  <c r="S55" i="43"/>
  <c r="Y55" i="43" s="1"/>
  <c r="AC55" i="43" s="1"/>
  <c r="AI55" i="43" s="1"/>
  <c r="AM55" i="43" s="1"/>
  <c r="AS55" i="43" s="1"/>
  <c r="AW55" i="43" s="1"/>
  <c r="BC55" i="43" s="1"/>
  <c r="BG55" i="43" s="1"/>
  <c r="BM55" i="43" s="1"/>
  <c r="BQ55" i="43" s="1"/>
  <c r="N55" i="43"/>
  <c r="T55" i="43" s="1"/>
  <c r="X55" i="43" s="1"/>
  <c r="AD55" i="43" s="1"/>
  <c r="AH55" i="43" s="1"/>
  <c r="AN55" i="43" s="1"/>
  <c r="AR55" i="43" s="1"/>
  <c r="AX55" i="43" s="1"/>
  <c r="BB55" i="43" s="1"/>
  <c r="BH55" i="43" s="1"/>
  <c r="BL55" i="43" s="1"/>
  <c r="BR55" i="43" s="1"/>
  <c r="BV55" i="43" s="1"/>
  <c r="BZ55" i="43" s="1"/>
  <c r="CD55" i="43" s="1"/>
  <c r="CG55" i="43" s="1"/>
  <c r="I55" i="43"/>
  <c r="O55" i="43" s="1"/>
  <c r="AI54" i="43"/>
  <c r="AM54" i="43" s="1"/>
  <c r="AS54" i="43" s="1"/>
  <c r="AW54" i="43" s="1"/>
  <c r="BC54" i="43" s="1"/>
  <c r="BG54" i="43" s="1"/>
  <c r="BM54" i="43" s="1"/>
  <c r="BQ54" i="43" s="1"/>
  <c r="T54" i="43"/>
  <c r="X54" i="43" s="1"/>
  <c r="AD54" i="43" s="1"/>
  <c r="AH54" i="43" s="1"/>
  <c r="AN54" i="43" s="1"/>
  <c r="AR54" i="43" s="1"/>
  <c r="AX54" i="43" s="1"/>
  <c r="BB54" i="43" s="1"/>
  <c r="BH54" i="43" s="1"/>
  <c r="BL54" i="43" s="1"/>
  <c r="BR54" i="43" s="1"/>
  <c r="BV54" i="43" s="1"/>
  <c r="BZ54" i="43" s="1"/>
  <c r="CD54" i="43" s="1"/>
  <c r="CG54" i="43" s="1"/>
  <c r="N54" i="43"/>
  <c r="I54" i="43"/>
  <c r="O54" i="43" s="1"/>
  <c r="S54" i="43" s="1"/>
  <c r="Y54" i="43" s="1"/>
  <c r="AC54" i="43" s="1"/>
  <c r="AS53" i="43"/>
  <c r="AW53" i="43" s="1"/>
  <c r="BC53" i="43" s="1"/>
  <c r="BG53" i="43" s="1"/>
  <c r="BM53" i="43" s="1"/>
  <c r="BQ53" i="43" s="1"/>
  <c r="AR53" i="43"/>
  <c r="AX53" i="43" s="1"/>
  <c r="BB53" i="43" s="1"/>
  <c r="BH53" i="43" s="1"/>
  <c r="BL53" i="43" s="1"/>
  <c r="BR53" i="43" s="1"/>
  <c r="BV53" i="43" s="1"/>
  <c r="BZ53" i="43" s="1"/>
  <c r="CD53" i="43" s="1"/>
  <c r="CG53" i="43" s="1"/>
  <c r="Y53" i="43"/>
  <c r="AC53" i="43" s="1"/>
  <c r="AI53" i="43" s="1"/>
  <c r="AM53" i="43" s="1"/>
  <c r="S53" i="43"/>
  <c r="N53" i="43"/>
  <c r="T53" i="43" s="1"/>
  <c r="X53" i="43" s="1"/>
  <c r="AD53" i="43" s="1"/>
  <c r="AH53" i="43" s="1"/>
  <c r="AN53" i="43" s="1"/>
  <c r="I53" i="43"/>
  <c r="O53" i="43" s="1"/>
  <c r="BB52" i="43"/>
  <c r="BH52" i="43" s="1"/>
  <c r="BL52" i="43" s="1"/>
  <c r="BR52" i="43" s="1"/>
  <c r="BV52" i="43" s="1"/>
  <c r="BZ52" i="43" s="1"/>
  <c r="CD52" i="43" s="1"/>
  <c r="CG52" i="43" s="1"/>
  <c r="T52" i="43"/>
  <c r="X52" i="43" s="1"/>
  <c r="AD52" i="43" s="1"/>
  <c r="AH52" i="43" s="1"/>
  <c r="AN52" i="43" s="1"/>
  <c r="AR52" i="43" s="1"/>
  <c r="AX52" i="43" s="1"/>
  <c r="N52" i="43"/>
  <c r="I52" i="43"/>
  <c r="O52" i="43" s="1"/>
  <c r="S52" i="43" s="1"/>
  <c r="Y52" i="43" s="1"/>
  <c r="AC52" i="43" s="1"/>
  <c r="AI52" i="43" s="1"/>
  <c r="AM52" i="43" s="1"/>
  <c r="AS52" i="43" s="1"/>
  <c r="AW52" i="43" s="1"/>
  <c r="BC52" i="43" s="1"/>
  <c r="BG52" i="43" s="1"/>
  <c r="BM52" i="43" s="1"/>
  <c r="BQ52" i="43" s="1"/>
  <c r="AM51" i="43"/>
  <c r="AS51" i="43" s="1"/>
  <c r="AW51" i="43" s="1"/>
  <c r="BC51" i="43" s="1"/>
  <c r="BG51" i="43" s="1"/>
  <c r="BM51" i="43" s="1"/>
  <c r="BQ51" i="43" s="1"/>
  <c r="AI51" i="43"/>
  <c r="T51" i="43"/>
  <c r="X51" i="43" s="1"/>
  <c r="AD51" i="43" s="1"/>
  <c r="AH51" i="43" s="1"/>
  <c r="AN51" i="43" s="1"/>
  <c r="AR51" i="43" s="1"/>
  <c r="AX51" i="43" s="1"/>
  <c r="BB51" i="43" s="1"/>
  <c r="BH51" i="43" s="1"/>
  <c r="BL51" i="43" s="1"/>
  <c r="BR51" i="43" s="1"/>
  <c r="BV51" i="43" s="1"/>
  <c r="BZ51" i="43" s="1"/>
  <c r="CD51" i="43" s="1"/>
  <c r="CG51" i="43" s="1"/>
  <c r="O51" i="43"/>
  <c r="S51" i="43" s="1"/>
  <c r="Y51" i="43" s="1"/>
  <c r="AC51" i="43" s="1"/>
  <c r="N51" i="43"/>
  <c r="I51" i="43"/>
  <c r="BG50" i="43"/>
  <c r="BM50" i="43" s="1"/>
  <c r="BQ50" i="43" s="1"/>
  <c r="Y50" i="43"/>
  <c r="AC50" i="43" s="1"/>
  <c r="AI50" i="43" s="1"/>
  <c r="AM50" i="43" s="1"/>
  <c r="AS50" i="43" s="1"/>
  <c r="AW50" i="43" s="1"/>
  <c r="BC50" i="43" s="1"/>
  <c r="O50" i="43"/>
  <c r="S50" i="43" s="1"/>
  <c r="N50" i="43"/>
  <c r="T50" i="43" s="1"/>
  <c r="X50" i="43" s="1"/>
  <c r="AD50" i="43" s="1"/>
  <c r="AH50" i="43" s="1"/>
  <c r="AN50" i="43" s="1"/>
  <c r="AR50" i="43" s="1"/>
  <c r="AX50" i="43" s="1"/>
  <c r="BB50" i="43" s="1"/>
  <c r="BH50" i="43" s="1"/>
  <c r="BL50" i="43" s="1"/>
  <c r="BR50" i="43" s="1"/>
  <c r="BV50" i="43" s="1"/>
  <c r="BZ50" i="43" s="1"/>
  <c r="CD50" i="43" s="1"/>
  <c r="CG50" i="43" s="1"/>
  <c r="I50" i="43"/>
  <c r="AR49" i="43"/>
  <c r="AX49" i="43" s="1"/>
  <c r="BB49" i="43" s="1"/>
  <c r="BH49" i="43" s="1"/>
  <c r="BL49" i="43" s="1"/>
  <c r="BR49" i="43" s="1"/>
  <c r="BV49" i="43" s="1"/>
  <c r="BZ49" i="43" s="1"/>
  <c r="CD49" i="43" s="1"/>
  <c r="CG49" i="43" s="1"/>
  <c r="AN49" i="43"/>
  <c r="Y49" i="43"/>
  <c r="AC49" i="43" s="1"/>
  <c r="AI49" i="43" s="1"/>
  <c r="AM49" i="43" s="1"/>
  <c r="AS49" i="43" s="1"/>
  <c r="AW49" i="43" s="1"/>
  <c r="BC49" i="43" s="1"/>
  <c r="BG49" i="43" s="1"/>
  <c r="BM49" i="43" s="1"/>
  <c r="BQ49" i="43" s="1"/>
  <c r="T49" i="43"/>
  <c r="X49" i="43" s="1"/>
  <c r="AD49" i="43" s="1"/>
  <c r="AH49" i="43" s="1"/>
  <c r="S49" i="43"/>
  <c r="O49" i="43"/>
  <c r="N49" i="43"/>
  <c r="I49" i="43"/>
  <c r="N48" i="43"/>
  <c r="I48" i="43"/>
  <c r="CJ45" i="43"/>
  <c r="CF45" i="43"/>
  <c r="CE45" i="43"/>
  <c r="CE44" i="43" s="1"/>
  <c r="CB45" i="43"/>
  <c r="CA45" i="43"/>
  <c r="BX45" i="43"/>
  <c r="BW45" i="43"/>
  <c r="BW44" i="43" s="1"/>
  <c r="BV45" i="43"/>
  <c r="BU45" i="43"/>
  <c r="BT45" i="43"/>
  <c r="BS45" i="43"/>
  <c r="BP45" i="43"/>
  <c r="BO45" i="43"/>
  <c r="BN45" i="43"/>
  <c r="BK45" i="43"/>
  <c r="BJ45" i="43"/>
  <c r="BI45" i="43"/>
  <c r="BF45" i="43"/>
  <c r="BE45" i="43"/>
  <c r="BD45" i="43"/>
  <c r="BA45" i="43"/>
  <c r="AZ45" i="43"/>
  <c r="AY45" i="43"/>
  <c r="AV45" i="43"/>
  <c r="AU45" i="43"/>
  <c r="AT45" i="43"/>
  <c r="AQ45" i="43"/>
  <c r="AP45" i="43"/>
  <c r="AO45" i="43"/>
  <c r="AL45" i="43"/>
  <c r="AK45" i="43"/>
  <c r="AJ45" i="43"/>
  <c r="AG45" i="43"/>
  <c r="AF45" i="43"/>
  <c r="AE45" i="43"/>
  <c r="AB45" i="43"/>
  <c r="AA45" i="43"/>
  <c r="Z45" i="43"/>
  <c r="W45" i="43"/>
  <c r="V45" i="43"/>
  <c r="U45" i="43"/>
  <c r="R45" i="43"/>
  <c r="Q45" i="43"/>
  <c r="P45" i="43"/>
  <c r="N45" i="43"/>
  <c r="M45" i="43"/>
  <c r="L45" i="43"/>
  <c r="K45" i="43"/>
  <c r="J45" i="43"/>
  <c r="H45" i="43"/>
  <c r="G45" i="43"/>
  <c r="F45" i="43"/>
  <c r="E45" i="43"/>
  <c r="C45" i="43"/>
  <c r="CJ44" i="43"/>
  <c r="CB44" i="43"/>
  <c r="CA44" i="43"/>
  <c r="BU44" i="43"/>
  <c r="BT44" i="43"/>
  <c r="BS44" i="43"/>
  <c r="BK44" i="43"/>
  <c r="BF44" i="43"/>
  <c r="BE44" i="43"/>
  <c r="BD44" i="43"/>
  <c r="AV44" i="43"/>
  <c r="AU44" i="43"/>
  <c r="AQ44" i="43"/>
  <c r="AO44" i="43"/>
  <c r="AG44" i="43"/>
  <c r="AF44" i="43"/>
  <c r="AE44" i="43"/>
  <c r="W44" i="43"/>
  <c r="R44" i="43"/>
  <c r="Q44" i="43"/>
  <c r="G44" i="43"/>
  <c r="CF43" i="43"/>
  <c r="CF44" i="43" s="1"/>
  <c r="CE43" i="43"/>
  <c r="CB43" i="43"/>
  <c r="CA43" i="43"/>
  <c r="BX43" i="43"/>
  <c r="BX44" i="43" s="1"/>
  <c r="BW43" i="43"/>
  <c r="BV43" i="43"/>
  <c r="BV44" i="43" s="1"/>
  <c r="BU43" i="43"/>
  <c r="BT43" i="43"/>
  <c r="BS43" i="43"/>
  <c r="BP43" i="43"/>
  <c r="BO43" i="43"/>
  <c r="BO89" i="43" s="1"/>
  <c r="BN43" i="43"/>
  <c r="BN89" i="43" s="1"/>
  <c r="BK43" i="43"/>
  <c r="BK89" i="43" s="1"/>
  <c r="BJ43" i="43"/>
  <c r="BI43" i="43"/>
  <c r="BF43" i="43"/>
  <c r="BE43" i="43"/>
  <c r="BD43" i="43"/>
  <c r="BD89" i="43" s="1"/>
  <c r="BA43" i="43"/>
  <c r="AZ43" i="43"/>
  <c r="AY43" i="43"/>
  <c r="AV43" i="43"/>
  <c r="AU43" i="43"/>
  <c r="AU89" i="43" s="1"/>
  <c r="AT43" i="43"/>
  <c r="AT44" i="43" s="1"/>
  <c r="AQ43" i="43"/>
  <c r="AQ89" i="43" s="1"/>
  <c r="AP43" i="43"/>
  <c r="AP89" i="43" s="1"/>
  <c r="AO43" i="43"/>
  <c r="AO89" i="43" s="1"/>
  <c r="AL43" i="43"/>
  <c r="AK43" i="43"/>
  <c r="AK44" i="43" s="1"/>
  <c r="AJ43" i="43"/>
  <c r="AJ44" i="43" s="1"/>
  <c r="AG43" i="43"/>
  <c r="AF43" i="43"/>
  <c r="AE43" i="43"/>
  <c r="AB43" i="43"/>
  <c r="AB44" i="43" s="1"/>
  <c r="AA43" i="43"/>
  <c r="AA44" i="43" s="1"/>
  <c r="Z43" i="43"/>
  <c r="Z89" i="43" s="1"/>
  <c r="W43" i="43"/>
  <c r="V43" i="43"/>
  <c r="U43" i="43"/>
  <c r="R43" i="43"/>
  <c r="Q43" i="43"/>
  <c r="P43" i="43"/>
  <c r="P44" i="43" s="1"/>
  <c r="N43" i="43"/>
  <c r="N44" i="43" s="1"/>
  <c r="M43" i="43"/>
  <c r="M44" i="43" s="1"/>
  <c r="L43" i="43"/>
  <c r="L44" i="43" s="1"/>
  <c r="K43" i="43"/>
  <c r="J43" i="43"/>
  <c r="J44" i="43" s="1"/>
  <c r="H43" i="43"/>
  <c r="H44" i="43" s="1"/>
  <c r="G43" i="43"/>
  <c r="F43" i="43"/>
  <c r="E43" i="43"/>
  <c r="E44" i="43" s="1"/>
  <c r="CH40" i="43"/>
  <c r="X40" i="43"/>
  <c r="AD40" i="43" s="1"/>
  <c r="AH40" i="43" s="1"/>
  <c r="AN40" i="43" s="1"/>
  <c r="AR40" i="43" s="1"/>
  <c r="AX40" i="43" s="1"/>
  <c r="BB40" i="43" s="1"/>
  <c r="BH40" i="43" s="1"/>
  <c r="N40" i="43"/>
  <c r="T40" i="43" s="1"/>
  <c r="I40" i="43"/>
  <c r="O40" i="43" s="1"/>
  <c r="S40" i="43" s="1"/>
  <c r="Y40" i="43" s="1"/>
  <c r="AC40" i="43" s="1"/>
  <c r="AI40" i="43" s="1"/>
  <c r="AM40" i="43" s="1"/>
  <c r="AS40" i="43" s="1"/>
  <c r="AW40" i="43" s="1"/>
  <c r="BC40" i="43" s="1"/>
  <c r="CH39" i="43"/>
  <c r="AR39" i="43"/>
  <c r="AX39" i="43" s="1"/>
  <c r="BB39" i="43" s="1"/>
  <c r="BH39" i="43" s="1"/>
  <c r="AM39" i="43"/>
  <c r="AS39" i="43" s="1"/>
  <c r="AW39" i="43" s="1"/>
  <c r="BC39" i="43" s="1"/>
  <c r="X39" i="43"/>
  <c r="AD39" i="43" s="1"/>
  <c r="AH39" i="43" s="1"/>
  <c r="AN39" i="43" s="1"/>
  <c r="N39" i="43"/>
  <c r="T39" i="43" s="1"/>
  <c r="I39" i="43"/>
  <c r="O39" i="43" s="1"/>
  <c r="S39" i="43" s="1"/>
  <c r="Y39" i="43" s="1"/>
  <c r="AC39" i="43" s="1"/>
  <c r="AI39" i="43" s="1"/>
  <c r="CH38" i="43"/>
  <c r="N38" i="43"/>
  <c r="T38" i="43" s="1"/>
  <c r="X38" i="43" s="1"/>
  <c r="AD38" i="43" s="1"/>
  <c r="AH38" i="43" s="1"/>
  <c r="AN38" i="43" s="1"/>
  <c r="AR38" i="43" s="1"/>
  <c r="AX38" i="43" s="1"/>
  <c r="BB38" i="43" s="1"/>
  <c r="BH38" i="43" s="1"/>
  <c r="I38" i="43"/>
  <c r="O38" i="43" s="1"/>
  <c r="S38" i="43" s="1"/>
  <c r="Y38" i="43" s="1"/>
  <c r="AC38" i="43" s="1"/>
  <c r="AI38" i="43" s="1"/>
  <c r="AM38" i="43" s="1"/>
  <c r="AS38" i="43" s="1"/>
  <c r="AW38" i="43" s="1"/>
  <c r="BC38" i="43" s="1"/>
  <c r="CH37" i="43"/>
  <c r="X37" i="43"/>
  <c r="AD37" i="43" s="1"/>
  <c r="AH37" i="43" s="1"/>
  <c r="AN37" i="43" s="1"/>
  <c r="AR37" i="43" s="1"/>
  <c r="AX37" i="43" s="1"/>
  <c r="BB37" i="43" s="1"/>
  <c r="BH37" i="43" s="1"/>
  <c r="N37" i="43"/>
  <c r="T37" i="43" s="1"/>
  <c r="I37" i="43"/>
  <c r="O37" i="43" s="1"/>
  <c r="S37" i="43" s="1"/>
  <c r="Y37" i="43" s="1"/>
  <c r="AC37" i="43" s="1"/>
  <c r="AI37" i="43" s="1"/>
  <c r="AM37" i="43" s="1"/>
  <c r="AS37" i="43" s="1"/>
  <c r="AW37" i="43" s="1"/>
  <c r="BC37" i="43" s="1"/>
  <c r="CH36" i="43"/>
  <c r="X36" i="43"/>
  <c r="AD36" i="43" s="1"/>
  <c r="AH36" i="43" s="1"/>
  <c r="AN36" i="43" s="1"/>
  <c r="AR36" i="43" s="1"/>
  <c r="AX36" i="43" s="1"/>
  <c r="BB36" i="43" s="1"/>
  <c r="BH36" i="43" s="1"/>
  <c r="N36" i="43"/>
  <c r="T36" i="43" s="1"/>
  <c r="I36" i="43"/>
  <c r="O36" i="43" s="1"/>
  <c r="S36" i="43" s="1"/>
  <c r="Y36" i="43" s="1"/>
  <c r="AC36" i="43" s="1"/>
  <c r="AI36" i="43" s="1"/>
  <c r="AM36" i="43" s="1"/>
  <c r="AS36" i="43" s="1"/>
  <c r="AW36" i="43" s="1"/>
  <c r="BC36" i="43" s="1"/>
  <c r="CH35" i="43"/>
  <c r="AR35" i="43"/>
  <c r="AX35" i="43" s="1"/>
  <c r="BB35" i="43" s="1"/>
  <c r="BH35" i="43" s="1"/>
  <c r="AM35" i="43"/>
  <c r="AS35" i="43" s="1"/>
  <c r="AW35" i="43" s="1"/>
  <c r="BC35" i="43" s="1"/>
  <c r="X35" i="43"/>
  <c r="AD35" i="43" s="1"/>
  <c r="AH35" i="43" s="1"/>
  <c r="AN35" i="43" s="1"/>
  <c r="O35" i="43"/>
  <c r="S35" i="43" s="1"/>
  <c r="Y35" i="43" s="1"/>
  <c r="AC35" i="43" s="1"/>
  <c r="AI35" i="43" s="1"/>
  <c r="N35" i="43"/>
  <c r="T35" i="43" s="1"/>
  <c r="I35" i="43"/>
  <c r="CH34" i="43"/>
  <c r="AD34" i="43"/>
  <c r="AH34" i="43" s="1"/>
  <c r="AN34" i="43" s="1"/>
  <c r="AR34" i="43" s="1"/>
  <c r="AX34" i="43" s="1"/>
  <c r="BB34" i="43" s="1"/>
  <c r="BH34" i="43" s="1"/>
  <c r="S34" i="43"/>
  <c r="Y34" i="43" s="1"/>
  <c r="AC34" i="43" s="1"/>
  <c r="AI34" i="43" s="1"/>
  <c r="AM34" i="43" s="1"/>
  <c r="AS34" i="43" s="1"/>
  <c r="AW34" i="43" s="1"/>
  <c r="BC34" i="43" s="1"/>
  <c r="N34" i="43"/>
  <c r="T34" i="43" s="1"/>
  <c r="X34" i="43" s="1"/>
  <c r="I34" i="43"/>
  <c r="O34" i="43" s="1"/>
  <c r="CH33" i="43"/>
  <c r="AH33" i="43"/>
  <c r="AN33" i="43" s="1"/>
  <c r="AR33" i="43" s="1"/>
  <c r="AX33" i="43" s="1"/>
  <c r="BB33" i="43" s="1"/>
  <c r="BH33" i="43" s="1"/>
  <c r="AD33" i="43"/>
  <c r="N33" i="43"/>
  <c r="T33" i="43" s="1"/>
  <c r="X33" i="43" s="1"/>
  <c r="I33" i="43"/>
  <c r="O33" i="43" s="1"/>
  <c r="S33" i="43" s="1"/>
  <c r="Y33" i="43" s="1"/>
  <c r="AC33" i="43" s="1"/>
  <c r="AI33" i="43" s="1"/>
  <c r="AM33" i="43" s="1"/>
  <c r="AS33" i="43" s="1"/>
  <c r="AW33" i="43" s="1"/>
  <c r="BC33" i="43" s="1"/>
  <c r="N32" i="43"/>
  <c r="T32" i="43" s="1"/>
  <c r="I32" i="43"/>
  <c r="S31" i="43"/>
  <c r="Y31" i="43" s="1"/>
  <c r="AC31" i="43" s="1"/>
  <c r="AI31" i="43" s="1"/>
  <c r="AM31" i="43" s="1"/>
  <c r="AS31" i="43" s="1"/>
  <c r="AW31" i="43" s="1"/>
  <c r="BC31" i="43" s="1"/>
  <c r="N31" i="43"/>
  <c r="T31" i="43" s="1"/>
  <c r="X31" i="43" s="1"/>
  <c r="AD31" i="43" s="1"/>
  <c r="AH31" i="43" s="1"/>
  <c r="AN31" i="43" s="1"/>
  <c r="AR31" i="43" s="1"/>
  <c r="AX31" i="43" s="1"/>
  <c r="BB31" i="43" s="1"/>
  <c r="BH31" i="43" s="1"/>
  <c r="I31" i="43"/>
  <c r="O31" i="43" s="1"/>
  <c r="X30" i="43"/>
  <c r="AD30" i="43" s="1"/>
  <c r="AH30" i="43" s="1"/>
  <c r="AN30" i="43" s="1"/>
  <c r="AR30" i="43" s="1"/>
  <c r="AX30" i="43" s="1"/>
  <c r="BB30" i="43" s="1"/>
  <c r="BH30" i="43" s="1"/>
  <c r="O30" i="43"/>
  <c r="S30" i="43" s="1"/>
  <c r="Y30" i="43" s="1"/>
  <c r="AC30" i="43" s="1"/>
  <c r="AI30" i="43" s="1"/>
  <c r="AM30" i="43" s="1"/>
  <c r="AS30" i="43" s="1"/>
  <c r="AW30" i="43" s="1"/>
  <c r="BC30" i="43" s="1"/>
  <c r="N30" i="43"/>
  <c r="T30" i="43" s="1"/>
  <c r="I30" i="43"/>
  <c r="N29" i="43"/>
  <c r="T29" i="43" s="1"/>
  <c r="X29" i="43" s="1"/>
  <c r="AD29" i="43" s="1"/>
  <c r="AH29" i="43" s="1"/>
  <c r="AN29" i="43" s="1"/>
  <c r="AR29" i="43" s="1"/>
  <c r="AX29" i="43" s="1"/>
  <c r="BB29" i="43" s="1"/>
  <c r="BH29" i="43" s="1"/>
  <c r="I29" i="43"/>
  <c r="O29" i="43" s="1"/>
  <c r="S29" i="43" s="1"/>
  <c r="Y29" i="43" s="1"/>
  <c r="AC29" i="43" s="1"/>
  <c r="AI29" i="43" s="1"/>
  <c r="AM29" i="43" s="1"/>
  <c r="AS29" i="43" s="1"/>
  <c r="AW29" i="43" s="1"/>
  <c r="BC29" i="43" s="1"/>
  <c r="AX28" i="43"/>
  <c r="BB28" i="43" s="1"/>
  <c r="BH28" i="43" s="1"/>
  <c r="AS28" i="43"/>
  <c r="AW28" i="43" s="1"/>
  <c r="BC28" i="43" s="1"/>
  <c r="AX27" i="43"/>
  <c r="BB27" i="43" s="1"/>
  <c r="BH27" i="43" s="1"/>
  <c r="AW27" i="43"/>
  <c r="BC27" i="43" s="1"/>
  <c r="AS27" i="43"/>
  <c r="S26" i="43"/>
  <c r="Y26" i="43" s="1"/>
  <c r="AC26" i="43" s="1"/>
  <c r="AI26" i="43" s="1"/>
  <c r="AM26" i="43" s="1"/>
  <c r="AS26" i="43" s="1"/>
  <c r="AW26" i="43" s="1"/>
  <c r="BC26" i="43" s="1"/>
  <c r="O26" i="43"/>
  <c r="N26" i="43"/>
  <c r="T26" i="43" s="1"/>
  <c r="X26" i="43" s="1"/>
  <c r="AD26" i="43" s="1"/>
  <c r="AH26" i="43" s="1"/>
  <c r="AN26" i="43" s="1"/>
  <c r="AR26" i="43" s="1"/>
  <c r="AX26" i="43" s="1"/>
  <c r="BB26" i="43" s="1"/>
  <c r="BH26" i="43" s="1"/>
  <c r="I26" i="43"/>
  <c r="AI25" i="43"/>
  <c r="AM25" i="43" s="1"/>
  <c r="AS25" i="43" s="1"/>
  <c r="AW25" i="43" s="1"/>
  <c r="BC25" i="43" s="1"/>
  <c r="AD25" i="43"/>
  <c r="AH25" i="43" s="1"/>
  <c r="AN25" i="43" s="1"/>
  <c r="AR25" i="43" s="1"/>
  <c r="AX25" i="43" s="1"/>
  <c r="BB25" i="43" s="1"/>
  <c r="BH25" i="43" s="1"/>
  <c r="Y25" i="43"/>
  <c r="AC25" i="43" s="1"/>
  <c r="T24" i="43"/>
  <c r="N24" i="43"/>
  <c r="I24" i="43"/>
  <c r="W20" i="43"/>
  <c r="U20" i="43"/>
  <c r="S20" i="43"/>
  <c r="O20" i="43"/>
  <c r="N20" i="43"/>
  <c r="M20" i="43"/>
  <c r="L20" i="43"/>
  <c r="K20" i="43"/>
  <c r="J20" i="43"/>
  <c r="I20" i="43"/>
  <c r="H20" i="43"/>
  <c r="G20" i="43"/>
  <c r="F20" i="43"/>
  <c r="E20" i="43"/>
  <c r="Y19" i="43"/>
  <c r="AH20" i="43" s="1"/>
  <c r="O19" i="43"/>
  <c r="R20" i="43" s="1"/>
  <c r="CB49" i="44"/>
  <c r="CA49" i="44"/>
  <c r="BX49" i="44"/>
  <c r="BW49" i="44"/>
  <c r="BK49" i="44"/>
  <c r="BJ49" i="44"/>
  <c r="BI49" i="44"/>
  <c r="BF49" i="44"/>
  <c r="BE49" i="44"/>
  <c r="BD49" i="44"/>
  <c r="BA49" i="44"/>
  <c r="AZ49" i="44"/>
  <c r="AZ48" i="44" s="1"/>
  <c r="AY49" i="44"/>
  <c r="AY48" i="44" s="1"/>
  <c r="AV49" i="44"/>
  <c r="AU49" i="44"/>
  <c r="AT49" i="44"/>
  <c r="AQ49" i="44"/>
  <c r="AQ48" i="44" s="1"/>
  <c r="AP49" i="44"/>
  <c r="AO49" i="44"/>
  <c r="AL49" i="44"/>
  <c r="AK49" i="44"/>
  <c r="AJ49" i="44"/>
  <c r="AJ48" i="44" s="1"/>
  <c r="AG49" i="44"/>
  <c r="AF49" i="44"/>
  <c r="AE49" i="44"/>
  <c r="AB49" i="44"/>
  <c r="AB48" i="44" s="1"/>
  <c r="AA49" i="44"/>
  <c r="AA48" i="44" s="1"/>
  <c r="Z49" i="44"/>
  <c r="W49" i="44"/>
  <c r="V49" i="44"/>
  <c r="U49" i="44"/>
  <c r="R49" i="44"/>
  <c r="Q49" i="44"/>
  <c r="P49" i="44"/>
  <c r="M49" i="44"/>
  <c r="L49" i="44"/>
  <c r="L48" i="44" s="1"/>
  <c r="K49" i="44"/>
  <c r="K48" i="44" s="1"/>
  <c r="J49" i="44"/>
  <c r="H49" i="44"/>
  <c r="G49" i="44"/>
  <c r="F49" i="44"/>
  <c r="E49" i="44"/>
  <c r="CB48" i="44"/>
  <c r="CA48" i="44"/>
  <c r="BK48" i="44"/>
  <c r="BJ48" i="44"/>
  <c r="BI48" i="44"/>
  <c r="BA48" i="44"/>
  <c r="AU48" i="44"/>
  <c r="AT48" i="44"/>
  <c r="AL48" i="44"/>
  <c r="AK48" i="44"/>
  <c r="AE48" i="44"/>
  <c r="W48" i="44"/>
  <c r="V48" i="44"/>
  <c r="U48" i="44"/>
  <c r="M48" i="44"/>
  <c r="G48" i="44"/>
  <c r="F48" i="44"/>
  <c r="E48" i="44"/>
  <c r="CB47" i="44"/>
  <c r="CA47" i="44"/>
  <c r="BX47" i="44"/>
  <c r="BX48" i="44" s="1"/>
  <c r="BW47" i="44"/>
  <c r="BW48" i="44" s="1"/>
  <c r="BK47" i="44"/>
  <c r="BJ47" i="44"/>
  <c r="BI47" i="44"/>
  <c r="BF47" i="44"/>
  <c r="BF48" i="44" s="1"/>
  <c r="BE47" i="44"/>
  <c r="BE48" i="44" s="1"/>
  <c r="BD47" i="44"/>
  <c r="BD48" i="44" s="1"/>
  <c r="BA47" i="44"/>
  <c r="AZ47" i="44"/>
  <c r="AY47" i="44"/>
  <c r="AV47" i="44"/>
  <c r="AV48" i="44" s="1"/>
  <c r="AU47" i="44"/>
  <c r="AT47" i="44"/>
  <c r="AQ47" i="44"/>
  <c r="AP47" i="44"/>
  <c r="AP48" i="44" s="1"/>
  <c r="AO47" i="44"/>
  <c r="AO48" i="44" s="1"/>
  <c r="AL47" i="44"/>
  <c r="AK47" i="44"/>
  <c r="AJ47" i="44"/>
  <c r="AG47" i="44"/>
  <c r="AG48" i="44" s="1"/>
  <c r="AF47" i="44"/>
  <c r="AF48" i="44" s="1"/>
  <c r="AE47" i="44"/>
  <c r="AB47" i="44"/>
  <c r="AA47" i="44"/>
  <c r="Z47" i="44"/>
  <c r="Z48" i="44" s="1"/>
  <c r="W47" i="44"/>
  <c r="V47" i="44"/>
  <c r="U47" i="44"/>
  <c r="R47" i="44"/>
  <c r="R48" i="44" s="1"/>
  <c r="Q47" i="44"/>
  <c r="Q48" i="44" s="1"/>
  <c r="P47" i="44"/>
  <c r="P48" i="44" s="1"/>
  <c r="M47" i="44"/>
  <c r="L47" i="44"/>
  <c r="K47" i="44"/>
  <c r="J47" i="44"/>
  <c r="J48" i="44" s="1"/>
  <c r="H47" i="44"/>
  <c r="H48" i="44" s="1"/>
  <c r="G47" i="44"/>
  <c r="F47" i="44"/>
  <c r="E47" i="44"/>
  <c r="CF45" i="44"/>
  <c r="CB45" i="44"/>
  <c r="CA45" i="44"/>
  <c r="BX45" i="44"/>
  <c r="BW45" i="44"/>
  <c r="BU45" i="44"/>
  <c r="BT45" i="44"/>
  <c r="BS45" i="44"/>
  <c r="BP45" i="44"/>
  <c r="BO45" i="44"/>
  <c r="BN45" i="44"/>
  <c r="BK45" i="44"/>
  <c r="BJ45" i="44"/>
  <c r="BI45" i="44"/>
  <c r="BF45" i="44"/>
  <c r="BE45" i="44"/>
  <c r="BD45" i="44"/>
  <c r="BA45" i="44"/>
  <c r="AZ45" i="44"/>
  <c r="AY45" i="44"/>
  <c r="AV45" i="44"/>
  <c r="AU45" i="44"/>
  <c r="AT45" i="44"/>
  <c r="AQ45" i="44"/>
  <c r="AP45" i="44"/>
  <c r="AO45" i="44"/>
  <c r="AL45" i="44"/>
  <c r="AK45" i="44"/>
  <c r="AJ45" i="44"/>
  <c r="AG45" i="44"/>
  <c r="AF45" i="44"/>
  <c r="AE45" i="44"/>
  <c r="AB45" i="44"/>
  <c r="AA45" i="44"/>
  <c r="Z45" i="44"/>
  <c r="Z44" i="44" s="1"/>
  <c r="W45" i="44"/>
  <c r="V45" i="44"/>
  <c r="U45" i="44"/>
  <c r="R45" i="44"/>
  <c r="Q45" i="44"/>
  <c r="P45" i="44"/>
  <c r="M45" i="44"/>
  <c r="L45" i="44"/>
  <c r="K45" i="44"/>
  <c r="J45" i="44"/>
  <c r="I45" i="44"/>
  <c r="H45" i="44"/>
  <c r="G45" i="44"/>
  <c r="F45" i="44"/>
  <c r="E45" i="44"/>
  <c r="BN44" i="44"/>
  <c r="CF43" i="44"/>
  <c r="CF44" i="44" s="1"/>
  <c r="CB43" i="44"/>
  <c r="CB44" i="44" s="1"/>
  <c r="CA43" i="44"/>
  <c r="CA44" i="44" s="1"/>
  <c r="BX43" i="44"/>
  <c r="BX44" i="44" s="1"/>
  <c r="BW43" i="44"/>
  <c r="BW44" i="44" s="1"/>
  <c r="BU43" i="44"/>
  <c r="BU44" i="44" s="1"/>
  <c r="BT43" i="44"/>
  <c r="BT44" i="44" s="1"/>
  <c r="BS43" i="44"/>
  <c r="BS44" i="44" s="1"/>
  <c r="BP43" i="44"/>
  <c r="BP44" i="44" s="1"/>
  <c r="BO43" i="44"/>
  <c r="BO44" i="44" s="1"/>
  <c r="BN43" i="44"/>
  <c r="BK43" i="44"/>
  <c r="BK44" i="44" s="1"/>
  <c r="BJ43" i="44"/>
  <c r="BJ44" i="44" s="1"/>
  <c r="BI43" i="44"/>
  <c r="BI44" i="44" s="1"/>
  <c r="BF43" i="44"/>
  <c r="BF44" i="44" s="1"/>
  <c r="BE43" i="44"/>
  <c r="BE44" i="44" s="1"/>
  <c r="BD43" i="44"/>
  <c r="BD44" i="44" s="1"/>
  <c r="BA43" i="44"/>
  <c r="BA44" i="44" s="1"/>
  <c r="AZ43" i="44"/>
  <c r="AZ44" i="44" s="1"/>
  <c r="AY43" i="44"/>
  <c r="AY44" i="44" s="1"/>
  <c r="AV43" i="44"/>
  <c r="AV44" i="44" s="1"/>
  <c r="AU43" i="44"/>
  <c r="AU44" i="44" s="1"/>
  <c r="AT43" i="44"/>
  <c r="AT44" i="44" s="1"/>
  <c r="AQ43" i="44"/>
  <c r="AQ44" i="44" s="1"/>
  <c r="AP43" i="44"/>
  <c r="AP44" i="44" s="1"/>
  <c r="AO43" i="44"/>
  <c r="AO44" i="44" s="1"/>
  <c r="AL43" i="44"/>
  <c r="AL44" i="44" s="1"/>
  <c r="AK43" i="44"/>
  <c r="AK44" i="44" s="1"/>
  <c r="AJ43" i="44"/>
  <c r="AJ44" i="44" s="1"/>
  <c r="AG43" i="44"/>
  <c r="AG44" i="44" s="1"/>
  <c r="AF43" i="44"/>
  <c r="AF44" i="44" s="1"/>
  <c r="AE43" i="44"/>
  <c r="AE44" i="44" s="1"/>
  <c r="AB43" i="44"/>
  <c r="AB44" i="44" s="1"/>
  <c r="AA43" i="44"/>
  <c r="AA44" i="44" s="1"/>
  <c r="Z43" i="44"/>
  <c r="W43" i="44"/>
  <c r="W44" i="44" s="1"/>
  <c r="V43" i="44"/>
  <c r="V44" i="44" s="1"/>
  <c r="U43" i="44"/>
  <c r="U44" i="44" s="1"/>
  <c r="R43" i="44"/>
  <c r="R44" i="44" s="1"/>
  <c r="Q43" i="44"/>
  <c r="Q44" i="44" s="1"/>
  <c r="P43" i="44"/>
  <c r="P44" i="44" s="1"/>
  <c r="M43" i="44"/>
  <c r="M44" i="44" s="1"/>
  <c r="L43" i="44"/>
  <c r="L44" i="44" s="1"/>
  <c r="K43" i="44"/>
  <c r="K44" i="44" s="1"/>
  <c r="J43" i="44"/>
  <c r="J44" i="44" s="1"/>
  <c r="H43" i="44"/>
  <c r="H44" i="44" s="1"/>
  <c r="G43" i="44"/>
  <c r="G44" i="44" s="1"/>
  <c r="F43" i="44"/>
  <c r="F44" i="44" s="1"/>
  <c r="E43" i="44"/>
  <c r="E44" i="44" s="1"/>
  <c r="CD40" i="44"/>
  <c r="T40" i="44"/>
  <c r="X40" i="44" s="1"/>
  <c r="AD40" i="44" s="1"/>
  <c r="AH40" i="44" s="1"/>
  <c r="AN40" i="44" s="1"/>
  <c r="AR40" i="44" s="1"/>
  <c r="AX40" i="44" s="1"/>
  <c r="BB40" i="44" s="1"/>
  <c r="BH40" i="44" s="1"/>
  <c r="BL40" i="44" s="1"/>
  <c r="BR40" i="44" s="1"/>
  <c r="BV40" i="44" s="1"/>
  <c r="BZ40" i="44" s="1"/>
  <c r="CC40" i="44" s="1"/>
  <c r="S40" i="44"/>
  <c r="Y40" i="44" s="1"/>
  <c r="AC40" i="44" s="1"/>
  <c r="AI40" i="44" s="1"/>
  <c r="AM40" i="44" s="1"/>
  <c r="AS40" i="44" s="1"/>
  <c r="AW40" i="44" s="1"/>
  <c r="BC40" i="44" s="1"/>
  <c r="BG40" i="44" s="1"/>
  <c r="BM40" i="44" s="1"/>
  <c r="BQ40" i="44" s="1"/>
  <c r="O40" i="44"/>
  <c r="N40" i="44"/>
  <c r="I40" i="44"/>
  <c r="CD39" i="44"/>
  <c r="T39" i="44"/>
  <c r="X39" i="44" s="1"/>
  <c r="AD39" i="44" s="1"/>
  <c r="AH39" i="44" s="1"/>
  <c r="AN39" i="44" s="1"/>
  <c r="AR39" i="44" s="1"/>
  <c r="AX39" i="44" s="1"/>
  <c r="BB39" i="44" s="1"/>
  <c r="BH39" i="44" s="1"/>
  <c r="BL39" i="44" s="1"/>
  <c r="BR39" i="44" s="1"/>
  <c r="BV39" i="44" s="1"/>
  <c r="BZ39" i="44" s="1"/>
  <c r="CC39" i="44" s="1"/>
  <c r="S39" i="44"/>
  <c r="Y39" i="44" s="1"/>
  <c r="AC39" i="44" s="1"/>
  <c r="AI39" i="44" s="1"/>
  <c r="AM39" i="44" s="1"/>
  <c r="AS39" i="44" s="1"/>
  <c r="AW39" i="44" s="1"/>
  <c r="BC39" i="44" s="1"/>
  <c r="BG39" i="44" s="1"/>
  <c r="BM39" i="44" s="1"/>
  <c r="BQ39" i="44" s="1"/>
  <c r="O39" i="44"/>
  <c r="N39" i="44"/>
  <c r="I39" i="44"/>
  <c r="CD38" i="44"/>
  <c r="X38" i="44"/>
  <c r="AD38" i="44" s="1"/>
  <c r="AH38" i="44" s="1"/>
  <c r="AN38" i="44" s="1"/>
  <c r="AR38" i="44" s="1"/>
  <c r="AX38" i="44" s="1"/>
  <c r="BB38" i="44" s="1"/>
  <c r="BH38" i="44" s="1"/>
  <c r="BL38" i="44" s="1"/>
  <c r="BR38" i="44" s="1"/>
  <c r="BV38" i="44" s="1"/>
  <c r="BZ38" i="44" s="1"/>
  <c r="CC38" i="44" s="1"/>
  <c r="T38" i="44"/>
  <c r="S38" i="44"/>
  <c r="Y38" i="44" s="1"/>
  <c r="AC38" i="44" s="1"/>
  <c r="AI38" i="44" s="1"/>
  <c r="AM38" i="44" s="1"/>
  <c r="AS38" i="44" s="1"/>
  <c r="AW38" i="44" s="1"/>
  <c r="BC38" i="44" s="1"/>
  <c r="BG38" i="44" s="1"/>
  <c r="BM38" i="44" s="1"/>
  <c r="BQ38" i="44" s="1"/>
  <c r="O38" i="44"/>
  <c r="N38" i="44"/>
  <c r="I38" i="44"/>
  <c r="CD37" i="44"/>
  <c r="BG37" i="44"/>
  <c r="BM37" i="44" s="1"/>
  <c r="BQ37" i="44" s="1"/>
  <c r="AM37" i="44"/>
  <c r="AS37" i="44" s="1"/>
  <c r="AW37" i="44" s="1"/>
  <c r="BC37" i="44" s="1"/>
  <c r="T37" i="44"/>
  <c r="X37" i="44" s="1"/>
  <c r="AD37" i="44" s="1"/>
  <c r="AH37" i="44" s="1"/>
  <c r="AN37" i="44" s="1"/>
  <c r="AR37" i="44" s="1"/>
  <c r="AX37" i="44" s="1"/>
  <c r="BB37" i="44" s="1"/>
  <c r="BH37" i="44" s="1"/>
  <c r="BL37" i="44" s="1"/>
  <c r="BR37" i="44" s="1"/>
  <c r="BV37" i="44" s="1"/>
  <c r="BZ37" i="44" s="1"/>
  <c r="CC37" i="44" s="1"/>
  <c r="S37" i="44"/>
  <c r="Y37" i="44" s="1"/>
  <c r="AC37" i="44" s="1"/>
  <c r="AI37" i="44" s="1"/>
  <c r="O37" i="44"/>
  <c r="N37" i="44"/>
  <c r="I37" i="44"/>
  <c r="CD36" i="44"/>
  <c r="X36" i="44"/>
  <c r="AD36" i="44" s="1"/>
  <c r="AH36" i="44" s="1"/>
  <c r="AN36" i="44" s="1"/>
  <c r="AR36" i="44" s="1"/>
  <c r="AX36" i="44" s="1"/>
  <c r="BB36" i="44" s="1"/>
  <c r="BH36" i="44" s="1"/>
  <c r="BL36" i="44" s="1"/>
  <c r="BR36" i="44" s="1"/>
  <c r="BV36" i="44" s="1"/>
  <c r="BZ36" i="44" s="1"/>
  <c r="CC36" i="44" s="1"/>
  <c r="T36" i="44"/>
  <c r="S36" i="44"/>
  <c r="Y36" i="44" s="1"/>
  <c r="AC36" i="44" s="1"/>
  <c r="AI36" i="44" s="1"/>
  <c r="AM36" i="44" s="1"/>
  <c r="AS36" i="44" s="1"/>
  <c r="AW36" i="44" s="1"/>
  <c r="BC36" i="44" s="1"/>
  <c r="BG36" i="44" s="1"/>
  <c r="BM36" i="44" s="1"/>
  <c r="BQ36" i="44" s="1"/>
  <c r="O36" i="44"/>
  <c r="N36" i="44"/>
  <c r="I36" i="44"/>
  <c r="CD35" i="44"/>
  <c r="AM35" i="44"/>
  <c r="AS35" i="44" s="1"/>
  <c r="AW35" i="44" s="1"/>
  <c r="BC35" i="44" s="1"/>
  <c r="BG35" i="44" s="1"/>
  <c r="BM35" i="44" s="1"/>
  <c r="BQ35" i="44" s="1"/>
  <c r="T35" i="44"/>
  <c r="X35" i="44" s="1"/>
  <c r="AD35" i="44" s="1"/>
  <c r="AH35" i="44" s="1"/>
  <c r="AN35" i="44" s="1"/>
  <c r="AR35" i="44" s="1"/>
  <c r="AX35" i="44" s="1"/>
  <c r="BB35" i="44" s="1"/>
  <c r="BH35" i="44" s="1"/>
  <c r="BL35" i="44" s="1"/>
  <c r="BR35" i="44" s="1"/>
  <c r="BV35" i="44" s="1"/>
  <c r="BZ35" i="44" s="1"/>
  <c r="CC35" i="44" s="1"/>
  <c r="S35" i="44"/>
  <c r="Y35" i="44" s="1"/>
  <c r="AC35" i="44" s="1"/>
  <c r="AI35" i="44" s="1"/>
  <c r="O35" i="44"/>
  <c r="N35" i="44"/>
  <c r="I35" i="44"/>
  <c r="CD34" i="44"/>
  <c r="AM34" i="44"/>
  <c r="AS34" i="44" s="1"/>
  <c r="AW34" i="44" s="1"/>
  <c r="BC34" i="44" s="1"/>
  <c r="BG34" i="44" s="1"/>
  <c r="BM34" i="44" s="1"/>
  <c r="BQ34" i="44" s="1"/>
  <c r="X34" i="44"/>
  <c r="AD34" i="44" s="1"/>
  <c r="AH34" i="44" s="1"/>
  <c r="AN34" i="44" s="1"/>
  <c r="AR34" i="44" s="1"/>
  <c r="AX34" i="44" s="1"/>
  <c r="BB34" i="44" s="1"/>
  <c r="BH34" i="44" s="1"/>
  <c r="BL34" i="44" s="1"/>
  <c r="BR34" i="44" s="1"/>
  <c r="BV34" i="44" s="1"/>
  <c r="BZ34" i="44" s="1"/>
  <c r="CC34" i="44" s="1"/>
  <c r="T34" i="44"/>
  <c r="S34" i="44"/>
  <c r="Y34" i="44" s="1"/>
  <c r="AC34" i="44" s="1"/>
  <c r="AI34" i="44" s="1"/>
  <c r="O34" i="44"/>
  <c r="N34" i="44"/>
  <c r="I34" i="44"/>
  <c r="CD33" i="44"/>
  <c r="X33" i="44"/>
  <c r="AD33" i="44" s="1"/>
  <c r="AH33" i="44" s="1"/>
  <c r="AN33" i="44" s="1"/>
  <c r="AR33" i="44" s="1"/>
  <c r="AX33" i="44" s="1"/>
  <c r="BB33" i="44" s="1"/>
  <c r="BH33" i="44" s="1"/>
  <c r="BL33" i="44" s="1"/>
  <c r="BR33" i="44" s="1"/>
  <c r="BV33" i="44" s="1"/>
  <c r="BZ33" i="44" s="1"/>
  <c r="CC33" i="44" s="1"/>
  <c r="T33" i="44"/>
  <c r="O33" i="44"/>
  <c r="S33" i="44" s="1"/>
  <c r="Y33" i="44" s="1"/>
  <c r="AC33" i="44" s="1"/>
  <c r="AI33" i="44" s="1"/>
  <c r="AM33" i="44" s="1"/>
  <c r="AS33" i="44" s="1"/>
  <c r="AW33" i="44" s="1"/>
  <c r="BC33" i="44" s="1"/>
  <c r="BG33" i="44" s="1"/>
  <c r="BM33" i="44" s="1"/>
  <c r="BQ33" i="44" s="1"/>
  <c r="N33" i="44"/>
  <c r="I33" i="44"/>
  <c r="T32" i="44"/>
  <c r="T45" i="44" s="1"/>
  <c r="O32" i="44"/>
  <c r="N32" i="44"/>
  <c r="N49" i="44" s="1"/>
  <c r="I32" i="44"/>
  <c r="I49" i="44" s="1"/>
  <c r="T31" i="44"/>
  <c r="X31" i="44" s="1"/>
  <c r="AD31" i="44" s="1"/>
  <c r="AH31" i="44" s="1"/>
  <c r="AN31" i="44" s="1"/>
  <c r="AR31" i="44" s="1"/>
  <c r="AX31" i="44" s="1"/>
  <c r="BB31" i="44" s="1"/>
  <c r="BH31" i="44" s="1"/>
  <c r="BL31" i="44" s="1"/>
  <c r="BR31" i="44" s="1"/>
  <c r="BV31" i="44" s="1"/>
  <c r="BZ31" i="44" s="1"/>
  <c r="CC31" i="44" s="1"/>
  <c r="S31" i="44"/>
  <c r="Y31" i="44" s="1"/>
  <c r="AC31" i="44" s="1"/>
  <c r="AI31" i="44" s="1"/>
  <c r="AM31" i="44" s="1"/>
  <c r="AS31" i="44" s="1"/>
  <c r="AW31" i="44" s="1"/>
  <c r="BC31" i="44" s="1"/>
  <c r="BG31" i="44" s="1"/>
  <c r="BM31" i="44" s="1"/>
  <c r="BQ31" i="44" s="1"/>
  <c r="O31" i="44"/>
  <c r="N31" i="44"/>
  <c r="I31" i="44"/>
  <c r="O30" i="44"/>
  <c r="S30" i="44" s="1"/>
  <c r="Y30" i="44" s="1"/>
  <c r="AC30" i="44" s="1"/>
  <c r="AI30" i="44" s="1"/>
  <c r="AM30" i="44" s="1"/>
  <c r="AS30" i="44" s="1"/>
  <c r="AW30" i="44" s="1"/>
  <c r="BC30" i="44" s="1"/>
  <c r="BG30" i="44" s="1"/>
  <c r="BM30" i="44" s="1"/>
  <c r="BQ30" i="44" s="1"/>
  <c r="N30" i="44"/>
  <c r="T30" i="44" s="1"/>
  <c r="X30" i="44" s="1"/>
  <c r="AD30" i="44" s="1"/>
  <c r="AH30" i="44" s="1"/>
  <c r="AN30" i="44" s="1"/>
  <c r="AR30" i="44" s="1"/>
  <c r="AX30" i="44" s="1"/>
  <c r="BB30" i="44" s="1"/>
  <c r="BH30" i="44" s="1"/>
  <c r="BL30" i="44" s="1"/>
  <c r="BR30" i="44" s="1"/>
  <c r="BV30" i="44" s="1"/>
  <c r="BZ30" i="44" s="1"/>
  <c r="CC30" i="44" s="1"/>
  <c r="I30" i="44"/>
  <c r="O29" i="44"/>
  <c r="S29" i="44" s="1"/>
  <c r="Y29" i="44" s="1"/>
  <c r="AC29" i="44" s="1"/>
  <c r="AI29" i="44" s="1"/>
  <c r="AM29" i="44" s="1"/>
  <c r="AS29" i="44" s="1"/>
  <c r="AW29" i="44" s="1"/>
  <c r="BC29" i="44" s="1"/>
  <c r="BG29" i="44" s="1"/>
  <c r="BM29" i="44" s="1"/>
  <c r="BQ29" i="44" s="1"/>
  <c r="N29" i="44"/>
  <c r="T29" i="44" s="1"/>
  <c r="X29" i="44" s="1"/>
  <c r="AD29" i="44" s="1"/>
  <c r="AH29" i="44" s="1"/>
  <c r="AN29" i="44" s="1"/>
  <c r="AR29" i="44" s="1"/>
  <c r="AX29" i="44" s="1"/>
  <c r="BB29" i="44" s="1"/>
  <c r="BH29" i="44" s="1"/>
  <c r="BL29" i="44" s="1"/>
  <c r="BR29" i="44" s="1"/>
  <c r="BV29" i="44" s="1"/>
  <c r="BZ29" i="44" s="1"/>
  <c r="CC29" i="44" s="1"/>
  <c r="I29" i="44"/>
  <c r="O28" i="44"/>
  <c r="S28" i="44" s="1"/>
  <c r="Y28" i="44" s="1"/>
  <c r="AC28" i="44" s="1"/>
  <c r="AI28" i="44" s="1"/>
  <c r="AM28" i="44" s="1"/>
  <c r="AS28" i="44" s="1"/>
  <c r="AW28" i="44" s="1"/>
  <c r="BC28" i="44" s="1"/>
  <c r="BG28" i="44" s="1"/>
  <c r="BM28" i="44" s="1"/>
  <c r="BQ28" i="44" s="1"/>
  <c r="N28" i="44"/>
  <c r="T28" i="44" s="1"/>
  <c r="X28" i="44" s="1"/>
  <c r="AD28" i="44" s="1"/>
  <c r="AH28" i="44" s="1"/>
  <c r="AN28" i="44" s="1"/>
  <c r="AR28" i="44" s="1"/>
  <c r="AX28" i="44" s="1"/>
  <c r="BB28" i="44" s="1"/>
  <c r="BH28" i="44" s="1"/>
  <c r="BL28" i="44" s="1"/>
  <c r="BR28" i="44" s="1"/>
  <c r="BV28" i="44" s="1"/>
  <c r="BZ28" i="44" s="1"/>
  <c r="CC28" i="44" s="1"/>
  <c r="I28" i="44"/>
  <c r="Y27" i="44"/>
  <c r="AC27" i="44" s="1"/>
  <c r="AI27" i="44" s="1"/>
  <c r="AM27" i="44" s="1"/>
  <c r="AS27" i="44" s="1"/>
  <c r="AW27" i="44" s="1"/>
  <c r="BC27" i="44" s="1"/>
  <c r="BG27" i="44" s="1"/>
  <c r="BM27" i="44" s="1"/>
  <c r="BQ27" i="44" s="1"/>
  <c r="S27" i="44"/>
  <c r="O27" i="44"/>
  <c r="N27" i="44"/>
  <c r="T27" i="44" s="1"/>
  <c r="X27" i="44" s="1"/>
  <c r="AD27" i="44" s="1"/>
  <c r="AH27" i="44" s="1"/>
  <c r="AN27" i="44" s="1"/>
  <c r="AR27" i="44" s="1"/>
  <c r="AX27" i="44" s="1"/>
  <c r="BB27" i="44" s="1"/>
  <c r="BH27" i="44" s="1"/>
  <c r="BL27" i="44" s="1"/>
  <c r="BR27" i="44" s="1"/>
  <c r="BV27" i="44" s="1"/>
  <c r="BZ27" i="44" s="1"/>
  <c r="CC27" i="44" s="1"/>
  <c r="I27" i="44"/>
  <c r="X26" i="44"/>
  <c r="AD26" i="44" s="1"/>
  <c r="AH26" i="44" s="1"/>
  <c r="AN26" i="44" s="1"/>
  <c r="AR26" i="44" s="1"/>
  <c r="AX26" i="44" s="1"/>
  <c r="BB26" i="44" s="1"/>
  <c r="BH26" i="44" s="1"/>
  <c r="BL26" i="44" s="1"/>
  <c r="BR26" i="44" s="1"/>
  <c r="BV26" i="44" s="1"/>
  <c r="BZ26" i="44" s="1"/>
  <c r="CC26" i="44" s="1"/>
  <c r="T26" i="44"/>
  <c r="O26" i="44"/>
  <c r="S26" i="44" s="1"/>
  <c r="Y26" i="44" s="1"/>
  <c r="AC26" i="44" s="1"/>
  <c r="AI26" i="44" s="1"/>
  <c r="AM26" i="44" s="1"/>
  <c r="AS26" i="44" s="1"/>
  <c r="AW26" i="44" s="1"/>
  <c r="BC26" i="44" s="1"/>
  <c r="BG26" i="44" s="1"/>
  <c r="BM26" i="44" s="1"/>
  <c r="BQ26" i="44" s="1"/>
  <c r="N26" i="44"/>
  <c r="I26" i="44"/>
  <c r="X25" i="44"/>
  <c r="AD25" i="44" s="1"/>
  <c r="AH25" i="44" s="1"/>
  <c r="AN25" i="44" s="1"/>
  <c r="AR25" i="44" s="1"/>
  <c r="AX25" i="44" s="1"/>
  <c r="BB25" i="44" s="1"/>
  <c r="BH25" i="44" s="1"/>
  <c r="BL25" i="44" s="1"/>
  <c r="BR25" i="44" s="1"/>
  <c r="BV25" i="44" s="1"/>
  <c r="BZ25" i="44" s="1"/>
  <c r="CC25" i="44" s="1"/>
  <c r="T25" i="44"/>
  <c r="O25" i="44"/>
  <c r="S25" i="44" s="1"/>
  <c r="Y25" i="44" s="1"/>
  <c r="AC25" i="44" s="1"/>
  <c r="AI25" i="44" s="1"/>
  <c r="AM25" i="44" s="1"/>
  <c r="AS25" i="44" s="1"/>
  <c r="AW25" i="44" s="1"/>
  <c r="BC25" i="44" s="1"/>
  <c r="BG25" i="44" s="1"/>
  <c r="BM25" i="44" s="1"/>
  <c r="BQ25" i="44" s="1"/>
  <c r="N25" i="44"/>
  <c r="I25" i="44"/>
  <c r="X24" i="44"/>
  <c r="T24" i="44"/>
  <c r="N24" i="44"/>
  <c r="I24" i="44"/>
  <c r="I47" i="44" s="1"/>
  <c r="I48" i="44" s="1"/>
  <c r="CG20" i="44"/>
  <c r="CF20" i="44"/>
  <c r="N20" i="44"/>
  <c r="M20" i="44"/>
  <c r="L20" i="44"/>
  <c r="K20" i="44"/>
  <c r="J20" i="44"/>
  <c r="I20" i="44"/>
  <c r="H20" i="44"/>
  <c r="G20" i="44"/>
  <c r="F20" i="44"/>
  <c r="E20" i="44"/>
  <c r="CA19" i="44"/>
  <c r="BW19" i="44"/>
  <c r="BZ20" i="44" s="1"/>
  <c r="O19" i="44"/>
  <c r="T20" i="44" s="1"/>
  <c r="B5" i="42"/>
  <c r="B6" i="42" s="1"/>
  <c r="B7" i="42" s="1"/>
  <c r="B8" i="42" s="1"/>
  <c r="B9" i="42" s="1"/>
  <c r="B10" i="42" s="1"/>
  <c r="B11" i="42" s="1"/>
  <c r="B12" i="42" s="1"/>
  <c r="B13" i="42" s="1"/>
  <c r="B14" i="42" s="1"/>
  <c r="B15" i="42" s="1"/>
  <c r="B16" i="42" s="1"/>
  <c r="B17" i="42" s="1"/>
  <c r="B18" i="42" s="1"/>
  <c r="B19" i="42" s="1"/>
  <c r="B20" i="42" s="1"/>
  <c r="B21" i="42" s="1"/>
  <c r="B22" i="42" s="1"/>
  <c r="B23" i="42" s="1"/>
  <c r="B24" i="42" s="1"/>
  <c r="B25" i="42" s="1"/>
  <c r="B26" i="42" s="1"/>
  <c r="D84" i="41"/>
  <c r="Y82" i="41"/>
  <c r="X82" i="41"/>
  <c r="W82" i="41"/>
  <c r="V82" i="41"/>
  <c r="U82" i="41"/>
  <c r="T82" i="41"/>
  <c r="S82" i="41"/>
  <c r="R82" i="41"/>
  <c r="Q82" i="41"/>
  <c r="P82" i="41"/>
  <c r="O82" i="41"/>
  <c r="N82" i="41"/>
  <c r="M82" i="41"/>
  <c r="L82" i="41"/>
  <c r="K82" i="41"/>
  <c r="J82" i="41"/>
  <c r="I82" i="41"/>
  <c r="H82" i="41"/>
  <c r="G82" i="41"/>
  <c r="F82" i="41"/>
  <c r="D82" i="41"/>
  <c r="C80" i="41"/>
  <c r="D76" i="41"/>
  <c r="D75" i="41"/>
  <c r="D77" i="41" s="1"/>
  <c r="Y71" i="41"/>
  <c r="X71" i="41"/>
  <c r="W71" i="41"/>
  <c r="V71" i="41"/>
  <c r="U71" i="41"/>
  <c r="T71" i="41"/>
  <c r="S71" i="41"/>
  <c r="R71" i="41"/>
  <c r="Q71" i="41"/>
  <c r="P71" i="41"/>
  <c r="O71" i="41"/>
  <c r="N71" i="41"/>
  <c r="M71" i="41"/>
  <c r="L71" i="41"/>
  <c r="K71" i="41"/>
  <c r="J71" i="41"/>
  <c r="I71" i="41"/>
  <c r="H71" i="41"/>
  <c r="G71" i="41"/>
  <c r="F71" i="41"/>
  <c r="D65" i="41"/>
  <c r="D64" i="41"/>
  <c r="D63" i="41"/>
  <c r="Y59" i="41"/>
  <c r="X59" i="41"/>
  <c r="W59" i="41"/>
  <c r="V59" i="41"/>
  <c r="U59" i="41"/>
  <c r="T59" i="41"/>
  <c r="S59" i="41"/>
  <c r="R59" i="41"/>
  <c r="Q59" i="41"/>
  <c r="P59" i="41"/>
  <c r="O59" i="41"/>
  <c r="N59" i="41"/>
  <c r="M59" i="41"/>
  <c r="L59" i="41"/>
  <c r="K59" i="41"/>
  <c r="J59" i="41"/>
  <c r="I59" i="41"/>
  <c r="H59" i="41"/>
  <c r="G59" i="41"/>
  <c r="F59" i="41"/>
  <c r="D59" i="41"/>
  <c r="D57" i="41"/>
  <c r="D56" i="41"/>
  <c r="D55" i="41"/>
  <c r="D52" i="41"/>
  <c r="D51" i="41"/>
  <c r="D50" i="41"/>
  <c r="D49" i="41"/>
  <c r="D48" i="41"/>
  <c r="D47" i="41"/>
  <c r="D46" i="41"/>
  <c r="D45" i="41"/>
  <c r="D44" i="41"/>
  <c r="B44" i="41"/>
  <c r="D43" i="41"/>
  <c r="B43" i="41"/>
  <c r="D42" i="41"/>
  <c r="B42" i="41"/>
  <c r="D41" i="41"/>
  <c r="B41" i="41"/>
  <c r="D40" i="41"/>
  <c r="B40" i="41"/>
  <c r="D39" i="41"/>
  <c r="B39" i="41"/>
  <c r="D38" i="41"/>
  <c r="B38" i="41"/>
  <c r="D37" i="41"/>
  <c r="B37" i="41"/>
  <c r="D36" i="41"/>
  <c r="B36" i="41"/>
  <c r="P35" i="41"/>
  <c r="D35" i="41"/>
  <c r="B35" i="41"/>
  <c r="Q34" i="41"/>
  <c r="D34" i="41"/>
  <c r="B34" i="41"/>
  <c r="P33" i="41"/>
  <c r="D33" i="41"/>
  <c r="B33" i="41"/>
  <c r="D32" i="41"/>
  <c r="B32" i="41"/>
  <c r="D31" i="41"/>
  <c r="B31" i="41"/>
  <c r="D30" i="41"/>
  <c r="B30" i="41"/>
  <c r="D29" i="41"/>
  <c r="B29" i="41"/>
  <c r="V28" i="41"/>
  <c r="D28" i="41"/>
  <c r="B28" i="41"/>
  <c r="D27" i="41"/>
  <c r="B27" i="41"/>
  <c r="D26" i="41"/>
  <c r="B26" i="41"/>
  <c r="D25" i="41"/>
  <c r="B25" i="41"/>
  <c r="D24" i="41"/>
  <c r="D23" i="41"/>
  <c r="D22" i="41"/>
  <c r="D19" i="41"/>
  <c r="D18" i="41"/>
  <c r="X17" i="41"/>
  <c r="D17" i="41"/>
  <c r="D16" i="41"/>
  <c r="D15" i="41"/>
  <c r="D14" i="41"/>
  <c r="D13" i="41"/>
  <c r="Q12" i="41"/>
  <c r="O12" i="41"/>
  <c r="D12" i="41"/>
  <c r="D20" i="41" s="1"/>
  <c r="H6" i="41"/>
  <c r="G6" i="41"/>
  <c r="F6" i="41"/>
  <c r="X5" i="41"/>
  <c r="P5" i="41"/>
  <c r="Y4" i="41"/>
  <c r="Y19" i="41" s="1"/>
  <c r="X4" i="41"/>
  <c r="X35" i="41" s="1"/>
  <c r="W4" i="41"/>
  <c r="W35" i="41" s="1"/>
  <c r="V4" i="41"/>
  <c r="V17" i="41" s="1"/>
  <c r="U4" i="41"/>
  <c r="U48" i="41" s="1"/>
  <c r="T4" i="41"/>
  <c r="T64" i="41" s="1"/>
  <c r="S4" i="41"/>
  <c r="S30" i="41" s="1"/>
  <c r="R4" i="41"/>
  <c r="R29" i="41" s="1"/>
  <c r="Q4" i="41"/>
  <c r="Q40" i="41" s="1"/>
  <c r="P4" i="41"/>
  <c r="P17" i="41" s="1"/>
  <c r="O4" i="41"/>
  <c r="O46" i="41" s="1"/>
  <c r="N4" i="41"/>
  <c r="N18" i="41" s="1"/>
  <c r="M4" i="41"/>
  <c r="L4" i="41"/>
  <c r="K4" i="41"/>
  <c r="K14" i="41" s="1"/>
  <c r="J4" i="41"/>
  <c r="J15" i="41" s="1"/>
  <c r="I4" i="41"/>
  <c r="I12" i="41" s="1"/>
  <c r="H4" i="41"/>
  <c r="G4" i="41"/>
  <c r="G18" i="41" s="1"/>
  <c r="F4" i="41"/>
  <c r="D65" i="13"/>
  <c r="Y7" i="41" l="1"/>
  <c r="Y11" i="41"/>
  <c r="Y69" i="41" s="1"/>
  <c r="Y5" i="41"/>
  <c r="Y22" i="41"/>
  <c r="X32" i="41"/>
  <c r="X8" i="41"/>
  <c r="X36" i="41"/>
  <c r="W36" i="41"/>
  <c r="W24" i="41"/>
  <c r="W8" i="41"/>
  <c r="W14" i="41"/>
  <c r="W28" i="41"/>
  <c r="V32" i="41"/>
  <c r="V24" i="41"/>
  <c r="S16" i="41"/>
  <c r="S23" i="41"/>
  <c r="S26" i="41"/>
  <c r="S19" i="41"/>
  <c r="R10" i="41"/>
  <c r="R19" i="41"/>
  <c r="R13" i="41"/>
  <c r="R7" i="41"/>
  <c r="R23" i="41"/>
  <c r="R33" i="41"/>
  <c r="Q7" i="41"/>
  <c r="Q5" i="41"/>
  <c r="P18" i="41"/>
  <c r="P15" i="41"/>
  <c r="O29" i="41"/>
  <c r="O9" i="41"/>
  <c r="O22" i="41"/>
  <c r="O18" i="41"/>
  <c r="O25" i="41"/>
  <c r="O15" i="41"/>
  <c r="N8" i="41"/>
  <c r="N35" i="41"/>
  <c r="N31" i="41"/>
  <c r="N9" i="41"/>
  <c r="N27" i="41"/>
  <c r="J24" i="41"/>
  <c r="J45" i="41"/>
  <c r="I16" i="41"/>
  <c r="H16" i="41"/>
  <c r="H24" i="41"/>
  <c r="H13" i="41"/>
  <c r="G13" i="41"/>
  <c r="F19" i="41"/>
  <c r="BG29" i="43"/>
  <c r="BY29" i="43"/>
  <c r="BY26" i="43"/>
  <c r="BG26" i="43"/>
  <c r="BG34" i="43"/>
  <c r="BY34" i="43"/>
  <c r="BZ37" i="43"/>
  <c r="BL37" i="43"/>
  <c r="BG39" i="43"/>
  <c r="BY39" i="43"/>
  <c r="BY54" i="43"/>
  <c r="CC54" i="43" s="1"/>
  <c r="CH54" i="43" s="1"/>
  <c r="CK54" i="43"/>
  <c r="BY59" i="43"/>
  <c r="CC59" i="43" s="1"/>
  <c r="CK59" i="43"/>
  <c r="BL29" i="43"/>
  <c r="BZ29" i="43"/>
  <c r="BG33" i="43"/>
  <c r="BY33" i="43"/>
  <c r="BL34" i="43"/>
  <c r="BZ34" i="43"/>
  <c r="CK56" i="43"/>
  <c r="BY56" i="43"/>
  <c r="CC56" i="43" s="1"/>
  <c r="CH56" i="43" s="1"/>
  <c r="BZ63" i="43"/>
  <c r="CD63" i="43" s="1"/>
  <c r="CG63" i="43" s="1"/>
  <c r="CK63" i="43"/>
  <c r="BZ26" i="43"/>
  <c r="BL26" i="43"/>
  <c r="BY27" i="43"/>
  <c r="BG27" i="43"/>
  <c r="BG30" i="43"/>
  <c r="BY30" i="43"/>
  <c r="BG36" i="43"/>
  <c r="BY36" i="43"/>
  <c r="BG38" i="43"/>
  <c r="BY38" i="43"/>
  <c r="BY51" i="43"/>
  <c r="CC51" i="43" s="1"/>
  <c r="CH51" i="43" s="1"/>
  <c r="CK51" i="43"/>
  <c r="CK58" i="43"/>
  <c r="BY58" i="43"/>
  <c r="CC58" i="43" s="1"/>
  <c r="BG31" i="43"/>
  <c r="BY31" i="43"/>
  <c r="BZ25" i="43"/>
  <c r="BL25" i="43"/>
  <c r="BL27" i="43"/>
  <c r="BZ27" i="43"/>
  <c r="BZ30" i="43"/>
  <c r="BL30" i="43"/>
  <c r="BZ38" i="43"/>
  <c r="BL38" i="43"/>
  <c r="BG40" i="43"/>
  <c r="BY40" i="43"/>
  <c r="BY55" i="43"/>
  <c r="CC55" i="43" s="1"/>
  <c r="CH55" i="43" s="1"/>
  <c r="CK55" i="43"/>
  <c r="BY64" i="43"/>
  <c r="CC64" i="43" s="1"/>
  <c r="CH64" i="43" s="1"/>
  <c r="CK64" i="43"/>
  <c r="BG37" i="43"/>
  <c r="BY37" i="43"/>
  <c r="BG35" i="43"/>
  <c r="BY35" i="43"/>
  <c r="BG25" i="43"/>
  <c r="BY25" i="43"/>
  <c r="BG28" i="43"/>
  <c r="BY28" i="43"/>
  <c r="BL33" i="43"/>
  <c r="BZ33" i="43"/>
  <c r="BZ36" i="43"/>
  <c r="BL36" i="43"/>
  <c r="BY53" i="43"/>
  <c r="CC53" i="43" s="1"/>
  <c r="CH53" i="43" s="1"/>
  <c r="CK53" i="43"/>
  <c r="BZ28" i="43"/>
  <c r="BL28" i="43"/>
  <c r="BL31" i="43"/>
  <c r="BZ31" i="43"/>
  <c r="BZ40" i="43"/>
  <c r="BL40" i="43"/>
  <c r="CK61" i="43"/>
  <c r="BY61" i="43"/>
  <c r="CC61" i="43" s="1"/>
  <c r="AC20" i="43"/>
  <c r="BZ35" i="43"/>
  <c r="BL35" i="43"/>
  <c r="AA20" i="43"/>
  <c r="T43" i="43"/>
  <c r="T20" i="43"/>
  <c r="AB20" i="43"/>
  <c r="X24" i="43"/>
  <c r="BZ39" i="43"/>
  <c r="BL39" i="43"/>
  <c r="CK68" i="43"/>
  <c r="BY68" i="43"/>
  <c r="CC68" i="43" s="1"/>
  <c r="CK97" i="43"/>
  <c r="BY97" i="43"/>
  <c r="CC97" i="43" s="1"/>
  <c r="CH97" i="43" s="1"/>
  <c r="AI19" i="43"/>
  <c r="V20" i="43"/>
  <c r="AD20" i="43"/>
  <c r="F89" i="43"/>
  <c r="F44" i="43"/>
  <c r="AP44" i="43"/>
  <c r="BY62" i="43"/>
  <c r="CC62" i="43" s="1"/>
  <c r="CH62" i="43" s="1"/>
  <c r="CK62" i="43"/>
  <c r="I43" i="43"/>
  <c r="AY89" i="43"/>
  <c r="AY44" i="43"/>
  <c r="BY67" i="43"/>
  <c r="CC67" i="43" s="1"/>
  <c r="CK67" i="43"/>
  <c r="P20" i="43"/>
  <c r="X20" i="43"/>
  <c r="AF20" i="43"/>
  <c r="BJ89" i="43"/>
  <c r="BJ44" i="43"/>
  <c r="CK52" i="43"/>
  <c r="BY52" i="43"/>
  <c r="CC52" i="43" s="1"/>
  <c r="CH52" i="43" s="1"/>
  <c r="CK60" i="43"/>
  <c r="Q20" i="43"/>
  <c r="Y20" i="43"/>
  <c r="AG20" i="43"/>
  <c r="O24" i="43"/>
  <c r="I45" i="43"/>
  <c r="O32" i="43"/>
  <c r="BA89" i="43"/>
  <c r="BA44" i="43"/>
  <c r="CK49" i="43"/>
  <c r="BY49" i="43"/>
  <c r="CC49" i="43" s="1"/>
  <c r="CH49" i="43" s="1"/>
  <c r="AE20" i="43"/>
  <c r="Z20" i="43"/>
  <c r="T45" i="43"/>
  <c r="X32" i="43"/>
  <c r="K44" i="43"/>
  <c r="CK50" i="43"/>
  <c r="BY50" i="43"/>
  <c r="CC50" i="43" s="1"/>
  <c r="CH50" i="43" s="1"/>
  <c r="CK57" i="43"/>
  <c r="BY57" i="43"/>
  <c r="CC57" i="43" s="1"/>
  <c r="BY66" i="43"/>
  <c r="CC66" i="43" s="1"/>
  <c r="CH66" i="43" s="1"/>
  <c r="CK66" i="43"/>
  <c r="CK72" i="43"/>
  <c r="BY72" i="43"/>
  <c r="CC72" i="43" s="1"/>
  <c r="AZ89" i="43"/>
  <c r="AZ44" i="43"/>
  <c r="BI89" i="43"/>
  <c r="BI44" i="43"/>
  <c r="CK69" i="43"/>
  <c r="BY69" i="43"/>
  <c r="CC69" i="43" s="1"/>
  <c r="CK70" i="43"/>
  <c r="M89" i="43"/>
  <c r="T90" i="43"/>
  <c r="T95" i="43" s="1"/>
  <c r="X86" i="43"/>
  <c r="BN44" i="43"/>
  <c r="U44" i="43"/>
  <c r="AL44" i="43"/>
  <c r="AL89" i="43"/>
  <c r="Z44" i="43"/>
  <c r="BO44" i="43"/>
  <c r="N84" i="43"/>
  <c r="N89" i="43" s="1"/>
  <c r="T48" i="43"/>
  <c r="V89" i="43"/>
  <c r="V44" i="43"/>
  <c r="BP89" i="43"/>
  <c r="BP44" i="43"/>
  <c r="CH60" i="43"/>
  <c r="BY75" i="43"/>
  <c r="CC75" i="43" s="1"/>
  <c r="CH75" i="43" s="1"/>
  <c r="CK75" i="43"/>
  <c r="CL75" i="43" s="1"/>
  <c r="CH70" i="43"/>
  <c r="CK76" i="43"/>
  <c r="CL76" i="43" s="1"/>
  <c r="BY76" i="43"/>
  <c r="CC76" i="43" s="1"/>
  <c r="CH76" i="43" s="1"/>
  <c r="BY79" i="43"/>
  <c r="CC79" i="43" s="1"/>
  <c r="CH79" i="43" s="1"/>
  <c r="CK79" i="43"/>
  <c r="CL79" i="43" s="1"/>
  <c r="BY81" i="43"/>
  <c r="CC81" i="43" s="1"/>
  <c r="CH81" i="43" s="1"/>
  <c r="CK81" i="43"/>
  <c r="CL81" i="43" s="1"/>
  <c r="BY108" i="43"/>
  <c r="CC108" i="43" s="1"/>
  <c r="CH108" i="43" s="1"/>
  <c r="CK108" i="43"/>
  <c r="BY71" i="43"/>
  <c r="CC71" i="43" s="1"/>
  <c r="CH71" i="43" s="1"/>
  <c r="CK71" i="43"/>
  <c r="BY78" i="43"/>
  <c r="CC78" i="43" s="1"/>
  <c r="CH78" i="43" s="1"/>
  <c r="CK78" i="43"/>
  <c r="CL78" i="43" s="1"/>
  <c r="CE89" i="43"/>
  <c r="BY77" i="43"/>
  <c r="CC77" i="43" s="1"/>
  <c r="CK77" i="43"/>
  <c r="CL77" i="43" s="1"/>
  <c r="BY82" i="43"/>
  <c r="CC82" i="43" s="1"/>
  <c r="CK82" i="43"/>
  <c r="CL82" i="43" s="1"/>
  <c r="I84" i="43"/>
  <c r="I89" i="43" s="1"/>
  <c r="O48" i="43"/>
  <c r="CK65" i="43"/>
  <c r="AA89" i="43"/>
  <c r="CK87" i="43"/>
  <c r="BY87" i="43"/>
  <c r="CC87" i="43" s="1"/>
  <c r="CH87" i="43" s="1"/>
  <c r="E89" i="43"/>
  <c r="P89" i="43"/>
  <c r="AB89" i="43"/>
  <c r="AT89" i="43"/>
  <c r="BL92" i="43"/>
  <c r="BR92" i="43" s="1"/>
  <c r="BZ92" i="43"/>
  <c r="CD92" i="43" s="1"/>
  <c r="CG92" i="43" s="1"/>
  <c r="CK112" i="43"/>
  <c r="CL112" i="43" s="1"/>
  <c r="BY112" i="43"/>
  <c r="CC112" i="43" s="1"/>
  <c r="Q89" i="43"/>
  <c r="AE89" i="43"/>
  <c r="BY103" i="43"/>
  <c r="CC103" i="43" s="1"/>
  <c r="CH103" i="43" s="1"/>
  <c r="CK103" i="43"/>
  <c r="CL103" i="43" s="1"/>
  <c r="BY106" i="43"/>
  <c r="CC106" i="43" s="1"/>
  <c r="CH106" i="43" s="1"/>
  <c r="CK109" i="43"/>
  <c r="CL109" i="43" s="1"/>
  <c r="BY109" i="43"/>
  <c r="CC109" i="43" s="1"/>
  <c r="CH109" i="43" s="1"/>
  <c r="G89" i="43"/>
  <c r="R89" i="43"/>
  <c r="AF89" i="43"/>
  <c r="AV89" i="43"/>
  <c r="BW89" i="43"/>
  <c r="CK98" i="43"/>
  <c r="BY101" i="43"/>
  <c r="CC101" i="43" s="1"/>
  <c r="CH101" i="43" s="1"/>
  <c r="CK101" i="43"/>
  <c r="CL101" i="43" s="1"/>
  <c r="CK80" i="43"/>
  <c r="CL80" i="43" s="1"/>
  <c r="H89" i="43"/>
  <c r="U89" i="43"/>
  <c r="AG89" i="43"/>
  <c r="BY99" i="43"/>
  <c r="CC99" i="43" s="1"/>
  <c r="CH99" i="43" s="1"/>
  <c r="CK99" i="43"/>
  <c r="CL99" i="43" s="1"/>
  <c r="J89" i="43"/>
  <c r="AJ89" i="43"/>
  <c r="BY105" i="43"/>
  <c r="CC105" i="43" s="1"/>
  <c r="CH105" i="43" s="1"/>
  <c r="CK105" i="43"/>
  <c r="BY80" i="43"/>
  <c r="CC80" i="43" s="1"/>
  <c r="CH80" i="43" s="1"/>
  <c r="K89" i="43"/>
  <c r="W89" i="43"/>
  <c r="AK89" i="43"/>
  <c r="BY111" i="43"/>
  <c r="CC111" i="43" s="1"/>
  <c r="CK111" i="43"/>
  <c r="CL111" i="43" s="1"/>
  <c r="BL114" i="43"/>
  <c r="BR114" i="43" s="1"/>
  <c r="BZ114" i="43"/>
  <c r="CD114" i="43" s="1"/>
  <c r="CG114" i="43" s="1"/>
  <c r="CK73" i="43"/>
  <c r="L89" i="43"/>
  <c r="O90" i="43"/>
  <c r="O95" i="43" s="1"/>
  <c r="BG92" i="43"/>
  <c r="BM92" i="43" s="1"/>
  <c r="BQ92" i="43" s="1"/>
  <c r="CK92" i="43" s="1"/>
  <c r="CL92" i="43" s="1"/>
  <c r="BY92" i="43"/>
  <c r="CC92" i="43" s="1"/>
  <c r="CH92" i="43" s="1"/>
  <c r="S86" i="43"/>
  <c r="CJ95" i="43"/>
  <c r="BY104" i="43"/>
  <c r="CC104" i="43" s="1"/>
  <c r="CH104" i="43" s="1"/>
  <c r="CK104" i="43"/>
  <c r="CL104" i="43" s="1"/>
  <c r="BE89" i="43"/>
  <c r="BS89" i="43"/>
  <c r="CA89" i="43"/>
  <c r="CK102" i="43"/>
  <c r="CL102" i="43" s="1"/>
  <c r="BY102" i="43"/>
  <c r="CC102" i="43" s="1"/>
  <c r="CH102" i="43" s="1"/>
  <c r="CK114" i="43"/>
  <c r="BY114" i="43"/>
  <c r="CC114" i="43" s="1"/>
  <c r="BF89" i="43"/>
  <c r="BT89" i="43"/>
  <c r="CB89" i="43"/>
  <c r="BY100" i="43"/>
  <c r="CC100" i="43" s="1"/>
  <c r="CK100" i="43"/>
  <c r="CL100" i="43" s="1"/>
  <c r="BU89" i="43"/>
  <c r="CH98" i="43"/>
  <c r="CK107" i="43"/>
  <c r="CL107" i="43" s="1"/>
  <c r="BY107" i="43"/>
  <c r="CC107" i="43" s="1"/>
  <c r="I90" i="43"/>
  <c r="I95" i="43" s="1"/>
  <c r="N90" i="43"/>
  <c r="N95" i="43" s="1"/>
  <c r="BX89" i="43"/>
  <c r="CF89" i="43"/>
  <c r="CG31" i="44"/>
  <c r="CH31" i="44" s="1"/>
  <c r="BY31" i="44"/>
  <c r="CD31" i="44" s="1"/>
  <c r="CG35" i="44"/>
  <c r="CH35" i="44" s="1"/>
  <c r="BY35" i="44"/>
  <c r="CG34" i="44"/>
  <c r="CH34" i="44" s="1"/>
  <c r="BY34" i="44"/>
  <c r="CG40" i="44"/>
  <c r="CH40" i="44" s="1"/>
  <c r="BY40" i="44"/>
  <c r="CG33" i="44"/>
  <c r="CH33" i="44" s="1"/>
  <c r="BY33" i="44"/>
  <c r="CG29" i="44"/>
  <c r="CH29" i="44" s="1"/>
  <c r="BY29" i="44"/>
  <c r="CD29" i="44" s="1"/>
  <c r="CG27" i="44"/>
  <c r="CH27" i="44" s="1"/>
  <c r="BY27" i="44"/>
  <c r="CG30" i="44"/>
  <c r="CH30" i="44" s="1"/>
  <c r="BY30" i="44"/>
  <c r="CD30" i="44" s="1"/>
  <c r="BY25" i="44"/>
  <c r="CD25" i="44" s="1"/>
  <c r="CG25" i="44"/>
  <c r="CH25" i="44" s="1"/>
  <c r="BY26" i="44"/>
  <c r="CD26" i="44" s="1"/>
  <c r="CG26" i="44"/>
  <c r="CH26" i="44" s="1"/>
  <c r="CG39" i="44"/>
  <c r="CH39" i="44" s="1"/>
  <c r="BY39" i="44"/>
  <c r="CG38" i="44"/>
  <c r="CH38" i="44" s="1"/>
  <c r="BY38" i="44"/>
  <c r="CG28" i="44"/>
  <c r="CH28" i="44" s="1"/>
  <c r="BY28" i="44"/>
  <c r="CD28" i="44" s="1"/>
  <c r="CG36" i="44"/>
  <c r="CH36" i="44" s="1"/>
  <c r="BY36" i="44"/>
  <c r="V20" i="44"/>
  <c r="U20" i="44"/>
  <c r="CA20" i="44"/>
  <c r="T47" i="44"/>
  <c r="T48" i="44" s="1"/>
  <c r="T43" i="44"/>
  <c r="T44" i="44" s="1"/>
  <c r="Y19" i="44"/>
  <c r="O20" i="44"/>
  <c r="W20" i="44"/>
  <c r="X47" i="44"/>
  <c r="P20" i="44"/>
  <c r="X20" i="44"/>
  <c r="Q20" i="44"/>
  <c r="BW20" i="44"/>
  <c r="AD24" i="44"/>
  <c r="O49" i="44"/>
  <c r="O45" i="44"/>
  <c r="CG37" i="44"/>
  <c r="CH37" i="44" s="1"/>
  <c r="BY37" i="44"/>
  <c r="R20" i="44"/>
  <c r="BX20" i="44"/>
  <c r="N47" i="44"/>
  <c r="N48" i="44" s="1"/>
  <c r="N43" i="44"/>
  <c r="S32" i="44"/>
  <c r="T49" i="44"/>
  <c r="S20" i="44"/>
  <c r="BY20" i="44"/>
  <c r="O24" i="44"/>
  <c r="X32" i="44"/>
  <c r="X43" i="44" s="1"/>
  <c r="I43" i="44"/>
  <c r="I44" i="44" s="1"/>
  <c r="N45" i="44"/>
  <c r="T30" i="41"/>
  <c r="K48" i="41"/>
  <c r="K45" i="41"/>
  <c r="K12" i="41"/>
  <c r="K84" i="41"/>
  <c r="K24" i="41"/>
  <c r="K15" i="41"/>
  <c r="K13" i="41"/>
  <c r="S48" i="41"/>
  <c r="S51" i="41"/>
  <c r="S55" i="41"/>
  <c r="S46" i="41"/>
  <c r="S43" i="41"/>
  <c r="S39" i="41"/>
  <c r="S35" i="41"/>
  <c r="S49" i="41"/>
  <c r="S75" i="41"/>
  <c r="S63" i="41"/>
  <c r="S52" i="41"/>
  <c r="S44" i="41"/>
  <c r="S40" i="41"/>
  <c r="S36" i="41"/>
  <c r="S56" i="41"/>
  <c r="S47" i="41"/>
  <c r="S76" i="41"/>
  <c r="S64" i="41"/>
  <c r="S45" i="41"/>
  <c r="S84" i="41"/>
  <c r="S42" i="41"/>
  <c r="S12" i="41"/>
  <c r="S37" i="41"/>
  <c r="S32" i="41"/>
  <c r="S28" i="41"/>
  <c r="S24" i="41"/>
  <c r="S15" i="41"/>
  <c r="S10" i="41"/>
  <c r="S33" i="41"/>
  <c r="S29" i="41"/>
  <c r="S25" i="41"/>
  <c r="S22" i="41"/>
  <c r="S13" i="41"/>
  <c r="S34" i="41"/>
  <c r="O5" i="41"/>
  <c r="W5" i="41"/>
  <c r="P7" i="41"/>
  <c r="X7" i="41"/>
  <c r="V8" i="41"/>
  <c r="Y9" i="41"/>
  <c r="P10" i="41"/>
  <c r="V11" i="41"/>
  <c r="N12" i="41"/>
  <c r="Q13" i="41"/>
  <c r="J14" i="41"/>
  <c r="U14" i="41"/>
  <c r="N15" i="41"/>
  <c r="R16" i="41"/>
  <c r="K17" i="41"/>
  <c r="Y18" i="41"/>
  <c r="Q19" i="41"/>
  <c r="X22" i="41"/>
  <c r="O23" i="41"/>
  <c r="G24" i="41"/>
  <c r="U24" i="41"/>
  <c r="Y25" i="41"/>
  <c r="R26" i="41"/>
  <c r="U28" i="41"/>
  <c r="Y29" i="41"/>
  <c r="R30" i="41"/>
  <c r="U32" i="41"/>
  <c r="O33" i="41"/>
  <c r="Y37" i="41"/>
  <c r="O39" i="41"/>
  <c r="S41" i="41"/>
  <c r="L84" i="41"/>
  <c r="L48" i="41"/>
  <c r="L24" i="41"/>
  <c r="L15" i="41"/>
  <c r="L18" i="41"/>
  <c r="L16" i="41"/>
  <c r="L45" i="41"/>
  <c r="U55" i="41"/>
  <c r="U49" i="41"/>
  <c r="U75" i="41"/>
  <c r="U63" i="41"/>
  <c r="U52" i="41"/>
  <c r="U44" i="41"/>
  <c r="U40" i="41"/>
  <c r="U36" i="41"/>
  <c r="U56" i="41"/>
  <c r="U47" i="41"/>
  <c r="U84" i="41"/>
  <c r="U50" i="41"/>
  <c r="U41" i="41"/>
  <c r="U37" i="41"/>
  <c r="U76" i="41"/>
  <c r="U64" i="41"/>
  <c r="U45" i="41"/>
  <c r="U51" i="41"/>
  <c r="U18" i="41"/>
  <c r="U43" i="41"/>
  <c r="U35" i="41"/>
  <c r="U33" i="41"/>
  <c r="U29" i="41"/>
  <c r="U25" i="41"/>
  <c r="U22" i="41"/>
  <c r="U13" i="41"/>
  <c r="U34" i="41"/>
  <c r="U30" i="41"/>
  <c r="U26" i="41"/>
  <c r="U19" i="41"/>
  <c r="U11" i="41"/>
  <c r="U9" i="41"/>
  <c r="U39" i="41"/>
  <c r="U38" i="41"/>
  <c r="U10" i="41"/>
  <c r="T13" i="41"/>
  <c r="L14" i="41"/>
  <c r="U16" i="41"/>
  <c r="M17" i="41"/>
  <c r="F84" i="41"/>
  <c r="F45" i="41"/>
  <c r="F48" i="41"/>
  <c r="F13" i="41"/>
  <c r="F16" i="41"/>
  <c r="F23" i="41"/>
  <c r="F14" i="41"/>
  <c r="N49" i="41"/>
  <c r="N75" i="41"/>
  <c r="N63" i="41"/>
  <c r="N52" i="41"/>
  <c r="N44" i="41"/>
  <c r="N40" i="41"/>
  <c r="N56" i="41"/>
  <c r="N47" i="41"/>
  <c r="N84" i="41"/>
  <c r="N50" i="41"/>
  <c r="N41" i="41"/>
  <c r="N76" i="41"/>
  <c r="N64" i="41"/>
  <c r="N45" i="41"/>
  <c r="N48" i="41"/>
  <c r="N42" i="41"/>
  <c r="N38" i="41"/>
  <c r="N55" i="41"/>
  <c r="N46" i="41"/>
  <c r="N43" i="41"/>
  <c r="N39" i="41"/>
  <c r="N33" i="41"/>
  <c r="N29" i="41"/>
  <c r="N25" i="41"/>
  <c r="N22" i="41"/>
  <c r="N13" i="41"/>
  <c r="N16" i="41"/>
  <c r="N34" i="41"/>
  <c r="N30" i="41"/>
  <c r="N26" i="41"/>
  <c r="N23" i="41"/>
  <c r="N14" i="41"/>
  <c r="N51" i="41"/>
  <c r="N37" i="41"/>
  <c r="N36" i="41"/>
  <c r="V49" i="41"/>
  <c r="V75" i="41"/>
  <c r="V63" i="41"/>
  <c r="V52" i="41"/>
  <c r="V44" i="41"/>
  <c r="V40" i="41"/>
  <c r="V56" i="41"/>
  <c r="V47" i="41"/>
  <c r="V84" i="41"/>
  <c r="V50" i="41"/>
  <c r="V41" i="41"/>
  <c r="V76" i="41"/>
  <c r="V64" i="41"/>
  <c r="V45" i="41"/>
  <c r="V48" i="41"/>
  <c r="V42" i="41"/>
  <c r="V38" i="41"/>
  <c r="V55" i="41"/>
  <c r="V46" i="41"/>
  <c r="V43" i="41"/>
  <c r="V39" i="41"/>
  <c r="V37" i="41"/>
  <c r="V36" i="41"/>
  <c r="V35" i="41"/>
  <c r="V33" i="41"/>
  <c r="V29" i="41"/>
  <c r="V25" i="41"/>
  <c r="V22" i="41"/>
  <c r="V13" i="41"/>
  <c r="V16" i="41"/>
  <c r="V34" i="41"/>
  <c r="V30" i="41"/>
  <c r="V26" i="41"/>
  <c r="V51" i="41"/>
  <c r="V23" i="41"/>
  <c r="V14" i="41"/>
  <c r="R5" i="41"/>
  <c r="S7" i="41"/>
  <c r="O8" i="41"/>
  <c r="Q9" i="41"/>
  <c r="V10" i="41"/>
  <c r="N11" i="41"/>
  <c r="F12" i="41"/>
  <c r="T12" i="41"/>
  <c r="I13" i="41"/>
  <c r="W13" i="41"/>
  <c r="M14" i="41"/>
  <c r="F15" i="41"/>
  <c r="R15" i="41"/>
  <c r="J16" i="41"/>
  <c r="X16" i="41"/>
  <c r="N17" i="41"/>
  <c r="F18" i="41"/>
  <c r="Q18" i="41"/>
  <c r="I19" i="41"/>
  <c r="T19" i="41"/>
  <c r="P22" i="41"/>
  <c r="G23" i="41"/>
  <c r="T23" i="41"/>
  <c r="M24" i="41"/>
  <c r="X24" i="41"/>
  <c r="P25" i="41"/>
  <c r="Y26" i="41"/>
  <c r="S27" i="41"/>
  <c r="X28" i="41"/>
  <c r="P29" i="41"/>
  <c r="Y30" i="41"/>
  <c r="S31" i="41"/>
  <c r="W33" i="41"/>
  <c r="R34" i="41"/>
  <c r="P38" i="41"/>
  <c r="O40" i="41"/>
  <c r="U42" i="41"/>
  <c r="S50" i="41"/>
  <c r="R56" i="41"/>
  <c r="T26" i="41"/>
  <c r="O75" i="41"/>
  <c r="O63" i="41"/>
  <c r="O52" i="41"/>
  <c r="O56" i="41"/>
  <c r="O47" i="41"/>
  <c r="O84" i="41"/>
  <c r="O50" i="41"/>
  <c r="O41" i="41"/>
  <c r="O37" i="41"/>
  <c r="O76" i="41"/>
  <c r="O64" i="41"/>
  <c r="O45" i="41"/>
  <c r="O48" i="41"/>
  <c r="O42" i="41"/>
  <c r="O38" i="41"/>
  <c r="O51" i="41"/>
  <c r="O49" i="41"/>
  <c r="O16" i="41"/>
  <c r="O34" i="41"/>
  <c r="O30" i="41"/>
  <c r="O26" i="41"/>
  <c r="O19" i="41"/>
  <c r="O11" i="41"/>
  <c r="O55" i="41"/>
  <c r="O43" i="41"/>
  <c r="O44" i="41"/>
  <c r="O31" i="41"/>
  <c r="O27" i="41"/>
  <c r="O17" i="41"/>
  <c r="O36" i="41"/>
  <c r="O35" i="41"/>
  <c r="W75" i="41"/>
  <c r="W63" i="41"/>
  <c r="W52" i="41"/>
  <c r="W56" i="41"/>
  <c r="W47" i="41"/>
  <c r="W84" i="41"/>
  <c r="W50" i="41"/>
  <c r="W41" i="41"/>
  <c r="W37" i="41"/>
  <c r="W76" i="41"/>
  <c r="W64" i="41"/>
  <c r="W45" i="41"/>
  <c r="W48" i="41"/>
  <c r="W42" i="41"/>
  <c r="W38" i="41"/>
  <c r="W51" i="41"/>
  <c r="W49" i="41"/>
  <c r="W43" i="41"/>
  <c r="W16" i="41"/>
  <c r="W55" i="41"/>
  <c r="W57" i="41" s="1"/>
  <c r="W44" i="41"/>
  <c r="W34" i="41"/>
  <c r="W30" i="41"/>
  <c r="W26" i="41"/>
  <c r="W19" i="41"/>
  <c r="W11" i="41"/>
  <c r="W9" i="41"/>
  <c r="W31" i="41"/>
  <c r="W27" i="41"/>
  <c r="W17" i="41"/>
  <c r="W39" i="41"/>
  <c r="W46" i="41"/>
  <c r="W40" i="41"/>
  <c r="W32" i="41"/>
  <c r="S5" i="41"/>
  <c r="T7" i="41"/>
  <c r="P8" i="41"/>
  <c r="R9" i="41"/>
  <c r="W10" i="41"/>
  <c r="Q11" i="41"/>
  <c r="G12" i="41"/>
  <c r="U12" i="41"/>
  <c r="J13" i="41"/>
  <c r="X13" i="41"/>
  <c r="O14" i="41"/>
  <c r="G15" i="41"/>
  <c r="U15" i="41"/>
  <c r="K16" i="41"/>
  <c r="Y16" i="41"/>
  <c r="S18" i="41"/>
  <c r="J19" i="41"/>
  <c r="V19" i="41"/>
  <c r="Q22" i="41"/>
  <c r="J23" i="41"/>
  <c r="U23" i="41"/>
  <c r="N24" i="41"/>
  <c r="Q25" i="41"/>
  <c r="T27" i="41"/>
  <c r="Q29" i="41"/>
  <c r="T31" i="41"/>
  <c r="X33" i="41"/>
  <c r="T34" i="41"/>
  <c r="S38" i="41"/>
  <c r="U46" i="41"/>
  <c r="T51" i="41"/>
  <c r="T55" i="41"/>
  <c r="T46" i="41"/>
  <c r="T43" i="41"/>
  <c r="T39" i="41"/>
  <c r="T49" i="41"/>
  <c r="T75" i="41"/>
  <c r="T63" i="41"/>
  <c r="T52" i="41"/>
  <c r="T44" i="41"/>
  <c r="T40" i="41"/>
  <c r="T56" i="41"/>
  <c r="T47" i="41"/>
  <c r="T84" i="41"/>
  <c r="T50" i="41"/>
  <c r="T41" i="41"/>
  <c r="T37" i="41"/>
  <c r="T48" i="41"/>
  <c r="T42" i="41"/>
  <c r="T38" i="41"/>
  <c r="T32" i="41"/>
  <c r="T28" i="41"/>
  <c r="T24" i="41"/>
  <c r="T15" i="41"/>
  <c r="T10" i="41"/>
  <c r="T8" i="41"/>
  <c r="T36" i="41"/>
  <c r="T18" i="41"/>
  <c r="T35" i="41"/>
  <c r="T33" i="41"/>
  <c r="T29" i="41"/>
  <c r="T25" i="41"/>
  <c r="T45" i="41"/>
  <c r="T16" i="41"/>
  <c r="T76" i="41"/>
  <c r="L17" i="41"/>
  <c r="M84" i="41"/>
  <c r="M45" i="41"/>
  <c r="M18" i="41"/>
  <c r="M13" i="41"/>
  <c r="M19" i="41"/>
  <c r="G84" i="41"/>
  <c r="G45" i="41"/>
  <c r="G48" i="41"/>
  <c r="G16" i="41"/>
  <c r="G19" i="41"/>
  <c r="G17" i="41"/>
  <c r="H84" i="41"/>
  <c r="H45" i="41"/>
  <c r="H48" i="41"/>
  <c r="H19" i="41"/>
  <c r="H23" i="41"/>
  <c r="H14" i="41"/>
  <c r="H12" i="41"/>
  <c r="P56" i="41"/>
  <c r="P47" i="41"/>
  <c r="P84" i="41"/>
  <c r="P50" i="41"/>
  <c r="P41" i="41"/>
  <c r="P76" i="41"/>
  <c r="P64" i="41"/>
  <c r="P45" i="41"/>
  <c r="P48" i="41"/>
  <c r="P42" i="41"/>
  <c r="P51" i="41"/>
  <c r="P55" i="41"/>
  <c r="P46" i="41"/>
  <c r="P43" i="41"/>
  <c r="P39" i="41"/>
  <c r="P75" i="41"/>
  <c r="P63" i="41"/>
  <c r="P52" i="41"/>
  <c r="P44" i="41"/>
  <c r="P40" i="41"/>
  <c r="P34" i="41"/>
  <c r="P30" i="41"/>
  <c r="P26" i="41"/>
  <c r="P19" i="41"/>
  <c r="P11" i="41"/>
  <c r="P9" i="41"/>
  <c r="P23" i="41"/>
  <c r="P14" i="41"/>
  <c r="P31" i="41"/>
  <c r="P27" i="41"/>
  <c r="P49" i="41"/>
  <c r="P36" i="41"/>
  <c r="P12" i="41"/>
  <c r="P37" i="41"/>
  <c r="X56" i="41"/>
  <c r="X47" i="41"/>
  <c r="X84" i="41"/>
  <c r="X50" i="41"/>
  <c r="X41" i="41"/>
  <c r="X76" i="41"/>
  <c r="X64" i="41"/>
  <c r="X45" i="41"/>
  <c r="X48" i="41"/>
  <c r="X42" i="41"/>
  <c r="X51" i="41"/>
  <c r="X55" i="41"/>
  <c r="X46" i="41"/>
  <c r="X43" i="41"/>
  <c r="X39" i="41"/>
  <c r="X75" i="41"/>
  <c r="X63" i="41"/>
  <c r="X52" i="41"/>
  <c r="X44" i="41"/>
  <c r="X40" i="41"/>
  <c r="X34" i="41"/>
  <c r="X30" i="41"/>
  <c r="X26" i="41"/>
  <c r="X19" i="41"/>
  <c r="X11" i="41"/>
  <c r="X9" i="41"/>
  <c r="X23" i="41"/>
  <c r="X14" i="41"/>
  <c r="X49" i="41"/>
  <c r="X31" i="41"/>
  <c r="X27" i="41"/>
  <c r="X12" i="41"/>
  <c r="X38" i="41"/>
  <c r="T5" i="41"/>
  <c r="U7" i="41"/>
  <c r="R8" i="41"/>
  <c r="S9" i="41"/>
  <c r="X10" i="41"/>
  <c r="R11" i="41"/>
  <c r="V12" i="41"/>
  <c r="L13" i="41"/>
  <c r="Y13" i="41"/>
  <c r="R14" i="41"/>
  <c r="H15" i="41"/>
  <c r="V15" i="41"/>
  <c r="M16" i="41"/>
  <c r="S17" i="41"/>
  <c r="H18" i="41"/>
  <c r="V18" i="41"/>
  <c r="K19" i="41"/>
  <c r="R22" i="41"/>
  <c r="K23" i="41"/>
  <c r="W23" i="41"/>
  <c r="O24" i="41"/>
  <c r="R25" i="41"/>
  <c r="U27" i="41"/>
  <c r="N28" i="41"/>
  <c r="U31" i="41"/>
  <c r="N32" i="41"/>
  <c r="I84" i="41"/>
  <c r="I45" i="41"/>
  <c r="I48" i="41"/>
  <c r="I23" i="41"/>
  <c r="I14" i="41"/>
  <c r="I17" i="41"/>
  <c r="I24" i="41"/>
  <c r="I15" i="41"/>
  <c r="Q84" i="41"/>
  <c r="Q50" i="41"/>
  <c r="Q76" i="41"/>
  <c r="Q64" i="41"/>
  <c r="Q45" i="41"/>
  <c r="Q48" i="41"/>
  <c r="Q42" i="41"/>
  <c r="Q38" i="41"/>
  <c r="Q51" i="41"/>
  <c r="Q55" i="41"/>
  <c r="Q46" i="41"/>
  <c r="Q43" i="41"/>
  <c r="Q39" i="41"/>
  <c r="Q35" i="41"/>
  <c r="Q49" i="41"/>
  <c r="Q56" i="41"/>
  <c r="Q47" i="41"/>
  <c r="Q52" i="41"/>
  <c r="Q23" i="41"/>
  <c r="Q14" i="41"/>
  <c r="Q75" i="41"/>
  <c r="Q31" i="41"/>
  <c r="Q27" i="41"/>
  <c r="Q17" i="41"/>
  <c r="Q44" i="41"/>
  <c r="Q36" i="41"/>
  <c r="Q63" i="41"/>
  <c r="Q37" i="41"/>
  <c r="Q32" i="41"/>
  <c r="Q28" i="41"/>
  <c r="Q24" i="41"/>
  <c r="Q15" i="41"/>
  <c r="Q10" i="41"/>
  <c r="Q68" i="41" s="1"/>
  <c r="Q8" i="41"/>
  <c r="Q33" i="41"/>
  <c r="Y84" i="41"/>
  <c r="Y50" i="41"/>
  <c r="Y76" i="41"/>
  <c r="Y64" i="41"/>
  <c r="Y45" i="41"/>
  <c r="Y48" i="41"/>
  <c r="Y42" i="41"/>
  <c r="Y38" i="41"/>
  <c r="Y34" i="41"/>
  <c r="Y51" i="41"/>
  <c r="Y55" i="41"/>
  <c r="Y46" i="41"/>
  <c r="Y43" i="41"/>
  <c r="Y39" i="41"/>
  <c r="Y35" i="41"/>
  <c r="Y49" i="41"/>
  <c r="Y56" i="41"/>
  <c r="Y47" i="41"/>
  <c r="Y75" i="41"/>
  <c r="Y77" i="41" s="1"/>
  <c r="Y44" i="41"/>
  <c r="Y23" i="41"/>
  <c r="Y14" i="41"/>
  <c r="Y31" i="41"/>
  <c r="Y27" i="41"/>
  <c r="Y17" i="41"/>
  <c r="Y63" i="41"/>
  <c r="Y32" i="41"/>
  <c r="Y28" i="41"/>
  <c r="Y24" i="41"/>
  <c r="Y15" i="41"/>
  <c r="Y10" i="41"/>
  <c r="Y8" i="41"/>
  <c r="Y40" i="41"/>
  <c r="Y41" i="41"/>
  <c r="Y36" i="41"/>
  <c r="Y33" i="41"/>
  <c r="U5" i="41"/>
  <c r="N7" i="41"/>
  <c r="V7" i="41"/>
  <c r="S8" i="41"/>
  <c r="T9" i="41"/>
  <c r="N10" i="41"/>
  <c r="S11" i="41"/>
  <c r="L12" i="41"/>
  <c r="W12" i="41"/>
  <c r="O13" i="41"/>
  <c r="S14" i="41"/>
  <c r="W15" i="41"/>
  <c r="P16" i="41"/>
  <c r="F17" i="41"/>
  <c r="T17" i="41"/>
  <c r="I18" i="41"/>
  <c r="W18" i="41"/>
  <c r="L19" i="41"/>
  <c r="T22" i="41"/>
  <c r="L23" i="41"/>
  <c r="P24" i="41"/>
  <c r="W25" i="41"/>
  <c r="V27" i="41"/>
  <c r="O28" i="41"/>
  <c r="W29" i="41"/>
  <c r="V31" i="41"/>
  <c r="O32" i="41"/>
  <c r="Y52" i="41"/>
  <c r="J48" i="41"/>
  <c r="J84" i="41"/>
  <c r="J17" i="41"/>
  <c r="J12" i="41"/>
  <c r="J18" i="41"/>
  <c r="R76" i="41"/>
  <c r="R64" i="41"/>
  <c r="R48" i="41"/>
  <c r="R42" i="41"/>
  <c r="R38" i="41"/>
  <c r="R51" i="41"/>
  <c r="R55" i="41"/>
  <c r="R46" i="41"/>
  <c r="R43" i="41"/>
  <c r="R39" i="41"/>
  <c r="R49" i="41"/>
  <c r="R75" i="41"/>
  <c r="R63" i="41"/>
  <c r="R52" i="41"/>
  <c r="R44" i="41"/>
  <c r="R40" i="41"/>
  <c r="R36" i="41"/>
  <c r="R84" i="41"/>
  <c r="R50" i="41"/>
  <c r="R41" i="41"/>
  <c r="R31" i="41"/>
  <c r="R27" i="41"/>
  <c r="R17" i="41"/>
  <c r="R47" i="41"/>
  <c r="R12" i="41"/>
  <c r="R37" i="41"/>
  <c r="R32" i="41"/>
  <c r="R28" i="41"/>
  <c r="R35" i="41"/>
  <c r="R18" i="41"/>
  <c r="R45" i="41"/>
  <c r="N5" i="41"/>
  <c r="V5" i="41"/>
  <c r="O7" i="41"/>
  <c r="W7" i="41"/>
  <c r="U8" i="41"/>
  <c r="V9" i="41"/>
  <c r="O10" i="41"/>
  <c r="T11" i="41"/>
  <c r="M12" i="41"/>
  <c r="Y12" i="41"/>
  <c r="P13" i="41"/>
  <c r="G14" i="41"/>
  <c r="T14" i="41"/>
  <c r="M15" i="41"/>
  <c r="X15" i="41"/>
  <c r="Q16" i="41"/>
  <c r="H17" i="41"/>
  <c r="U17" i="41"/>
  <c r="K18" i="41"/>
  <c r="X18" i="41"/>
  <c r="N19" i="41"/>
  <c r="W22" i="41"/>
  <c r="M23" i="41"/>
  <c r="F24" i="41"/>
  <c r="R24" i="41"/>
  <c r="X25" i="41"/>
  <c r="Q26" i="41"/>
  <c r="P28" i="41"/>
  <c r="X29" i="41"/>
  <c r="Q30" i="41"/>
  <c r="P32" i="41"/>
  <c r="X37" i="41"/>
  <c r="Q41" i="41"/>
  <c r="M48" i="41"/>
  <c r="D71" i="41"/>
  <c r="D53" i="41"/>
  <c r="D60" i="41"/>
  <c r="D61" i="41" s="1"/>
  <c r="D26" i="14"/>
  <c r="D25" i="14"/>
  <c r="D24" i="14"/>
  <c r="D23" i="14"/>
  <c r="Y68" i="41" l="1"/>
  <c r="V68" i="41"/>
  <c r="R68" i="41"/>
  <c r="U68" i="41"/>
  <c r="R57" i="41"/>
  <c r="W68" i="41"/>
  <c r="U77" i="41"/>
  <c r="N68" i="41"/>
  <c r="Y57" i="41"/>
  <c r="Y73" i="41" s="1"/>
  <c r="P57" i="41"/>
  <c r="P73" i="41" s="1"/>
  <c r="T68" i="41"/>
  <c r="V77" i="41"/>
  <c r="Y20" i="41"/>
  <c r="N67" i="41"/>
  <c r="Q67" i="41"/>
  <c r="T57" i="41"/>
  <c r="T73" i="41" s="1"/>
  <c r="S68" i="41"/>
  <c r="Y53" i="41"/>
  <c r="P77" i="41"/>
  <c r="W77" i="41"/>
  <c r="N57" i="41"/>
  <c r="N73" i="41" s="1"/>
  <c r="Y67" i="41"/>
  <c r="P67" i="41"/>
  <c r="N77" i="41"/>
  <c r="O53" i="41"/>
  <c r="X67" i="41"/>
  <c r="Y86" i="43"/>
  <c r="CD38" i="43"/>
  <c r="CG38" i="43" s="1"/>
  <c r="BR38" i="43"/>
  <c r="CD37" i="43"/>
  <c r="CG37" i="43" s="1"/>
  <c r="BR37" i="43"/>
  <c r="CD35" i="43"/>
  <c r="CG35" i="43" s="1"/>
  <c r="BR35" i="43"/>
  <c r="CD33" i="43"/>
  <c r="CG33" i="43" s="1"/>
  <c r="BR33" i="43"/>
  <c r="CK36" i="43"/>
  <c r="CC36" i="43"/>
  <c r="BM36" i="43"/>
  <c r="BQ36" i="43" s="1"/>
  <c r="CD39" i="43"/>
  <c r="CG39" i="43" s="1"/>
  <c r="BR39" i="43"/>
  <c r="CD28" i="43"/>
  <c r="CG28" i="43" s="1"/>
  <c r="BR28" i="43"/>
  <c r="CD30" i="43"/>
  <c r="CG30" i="43" s="1"/>
  <c r="BR30" i="43"/>
  <c r="X45" i="43"/>
  <c r="AD32" i="43"/>
  <c r="O45" i="43"/>
  <c r="S32" i="43"/>
  <c r="CC28" i="43"/>
  <c r="CH28" i="43" s="1"/>
  <c r="CK28" i="43"/>
  <c r="BM28" i="43"/>
  <c r="BQ28" i="43" s="1"/>
  <c r="BM30" i="43"/>
  <c r="BQ30" i="43" s="1"/>
  <c r="CK30" i="43"/>
  <c r="CC30" i="43"/>
  <c r="CH30" i="43" s="1"/>
  <c r="CK34" i="43"/>
  <c r="BM34" i="43"/>
  <c r="BQ34" i="43" s="1"/>
  <c r="CC34" i="43"/>
  <c r="O84" i="43"/>
  <c r="S48" i="43"/>
  <c r="AD24" i="43"/>
  <c r="X43" i="43"/>
  <c r="X44" i="43" s="1"/>
  <c r="BM27" i="43"/>
  <c r="BQ27" i="43" s="1"/>
  <c r="CC27" i="43"/>
  <c r="CK27" i="43"/>
  <c r="CK26" i="43"/>
  <c r="CC26" i="43"/>
  <c r="BM26" i="43"/>
  <c r="BQ26" i="43" s="1"/>
  <c r="CD29" i="43"/>
  <c r="CG29" i="43" s="1"/>
  <c r="BR29" i="43"/>
  <c r="O43" i="43"/>
  <c r="O44" i="43" s="1"/>
  <c r="S24" i="43"/>
  <c r="I44" i="43"/>
  <c r="AL20" i="43"/>
  <c r="AI20" i="43"/>
  <c r="AQ20" i="43"/>
  <c r="AS19" i="43"/>
  <c r="AP20" i="43"/>
  <c r="AO20" i="43"/>
  <c r="AN20" i="43"/>
  <c r="AM20" i="43"/>
  <c r="AK20" i="43"/>
  <c r="AJ20" i="43"/>
  <c r="AR20" i="43"/>
  <c r="CK25" i="43"/>
  <c r="BM25" i="43"/>
  <c r="BQ25" i="43" s="1"/>
  <c r="CC25" i="43"/>
  <c r="BR27" i="43"/>
  <c r="CD27" i="43"/>
  <c r="CG27" i="43" s="1"/>
  <c r="CD34" i="43"/>
  <c r="CG34" i="43" s="1"/>
  <c r="BR34" i="43"/>
  <c r="CD31" i="43"/>
  <c r="CG31" i="43" s="1"/>
  <c r="BR31" i="43"/>
  <c r="CK37" i="43"/>
  <c r="CC37" i="43"/>
  <c r="BM37" i="43"/>
  <c r="BQ37" i="43" s="1"/>
  <c r="CD40" i="43"/>
  <c r="CG40" i="43" s="1"/>
  <c r="BR40" i="43"/>
  <c r="CD36" i="43"/>
  <c r="CG36" i="43" s="1"/>
  <c r="BR36" i="43"/>
  <c r="BR25" i="43"/>
  <c r="CD25" i="43"/>
  <c r="CG25" i="43" s="1"/>
  <c r="BR26" i="43"/>
  <c r="CD26" i="43"/>
  <c r="CG26" i="43" s="1"/>
  <c r="BM31" i="43"/>
  <c r="BQ31" i="43" s="1"/>
  <c r="CK31" i="43"/>
  <c r="CC31" i="43"/>
  <c r="CH31" i="43" s="1"/>
  <c r="T84" i="43"/>
  <c r="T89" i="43" s="1"/>
  <c r="X48" i="43"/>
  <c r="X90" i="43"/>
  <c r="X95" i="43" s="1"/>
  <c r="AD86" i="43"/>
  <c r="T44" i="43"/>
  <c r="CK35" i="43"/>
  <c r="CC35" i="43"/>
  <c r="BM35" i="43"/>
  <c r="BQ35" i="43" s="1"/>
  <c r="CK40" i="43"/>
  <c r="CC40" i="43"/>
  <c r="BM40" i="43"/>
  <c r="BQ40" i="43" s="1"/>
  <c r="CK38" i="43"/>
  <c r="CC38" i="43"/>
  <c r="BM38" i="43"/>
  <c r="BQ38" i="43" s="1"/>
  <c r="BM33" i="43"/>
  <c r="BQ33" i="43" s="1"/>
  <c r="CK33" i="43"/>
  <c r="CC33" i="43"/>
  <c r="CK39" i="43"/>
  <c r="CC39" i="43"/>
  <c r="BM39" i="43"/>
  <c r="BQ39" i="43" s="1"/>
  <c r="CK29" i="43"/>
  <c r="BM29" i="43"/>
  <c r="BQ29" i="43" s="1"/>
  <c r="CC29" i="43"/>
  <c r="CH29" i="43" s="1"/>
  <c r="N44" i="44"/>
  <c r="X48" i="44"/>
  <c r="AH24" i="44"/>
  <c r="AD32" i="44"/>
  <c r="AD47" i="44" s="1"/>
  <c r="X45" i="44"/>
  <c r="X44" i="44" s="1"/>
  <c r="X49" i="44"/>
  <c r="AB20" i="44"/>
  <c r="AA20" i="44"/>
  <c r="AD20" i="44"/>
  <c r="AH20" i="44"/>
  <c r="Z20" i="44"/>
  <c r="AG20" i="44"/>
  <c r="Y20" i="44"/>
  <c r="AF20" i="44"/>
  <c r="AI19" i="44"/>
  <c r="AE20" i="44"/>
  <c r="AC20" i="44"/>
  <c r="S45" i="44"/>
  <c r="Y32" i="44"/>
  <c r="S49" i="44"/>
  <c r="O47" i="44"/>
  <c r="O48" i="44" s="1"/>
  <c r="O43" i="44"/>
  <c r="O44" i="44" s="1"/>
  <c r="S24" i="44"/>
  <c r="V67" i="41"/>
  <c r="S69" i="41"/>
  <c r="S20" i="41"/>
  <c r="T77" i="41"/>
  <c r="O57" i="41"/>
  <c r="O73" i="41" s="1"/>
  <c r="V69" i="41"/>
  <c r="V20" i="41"/>
  <c r="P68" i="41"/>
  <c r="U67" i="41"/>
  <c r="Q57" i="41"/>
  <c r="Q73" i="41" s="1"/>
  <c r="X77" i="41"/>
  <c r="P53" i="41"/>
  <c r="N69" i="41"/>
  <c r="N20" i="41"/>
  <c r="W67" i="41"/>
  <c r="R73" i="41"/>
  <c r="T53" i="41"/>
  <c r="Q69" i="41"/>
  <c r="Q20" i="41"/>
  <c r="S67" i="41"/>
  <c r="R67" i="41"/>
  <c r="O67" i="41"/>
  <c r="R53" i="41"/>
  <c r="X69" i="41"/>
  <c r="X20" i="41"/>
  <c r="P20" i="41"/>
  <c r="P69" i="41"/>
  <c r="W73" i="41"/>
  <c r="N53" i="41"/>
  <c r="S57" i="41"/>
  <c r="S73" i="41" s="1"/>
  <c r="V53" i="41"/>
  <c r="U53" i="41"/>
  <c r="U57" i="41"/>
  <c r="U73" i="41" s="1"/>
  <c r="X53" i="41"/>
  <c r="O69" i="41"/>
  <c r="O20" i="41"/>
  <c r="T69" i="41"/>
  <c r="T20" i="41"/>
  <c r="O68" i="41"/>
  <c r="R77" i="41"/>
  <c r="R69" i="41"/>
  <c r="R20" i="41"/>
  <c r="X57" i="41"/>
  <c r="X73" i="41" s="1"/>
  <c r="Q53" i="41"/>
  <c r="W69" i="41"/>
  <c r="W20" i="41"/>
  <c r="S77" i="41"/>
  <c r="W53" i="41"/>
  <c r="Q77" i="41"/>
  <c r="T67" i="41"/>
  <c r="O77" i="41"/>
  <c r="V57" i="41"/>
  <c r="V73" i="41" s="1"/>
  <c r="U69" i="41"/>
  <c r="U20" i="41"/>
  <c r="X68" i="41"/>
  <c r="S53" i="41"/>
  <c r="L31" i="15"/>
  <c r="AH86" i="43" l="1"/>
  <c r="S43" i="43"/>
  <c r="Y24" i="43"/>
  <c r="CH25" i="43"/>
  <c r="AD45" i="43"/>
  <c r="AH32" i="43"/>
  <c r="X84" i="43"/>
  <c r="X89" i="43" s="1"/>
  <c r="AD48" i="43"/>
  <c r="BB20" i="43"/>
  <c r="AT20" i="43"/>
  <c r="BA20" i="43"/>
  <c r="AU20" i="43"/>
  <c r="AZ20" i="43"/>
  <c r="AW20" i="43"/>
  <c r="AY20" i="43"/>
  <c r="AX20" i="43"/>
  <c r="BC19" i="43"/>
  <c r="AV20" i="43"/>
  <c r="AS20" i="43"/>
  <c r="AD43" i="43"/>
  <c r="AD44" i="43" s="1"/>
  <c r="AH24" i="43"/>
  <c r="S84" i="43"/>
  <c r="S89" i="43" s="1"/>
  <c r="Y48" i="43"/>
  <c r="Y90" i="43"/>
  <c r="Y95" i="43" s="1"/>
  <c r="AC86" i="43"/>
  <c r="CH26" i="43"/>
  <c r="O89" i="43"/>
  <c r="S45" i="43"/>
  <c r="Y32" i="43"/>
  <c r="S90" i="43"/>
  <c r="S95" i="43" s="1"/>
  <c r="AC32" i="44"/>
  <c r="Y49" i="44"/>
  <c r="Y45" i="44"/>
  <c r="AH43" i="44"/>
  <c r="AH47" i="44"/>
  <c r="AN24" i="44"/>
  <c r="AD43" i="44"/>
  <c r="AD44" i="44" s="1"/>
  <c r="AD49" i="44"/>
  <c r="AD48" i="44" s="1"/>
  <c r="AD45" i="44"/>
  <c r="AH32" i="44"/>
  <c r="S47" i="44"/>
  <c r="S48" i="44" s="1"/>
  <c r="S43" i="44"/>
  <c r="S44" i="44" s="1"/>
  <c r="Y24" i="44"/>
  <c r="AR20" i="44"/>
  <c r="AJ20" i="44"/>
  <c r="AQ20" i="44"/>
  <c r="AI20" i="44"/>
  <c r="AP20" i="44"/>
  <c r="AO20" i="44"/>
  <c r="AS19" i="44"/>
  <c r="AN20" i="44"/>
  <c r="AM20" i="44"/>
  <c r="AL20" i="44"/>
  <c r="AK20" i="44"/>
  <c r="AD23" i="12"/>
  <c r="AN32" i="43" l="1"/>
  <c r="AH45" i="43"/>
  <c r="AH43" i="43"/>
  <c r="AH44" i="43" s="1"/>
  <c r="AN24" i="43"/>
  <c r="Y43" i="43"/>
  <c r="AC24" i="43"/>
  <c r="Y45" i="43"/>
  <c r="AC32" i="43"/>
  <c r="AI86" i="43"/>
  <c r="S44" i="43"/>
  <c r="AD84" i="43"/>
  <c r="AD89" i="43" s="1"/>
  <c r="AH48" i="43"/>
  <c r="AH90" i="43"/>
  <c r="AH95" i="43" s="1"/>
  <c r="AN86" i="43"/>
  <c r="BJ20" i="43"/>
  <c r="BI20" i="43"/>
  <c r="BD20" i="43"/>
  <c r="BH20" i="43"/>
  <c r="BM19" i="43"/>
  <c r="BG20" i="43"/>
  <c r="BF20" i="43"/>
  <c r="CJ20" i="43"/>
  <c r="CK20" i="43"/>
  <c r="BE20" i="43"/>
  <c r="BL20" i="43"/>
  <c r="BC20" i="43"/>
  <c r="BK20" i="43"/>
  <c r="Y84" i="43"/>
  <c r="Y89" i="43" s="1"/>
  <c r="AC48" i="43"/>
  <c r="AD90" i="43"/>
  <c r="AD95" i="43" s="1"/>
  <c r="AR24" i="44"/>
  <c r="AH48" i="44"/>
  <c r="AZ20" i="44"/>
  <c r="BB20" i="44"/>
  <c r="AY20" i="44"/>
  <c r="AX20" i="44"/>
  <c r="BC19" i="44"/>
  <c r="AW20" i="44"/>
  <c r="AV20" i="44"/>
  <c r="AU20" i="44"/>
  <c r="BA20" i="44"/>
  <c r="AS20" i="44"/>
  <c r="AT20" i="44"/>
  <c r="AH44" i="44"/>
  <c r="AH49" i="44"/>
  <c r="AH45" i="44"/>
  <c r="AN32" i="44"/>
  <c r="Y47" i="44"/>
  <c r="Y48" i="44" s="1"/>
  <c r="AC24" i="44"/>
  <c r="Y43" i="44"/>
  <c r="Y44" i="44" s="1"/>
  <c r="AC45" i="44"/>
  <c r="AC49" i="44"/>
  <c r="AI32" i="44"/>
  <c r="H183" i="32" a="1"/>
  <c r="H183" i="32" s="1"/>
  <c r="H182" i="32" a="1"/>
  <c r="H182" i="32" s="1"/>
  <c r="H181" i="32" a="1"/>
  <c r="H181" i="32" s="1"/>
  <c r="H180" i="32" a="1"/>
  <c r="H180" i="32" s="1"/>
  <c r="H179" i="32" a="1"/>
  <c r="H179" i="32" s="1"/>
  <c r="H178" i="32" a="1"/>
  <c r="H178" i="32" s="1"/>
  <c r="H177" i="32" a="1"/>
  <c r="H177" i="32" s="1"/>
  <c r="H176" i="32" a="1"/>
  <c r="H176" i="32" s="1"/>
  <c r="H175" i="32" a="1"/>
  <c r="H175" i="32" s="1"/>
  <c r="H174" i="32" a="1"/>
  <c r="H174" i="32" s="1"/>
  <c r="H173" i="32" a="1"/>
  <c r="H173" i="32" s="1"/>
  <c r="H172" i="32" a="1"/>
  <c r="H172" i="32" s="1"/>
  <c r="H171" i="32" a="1"/>
  <c r="H171" i="32" s="1"/>
  <c r="H170" i="32" a="1"/>
  <c r="H170" i="32" s="1"/>
  <c r="H169" i="32" a="1"/>
  <c r="H169" i="32"/>
  <c r="H168" i="32" a="1"/>
  <c r="H168" i="32" s="1"/>
  <c r="H167" i="32" a="1"/>
  <c r="H167" i="32" s="1"/>
  <c r="H166" i="32" a="1"/>
  <c r="H166" i="32" s="1"/>
  <c r="H165" i="32" a="1"/>
  <c r="H165" i="32" s="1"/>
  <c r="H164" i="32" a="1"/>
  <c r="H164" i="32" s="1"/>
  <c r="H163" i="32" a="1"/>
  <c r="H163" i="32" s="1"/>
  <c r="H162" i="32" a="1"/>
  <c r="H162" i="32" s="1"/>
  <c r="H161" i="32" a="1"/>
  <c r="H161" i="32" s="1"/>
  <c r="H160" i="32" a="1"/>
  <c r="H160" i="32" s="1"/>
  <c r="H159" i="32" a="1"/>
  <c r="H159" i="32" s="1"/>
  <c r="H158" i="32" a="1"/>
  <c r="H158" i="32" s="1"/>
  <c r="H157" i="32" a="1"/>
  <c r="H157" i="32" s="1"/>
  <c r="H156" i="32" a="1"/>
  <c r="H156" i="32"/>
  <c r="H155" i="32" a="1"/>
  <c r="H155" i="32" s="1"/>
  <c r="H154" i="32" a="1"/>
  <c r="H154" i="32" s="1"/>
  <c r="H153" i="32" a="1"/>
  <c r="H153" i="32" s="1"/>
  <c r="H152" i="32" a="1"/>
  <c r="H152" i="32" s="1"/>
  <c r="H151" i="32" a="1"/>
  <c r="H151" i="32"/>
  <c r="H150" i="32" a="1"/>
  <c r="H150" i="32" s="1"/>
  <c r="H149" i="32" a="1"/>
  <c r="H149" i="32" s="1"/>
  <c r="H148" i="32" a="1"/>
  <c r="H148" i="32" s="1"/>
  <c r="H147" i="32" a="1"/>
  <c r="H147" i="32" s="1"/>
  <c r="H146" i="32" a="1"/>
  <c r="H146" i="32" s="1"/>
  <c r="H145" i="32" a="1"/>
  <c r="H145" i="32" s="1"/>
  <c r="H144" i="32" a="1"/>
  <c r="H144" i="32" s="1"/>
  <c r="H143" i="32" a="1"/>
  <c r="H143" i="32" s="1"/>
  <c r="H142" i="32" a="1"/>
  <c r="H142" i="32" s="1"/>
  <c r="H141" i="32" a="1"/>
  <c r="H141" i="32" s="1"/>
  <c r="H140" i="32" a="1"/>
  <c r="H140" i="32" s="1"/>
  <c r="H139" i="32" a="1"/>
  <c r="H139" i="32"/>
  <c r="H138" i="32" a="1"/>
  <c r="H138" i="32" s="1"/>
  <c r="H137" i="32" a="1"/>
  <c r="H137" i="32" s="1"/>
  <c r="H136" i="32" a="1"/>
  <c r="H136" i="32" s="1"/>
  <c r="H135" i="32" a="1"/>
  <c r="H135" i="32" s="1"/>
  <c r="H134" i="32" a="1"/>
  <c r="H134" i="32" s="1"/>
  <c r="H133" i="32" a="1"/>
  <c r="H133" i="32" s="1"/>
  <c r="H132" i="32" a="1"/>
  <c r="H132" i="32" s="1"/>
  <c r="H131" i="32" a="1"/>
  <c r="H131" i="32" s="1"/>
  <c r="H130" i="32" a="1"/>
  <c r="H130" i="32" s="1"/>
  <c r="H129" i="32" a="1"/>
  <c r="H129" i="32" s="1"/>
  <c r="H128" i="32" a="1"/>
  <c r="H128" i="32" s="1"/>
  <c r="H127" i="32" a="1"/>
  <c r="H127" i="32" s="1"/>
  <c r="H126" i="32" a="1"/>
  <c r="H126" i="32" s="1"/>
  <c r="H125" i="32" a="1"/>
  <c r="H125" i="32" s="1"/>
  <c r="H124" i="32" a="1"/>
  <c r="H124" i="32" s="1"/>
  <c r="H123" i="32" a="1"/>
  <c r="H123" i="32" s="1"/>
  <c r="H122" i="32" a="1"/>
  <c r="H122" i="32" s="1"/>
  <c r="H121" i="32" a="1"/>
  <c r="H121" i="32" s="1"/>
  <c r="H120" i="32" a="1"/>
  <c r="H120" i="32" s="1"/>
  <c r="H119" i="32" a="1"/>
  <c r="H119" i="32" s="1"/>
  <c r="H118" i="32" a="1"/>
  <c r="H118" i="32" s="1"/>
  <c r="H117" i="32" a="1"/>
  <c r="H117" i="32" s="1"/>
  <c r="H116" i="32" a="1"/>
  <c r="H116" i="32" s="1"/>
  <c r="H115" i="32" a="1"/>
  <c r="H115" i="32" s="1"/>
  <c r="H114" i="32" a="1"/>
  <c r="H114" i="32" s="1"/>
  <c r="H113" i="32" a="1"/>
  <c r="H113" i="32" s="1"/>
  <c r="H112" i="32" a="1"/>
  <c r="H112" i="32" s="1"/>
  <c r="H111" i="32" a="1"/>
  <c r="H111" i="32" s="1"/>
  <c r="H110" i="32" a="1"/>
  <c r="H110" i="32" s="1"/>
  <c r="H109" i="32" a="1"/>
  <c r="H109" i="32" s="1"/>
  <c r="H108" i="32" a="1"/>
  <c r="H108" i="32" s="1"/>
  <c r="H107" i="32" a="1"/>
  <c r="H107" i="32" s="1"/>
  <c r="H106" i="32" a="1"/>
  <c r="H106" i="32" s="1"/>
  <c r="H105" i="32" a="1"/>
  <c r="H105" i="32" s="1"/>
  <c r="H104" i="32" a="1"/>
  <c r="H104" i="32" s="1"/>
  <c r="H103" i="32" a="1"/>
  <c r="H103" i="32" s="1"/>
  <c r="H102" i="32" a="1"/>
  <c r="H102" i="32" s="1"/>
  <c r="H101" i="32" a="1"/>
  <c r="H101" i="32" s="1"/>
  <c r="H100" i="32" a="1"/>
  <c r="H100" i="32" s="1"/>
  <c r="H99" i="32" a="1"/>
  <c r="H99" i="32" s="1"/>
  <c r="H98" i="32" a="1"/>
  <c r="H98" i="32" s="1"/>
  <c r="H97" i="32" a="1"/>
  <c r="H97" i="32" s="1"/>
  <c r="H96" i="32" a="1"/>
  <c r="H96" i="32" s="1"/>
  <c r="H95" i="32" a="1"/>
  <c r="H95" i="32" s="1"/>
  <c r="H94" i="32" a="1"/>
  <c r="H94" i="32" s="1"/>
  <c r="H93" i="32" a="1"/>
  <c r="H93" i="32" s="1"/>
  <c r="H92" i="32" a="1"/>
  <c r="H92" i="32" s="1"/>
  <c r="H91" i="32" a="1"/>
  <c r="H91" i="32" s="1"/>
  <c r="H90" i="32" a="1"/>
  <c r="H90" i="32" s="1"/>
  <c r="H89" i="32" a="1"/>
  <c r="H89" i="32" s="1"/>
  <c r="H88" i="32" a="1"/>
  <c r="H88" i="32" s="1"/>
  <c r="H87" i="32" a="1"/>
  <c r="H87" i="32" s="1"/>
  <c r="H86" i="32" a="1"/>
  <c r="H86" i="32" s="1"/>
  <c r="H85" i="32" a="1"/>
  <c r="H85" i="32" s="1"/>
  <c r="H84" i="32" a="1"/>
  <c r="H84" i="32" s="1"/>
  <c r="H83" i="32" a="1"/>
  <c r="H83" i="32" s="1"/>
  <c r="H82" i="32" a="1"/>
  <c r="H82" i="32" s="1"/>
  <c r="H81" i="32" a="1"/>
  <c r="H81" i="32"/>
  <c r="H80" i="32" a="1"/>
  <c r="H80" i="32" s="1"/>
  <c r="H79" i="32" a="1"/>
  <c r="H79" i="32" s="1"/>
  <c r="H78" i="32" a="1"/>
  <c r="H78" i="32" s="1"/>
  <c r="H77" i="32" a="1"/>
  <c r="H77" i="32" s="1"/>
  <c r="H76" i="32" a="1"/>
  <c r="H76" i="32" s="1"/>
  <c r="H75" i="32" a="1"/>
  <c r="H75" i="32" s="1"/>
  <c r="H74" i="32" a="1"/>
  <c r="H74" i="32" s="1"/>
  <c r="H73" i="32" a="1"/>
  <c r="H73" i="32" s="1"/>
  <c r="H72" i="32" a="1"/>
  <c r="H72" i="32" s="1"/>
  <c r="H71" i="32" a="1"/>
  <c r="H71" i="32"/>
  <c r="H70" i="32" a="1"/>
  <c r="H70" i="32" s="1"/>
  <c r="H69" i="32" a="1"/>
  <c r="H69" i="32" s="1"/>
  <c r="H68" i="32" a="1"/>
  <c r="H68" i="32" s="1"/>
  <c r="H67" i="32" a="1"/>
  <c r="H67" i="32" s="1"/>
  <c r="H66" i="32" a="1"/>
  <c r="H66" i="32" s="1"/>
  <c r="H65" i="32" a="1"/>
  <c r="H65" i="32" s="1"/>
  <c r="H64" i="32" a="1"/>
  <c r="H64" i="32" s="1"/>
  <c r="H63" i="32" a="1"/>
  <c r="H63" i="32" s="1"/>
  <c r="H62" i="32" a="1"/>
  <c r="H62" i="32" s="1"/>
  <c r="H61" i="32" a="1"/>
  <c r="H61" i="32" s="1"/>
  <c r="H60" i="32" a="1"/>
  <c r="H60" i="32" s="1"/>
  <c r="H59" i="32" a="1"/>
  <c r="H59" i="32" s="1"/>
  <c r="H58" i="32" a="1"/>
  <c r="H58" i="32" s="1"/>
  <c r="H57" i="32" a="1"/>
  <c r="H57" i="32" s="1"/>
  <c r="H56" i="32" a="1"/>
  <c r="H56" i="32" s="1"/>
  <c r="H55" i="32" a="1"/>
  <c r="H55" i="32" s="1"/>
  <c r="H54" i="32" a="1"/>
  <c r="H54" i="32" s="1"/>
  <c r="H53" i="32" a="1"/>
  <c r="H53" i="32" s="1"/>
  <c r="H52" i="32" a="1"/>
  <c r="H52" i="32" s="1"/>
  <c r="H51" i="32" a="1"/>
  <c r="H51" i="32" s="1"/>
  <c r="H50" i="32" a="1"/>
  <c r="H50" i="32" s="1"/>
  <c r="H49" i="32" a="1"/>
  <c r="H49" i="32" s="1"/>
  <c r="H48" i="32" a="1"/>
  <c r="H48" i="32"/>
  <c r="H47" i="32" a="1"/>
  <c r="H47" i="32" s="1"/>
  <c r="H46" i="32" a="1"/>
  <c r="H46" i="32" s="1"/>
  <c r="H45" i="32" a="1"/>
  <c r="H45" i="32" s="1"/>
  <c r="H44" i="32" a="1"/>
  <c r="H44" i="32" s="1"/>
  <c r="H43" i="32" a="1"/>
  <c r="H43" i="32" s="1"/>
  <c r="H42" i="32" a="1"/>
  <c r="H42" i="32" s="1"/>
  <c r="H41" i="32" a="1"/>
  <c r="H41" i="32" s="1"/>
  <c r="H40" i="32" a="1"/>
  <c r="H40" i="32" s="1"/>
  <c r="H39" i="32" a="1"/>
  <c r="H39" i="32" s="1"/>
  <c r="H38" i="32" a="1"/>
  <c r="H38" i="32" s="1"/>
  <c r="H37" i="32" a="1"/>
  <c r="H37" i="32" s="1"/>
  <c r="H36" i="32" a="1"/>
  <c r="H36" i="32" s="1"/>
  <c r="H35" i="32" a="1"/>
  <c r="H35" i="32" s="1"/>
  <c r="H34" i="32" a="1"/>
  <c r="H34" i="32" s="1"/>
  <c r="G183" i="32" a="1"/>
  <c r="G183" i="32" s="1"/>
  <c r="G182" i="32" a="1"/>
  <c r="G182" i="32" s="1"/>
  <c r="G181" i="32" a="1"/>
  <c r="G181" i="32" s="1"/>
  <c r="G180" i="32" a="1"/>
  <c r="G180" i="32" s="1"/>
  <c r="G179" i="32" a="1"/>
  <c r="G179" i="32" s="1"/>
  <c r="G178" i="32" a="1"/>
  <c r="G178" i="32" s="1"/>
  <c r="G177" i="32" a="1"/>
  <c r="G177" i="32" s="1"/>
  <c r="G176" i="32" a="1"/>
  <c r="G176" i="32" s="1"/>
  <c r="G175" i="32" a="1"/>
  <c r="G175" i="32" s="1"/>
  <c r="G174" i="32" a="1"/>
  <c r="G174" i="32"/>
  <c r="G173" i="32" a="1"/>
  <c r="G173" i="32" s="1"/>
  <c r="G172" i="32" a="1"/>
  <c r="G172" i="32" s="1"/>
  <c r="G171" i="32" a="1"/>
  <c r="G171" i="32" s="1"/>
  <c r="G170" i="32" a="1"/>
  <c r="G170" i="32" s="1"/>
  <c r="G169" i="32" a="1"/>
  <c r="G169" i="32" s="1"/>
  <c r="G168" i="32" a="1"/>
  <c r="G168" i="32" s="1"/>
  <c r="G167" i="32" a="1"/>
  <c r="G167" i="32" s="1"/>
  <c r="G166" i="32" a="1"/>
  <c r="G166" i="32" s="1"/>
  <c r="G165" i="32" a="1"/>
  <c r="G165" i="32" s="1"/>
  <c r="G164" i="32" a="1"/>
  <c r="G164" i="32" s="1"/>
  <c r="G163" i="32" a="1"/>
  <c r="G163" i="32" s="1"/>
  <c r="G162" i="32" a="1"/>
  <c r="G162" i="32"/>
  <c r="G161" i="32" a="1"/>
  <c r="G161" i="32" s="1"/>
  <c r="G160" i="32" a="1"/>
  <c r="G160" i="32" s="1"/>
  <c r="G159" i="32" a="1"/>
  <c r="G159" i="32" s="1"/>
  <c r="G158" i="32" a="1"/>
  <c r="G158" i="32" s="1"/>
  <c r="G157" i="32" a="1"/>
  <c r="G157" i="32" s="1"/>
  <c r="G156" i="32" a="1"/>
  <c r="G156" i="32" s="1"/>
  <c r="G155" i="32" a="1"/>
  <c r="G155" i="32" s="1"/>
  <c r="G154" i="32" a="1"/>
  <c r="G154" i="32" s="1"/>
  <c r="G153" i="32" a="1"/>
  <c r="G153" i="32" s="1"/>
  <c r="G152" i="32" a="1"/>
  <c r="G152" i="32" s="1"/>
  <c r="G151" i="32" a="1"/>
  <c r="G151" i="32" s="1"/>
  <c r="G150" i="32" a="1"/>
  <c r="G150" i="32"/>
  <c r="G149" i="32" a="1"/>
  <c r="G149" i="32" s="1"/>
  <c r="G148" i="32" a="1"/>
  <c r="G148" i="32" s="1"/>
  <c r="G147" i="32" a="1"/>
  <c r="G147" i="32" s="1"/>
  <c r="G146" i="32" a="1"/>
  <c r="G146" i="32" s="1"/>
  <c r="G145" i="32" a="1"/>
  <c r="G145" i="32" s="1"/>
  <c r="G144" i="32" a="1"/>
  <c r="G144" i="32" s="1"/>
  <c r="G143" i="32" a="1"/>
  <c r="G143" i="32" s="1"/>
  <c r="G142" i="32" a="1"/>
  <c r="G142" i="32" s="1"/>
  <c r="G141" i="32" a="1"/>
  <c r="G141" i="32" s="1"/>
  <c r="G140" i="32" a="1"/>
  <c r="G140" i="32"/>
  <c r="G139" i="32" a="1"/>
  <c r="G139" i="32"/>
  <c r="G138" i="32" a="1"/>
  <c r="G138" i="32" s="1"/>
  <c r="G137" i="32" a="1"/>
  <c r="G137" i="32" s="1"/>
  <c r="G136" i="32" a="1"/>
  <c r="G136" i="32" s="1"/>
  <c r="G135" i="32" a="1"/>
  <c r="G135" i="32" s="1"/>
  <c r="G134" i="32" a="1"/>
  <c r="G134" i="32" s="1"/>
  <c r="G133" i="32" a="1"/>
  <c r="G133" i="32" s="1"/>
  <c r="G132" i="32" a="1"/>
  <c r="G132" i="32" s="1"/>
  <c r="G131" i="32" a="1"/>
  <c r="G131" i="32"/>
  <c r="G130" i="32" a="1"/>
  <c r="G130" i="32" s="1"/>
  <c r="G129" i="32" a="1"/>
  <c r="G129" i="32"/>
  <c r="G128" i="32" a="1"/>
  <c r="G128" i="32" s="1"/>
  <c r="G127" i="32" a="1"/>
  <c r="G127" i="32" s="1"/>
  <c r="G126" i="32" a="1"/>
  <c r="G126" i="32" s="1"/>
  <c r="G125" i="32" a="1"/>
  <c r="G125" i="32" s="1"/>
  <c r="G124" i="32" a="1"/>
  <c r="G124" i="32" s="1"/>
  <c r="G123" i="32" a="1"/>
  <c r="G123" i="32" s="1"/>
  <c r="G122" i="32" a="1"/>
  <c r="G122" i="32" s="1"/>
  <c r="G121" i="32" a="1"/>
  <c r="G121" i="32" s="1"/>
  <c r="G120" i="32" a="1"/>
  <c r="G120" i="32" s="1"/>
  <c r="G119" i="32" a="1"/>
  <c r="G119" i="32" s="1"/>
  <c r="G118" i="32" a="1"/>
  <c r="G118" i="32"/>
  <c r="G117" i="32" a="1"/>
  <c r="G117" i="32" s="1"/>
  <c r="G116" i="32" a="1"/>
  <c r="G116" i="32" s="1"/>
  <c r="G115" i="32" a="1"/>
  <c r="G115" i="32" s="1"/>
  <c r="G114" i="32" a="1"/>
  <c r="G114" i="32" s="1"/>
  <c r="G113" i="32" a="1"/>
  <c r="G113" i="32" s="1"/>
  <c r="G112" i="32" a="1"/>
  <c r="G112" i="32" s="1"/>
  <c r="G111" i="32" a="1"/>
  <c r="G111" i="32" s="1"/>
  <c r="G110" i="32" a="1"/>
  <c r="G110" i="32" s="1"/>
  <c r="G109" i="32" a="1"/>
  <c r="G109" i="32" s="1"/>
  <c r="G108" i="32" a="1"/>
  <c r="G108" i="32" s="1"/>
  <c r="G107" i="32" a="1"/>
  <c r="G107" i="32" s="1"/>
  <c r="G106" i="32" a="1"/>
  <c r="G106" i="32" s="1"/>
  <c r="G105" i="32" a="1"/>
  <c r="G105" i="32" s="1"/>
  <c r="G104" i="32" a="1"/>
  <c r="G104" i="32"/>
  <c r="G103" i="32" a="1"/>
  <c r="G103" i="32" s="1"/>
  <c r="G102" i="32" a="1"/>
  <c r="G102" i="32" s="1"/>
  <c r="G101" i="32" a="1"/>
  <c r="G101" i="32" s="1"/>
  <c r="G100" i="32" a="1"/>
  <c r="G100" i="32" s="1"/>
  <c r="G99" i="32" a="1"/>
  <c r="G99" i="32" s="1"/>
  <c r="G98" i="32" a="1"/>
  <c r="G98" i="32" s="1"/>
  <c r="G97" i="32" a="1"/>
  <c r="G97" i="32" s="1"/>
  <c r="G96" i="32" a="1"/>
  <c r="G96" i="32" s="1"/>
  <c r="G95" i="32" a="1"/>
  <c r="G95" i="32" s="1"/>
  <c r="G94" i="32" a="1"/>
  <c r="G94" i="32" s="1"/>
  <c r="G93" i="32" a="1"/>
  <c r="G93" i="32" s="1"/>
  <c r="G92" i="32" a="1"/>
  <c r="G92" i="32" s="1"/>
  <c r="G91" i="32" a="1"/>
  <c r="G91" i="32" s="1"/>
  <c r="G90" i="32" a="1"/>
  <c r="G90" i="32"/>
  <c r="G89" i="32" a="1"/>
  <c r="G89" i="32" s="1"/>
  <c r="G88" i="32" a="1"/>
  <c r="G88" i="32" s="1"/>
  <c r="G87" i="32" a="1"/>
  <c r="G87" i="32" s="1"/>
  <c r="G86" i="32" a="1"/>
  <c r="G86" i="32" s="1"/>
  <c r="G85" i="32" a="1"/>
  <c r="G85" i="32" s="1"/>
  <c r="G84" i="32" a="1"/>
  <c r="G84" i="32" s="1"/>
  <c r="G83" i="32" a="1"/>
  <c r="G83" i="32" s="1"/>
  <c r="G82" i="32" a="1"/>
  <c r="G82" i="32" s="1"/>
  <c r="G81" i="32" a="1"/>
  <c r="G81" i="32" s="1"/>
  <c r="G80" i="32" a="1"/>
  <c r="G80" i="32" s="1"/>
  <c r="G79" i="32" a="1"/>
  <c r="G79" i="32" s="1"/>
  <c r="G78" i="32" a="1"/>
  <c r="G78" i="32" s="1"/>
  <c r="G77" i="32" a="1"/>
  <c r="G77" i="32" s="1"/>
  <c r="G76" i="32" a="1"/>
  <c r="G76" i="32" s="1"/>
  <c r="G75" i="32" a="1"/>
  <c r="G75" i="32" s="1"/>
  <c r="G74" i="32" a="1"/>
  <c r="G74" i="32" s="1"/>
  <c r="G73" i="32" a="1"/>
  <c r="G73" i="32"/>
  <c r="G72" i="32" a="1"/>
  <c r="G72" i="32" s="1"/>
  <c r="G71" i="32" a="1"/>
  <c r="G71" i="32" s="1"/>
  <c r="G70" i="32" a="1"/>
  <c r="G70" i="32" s="1"/>
  <c r="G69" i="32" a="1"/>
  <c r="G69" i="32" s="1"/>
  <c r="G68" i="32" a="1"/>
  <c r="G68" i="32"/>
  <c r="G67" i="32" a="1"/>
  <c r="G67" i="32" s="1"/>
  <c r="G66" i="32" a="1"/>
  <c r="G66" i="32" s="1"/>
  <c r="G65" i="32" a="1"/>
  <c r="G65" i="32" s="1"/>
  <c r="G64" i="32" a="1"/>
  <c r="G64" i="32" s="1"/>
  <c r="G63" i="32" a="1"/>
  <c r="G63" i="32" s="1"/>
  <c r="G62" i="32" a="1"/>
  <c r="G62" i="32" s="1"/>
  <c r="G61" i="32" a="1"/>
  <c r="G61" i="32" s="1"/>
  <c r="G60" i="32" a="1"/>
  <c r="G60" i="32" s="1"/>
  <c r="G59" i="32" a="1"/>
  <c r="G59" i="32" s="1"/>
  <c r="G58" i="32" a="1"/>
  <c r="G58" i="32" s="1"/>
  <c r="G57" i="32" a="1"/>
  <c r="G57" i="32" s="1"/>
  <c r="G56" i="32" a="1"/>
  <c r="G56" i="32" s="1"/>
  <c r="G55" i="32" a="1"/>
  <c r="G55" i="32" s="1"/>
  <c r="G54" i="32" a="1"/>
  <c r="G54" i="32" s="1"/>
  <c r="G53" i="32" a="1"/>
  <c r="G53" i="32" s="1"/>
  <c r="G52" i="32" a="1"/>
  <c r="G52" i="32" s="1"/>
  <c r="G51" i="32" a="1"/>
  <c r="G51" i="32" s="1"/>
  <c r="G50" i="32" a="1"/>
  <c r="G50" i="32" s="1"/>
  <c r="G49" i="32" a="1"/>
  <c r="G49" i="32" s="1"/>
  <c r="G48" i="32" a="1"/>
  <c r="G48" i="32" s="1"/>
  <c r="G47" i="32" a="1"/>
  <c r="G47" i="32" s="1"/>
  <c r="G46" i="32" a="1"/>
  <c r="G46" i="32" s="1"/>
  <c r="G45" i="32" a="1"/>
  <c r="G45" i="32" s="1"/>
  <c r="G44" i="32" a="1"/>
  <c r="G44" i="32" s="1"/>
  <c r="G43" i="32" a="1"/>
  <c r="G43" i="32" s="1"/>
  <c r="G42" i="32" a="1"/>
  <c r="G42" i="32" s="1"/>
  <c r="G41" i="32" a="1"/>
  <c r="G41" i="32" s="1"/>
  <c r="G40" i="32" a="1"/>
  <c r="G40" i="32" s="1"/>
  <c r="G39" i="32" a="1"/>
  <c r="G39" i="32" s="1"/>
  <c r="G38" i="32" a="1"/>
  <c r="G38" i="32" s="1"/>
  <c r="G37" i="32" a="1"/>
  <c r="G37" i="32" s="1"/>
  <c r="G36" i="32" a="1"/>
  <c r="G36" i="32" s="1"/>
  <c r="G35" i="32" a="1"/>
  <c r="G35" i="32" s="1"/>
  <c r="G34" i="32" a="1"/>
  <c r="G34" i="32"/>
  <c r="F183" i="32" a="1"/>
  <c r="F183" i="32" s="1"/>
  <c r="F182" i="32" a="1"/>
  <c r="F182" i="32" s="1"/>
  <c r="F181" i="32" a="1"/>
  <c r="F181" i="32" s="1"/>
  <c r="F180" i="32" a="1"/>
  <c r="F180" i="32" s="1"/>
  <c r="F179" i="32" a="1"/>
  <c r="F179" i="32" s="1"/>
  <c r="F178" i="32" a="1"/>
  <c r="F178" i="32" s="1"/>
  <c r="F177" i="32" a="1"/>
  <c r="F177" i="32" s="1"/>
  <c r="F176" i="32" a="1"/>
  <c r="F176" i="32" s="1"/>
  <c r="F175" i="32" a="1"/>
  <c r="F175" i="32" s="1"/>
  <c r="F174" i="32" a="1"/>
  <c r="F174" i="32" s="1"/>
  <c r="F173" i="32" a="1"/>
  <c r="F173" i="32" s="1"/>
  <c r="F172" i="32" a="1"/>
  <c r="F172" i="32" s="1"/>
  <c r="F171" i="32" a="1"/>
  <c r="F171" i="32" s="1"/>
  <c r="F170" i="32" a="1"/>
  <c r="F170" i="32" s="1"/>
  <c r="F169" i="32" a="1"/>
  <c r="F169" i="32" s="1"/>
  <c r="F168" i="32" a="1"/>
  <c r="F168" i="32" s="1"/>
  <c r="F167" i="32" a="1"/>
  <c r="F167" i="32" s="1"/>
  <c r="F166" i="32" a="1"/>
  <c r="F166" i="32" s="1"/>
  <c r="F165" i="32" a="1"/>
  <c r="F165" i="32" s="1"/>
  <c r="F164" i="32" a="1"/>
  <c r="F164" i="32" s="1"/>
  <c r="F163" i="32" a="1"/>
  <c r="F163" i="32" s="1"/>
  <c r="F162" i="32" a="1"/>
  <c r="F162" i="32" s="1"/>
  <c r="F161" i="32" a="1"/>
  <c r="F161" i="32" s="1"/>
  <c r="F160" i="32" a="1"/>
  <c r="F160" i="32" s="1"/>
  <c r="F159" i="32" a="1"/>
  <c r="F159" i="32"/>
  <c r="F158" i="32" a="1"/>
  <c r="F158" i="32" s="1"/>
  <c r="F157" i="32" a="1"/>
  <c r="F157" i="32" s="1"/>
  <c r="F156" i="32" a="1"/>
  <c r="F156" i="32" s="1"/>
  <c r="F155" i="32" a="1"/>
  <c r="F155" i="32" s="1"/>
  <c r="F154" i="32" a="1"/>
  <c r="F154" i="32" s="1"/>
  <c r="F153" i="32" a="1"/>
  <c r="F153" i="32" s="1"/>
  <c r="F152" i="32" a="1"/>
  <c r="F152" i="32"/>
  <c r="F151" i="32" a="1"/>
  <c r="F151" i="32" s="1"/>
  <c r="F150" i="32" a="1"/>
  <c r="F150" i="32"/>
  <c r="F149" i="32" a="1"/>
  <c r="F149" i="32" s="1"/>
  <c r="F148" i="32" a="1"/>
  <c r="F148" i="32" s="1"/>
  <c r="F147" i="32" a="1"/>
  <c r="F147" i="32" s="1"/>
  <c r="F146" i="32" a="1"/>
  <c r="F146" i="32" s="1"/>
  <c r="F145" i="32" a="1"/>
  <c r="F145" i="32" s="1"/>
  <c r="F144" i="32" a="1"/>
  <c r="F144" i="32" s="1"/>
  <c r="F143" i="32" a="1"/>
  <c r="F143" i="32" s="1"/>
  <c r="F142" i="32" a="1"/>
  <c r="F142" i="32" s="1"/>
  <c r="F141" i="32" a="1"/>
  <c r="F141" i="32" s="1"/>
  <c r="F140" i="32" a="1"/>
  <c r="F140" i="32" s="1"/>
  <c r="F139" i="32" a="1"/>
  <c r="F139" i="32" s="1"/>
  <c r="F138" i="32" a="1"/>
  <c r="F138" i="32"/>
  <c r="F137" i="32" a="1"/>
  <c r="F137" i="32" s="1"/>
  <c r="F136" i="32" a="1"/>
  <c r="F136" i="32" s="1"/>
  <c r="F135" i="32" a="1"/>
  <c r="F135" i="32" s="1"/>
  <c r="F134" i="32" a="1"/>
  <c r="F134" i="32" s="1"/>
  <c r="F133" i="32" a="1"/>
  <c r="F133" i="32" s="1"/>
  <c r="F132" i="32" a="1"/>
  <c r="F132" i="32" s="1"/>
  <c r="F131" i="32" a="1"/>
  <c r="F131" i="32" s="1"/>
  <c r="F130" i="32" a="1"/>
  <c r="F130" i="32" s="1"/>
  <c r="F129" i="32" a="1"/>
  <c r="F129" i="32" s="1"/>
  <c r="F128" i="32" a="1"/>
  <c r="F128" i="32" s="1"/>
  <c r="F127" i="32" a="1"/>
  <c r="F127" i="32" s="1"/>
  <c r="F126" i="32" a="1"/>
  <c r="F126" i="32" s="1"/>
  <c r="F125" i="32" a="1"/>
  <c r="F125" i="32" s="1"/>
  <c r="F124" i="32" a="1"/>
  <c r="F124" i="32" s="1"/>
  <c r="F123" i="32" a="1"/>
  <c r="F123" i="32" s="1"/>
  <c r="F122" i="32" a="1"/>
  <c r="F122" i="32" s="1"/>
  <c r="F121" i="32" a="1"/>
  <c r="F121" i="32" s="1"/>
  <c r="F120" i="32" a="1"/>
  <c r="F120" i="32" s="1"/>
  <c r="F119" i="32" a="1"/>
  <c r="F119" i="32" s="1"/>
  <c r="F118" i="32" a="1"/>
  <c r="F118" i="32" s="1"/>
  <c r="F117" i="32" a="1"/>
  <c r="F117" i="32" s="1"/>
  <c r="F116" i="32" a="1"/>
  <c r="F116" i="32" s="1"/>
  <c r="F115" i="32" a="1"/>
  <c r="F115" i="32"/>
  <c r="F114" i="32" a="1"/>
  <c r="F114" i="32" s="1"/>
  <c r="F113" i="32" a="1"/>
  <c r="F113" i="32" s="1"/>
  <c r="F112" i="32" a="1"/>
  <c r="F112" i="32" s="1"/>
  <c r="F111" i="32" a="1"/>
  <c r="F111" i="32" s="1"/>
  <c r="F110" i="32" a="1"/>
  <c r="F110" i="32" s="1"/>
  <c r="F109" i="32" a="1"/>
  <c r="F109" i="32" s="1"/>
  <c r="F108" i="32" a="1"/>
  <c r="F108" i="32" s="1"/>
  <c r="F107" i="32" a="1"/>
  <c r="F107" i="32" s="1"/>
  <c r="F106" i="32" a="1"/>
  <c r="F106" i="32" s="1"/>
  <c r="F105" i="32" a="1"/>
  <c r="F105" i="32" s="1"/>
  <c r="F104" i="32" a="1"/>
  <c r="F104" i="32" s="1"/>
  <c r="F103" i="32" a="1"/>
  <c r="F103" i="32" s="1"/>
  <c r="F102" i="32" a="1"/>
  <c r="F102" i="32" s="1"/>
  <c r="F101" i="32" a="1"/>
  <c r="F101" i="32"/>
  <c r="F100" i="32" a="1"/>
  <c r="F100" i="32" s="1"/>
  <c r="F99" i="32" a="1"/>
  <c r="F99" i="32" s="1"/>
  <c r="F98" i="32" a="1"/>
  <c r="F98" i="32" s="1"/>
  <c r="F97" i="32" a="1"/>
  <c r="F97" i="32" s="1"/>
  <c r="F96" i="32" a="1"/>
  <c r="F96" i="32" s="1"/>
  <c r="F95" i="32" a="1"/>
  <c r="F95" i="32" s="1"/>
  <c r="F94" i="32" a="1"/>
  <c r="F94" i="32" s="1"/>
  <c r="F93" i="32" a="1"/>
  <c r="F93" i="32" s="1"/>
  <c r="F92" i="32" a="1"/>
  <c r="F92" i="32" s="1"/>
  <c r="F91" i="32" a="1"/>
  <c r="F91" i="32" s="1"/>
  <c r="F90" i="32" a="1"/>
  <c r="F90" i="32" s="1"/>
  <c r="F89" i="32" a="1"/>
  <c r="F89" i="32" s="1"/>
  <c r="F88" i="32" a="1"/>
  <c r="F88" i="32" s="1"/>
  <c r="F87" i="32" a="1"/>
  <c r="F87" i="32" s="1"/>
  <c r="F86" i="32" a="1"/>
  <c r="F86" i="32" s="1"/>
  <c r="F85" i="32" a="1"/>
  <c r="F85" i="32" s="1"/>
  <c r="F84" i="32" a="1"/>
  <c r="F84" i="32" s="1"/>
  <c r="F83" i="32" a="1"/>
  <c r="F83" i="32" s="1"/>
  <c r="F82" i="32" a="1"/>
  <c r="F82" i="32" s="1"/>
  <c r="F81" i="32" a="1"/>
  <c r="F81" i="32" s="1"/>
  <c r="F80" i="32" a="1"/>
  <c r="F80" i="32" s="1"/>
  <c r="F79" i="32" a="1"/>
  <c r="F79" i="32"/>
  <c r="F78" i="32" a="1"/>
  <c r="F78" i="32" s="1"/>
  <c r="F77" i="32" a="1"/>
  <c r="F77" i="32" s="1"/>
  <c r="F76" i="32" a="1"/>
  <c r="F76" i="32" s="1"/>
  <c r="F75" i="32" a="1"/>
  <c r="F75" i="32" s="1"/>
  <c r="F74" i="32" a="1"/>
  <c r="F74" i="32" s="1"/>
  <c r="F73" i="32" a="1"/>
  <c r="F73" i="32" s="1"/>
  <c r="F72" i="32" a="1"/>
  <c r="F72" i="32" s="1"/>
  <c r="F71" i="32" a="1"/>
  <c r="F71" i="32" s="1"/>
  <c r="F70" i="32" a="1"/>
  <c r="F70" i="32"/>
  <c r="F69" i="32" a="1"/>
  <c r="F69" i="32" s="1"/>
  <c r="F68" i="32" a="1"/>
  <c r="F68" i="32" s="1"/>
  <c r="F67" i="32" a="1"/>
  <c r="F67" i="32" s="1"/>
  <c r="F66" i="32" a="1"/>
  <c r="F66" i="32" s="1"/>
  <c r="F65" i="32" a="1"/>
  <c r="F65" i="32" s="1"/>
  <c r="F64" i="32" a="1"/>
  <c r="F64" i="32" s="1"/>
  <c r="F63" i="32" a="1"/>
  <c r="F63" i="32" s="1"/>
  <c r="F62" i="32" a="1"/>
  <c r="F62" i="32" s="1"/>
  <c r="F61" i="32" a="1"/>
  <c r="F61" i="32" s="1"/>
  <c r="F60" i="32" a="1"/>
  <c r="F60" i="32" s="1"/>
  <c r="F59" i="32" a="1"/>
  <c r="F59" i="32" s="1"/>
  <c r="F58" i="32" a="1"/>
  <c r="F58" i="32"/>
  <c r="F57" i="32" a="1"/>
  <c r="F57" i="32" s="1"/>
  <c r="F56" i="32" a="1"/>
  <c r="F56" i="32" s="1"/>
  <c r="F55" i="32" a="1"/>
  <c r="F55" i="32" s="1"/>
  <c r="F54" i="32" a="1"/>
  <c r="F54" i="32" s="1"/>
  <c r="F53" i="32" a="1"/>
  <c r="F53" i="32" s="1"/>
  <c r="F52" i="32" a="1"/>
  <c r="F52" i="32" s="1"/>
  <c r="F51" i="32" a="1"/>
  <c r="F51" i="32" s="1"/>
  <c r="F50" i="32" a="1"/>
  <c r="F50" i="32" s="1"/>
  <c r="F49" i="32" a="1"/>
  <c r="F49" i="32" s="1"/>
  <c r="F48" i="32" a="1"/>
  <c r="F48" i="32" s="1"/>
  <c r="F47" i="32" a="1"/>
  <c r="F47" i="32" s="1"/>
  <c r="F46" i="32" a="1"/>
  <c r="F46" i="32" s="1"/>
  <c r="F45" i="32" a="1"/>
  <c r="F45" i="32" s="1"/>
  <c r="F44" i="32" a="1"/>
  <c r="F44" i="32" s="1"/>
  <c r="F43" i="32" a="1"/>
  <c r="F43" i="32" s="1"/>
  <c r="F42" i="32" a="1"/>
  <c r="F42" i="32" s="1"/>
  <c r="F41" i="32" a="1"/>
  <c r="F41" i="32" s="1"/>
  <c r="F40" i="32" a="1"/>
  <c r="F40" i="32" s="1"/>
  <c r="F39" i="32" a="1"/>
  <c r="F39" i="32" s="1"/>
  <c r="F38" i="32" a="1"/>
  <c r="F38" i="32" s="1"/>
  <c r="F37" i="32" a="1"/>
  <c r="F37" i="32" s="1"/>
  <c r="F36" i="32" a="1"/>
  <c r="F36" i="32" s="1"/>
  <c r="F35" i="32" a="1"/>
  <c r="F35" i="32" s="1"/>
  <c r="F34" i="32" a="1"/>
  <c r="F34" i="32" s="1"/>
  <c r="E183" i="32" a="1"/>
  <c r="E183" i="32" s="1"/>
  <c r="E182" i="32" a="1"/>
  <c r="E182" i="32" s="1"/>
  <c r="E181" i="32" a="1"/>
  <c r="E181" i="32" s="1"/>
  <c r="E180" i="32" a="1"/>
  <c r="E180" i="32" s="1"/>
  <c r="E179" i="32" a="1"/>
  <c r="E179" i="32" s="1"/>
  <c r="E178" i="32" a="1"/>
  <c r="E178" i="32" s="1"/>
  <c r="E177" i="32" a="1"/>
  <c r="E177" i="32" s="1"/>
  <c r="E176" i="32" a="1"/>
  <c r="E176" i="32" s="1"/>
  <c r="E175" i="32" a="1"/>
  <c r="E175" i="32"/>
  <c r="E174" i="32" a="1"/>
  <c r="E174" i="32" s="1"/>
  <c r="E173" i="32" a="1"/>
  <c r="E173" i="32" s="1"/>
  <c r="E172" i="32" a="1"/>
  <c r="E172" i="32" s="1"/>
  <c r="E171" i="32" a="1"/>
  <c r="E171" i="32" s="1"/>
  <c r="E170" i="32" a="1"/>
  <c r="E170" i="32" s="1"/>
  <c r="E169" i="32" a="1"/>
  <c r="E169" i="32" s="1"/>
  <c r="E168" i="32" a="1"/>
  <c r="E168" i="32" s="1"/>
  <c r="E167" i="32" a="1"/>
  <c r="E167" i="32" s="1"/>
  <c r="E166" i="32" a="1"/>
  <c r="E166" i="32" s="1"/>
  <c r="E165" i="32" a="1"/>
  <c r="E165" i="32" s="1"/>
  <c r="E164" i="32" a="1"/>
  <c r="E164" i="32" s="1"/>
  <c r="E163" i="32" a="1"/>
  <c r="E163" i="32" s="1"/>
  <c r="E162" i="32" a="1"/>
  <c r="E162" i="32" s="1"/>
  <c r="E161" i="32" a="1"/>
  <c r="E161" i="32" s="1"/>
  <c r="E160" i="32" a="1"/>
  <c r="E160" i="32" s="1"/>
  <c r="E159" i="32" a="1"/>
  <c r="E159" i="32" s="1"/>
  <c r="E158" i="32" a="1"/>
  <c r="E158" i="32" s="1"/>
  <c r="E157" i="32" a="1"/>
  <c r="E157" i="32" s="1"/>
  <c r="E156" i="32" a="1"/>
  <c r="E156" i="32" s="1"/>
  <c r="E155" i="32" a="1"/>
  <c r="E155" i="32" s="1"/>
  <c r="E154" i="32" a="1"/>
  <c r="E154" i="32" s="1"/>
  <c r="E153" i="32" a="1"/>
  <c r="E153" i="32" s="1"/>
  <c r="E152" i="32" a="1"/>
  <c r="E152" i="32"/>
  <c r="E151" i="32" a="1"/>
  <c r="E151" i="32" s="1"/>
  <c r="E150" i="32" a="1"/>
  <c r="E150" i="32" s="1"/>
  <c r="E149" i="32" a="1"/>
  <c r="E149" i="32" s="1"/>
  <c r="E148" i="32" a="1"/>
  <c r="E148" i="32" s="1"/>
  <c r="E147" i="32" a="1"/>
  <c r="E147" i="32" s="1"/>
  <c r="E146" i="32" a="1"/>
  <c r="E146" i="32" s="1"/>
  <c r="E145" i="32" a="1"/>
  <c r="E145" i="32" s="1"/>
  <c r="E144" i="32" a="1"/>
  <c r="E144" i="32" s="1"/>
  <c r="E143" i="32" a="1"/>
  <c r="E143" i="32" s="1"/>
  <c r="E142" i="32" a="1"/>
  <c r="E142" i="32" s="1"/>
  <c r="E141" i="32" a="1"/>
  <c r="E141" i="32" s="1"/>
  <c r="E140" i="32" a="1"/>
  <c r="E140" i="32"/>
  <c r="E139" i="32" a="1"/>
  <c r="E139" i="32" s="1"/>
  <c r="E138" i="32" a="1"/>
  <c r="E138" i="32" s="1"/>
  <c r="E137" i="32" a="1"/>
  <c r="E137" i="32" s="1"/>
  <c r="E136" i="32" a="1"/>
  <c r="E136" i="32" s="1"/>
  <c r="E135" i="32" a="1"/>
  <c r="E135" i="32" s="1"/>
  <c r="E134" i="32" a="1"/>
  <c r="E134" i="32" s="1"/>
  <c r="E133" i="32" a="1"/>
  <c r="E133" i="32" s="1"/>
  <c r="E132" i="32" a="1"/>
  <c r="E132" i="32" s="1"/>
  <c r="E131" i="32" a="1"/>
  <c r="E131" i="32" s="1"/>
  <c r="E130" i="32" a="1"/>
  <c r="E130" i="32" s="1"/>
  <c r="E129" i="32" a="1"/>
  <c r="E129" i="32" s="1"/>
  <c r="E128" i="32" a="1"/>
  <c r="E128" i="32" s="1"/>
  <c r="E127" i="32" a="1"/>
  <c r="E127" i="32" s="1"/>
  <c r="E126" i="32" a="1"/>
  <c r="E126" i="32" s="1"/>
  <c r="E125" i="32" a="1"/>
  <c r="E125" i="32" s="1"/>
  <c r="E124" i="32" a="1"/>
  <c r="E124" i="32" s="1"/>
  <c r="E123" i="32" a="1"/>
  <c r="E123" i="32" s="1"/>
  <c r="E122" i="32" a="1"/>
  <c r="E122" i="32" s="1"/>
  <c r="E121" i="32" a="1"/>
  <c r="E121" i="32" s="1"/>
  <c r="E120" i="32" a="1"/>
  <c r="E120" i="32" s="1"/>
  <c r="E119" i="32" a="1"/>
  <c r="E119" i="32" s="1"/>
  <c r="E118" i="32" a="1"/>
  <c r="E118" i="32" s="1"/>
  <c r="E117" i="32" a="1"/>
  <c r="E117" i="32" s="1"/>
  <c r="E116" i="32" a="1"/>
  <c r="E116" i="32" s="1"/>
  <c r="E115" i="32" a="1"/>
  <c r="E115" i="32" s="1"/>
  <c r="E114" i="32" a="1"/>
  <c r="E114" i="32" s="1"/>
  <c r="E113" i="32" a="1"/>
  <c r="E113" i="32" s="1"/>
  <c r="E112" i="32" a="1"/>
  <c r="E112" i="32" s="1"/>
  <c r="E111" i="32" a="1"/>
  <c r="E111" i="32" s="1"/>
  <c r="E110" i="32" a="1"/>
  <c r="E110" i="32" s="1"/>
  <c r="E109" i="32" a="1"/>
  <c r="E109" i="32" s="1"/>
  <c r="E108" i="32" a="1"/>
  <c r="E108" i="32" s="1"/>
  <c r="E107" i="32" a="1"/>
  <c r="E107" i="32" s="1"/>
  <c r="E106" i="32" a="1"/>
  <c r="E106" i="32" s="1"/>
  <c r="E105" i="32" a="1"/>
  <c r="E105" i="32" s="1"/>
  <c r="E104" i="32" a="1"/>
  <c r="E104" i="32" s="1"/>
  <c r="E103" i="32" a="1"/>
  <c r="E103" i="32" s="1"/>
  <c r="E102" i="32" a="1"/>
  <c r="E102" i="32" s="1"/>
  <c r="E101" i="32" a="1"/>
  <c r="E101" i="32" s="1"/>
  <c r="E100" i="32" a="1"/>
  <c r="E100" i="32" s="1"/>
  <c r="E99" i="32" a="1"/>
  <c r="E99" i="32" s="1"/>
  <c r="E98" i="32" a="1"/>
  <c r="E98" i="32" s="1"/>
  <c r="E97" i="32" a="1"/>
  <c r="E97" i="32" s="1"/>
  <c r="E96" i="32" a="1"/>
  <c r="E96" i="32" s="1"/>
  <c r="E95" i="32" a="1"/>
  <c r="E95" i="32" s="1"/>
  <c r="E94" i="32" a="1"/>
  <c r="E94" i="32" s="1"/>
  <c r="E93" i="32" a="1"/>
  <c r="E93" i="32" s="1"/>
  <c r="E92" i="32" a="1"/>
  <c r="E92" i="32" s="1"/>
  <c r="E91" i="32" a="1"/>
  <c r="E91" i="32" s="1"/>
  <c r="E90" i="32" a="1"/>
  <c r="E90" i="32" s="1"/>
  <c r="E89" i="32" a="1"/>
  <c r="E89" i="32" s="1"/>
  <c r="E88" i="32" a="1"/>
  <c r="E88" i="32" s="1"/>
  <c r="E87" i="32" a="1"/>
  <c r="E87" i="32" s="1"/>
  <c r="E86" i="32" a="1"/>
  <c r="E86" i="32" s="1"/>
  <c r="E85" i="32" a="1"/>
  <c r="E85" i="32" s="1"/>
  <c r="E84" i="32" a="1"/>
  <c r="E84" i="32" s="1"/>
  <c r="E83" i="32" a="1"/>
  <c r="E83" i="32" s="1"/>
  <c r="E82" i="32" a="1"/>
  <c r="E82" i="32" s="1"/>
  <c r="E81" i="32" a="1"/>
  <c r="E81" i="32"/>
  <c r="E80" i="32" a="1"/>
  <c r="E80" i="32" s="1"/>
  <c r="E79" i="32" a="1"/>
  <c r="E79" i="32" s="1"/>
  <c r="E78" i="32" a="1"/>
  <c r="E78" i="32" s="1"/>
  <c r="E77" i="32" a="1"/>
  <c r="E77" i="32" s="1"/>
  <c r="E76" i="32" a="1"/>
  <c r="E76" i="32" s="1"/>
  <c r="E75" i="32" a="1"/>
  <c r="E75" i="32" s="1"/>
  <c r="E74" i="32" a="1"/>
  <c r="E74" i="32" s="1"/>
  <c r="E73" i="32" a="1"/>
  <c r="E73" i="32" s="1"/>
  <c r="E72" i="32" a="1"/>
  <c r="E72" i="32" s="1"/>
  <c r="E71" i="32" a="1"/>
  <c r="E71" i="32" s="1"/>
  <c r="E70" i="32" a="1"/>
  <c r="E70" i="32" s="1"/>
  <c r="E69" i="32" a="1"/>
  <c r="E69" i="32" s="1"/>
  <c r="E68" i="32" a="1"/>
  <c r="E68" i="32" s="1"/>
  <c r="E67" i="32" a="1"/>
  <c r="E67" i="32" s="1"/>
  <c r="E66" i="32" a="1"/>
  <c r="E66" i="32" s="1"/>
  <c r="E65" i="32" a="1"/>
  <c r="E65" i="32" s="1"/>
  <c r="E64" i="32" a="1"/>
  <c r="E64" i="32" s="1"/>
  <c r="E63" i="32" a="1"/>
  <c r="E63" i="32" s="1"/>
  <c r="E62" i="32" a="1"/>
  <c r="E62" i="32" s="1"/>
  <c r="E61" i="32" a="1"/>
  <c r="E61" i="32" s="1"/>
  <c r="E60" i="32" a="1"/>
  <c r="E60" i="32" s="1"/>
  <c r="E59" i="32" a="1"/>
  <c r="E59" i="32"/>
  <c r="E58" i="32" a="1"/>
  <c r="E58" i="32" s="1"/>
  <c r="E57" i="32" a="1"/>
  <c r="E57" i="32" s="1"/>
  <c r="E56" i="32" a="1"/>
  <c r="E56" i="32" s="1"/>
  <c r="E55" i="32" a="1"/>
  <c r="E55" i="32" s="1"/>
  <c r="E54" i="32" a="1"/>
  <c r="E54" i="32" s="1"/>
  <c r="E53" i="32" a="1"/>
  <c r="E53" i="32" s="1"/>
  <c r="E52" i="32" a="1"/>
  <c r="E52" i="32" s="1"/>
  <c r="E51" i="32" a="1"/>
  <c r="E51" i="32" s="1"/>
  <c r="E50" i="32" a="1"/>
  <c r="E50" i="32" s="1"/>
  <c r="E49" i="32" a="1"/>
  <c r="E49" i="32" s="1"/>
  <c r="E48" i="32" a="1"/>
  <c r="E48" i="32" s="1"/>
  <c r="E47" i="32" a="1"/>
  <c r="E47" i="32" s="1"/>
  <c r="E46" i="32" a="1"/>
  <c r="E46" i="32" s="1"/>
  <c r="E45" i="32" a="1"/>
  <c r="E45" i="32" s="1"/>
  <c r="E44" i="32" a="1"/>
  <c r="E44" i="32" s="1"/>
  <c r="E43" i="32" a="1"/>
  <c r="E43" i="32" s="1"/>
  <c r="E42" i="32" a="1"/>
  <c r="E42" i="32" s="1"/>
  <c r="E41" i="32" a="1"/>
  <c r="E41" i="32" s="1"/>
  <c r="E40" i="32" a="1"/>
  <c r="E40" i="32" s="1"/>
  <c r="E39" i="32" a="1"/>
  <c r="E39" i="32" s="1"/>
  <c r="E38" i="32" a="1"/>
  <c r="E38" i="32" s="1"/>
  <c r="E37" i="32" a="1"/>
  <c r="E37" i="32" s="1"/>
  <c r="E36" i="32" a="1"/>
  <c r="E36" i="32" s="1"/>
  <c r="E35" i="32" a="1"/>
  <c r="E35" i="32" s="1"/>
  <c r="E34" i="32" a="1"/>
  <c r="E34" i="32" s="1"/>
  <c r="D41" i="32" a="1"/>
  <c r="D41" i="32" s="1"/>
  <c r="D40" i="32" a="1"/>
  <c r="D40" i="32" s="1"/>
  <c r="D39" i="32" a="1"/>
  <c r="D39" i="32" s="1"/>
  <c r="D38" i="32" a="1"/>
  <c r="D38" i="32" s="1"/>
  <c r="D37" i="32" a="1"/>
  <c r="D37" i="32" s="1"/>
  <c r="D36" i="32" a="1"/>
  <c r="D36" i="32" s="1"/>
  <c r="D35" i="32" a="1"/>
  <c r="D35" i="32" s="1"/>
  <c r="D34" i="32" a="1"/>
  <c r="D34" i="32" s="1"/>
  <c r="C21" i="32"/>
  <c r="C20" i="32"/>
  <c r="C19" i="32"/>
  <c r="C183" i="31"/>
  <c r="C182" i="31"/>
  <c r="C181" i="31"/>
  <c r="C180" i="31"/>
  <c r="C179" i="31"/>
  <c r="C178" i="31"/>
  <c r="C177" i="31"/>
  <c r="C176" i="31"/>
  <c r="C175" i="31"/>
  <c r="C174" i="31"/>
  <c r="C173" i="31"/>
  <c r="C172" i="31"/>
  <c r="C171" i="31"/>
  <c r="C170" i="31"/>
  <c r="C169" i="31"/>
  <c r="C168" i="31"/>
  <c r="C167" i="31"/>
  <c r="C166" i="31"/>
  <c r="C165" i="31"/>
  <c r="C164" i="31"/>
  <c r="C163" i="31"/>
  <c r="C162" i="31"/>
  <c r="C161" i="31"/>
  <c r="C160" i="31"/>
  <c r="C159" i="31"/>
  <c r="C158" i="31"/>
  <c r="C157" i="31"/>
  <c r="C156" i="31"/>
  <c r="C155" i="31"/>
  <c r="C154" i="31"/>
  <c r="C153" i="31"/>
  <c r="C152" i="31"/>
  <c r="C151" i="31"/>
  <c r="C150" i="31"/>
  <c r="C149" i="31"/>
  <c r="C148" i="31"/>
  <c r="C147" i="31"/>
  <c r="C146" i="31"/>
  <c r="C145" i="31"/>
  <c r="C144" i="31"/>
  <c r="C143" i="31"/>
  <c r="C142" i="31"/>
  <c r="C141" i="31"/>
  <c r="C140" i="31"/>
  <c r="C139" i="31"/>
  <c r="C138" i="31"/>
  <c r="C137" i="31"/>
  <c r="C136" i="31"/>
  <c r="C135" i="31"/>
  <c r="C134" i="31"/>
  <c r="C133" i="31"/>
  <c r="C132" i="31"/>
  <c r="C131" i="31"/>
  <c r="C130" i="31"/>
  <c r="C129" i="31"/>
  <c r="C128" i="31"/>
  <c r="C127" i="31"/>
  <c r="C126" i="31"/>
  <c r="C125" i="31"/>
  <c r="C124" i="31"/>
  <c r="C123" i="31"/>
  <c r="C122" i="31"/>
  <c r="C121" i="31"/>
  <c r="C120" i="31"/>
  <c r="C119" i="31"/>
  <c r="C118" i="31"/>
  <c r="C117" i="31"/>
  <c r="C116" i="31"/>
  <c r="C115" i="31"/>
  <c r="C114" i="31"/>
  <c r="C113" i="31"/>
  <c r="C112" i="31"/>
  <c r="C111" i="31"/>
  <c r="C110" i="31"/>
  <c r="C109" i="31"/>
  <c r="C108" i="31"/>
  <c r="C107" i="31"/>
  <c r="C106" i="31"/>
  <c r="C105" i="31"/>
  <c r="C104" i="31"/>
  <c r="C103" i="31"/>
  <c r="C102" i="31"/>
  <c r="C101" i="31"/>
  <c r="C100" i="31"/>
  <c r="C99" i="31"/>
  <c r="C98" i="31"/>
  <c r="C97" i="31"/>
  <c r="C96" i="31"/>
  <c r="C95" i="31"/>
  <c r="C94" i="31"/>
  <c r="C93" i="31"/>
  <c r="C92" i="31"/>
  <c r="C91" i="31"/>
  <c r="C90" i="31"/>
  <c r="C89" i="31"/>
  <c r="C88" i="31"/>
  <c r="C87" i="31"/>
  <c r="C86" i="31"/>
  <c r="C85" i="31"/>
  <c r="C84" i="31"/>
  <c r="C83" i="31"/>
  <c r="C82" i="31"/>
  <c r="C81" i="31"/>
  <c r="C80" i="31"/>
  <c r="C79" i="31"/>
  <c r="C78" i="31"/>
  <c r="C77" i="31"/>
  <c r="C76" i="31"/>
  <c r="C75" i="31"/>
  <c r="C74" i="31"/>
  <c r="C73" i="31"/>
  <c r="C72" i="31"/>
  <c r="C71" i="31"/>
  <c r="C70" i="31"/>
  <c r="C69" i="31"/>
  <c r="C68" i="31"/>
  <c r="C67" i="31"/>
  <c r="C66" i="31"/>
  <c r="C65" i="31"/>
  <c r="C64" i="31"/>
  <c r="C63" i="31"/>
  <c r="C62" i="31"/>
  <c r="C61" i="31"/>
  <c r="C60" i="31"/>
  <c r="C59" i="31"/>
  <c r="C58" i="31"/>
  <c r="C57" i="31"/>
  <c r="C56" i="31"/>
  <c r="C55" i="31"/>
  <c r="C54" i="31"/>
  <c r="C53" i="31"/>
  <c r="C52" i="31"/>
  <c r="C51" i="31"/>
  <c r="C50" i="31"/>
  <c r="C49" i="31"/>
  <c r="C48" i="31"/>
  <c r="C47" i="31"/>
  <c r="C46" i="31"/>
  <c r="C45" i="31"/>
  <c r="C44" i="31"/>
  <c r="C43" i="31"/>
  <c r="C42" i="31"/>
  <c r="C41" i="31"/>
  <c r="C40" i="31"/>
  <c r="C39" i="31"/>
  <c r="C38" i="31"/>
  <c r="C37" i="31"/>
  <c r="C36" i="31"/>
  <c r="C35" i="31"/>
  <c r="C34" i="31"/>
  <c r="C22" i="31"/>
  <c r="C21" i="31"/>
  <c r="C20" i="31"/>
  <c r="C19" i="31"/>
  <c r="H183" i="31" a="1"/>
  <c r="H183" i="31" s="1"/>
  <c r="H182" i="31" a="1"/>
  <c r="H182" i="31" s="1"/>
  <c r="H181" i="31" a="1"/>
  <c r="H181" i="31" s="1"/>
  <c r="H180" i="31" a="1"/>
  <c r="H180" i="31" s="1"/>
  <c r="H179" i="31" a="1"/>
  <c r="H179" i="31" s="1"/>
  <c r="H178" i="31" a="1"/>
  <c r="H178" i="31" s="1"/>
  <c r="H177" i="31" a="1"/>
  <c r="H177" i="31" s="1"/>
  <c r="H176" i="31" a="1"/>
  <c r="H176" i="31" s="1"/>
  <c r="H175" i="31" a="1"/>
  <c r="H175" i="31" s="1"/>
  <c r="H174" i="31" a="1"/>
  <c r="H174" i="31" s="1"/>
  <c r="H173" i="31" a="1"/>
  <c r="H173" i="31" s="1"/>
  <c r="H172" i="31" a="1"/>
  <c r="H172" i="31" s="1"/>
  <c r="H171" i="31" a="1"/>
  <c r="H171" i="31" s="1"/>
  <c r="H170" i="31" a="1"/>
  <c r="H170" i="31" s="1"/>
  <c r="H169" i="31" a="1"/>
  <c r="H169" i="31" s="1"/>
  <c r="H168" i="31" a="1"/>
  <c r="H168" i="31" s="1"/>
  <c r="H167" i="31" a="1"/>
  <c r="H167" i="31" s="1"/>
  <c r="H166" i="31" a="1"/>
  <c r="H166" i="31" s="1"/>
  <c r="H165" i="31" a="1"/>
  <c r="H165" i="31" s="1"/>
  <c r="H164" i="31" a="1"/>
  <c r="H164" i="31" s="1"/>
  <c r="H163" i="31" a="1"/>
  <c r="H163" i="31" s="1"/>
  <c r="H162" i="31" a="1"/>
  <c r="H162" i="31" s="1"/>
  <c r="H161" i="31" a="1"/>
  <c r="H161" i="31" s="1"/>
  <c r="H160" i="31" a="1"/>
  <c r="H160" i="31" s="1"/>
  <c r="H159" i="31" a="1"/>
  <c r="H159" i="31" s="1"/>
  <c r="H158" i="31" a="1"/>
  <c r="H158" i="31" s="1"/>
  <c r="H157" i="31" a="1"/>
  <c r="H157" i="31" s="1"/>
  <c r="H156" i="31" a="1"/>
  <c r="H156" i="31" s="1"/>
  <c r="H155" i="31" a="1"/>
  <c r="H155" i="31" s="1"/>
  <c r="H154" i="31" a="1"/>
  <c r="H154" i="31" s="1"/>
  <c r="H153" i="31" a="1"/>
  <c r="H153" i="31" s="1"/>
  <c r="H152" i="31" a="1"/>
  <c r="H152" i="31" s="1"/>
  <c r="H151" i="31" a="1"/>
  <c r="H151" i="31" s="1"/>
  <c r="H150" i="31" a="1"/>
  <c r="H150" i="31" s="1"/>
  <c r="H149" i="31" a="1"/>
  <c r="H149" i="31" s="1"/>
  <c r="H148" i="31" a="1"/>
  <c r="H148" i="31" s="1"/>
  <c r="H147" i="31" a="1"/>
  <c r="H147" i="31" s="1"/>
  <c r="H146" i="31" a="1"/>
  <c r="H146" i="31" s="1"/>
  <c r="H145" i="31" a="1"/>
  <c r="H145" i="31" s="1"/>
  <c r="H144" i="31" a="1"/>
  <c r="H144" i="31" s="1"/>
  <c r="H143" i="31" a="1"/>
  <c r="H143" i="31" s="1"/>
  <c r="H142" i="31" a="1"/>
  <c r="H142" i="31" s="1"/>
  <c r="H141" i="31" a="1"/>
  <c r="H141" i="31" s="1"/>
  <c r="H140" i="31" a="1"/>
  <c r="H140" i="31" s="1"/>
  <c r="H139" i="31" a="1"/>
  <c r="H139" i="31" s="1"/>
  <c r="H138" i="31" a="1"/>
  <c r="H138" i="31" s="1"/>
  <c r="H137" i="31" a="1"/>
  <c r="H137" i="31" s="1"/>
  <c r="H136" i="31" a="1"/>
  <c r="H136" i="31" s="1"/>
  <c r="H135" i="31" a="1"/>
  <c r="H135" i="31" s="1"/>
  <c r="H134" i="31" a="1"/>
  <c r="H134" i="31" s="1"/>
  <c r="H133" i="31" a="1"/>
  <c r="H133" i="31" s="1"/>
  <c r="H132" i="31" a="1"/>
  <c r="H132" i="31" s="1"/>
  <c r="H131" i="31" a="1"/>
  <c r="H131" i="31" s="1"/>
  <c r="H130" i="31" a="1"/>
  <c r="H130" i="31" s="1"/>
  <c r="H129" i="31" a="1"/>
  <c r="H129" i="31" s="1"/>
  <c r="H128" i="31" a="1"/>
  <c r="H128" i="31" s="1"/>
  <c r="H127" i="31" a="1"/>
  <c r="H127" i="31" s="1"/>
  <c r="H126" i="31" a="1"/>
  <c r="H126" i="31" s="1"/>
  <c r="H125" i="31" a="1"/>
  <c r="H125" i="31" s="1"/>
  <c r="H124" i="31" a="1"/>
  <c r="H124" i="31" s="1"/>
  <c r="H123" i="31" a="1"/>
  <c r="H123" i="31" s="1"/>
  <c r="H122" i="31" a="1"/>
  <c r="H122" i="31" s="1"/>
  <c r="H121" i="31" a="1"/>
  <c r="H121" i="31" s="1"/>
  <c r="H120" i="31" a="1"/>
  <c r="H120" i="31" s="1"/>
  <c r="H119" i="31" a="1"/>
  <c r="H119" i="31" s="1"/>
  <c r="H118" i="31" a="1"/>
  <c r="H118" i="31" s="1"/>
  <c r="H117" i="31" a="1"/>
  <c r="H117" i="31" s="1"/>
  <c r="H116" i="31" a="1"/>
  <c r="H116" i="31" s="1"/>
  <c r="H115" i="31" a="1"/>
  <c r="H115" i="31" s="1"/>
  <c r="H114" i="31" a="1"/>
  <c r="H114" i="31" s="1"/>
  <c r="H113" i="31" a="1"/>
  <c r="H113" i="31" s="1"/>
  <c r="H112" i="31" a="1"/>
  <c r="H112" i="31" s="1"/>
  <c r="H111" i="31" a="1"/>
  <c r="H111" i="31" s="1"/>
  <c r="H110" i="31" a="1"/>
  <c r="H110" i="31" s="1"/>
  <c r="H109" i="31" a="1"/>
  <c r="H109" i="31" s="1"/>
  <c r="H108" i="31" a="1"/>
  <c r="H108" i="31" s="1"/>
  <c r="H107" i="31" a="1"/>
  <c r="H107" i="31" s="1"/>
  <c r="H106" i="31" a="1"/>
  <c r="H106" i="31" s="1"/>
  <c r="H105" i="31" a="1"/>
  <c r="H105" i="31" s="1"/>
  <c r="H104" i="31" a="1"/>
  <c r="H104" i="31"/>
  <c r="H103" i="31" a="1"/>
  <c r="H103" i="31" s="1"/>
  <c r="H102" i="31" a="1"/>
  <c r="H102" i="31" s="1"/>
  <c r="H101" i="31" a="1"/>
  <c r="H101" i="31" s="1"/>
  <c r="H100" i="31" a="1"/>
  <c r="H100" i="31" s="1"/>
  <c r="H99" i="31" a="1"/>
  <c r="H99" i="31" s="1"/>
  <c r="H98" i="31" a="1"/>
  <c r="H98" i="31" s="1"/>
  <c r="H97" i="31" a="1"/>
  <c r="H97" i="31" s="1"/>
  <c r="H96" i="31" a="1"/>
  <c r="H96" i="31" s="1"/>
  <c r="H95" i="31" a="1"/>
  <c r="H95" i="31" s="1"/>
  <c r="H94" i="31" a="1"/>
  <c r="H94" i="31" s="1"/>
  <c r="H93" i="31" a="1"/>
  <c r="H93" i="31" s="1"/>
  <c r="H92" i="31" a="1"/>
  <c r="H92" i="31" s="1"/>
  <c r="H91" i="31" a="1"/>
  <c r="H91" i="31" s="1"/>
  <c r="H90" i="31" a="1"/>
  <c r="H90" i="31" s="1"/>
  <c r="H89" i="31" a="1"/>
  <c r="H89" i="31" s="1"/>
  <c r="H88" i="31" a="1"/>
  <c r="H88" i="31" s="1"/>
  <c r="H87" i="31" a="1"/>
  <c r="H87" i="31" s="1"/>
  <c r="H86" i="31" a="1"/>
  <c r="H86" i="31" s="1"/>
  <c r="H85" i="31" a="1"/>
  <c r="H85" i="31" s="1"/>
  <c r="H84" i="31" a="1"/>
  <c r="H84" i="31" s="1"/>
  <c r="H83" i="31" a="1"/>
  <c r="H83" i="31" s="1"/>
  <c r="H82" i="31" a="1"/>
  <c r="H82" i="31" s="1"/>
  <c r="H81" i="31" a="1"/>
  <c r="H81" i="31" s="1"/>
  <c r="H80" i="31" a="1"/>
  <c r="H80" i="31" s="1"/>
  <c r="H79" i="31" a="1"/>
  <c r="H79" i="31" s="1"/>
  <c r="H78" i="31" a="1"/>
  <c r="H78" i="31" s="1"/>
  <c r="H77" i="31" a="1"/>
  <c r="H77" i="31" s="1"/>
  <c r="H76" i="31" a="1"/>
  <c r="H76" i="31" s="1"/>
  <c r="H75" i="31" a="1"/>
  <c r="H75" i="31" s="1"/>
  <c r="H74" i="31" a="1"/>
  <c r="H74" i="31" s="1"/>
  <c r="H73" i="31" a="1"/>
  <c r="H73" i="31" s="1"/>
  <c r="H72" i="31" a="1"/>
  <c r="H72" i="31" s="1"/>
  <c r="H71" i="31" a="1"/>
  <c r="H71" i="31" s="1"/>
  <c r="H70" i="31" a="1"/>
  <c r="H70" i="31" s="1"/>
  <c r="H69" i="31" a="1"/>
  <c r="H69" i="31" s="1"/>
  <c r="H68" i="31" a="1"/>
  <c r="H68" i="31" s="1"/>
  <c r="H67" i="31" a="1"/>
  <c r="H67" i="31" s="1"/>
  <c r="H66" i="31" a="1"/>
  <c r="H66" i="31" s="1"/>
  <c r="H65" i="31" a="1"/>
  <c r="H65" i="31" s="1"/>
  <c r="H64" i="31" a="1"/>
  <c r="H64" i="31" s="1"/>
  <c r="H63" i="31" a="1"/>
  <c r="H63" i="31" s="1"/>
  <c r="H62" i="31" a="1"/>
  <c r="H62" i="31" s="1"/>
  <c r="H61" i="31" a="1"/>
  <c r="H61" i="31" s="1"/>
  <c r="H60" i="31" a="1"/>
  <c r="H60" i="31" s="1"/>
  <c r="H59" i="31" a="1"/>
  <c r="H59" i="31" s="1"/>
  <c r="H58" i="31" a="1"/>
  <c r="H58" i="31" s="1"/>
  <c r="H57" i="31" a="1"/>
  <c r="H57" i="31" s="1"/>
  <c r="H56" i="31" a="1"/>
  <c r="H56" i="31" s="1"/>
  <c r="H55" i="31" a="1"/>
  <c r="H55" i="31" s="1"/>
  <c r="H54" i="31" a="1"/>
  <c r="H54" i="31" s="1"/>
  <c r="H53" i="31" a="1"/>
  <c r="H53" i="31" s="1"/>
  <c r="H52" i="31" a="1"/>
  <c r="H52" i="31" s="1"/>
  <c r="H51" i="31" a="1"/>
  <c r="H51" i="31" s="1"/>
  <c r="H50" i="31" a="1"/>
  <c r="H50" i="31" s="1"/>
  <c r="H49" i="31" a="1"/>
  <c r="H49" i="31" s="1"/>
  <c r="H48" i="31" a="1"/>
  <c r="H48" i="31" s="1"/>
  <c r="H47" i="31" a="1"/>
  <c r="H47" i="31" s="1"/>
  <c r="H46" i="31" a="1"/>
  <c r="H46" i="31" s="1"/>
  <c r="H45" i="31" a="1"/>
  <c r="H45" i="31" s="1"/>
  <c r="H44" i="31" a="1"/>
  <c r="H44" i="31" s="1"/>
  <c r="H43" i="31" a="1"/>
  <c r="H43" i="31" s="1"/>
  <c r="H42" i="31" a="1"/>
  <c r="H42" i="31" s="1"/>
  <c r="H41" i="31" a="1"/>
  <c r="H41" i="31" s="1"/>
  <c r="H40" i="31" a="1"/>
  <c r="H40" i="31" s="1"/>
  <c r="H39" i="31" a="1"/>
  <c r="H39" i="31" s="1"/>
  <c r="H38" i="31" a="1"/>
  <c r="H38" i="31" s="1"/>
  <c r="H37" i="31" a="1"/>
  <c r="H37" i="31" s="1"/>
  <c r="H36" i="31" a="1"/>
  <c r="H36" i="31" s="1"/>
  <c r="H35" i="31" a="1"/>
  <c r="H35" i="31" s="1"/>
  <c r="H34" i="31" a="1"/>
  <c r="H34" i="31" s="1"/>
  <c r="G183" i="31" a="1"/>
  <c r="G183" i="31" s="1"/>
  <c r="G182" i="31" a="1"/>
  <c r="G182" i="31" s="1"/>
  <c r="G181" i="31" a="1"/>
  <c r="G181" i="31" s="1"/>
  <c r="G180" i="31" a="1"/>
  <c r="G180" i="31" s="1"/>
  <c r="G179" i="31" a="1"/>
  <c r="G179" i="31" s="1"/>
  <c r="G178" i="31" a="1"/>
  <c r="G178" i="31" s="1"/>
  <c r="G177" i="31" a="1"/>
  <c r="G177" i="31" s="1"/>
  <c r="G176" i="31" a="1"/>
  <c r="G176" i="31" s="1"/>
  <c r="G175" i="31" a="1"/>
  <c r="G175" i="31" s="1"/>
  <c r="G174" i="31" a="1"/>
  <c r="G174" i="31" s="1"/>
  <c r="G173" i="31" a="1"/>
  <c r="G173" i="31" s="1"/>
  <c r="G172" i="31" a="1"/>
  <c r="G172" i="31" s="1"/>
  <c r="G171" i="31" a="1"/>
  <c r="G171" i="31" s="1"/>
  <c r="G170" i="31" a="1"/>
  <c r="G170" i="31" s="1"/>
  <c r="G169" i="31" a="1"/>
  <c r="G169" i="31" s="1"/>
  <c r="G168" i="31" a="1"/>
  <c r="G168" i="31"/>
  <c r="G167" i="31" a="1"/>
  <c r="G167" i="31" s="1"/>
  <c r="G166" i="31" a="1"/>
  <c r="G166" i="31" s="1"/>
  <c r="G165" i="31" a="1"/>
  <c r="G165" i="31" s="1"/>
  <c r="G164" i="31" a="1"/>
  <c r="G164" i="31" s="1"/>
  <c r="G163" i="31" a="1"/>
  <c r="G163" i="31" s="1"/>
  <c r="G162" i="31" a="1"/>
  <c r="G162" i="31" s="1"/>
  <c r="G161" i="31" a="1"/>
  <c r="G161" i="31" s="1"/>
  <c r="G160" i="31" a="1"/>
  <c r="G160" i="31" s="1"/>
  <c r="G159" i="31" a="1"/>
  <c r="G159" i="31"/>
  <c r="G158" i="31" a="1"/>
  <c r="G158" i="31" s="1"/>
  <c r="G157" i="31" a="1"/>
  <c r="G157" i="31" s="1"/>
  <c r="G156" i="31" a="1"/>
  <c r="G156" i="31" s="1"/>
  <c r="G155" i="31" a="1"/>
  <c r="G155" i="31" s="1"/>
  <c r="G154" i="31" a="1"/>
  <c r="G154" i="31" s="1"/>
  <c r="G153" i="31" a="1"/>
  <c r="G153" i="31" s="1"/>
  <c r="G152" i="31" a="1"/>
  <c r="G152" i="31" s="1"/>
  <c r="G151" i="31" a="1"/>
  <c r="G151" i="31" s="1"/>
  <c r="G150" i="31" a="1"/>
  <c r="G150" i="31" s="1"/>
  <c r="G149" i="31" a="1"/>
  <c r="G149" i="31" s="1"/>
  <c r="G148" i="31" a="1"/>
  <c r="G148" i="31" s="1"/>
  <c r="G147" i="31" a="1"/>
  <c r="G147" i="31" s="1"/>
  <c r="G146" i="31" a="1"/>
  <c r="G146" i="31" s="1"/>
  <c r="G145" i="31" a="1"/>
  <c r="G145" i="31" s="1"/>
  <c r="G144" i="31" a="1"/>
  <c r="G144" i="31"/>
  <c r="G143" i="31" a="1"/>
  <c r="G143" i="31" s="1"/>
  <c r="G142" i="31" a="1"/>
  <c r="G142" i="31" s="1"/>
  <c r="G141" i="31" a="1"/>
  <c r="G141" i="31" s="1"/>
  <c r="G140" i="31" a="1"/>
  <c r="G140" i="31" s="1"/>
  <c r="G139" i="31" a="1"/>
  <c r="G139" i="31" s="1"/>
  <c r="G138" i="31" a="1"/>
  <c r="G138" i="31" s="1"/>
  <c r="G137" i="31" a="1"/>
  <c r="G137" i="31" s="1"/>
  <c r="G136" i="31" a="1"/>
  <c r="G136" i="31"/>
  <c r="G135" i="31" a="1"/>
  <c r="G135" i="31" s="1"/>
  <c r="G134" i="31" a="1"/>
  <c r="G134" i="31"/>
  <c r="G133" i="31" a="1"/>
  <c r="G133" i="31" s="1"/>
  <c r="G132" i="31" a="1"/>
  <c r="G132" i="31" s="1"/>
  <c r="G131" i="31" a="1"/>
  <c r="G131" i="31" s="1"/>
  <c r="G130" i="31" a="1"/>
  <c r="G130" i="31" s="1"/>
  <c r="G129" i="31" a="1"/>
  <c r="G129" i="31" s="1"/>
  <c r="G128" i="31" a="1"/>
  <c r="G128" i="31" s="1"/>
  <c r="G127" i="31" a="1"/>
  <c r="G127" i="31" s="1"/>
  <c r="G126" i="31" a="1"/>
  <c r="G126" i="31" s="1"/>
  <c r="G125" i="31" a="1"/>
  <c r="G125" i="31" s="1"/>
  <c r="G124" i="31" a="1"/>
  <c r="G124" i="31" s="1"/>
  <c r="G123" i="31" a="1"/>
  <c r="G123" i="31" s="1"/>
  <c r="G122" i="31" a="1"/>
  <c r="G122" i="31" s="1"/>
  <c r="G121" i="31" a="1"/>
  <c r="G121" i="31" s="1"/>
  <c r="G120" i="31" a="1"/>
  <c r="G120" i="31" s="1"/>
  <c r="G119" i="31" a="1"/>
  <c r="G119" i="31" s="1"/>
  <c r="G118" i="31" a="1"/>
  <c r="G118" i="31" s="1"/>
  <c r="G117" i="31" a="1"/>
  <c r="G117" i="31" s="1"/>
  <c r="G116" i="31" a="1"/>
  <c r="G116" i="31" s="1"/>
  <c r="G115" i="31" a="1"/>
  <c r="G115" i="31"/>
  <c r="G114" i="31" a="1"/>
  <c r="G114" i="31" s="1"/>
  <c r="G113" i="31" a="1"/>
  <c r="G113" i="31" s="1"/>
  <c r="G112" i="31" a="1"/>
  <c r="G112" i="31" s="1"/>
  <c r="G111" i="31" a="1"/>
  <c r="G111" i="31" s="1"/>
  <c r="G110" i="31" a="1"/>
  <c r="G110" i="31" s="1"/>
  <c r="G109" i="31" a="1"/>
  <c r="G109" i="31" s="1"/>
  <c r="G108" i="31" a="1"/>
  <c r="G108" i="31" s="1"/>
  <c r="G107" i="31" a="1"/>
  <c r="G107" i="31" s="1"/>
  <c r="G106" i="31" a="1"/>
  <c r="G106" i="31" s="1"/>
  <c r="G105" i="31" a="1"/>
  <c r="G105" i="31" s="1"/>
  <c r="G104" i="31" a="1"/>
  <c r="G104" i="31" s="1"/>
  <c r="G103" i="31" a="1"/>
  <c r="G103" i="31" s="1"/>
  <c r="G102" i="31" a="1"/>
  <c r="G102" i="31" s="1"/>
  <c r="G101" i="31" a="1"/>
  <c r="G101" i="31" s="1"/>
  <c r="G100" i="31" a="1"/>
  <c r="G100" i="31" s="1"/>
  <c r="G99" i="31" a="1"/>
  <c r="G99" i="31" s="1"/>
  <c r="G98" i="31" a="1"/>
  <c r="G98" i="31" s="1"/>
  <c r="G97" i="31" a="1"/>
  <c r="G97" i="31" s="1"/>
  <c r="G96" i="31" a="1"/>
  <c r="G96" i="31" s="1"/>
  <c r="G95" i="31" a="1"/>
  <c r="G95" i="31" s="1"/>
  <c r="G94" i="31" a="1"/>
  <c r="G94" i="31" s="1"/>
  <c r="G93" i="31" a="1"/>
  <c r="G93" i="31" s="1"/>
  <c r="G92" i="31" a="1"/>
  <c r="G92" i="31" s="1"/>
  <c r="G91" i="31" a="1"/>
  <c r="G91" i="31" s="1"/>
  <c r="G90" i="31" a="1"/>
  <c r="G90" i="31" s="1"/>
  <c r="G89" i="31" a="1"/>
  <c r="G89" i="31" s="1"/>
  <c r="G88" i="31" a="1"/>
  <c r="G88" i="31" s="1"/>
  <c r="G87" i="31" a="1"/>
  <c r="G87" i="31" s="1"/>
  <c r="G86" i="31" a="1"/>
  <c r="G86" i="31" s="1"/>
  <c r="G85" i="31" a="1"/>
  <c r="G85" i="31" s="1"/>
  <c r="G84" i="31" a="1"/>
  <c r="G84" i="31" s="1"/>
  <c r="G83" i="31" a="1"/>
  <c r="G83" i="31"/>
  <c r="G82" i="31" a="1"/>
  <c r="G82" i="31" s="1"/>
  <c r="G81" i="31" a="1"/>
  <c r="G81" i="31" s="1"/>
  <c r="G80" i="31" a="1"/>
  <c r="G80" i="31" s="1"/>
  <c r="G79" i="31" a="1"/>
  <c r="G79" i="31" s="1"/>
  <c r="G78" i="31" a="1"/>
  <c r="G78" i="31" s="1"/>
  <c r="G77" i="31" a="1"/>
  <c r="G77" i="31" s="1"/>
  <c r="G76" i="31" a="1"/>
  <c r="G76" i="31" s="1"/>
  <c r="G75" i="31" a="1"/>
  <c r="G75" i="31" s="1"/>
  <c r="G74" i="31" a="1"/>
  <c r="G74" i="31" s="1"/>
  <c r="G73" i="31" a="1"/>
  <c r="G73" i="31" s="1"/>
  <c r="G72" i="31" a="1"/>
  <c r="G72" i="31"/>
  <c r="G71" i="31" a="1"/>
  <c r="G71" i="31" s="1"/>
  <c r="G70" i="31" a="1"/>
  <c r="G70" i="31" s="1"/>
  <c r="G69" i="31" a="1"/>
  <c r="G69" i="31" s="1"/>
  <c r="G68" i="31" a="1"/>
  <c r="G68" i="31" s="1"/>
  <c r="G67" i="31" a="1"/>
  <c r="G67" i="31" s="1"/>
  <c r="G66" i="31" a="1"/>
  <c r="G66" i="31" s="1"/>
  <c r="G65" i="31" a="1"/>
  <c r="G65" i="31" s="1"/>
  <c r="G64" i="31" a="1"/>
  <c r="G64" i="31" s="1"/>
  <c r="G63" i="31" a="1"/>
  <c r="G63" i="31" s="1"/>
  <c r="G62" i="31" a="1"/>
  <c r="G62" i="31" s="1"/>
  <c r="G61" i="31" a="1"/>
  <c r="G61" i="31" s="1"/>
  <c r="G60" i="31" a="1"/>
  <c r="G60" i="31" s="1"/>
  <c r="G59" i="31" a="1"/>
  <c r="G59" i="31" s="1"/>
  <c r="G58" i="31" a="1"/>
  <c r="G58" i="31" s="1"/>
  <c r="G57" i="31" a="1"/>
  <c r="G57" i="31" s="1"/>
  <c r="G56" i="31" a="1"/>
  <c r="G56" i="31" s="1"/>
  <c r="G55" i="31" a="1"/>
  <c r="G55" i="31" s="1"/>
  <c r="G54" i="31" a="1"/>
  <c r="G54" i="31" s="1"/>
  <c r="G53" i="31" a="1"/>
  <c r="G53" i="31" s="1"/>
  <c r="G52" i="31" a="1"/>
  <c r="G52" i="31" s="1"/>
  <c r="G51" i="31" a="1"/>
  <c r="G51" i="31" s="1"/>
  <c r="G50" i="31" a="1"/>
  <c r="G50" i="31"/>
  <c r="G49" i="31" a="1"/>
  <c r="G49" i="31" s="1"/>
  <c r="G48" i="31" a="1"/>
  <c r="G48" i="31" s="1"/>
  <c r="G47" i="31" a="1"/>
  <c r="G47" i="31" s="1"/>
  <c r="G46" i="31" a="1"/>
  <c r="G46" i="31" s="1"/>
  <c r="G45" i="31" a="1"/>
  <c r="G45" i="31" s="1"/>
  <c r="G44" i="31" a="1"/>
  <c r="G44" i="31" s="1"/>
  <c r="G43" i="31" a="1"/>
  <c r="G43" i="31" s="1"/>
  <c r="G42" i="31" a="1"/>
  <c r="G42" i="31" s="1"/>
  <c r="G41" i="31" a="1"/>
  <c r="G41" i="31" s="1"/>
  <c r="G40" i="31" a="1"/>
  <c r="G40" i="31" s="1"/>
  <c r="G39" i="31" a="1"/>
  <c r="G39" i="31" s="1"/>
  <c r="G38" i="31" a="1"/>
  <c r="G38" i="31" s="1"/>
  <c r="G37" i="31" a="1"/>
  <c r="G37" i="31" s="1"/>
  <c r="G36" i="31" a="1"/>
  <c r="G36" i="31" s="1"/>
  <c r="G35" i="31" a="1"/>
  <c r="G35" i="31" s="1"/>
  <c r="G34" i="31" a="1"/>
  <c r="G34" i="31" s="1"/>
  <c r="F183" i="31" a="1"/>
  <c r="F183" i="31"/>
  <c r="F182" i="31" a="1"/>
  <c r="F182" i="31" s="1"/>
  <c r="F181" i="31" a="1"/>
  <c r="F181" i="31" s="1"/>
  <c r="F180" i="31" a="1"/>
  <c r="F180" i="31" s="1"/>
  <c r="F179" i="31" a="1"/>
  <c r="F179" i="31" s="1"/>
  <c r="F178" i="31" a="1"/>
  <c r="F178" i="31" s="1"/>
  <c r="F177" i="31" a="1"/>
  <c r="F177" i="31" s="1"/>
  <c r="F176" i="31" a="1"/>
  <c r="F176" i="31" s="1"/>
  <c r="F175" i="31" a="1"/>
  <c r="F175" i="31" s="1"/>
  <c r="F174" i="31" a="1"/>
  <c r="F174" i="31" s="1"/>
  <c r="F173" i="31" a="1"/>
  <c r="F173" i="31" s="1"/>
  <c r="F172" i="31" a="1"/>
  <c r="F172" i="31" s="1"/>
  <c r="F171" i="31" a="1"/>
  <c r="F171" i="31" s="1"/>
  <c r="F170" i="31" a="1"/>
  <c r="F170" i="31" s="1"/>
  <c r="F169" i="31" a="1"/>
  <c r="F169" i="31" s="1"/>
  <c r="F168" i="31" a="1"/>
  <c r="F168" i="31" s="1"/>
  <c r="F167" i="31" a="1"/>
  <c r="F167" i="31" s="1"/>
  <c r="F166" i="31" a="1"/>
  <c r="F166" i="31" s="1"/>
  <c r="F165" i="31" a="1"/>
  <c r="F165" i="31" s="1"/>
  <c r="F164" i="31" a="1"/>
  <c r="F164" i="31" s="1"/>
  <c r="F163" i="31" a="1"/>
  <c r="F163" i="31" s="1"/>
  <c r="F162" i="31" a="1"/>
  <c r="F162" i="31" s="1"/>
  <c r="F161" i="31" a="1"/>
  <c r="F161" i="31" s="1"/>
  <c r="F160" i="31" a="1"/>
  <c r="F160" i="31" s="1"/>
  <c r="F159" i="31" a="1"/>
  <c r="F159" i="31" s="1"/>
  <c r="F158" i="31" a="1"/>
  <c r="F158" i="31" s="1"/>
  <c r="F157" i="31" a="1"/>
  <c r="F157" i="31" s="1"/>
  <c r="F156" i="31" a="1"/>
  <c r="F156" i="31" s="1"/>
  <c r="F155" i="31" a="1"/>
  <c r="F155" i="31" s="1"/>
  <c r="F154" i="31" a="1"/>
  <c r="F154" i="31" s="1"/>
  <c r="F153" i="31" a="1"/>
  <c r="F153" i="31" s="1"/>
  <c r="F152" i="31" a="1"/>
  <c r="F152" i="31" s="1"/>
  <c r="F151" i="31" a="1"/>
  <c r="F151" i="31" s="1"/>
  <c r="F150" i="31" a="1"/>
  <c r="F150" i="31" s="1"/>
  <c r="F149" i="31" a="1"/>
  <c r="F149" i="31" s="1"/>
  <c r="F148" i="31" a="1"/>
  <c r="F148" i="31" s="1"/>
  <c r="F147" i="31" a="1"/>
  <c r="F147" i="31" s="1"/>
  <c r="F146" i="31" a="1"/>
  <c r="F146" i="31" s="1"/>
  <c r="F145" i="31" a="1"/>
  <c r="F145" i="31" s="1"/>
  <c r="F144" i="31" a="1"/>
  <c r="F144" i="31" s="1"/>
  <c r="F143" i="31" a="1"/>
  <c r="F143" i="31" s="1"/>
  <c r="F142" i="31" a="1"/>
  <c r="F142" i="31" s="1"/>
  <c r="F141" i="31" a="1"/>
  <c r="F141" i="31" s="1"/>
  <c r="F140" i="31" a="1"/>
  <c r="F140" i="31" s="1"/>
  <c r="F139" i="31" a="1"/>
  <c r="F139" i="31" s="1"/>
  <c r="F138" i="31" a="1"/>
  <c r="F138" i="31" s="1"/>
  <c r="F137" i="31" a="1"/>
  <c r="F137" i="31" s="1"/>
  <c r="F136" i="31" a="1"/>
  <c r="F136" i="31" s="1"/>
  <c r="F135" i="31" a="1"/>
  <c r="F135" i="31" s="1"/>
  <c r="F134" i="31" a="1"/>
  <c r="F134" i="31" s="1"/>
  <c r="F133" i="31" a="1"/>
  <c r="F133" i="31" s="1"/>
  <c r="F132" i="31" a="1"/>
  <c r="F132" i="31" s="1"/>
  <c r="F131" i="31" a="1"/>
  <c r="F131" i="31" s="1"/>
  <c r="F130" i="31" a="1"/>
  <c r="F130" i="31" s="1"/>
  <c r="F129" i="31" a="1"/>
  <c r="F129" i="31" s="1"/>
  <c r="F128" i="31" a="1"/>
  <c r="F128" i="31"/>
  <c r="F127" i="31" a="1"/>
  <c r="F127" i="31"/>
  <c r="F126" i="31" a="1"/>
  <c r="F126" i="31" s="1"/>
  <c r="F125" i="31" a="1"/>
  <c r="F125" i="31" s="1"/>
  <c r="F124" i="31" a="1"/>
  <c r="F124" i="31" s="1"/>
  <c r="F123" i="31" a="1"/>
  <c r="F123" i="31" s="1"/>
  <c r="F122" i="31" a="1"/>
  <c r="F122" i="31" s="1"/>
  <c r="F121" i="31" a="1"/>
  <c r="F121" i="31" s="1"/>
  <c r="F120" i="31" a="1"/>
  <c r="F120" i="31" s="1"/>
  <c r="F119" i="31" a="1"/>
  <c r="F119" i="31"/>
  <c r="F118" i="31" a="1"/>
  <c r="F118" i="31" s="1"/>
  <c r="F117" i="31" a="1"/>
  <c r="F117" i="31" s="1"/>
  <c r="F116" i="31" a="1"/>
  <c r="F116" i="31" s="1"/>
  <c r="F115" i="31" a="1"/>
  <c r="F115" i="31" s="1"/>
  <c r="F114" i="31" a="1"/>
  <c r="F114" i="31" s="1"/>
  <c r="F113" i="31" a="1"/>
  <c r="F113" i="31" s="1"/>
  <c r="F112" i="31" a="1"/>
  <c r="F112" i="31" s="1"/>
  <c r="F111" i="31" a="1"/>
  <c r="F111" i="31" s="1"/>
  <c r="F110" i="31" a="1"/>
  <c r="F110" i="31" s="1"/>
  <c r="F109" i="31" a="1"/>
  <c r="F109" i="31" s="1"/>
  <c r="F108" i="31" a="1"/>
  <c r="F108" i="31" s="1"/>
  <c r="F107" i="31" a="1"/>
  <c r="F107" i="31" s="1"/>
  <c r="F106" i="31" a="1"/>
  <c r="F106" i="31" s="1"/>
  <c r="F105" i="31" a="1"/>
  <c r="F105" i="31" s="1"/>
  <c r="F104" i="31" a="1"/>
  <c r="F104" i="31" s="1"/>
  <c r="F103" i="31" a="1"/>
  <c r="F103" i="31" s="1"/>
  <c r="F102" i="31" a="1"/>
  <c r="F102" i="31" s="1"/>
  <c r="F101" i="31" a="1"/>
  <c r="F101" i="31" s="1"/>
  <c r="F100" i="31" a="1"/>
  <c r="F100" i="31" s="1"/>
  <c r="F99" i="31" a="1"/>
  <c r="F99" i="31" s="1"/>
  <c r="F98" i="31" a="1"/>
  <c r="F98" i="31" s="1"/>
  <c r="F97" i="31" a="1"/>
  <c r="F97" i="31" s="1"/>
  <c r="F96" i="31" a="1"/>
  <c r="F96" i="31" s="1"/>
  <c r="F95" i="31" a="1"/>
  <c r="F95" i="31" s="1"/>
  <c r="F94" i="31" a="1"/>
  <c r="F94" i="31" s="1"/>
  <c r="F93" i="31" a="1"/>
  <c r="F93" i="31" s="1"/>
  <c r="F92" i="31" a="1"/>
  <c r="F92" i="31" s="1"/>
  <c r="F91" i="31" a="1"/>
  <c r="F91" i="31" s="1"/>
  <c r="F90" i="31" a="1"/>
  <c r="F90" i="31" s="1"/>
  <c r="F89" i="31" a="1"/>
  <c r="F89" i="31" s="1"/>
  <c r="F88" i="31" a="1"/>
  <c r="F88" i="31" s="1"/>
  <c r="F87" i="31" a="1"/>
  <c r="F87" i="31" s="1"/>
  <c r="F86" i="31" a="1"/>
  <c r="F86" i="31" s="1"/>
  <c r="F85" i="31" a="1"/>
  <c r="F85" i="31" s="1"/>
  <c r="F84" i="31" a="1"/>
  <c r="F84" i="31" s="1"/>
  <c r="F83" i="31" a="1"/>
  <c r="F83" i="31" s="1"/>
  <c r="F82" i="31" a="1"/>
  <c r="F82" i="31" s="1"/>
  <c r="F81" i="31" a="1"/>
  <c r="F81" i="31" s="1"/>
  <c r="F80" i="31" a="1"/>
  <c r="F80" i="31" s="1"/>
  <c r="F79" i="31" a="1"/>
  <c r="F79" i="31" s="1"/>
  <c r="F78" i="31" a="1"/>
  <c r="F78" i="31" s="1"/>
  <c r="F77" i="31" a="1"/>
  <c r="F77" i="31" s="1"/>
  <c r="F76" i="31" a="1"/>
  <c r="F76" i="31" s="1"/>
  <c r="F75" i="31" a="1"/>
  <c r="F75" i="31" s="1"/>
  <c r="F74" i="31" a="1"/>
  <c r="F74" i="31" s="1"/>
  <c r="F73" i="31" a="1"/>
  <c r="F73" i="31" s="1"/>
  <c r="F72" i="31" a="1"/>
  <c r="F72" i="31" s="1"/>
  <c r="F71" i="31" a="1"/>
  <c r="F71" i="31" s="1"/>
  <c r="F70" i="31" a="1"/>
  <c r="F70" i="31" s="1"/>
  <c r="F69" i="31" a="1"/>
  <c r="F69" i="31" s="1"/>
  <c r="F68" i="31" a="1"/>
  <c r="F68" i="31" s="1"/>
  <c r="F67" i="31" a="1"/>
  <c r="F67" i="31" s="1"/>
  <c r="F66" i="31" a="1"/>
  <c r="F66" i="31" s="1"/>
  <c r="F65" i="31" a="1"/>
  <c r="F65" i="31" s="1"/>
  <c r="F64" i="31" a="1"/>
  <c r="F64" i="31" s="1"/>
  <c r="F63" i="31" a="1"/>
  <c r="F63" i="31" s="1"/>
  <c r="F62" i="31" a="1"/>
  <c r="F62" i="31" s="1"/>
  <c r="F61" i="31" a="1"/>
  <c r="F61" i="31" s="1"/>
  <c r="F60" i="31" a="1"/>
  <c r="F60" i="31" s="1"/>
  <c r="F59" i="31" a="1"/>
  <c r="F59" i="31" s="1"/>
  <c r="F58" i="31" a="1"/>
  <c r="F58" i="31" s="1"/>
  <c r="F57" i="31" a="1"/>
  <c r="F57" i="31" s="1"/>
  <c r="F56" i="31" a="1"/>
  <c r="F56" i="31" s="1"/>
  <c r="F55" i="31" a="1"/>
  <c r="F55" i="31" s="1"/>
  <c r="F54" i="31" a="1"/>
  <c r="F54" i="31" s="1"/>
  <c r="F53" i="31" a="1"/>
  <c r="F53" i="31" s="1"/>
  <c r="F52" i="31" a="1"/>
  <c r="F52" i="31" s="1"/>
  <c r="F51" i="31" a="1"/>
  <c r="F51" i="31" s="1"/>
  <c r="F50" i="31" a="1"/>
  <c r="F50" i="31" s="1"/>
  <c r="F49" i="31" a="1"/>
  <c r="F49" i="31" s="1"/>
  <c r="F48" i="31" a="1"/>
  <c r="F48" i="31" s="1"/>
  <c r="F47" i="31" a="1"/>
  <c r="F47" i="31" s="1"/>
  <c r="F46" i="31" a="1"/>
  <c r="F46" i="31" s="1"/>
  <c r="F45" i="31" a="1"/>
  <c r="F45" i="31" s="1"/>
  <c r="F44" i="31" a="1"/>
  <c r="F44" i="31" s="1"/>
  <c r="F43" i="31" a="1"/>
  <c r="F43" i="31" s="1"/>
  <c r="F42" i="31" a="1"/>
  <c r="F42" i="31" s="1"/>
  <c r="F41" i="31" a="1"/>
  <c r="F41" i="31" s="1"/>
  <c r="F40" i="31" a="1"/>
  <c r="F40" i="31" s="1"/>
  <c r="F39" i="31" a="1"/>
  <c r="F39" i="31" s="1"/>
  <c r="F38" i="31" a="1"/>
  <c r="F38" i="31" s="1"/>
  <c r="F37" i="31" a="1"/>
  <c r="F37" i="31" s="1"/>
  <c r="F36" i="31" a="1"/>
  <c r="F36" i="31" s="1"/>
  <c r="F35" i="31" a="1"/>
  <c r="F35" i="31" s="1"/>
  <c r="F34" i="31" a="1"/>
  <c r="F34" i="31" s="1"/>
  <c r="E41" i="31" a="1"/>
  <c r="E41" i="31"/>
  <c r="E40" i="31" a="1"/>
  <c r="E40" i="31" s="1"/>
  <c r="E39" i="31" a="1"/>
  <c r="E39" i="31" s="1"/>
  <c r="E38" i="31" a="1"/>
  <c r="E38" i="31" s="1"/>
  <c r="E37" i="31" a="1"/>
  <c r="E37" i="31" s="1"/>
  <c r="E36" i="31" a="1"/>
  <c r="E36" i="31" s="1"/>
  <c r="E35" i="31" a="1"/>
  <c r="E35" i="31" s="1"/>
  <c r="E34" i="31" a="1"/>
  <c r="E34" i="31" s="1"/>
  <c r="D41" i="31" a="1"/>
  <c r="D41" i="31" s="1"/>
  <c r="D40" i="31" a="1"/>
  <c r="D40" i="31" s="1"/>
  <c r="D39" i="31" a="1"/>
  <c r="D39" i="31" s="1"/>
  <c r="D38" i="31" a="1"/>
  <c r="D38" i="31" s="1"/>
  <c r="D37" i="31" a="1"/>
  <c r="D37" i="31" s="1"/>
  <c r="D36" i="31" a="1"/>
  <c r="D36" i="31" s="1"/>
  <c r="D35" i="31" a="1"/>
  <c r="D35" i="31" s="1"/>
  <c r="D34" i="31" a="1"/>
  <c r="D34" i="31" s="1"/>
  <c r="H23" i="14"/>
  <c r="AC84" i="43" l="1"/>
  <c r="AI48" i="43"/>
  <c r="AC45" i="43"/>
  <c r="AI32" i="43"/>
  <c r="BR20" i="43"/>
  <c r="BS20" i="43"/>
  <c r="BW19" i="43"/>
  <c r="BQ20" i="43"/>
  <c r="BP20" i="43"/>
  <c r="BO20" i="43"/>
  <c r="BM20" i="43"/>
  <c r="BN20" i="43"/>
  <c r="BU20" i="43"/>
  <c r="BT20" i="43"/>
  <c r="CA19" i="43"/>
  <c r="BV20" i="43"/>
  <c r="AH84" i="43"/>
  <c r="AH89" i="43" s="1"/>
  <c r="AN48" i="43"/>
  <c r="AC43" i="43"/>
  <c r="AC44" i="43" s="1"/>
  <c r="AI24" i="43"/>
  <c r="Y44" i="43"/>
  <c r="AN43" i="43"/>
  <c r="AN44" i="43" s="1"/>
  <c r="AR24" i="43"/>
  <c r="AI90" i="43"/>
  <c r="AI95" i="43" s="1"/>
  <c r="AM86" i="43"/>
  <c r="AN90" i="43"/>
  <c r="AN95" i="43" s="1"/>
  <c r="AR86" i="43"/>
  <c r="AC90" i="43"/>
  <c r="AC95" i="43" s="1"/>
  <c r="AN45" i="43"/>
  <c r="AR32" i="43"/>
  <c r="AC47" i="44"/>
  <c r="AC48" i="44" s="1"/>
  <c r="AC43" i="44"/>
  <c r="AC44" i="44" s="1"/>
  <c r="AI24" i="44"/>
  <c r="AN45" i="44"/>
  <c r="AN49" i="44"/>
  <c r="AR32" i="44"/>
  <c r="AR47" i="44"/>
  <c r="AR43" i="44"/>
  <c r="AX24" i="44"/>
  <c r="AN43" i="44"/>
  <c r="AN44" i="44" s="1"/>
  <c r="AI45" i="44"/>
  <c r="AI49" i="44"/>
  <c r="AM32" i="44"/>
  <c r="BH20" i="44"/>
  <c r="BG20" i="44"/>
  <c r="BF20" i="44"/>
  <c r="CB20" i="44"/>
  <c r="BE20" i="44"/>
  <c r="BJ20" i="44"/>
  <c r="BL20" i="44"/>
  <c r="BD20" i="44"/>
  <c r="BK20" i="44"/>
  <c r="BC20" i="44"/>
  <c r="BI20" i="44"/>
  <c r="AN47" i="44"/>
  <c r="AN48" i="44" s="1"/>
  <c r="T26" i="12"/>
  <c r="T25" i="12"/>
  <c r="T24" i="12"/>
  <c r="AR43" i="43" l="1"/>
  <c r="AX24" i="43"/>
  <c r="CB20" i="43"/>
  <c r="CE20" i="43"/>
  <c r="CD20" i="43"/>
  <c r="CC20" i="43"/>
  <c r="CA20" i="43"/>
  <c r="CF20" i="43"/>
  <c r="BZ20" i="43"/>
  <c r="BY20" i="43"/>
  <c r="CE19" i="43"/>
  <c r="AR45" i="43"/>
  <c r="AX32" i="43"/>
  <c r="AR90" i="43"/>
  <c r="AR95" i="43" s="1"/>
  <c r="AX86" i="43"/>
  <c r="AI43" i="43"/>
  <c r="AM24" i="43"/>
  <c r="AI45" i="43"/>
  <c r="AM32" i="43"/>
  <c r="AS86" i="43"/>
  <c r="AM90" i="43"/>
  <c r="AM95" i="43" s="1"/>
  <c r="AN84" i="43"/>
  <c r="AN89" i="43" s="1"/>
  <c r="AR48" i="43"/>
  <c r="AI84" i="43"/>
  <c r="AI89" i="43" s="1"/>
  <c r="AM48" i="43"/>
  <c r="AC89" i="43"/>
  <c r="AM49" i="44"/>
  <c r="AS32" i="44"/>
  <c r="AM45" i="44"/>
  <c r="AX32" i="44"/>
  <c r="AR45" i="44"/>
  <c r="AR44" i="44" s="1"/>
  <c r="AR49" i="44"/>
  <c r="AR48" i="44" s="1"/>
  <c r="AI47" i="44"/>
  <c r="AI48" i="44" s="1"/>
  <c r="AI43" i="44"/>
  <c r="AI44" i="44" s="1"/>
  <c r="AM24" i="44"/>
  <c r="BB24" i="44"/>
  <c r="AX43" i="44"/>
  <c r="D184" i="32"/>
  <c r="BB86" i="43" l="1"/>
  <c r="AS90" i="43"/>
  <c r="AS95" i="43" s="1"/>
  <c r="AW86" i="43"/>
  <c r="AX45" i="43"/>
  <c r="BB32" i="43"/>
  <c r="AM84" i="43"/>
  <c r="AM89" i="43" s="1"/>
  <c r="AS48" i="43"/>
  <c r="AM43" i="43"/>
  <c r="AS24" i="43"/>
  <c r="BB24" i="43"/>
  <c r="AX43" i="43"/>
  <c r="AX44" i="43" s="1"/>
  <c r="AM45" i="43"/>
  <c r="AS32" i="43"/>
  <c r="AR84" i="43"/>
  <c r="AR89" i="43" s="1"/>
  <c r="AX48" i="43"/>
  <c r="AI44" i="43"/>
  <c r="AR44" i="43"/>
  <c r="AX49" i="44"/>
  <c r="BB32" i="44"/>
  <c r="AX45" i="44"/>
  <c r="AX44" i="44" s="1"/>
  <c r="BB47" i="44"/>
  <c r="BB43" i="44"/>
  <c r="BH24" i="44"/>
  <c r="AM47" i="44"/>
  <c r="AM48" i="44" s="1"/>
  <c r="AM43" i="44"/>
  <c r="AM44" i="44" s="1"/>
  <c r="AS24" i="44"/>
  <c r="AX47" i="44"/>
  <c r="AX48" i="44" s="1"/>
  <c r="AS45" i="44"/>
  <c r="AW32" i="44"/>
  <c r="AS49" i="44"/>
  <c r="C32" i="32"/>
  <c r="BH32" i="43" l="1"/>
  <c r="BB45" i="43"/>
  <c r="AS45" i="43"/>
  <c r="AW32" i="43"/>
  <c r="AW90" i="43"/>
  <c r="AW95" i="43" s="1"/>
  <c r="BC86" i="43"/>
  <c r="BB43" i="43"/>
  <c r="BB44" i="43" s="1"/>
  <c r="BH24" i="43"/>
  <c r="AS43" i="43"/>
  <c r="AS44" i="43" s="1"/>
  <c r="AW24" i="43"/>
  <c r="BB90" i="43"/>
  <c r="BB95" i="43" s="1"/>
  <c r="BH86" i="43"/>
  <c r="AM44" i="43"/>
  <c r="AX84" i="43"/>
  <c r="AX89" i="43" s="1"/>
  <c r="BB48" i="43"/>
  <c r="AS84" i="43"/>
  <c r="AS89" i="43" s="1"/>
  <c r="AW48" i="43"/>
  <c r="AX90" i="43"/>
  <c r="AX95" i="43" s="1"/>
  <c r="BH43" i="44"/>
  <c r="BL24" i="44"/>
  <c r="AW45" i="44"/>
  <c r="AW49" i="44"/>
  <c r="BC32" i="44"/>
  <c r="BB49" i="44"/>
  <c r="BB48" i="44" s="1"/>
  <c r="BB45" i="44"/>
  <c r="BB44" i="44" s="1"/>
  <c r="BH32" i="44"/>
  <c r="BH47" i="44" s="1"/>
  <c r="AS47" i="44"/>
  <c r="AS48" i="44" s="1"/>
  <c r="AS43" i="44"/>
  <c r="AS44" i="44" s="1"/>
  <c r="AW24" i="44"/>
  <c r="S49" i="2"/>
  <c r="F491" i="33"/>
  <c r="H491" i="33"/>
  <c r="J491" i="33"/>
  <c r="L491" i="33"/>
  <c r="N491" i="33"/>
  <c r="BD91" i="2"/>
  <c r="BE91" i="2"/>
  <c r="BF91" i="2"/>
  <c r="BI91" i="2"/>
  <c r="BJ91" i="2"/>
  <c r="BK91" i="2"/>
  <c r="BM91" i="2"/>
  <c r="BN91" i="2"/>
  <c r="BQ91" i="2"/>
  <c r="BR91" i="2"/>
  <c r="BL86" i="43" l="1"/>
  <c r="BC90" i="43"/>
  <c r="BC95" i="43" s="1"/>
  <c r="BG86" i="43"/>
  <c r="AW45" i="43"/>
  <c r="BC32" i="43"/>
  <c r="AW84" i="43"/>
  <c r="AW89" i="43" s="1"/>
  <c r="BC48" i="43"/>
  <c r="AW43" i="43"/>
  <c r="BC24" i="43"/>
  <c r="BB84" i="43"/>
  <c r="BB89" i="43" s="1"/>
  <c r="BH48" i="43"/>
  <c r="BL24" i="43"/>
  <c r="BH43" i="43"/>
  <c r="BH44" i="43" s="1"/>
  <c r="BZ24" i="43"/>
  <c r="BZ43" i="43" s="1"/>
  <c r="BZ44" i="43" s="1"/>
  <c r="BH45" i="43"/>
  <c r="BL32" i="43"/>
  <c r="BZ32" i="43"/>
  <c r="BZ45" i="43" s="1"/>
  <c r="BC49" i="44"/>
  <c r="BC45" i="44"/>
  <c r="BG32" i="44"/>
  <c r="AW47" i="44"/>
  <c r="AW48" i="44" s="1"/>
  <c r="BC24" i="44"/>
  <c r="AW43" i="44"/>
  <c r="AW44" i="44" s="1"/>
  <c r="BR24" i="44"/>
  <c r="BH45" i="44"/>
  <c r="BH44" i="44" s="1"/>
  <c r="BH49" i="44"/>
  <c r="BH48" i="44" s="1"/>
  <c r="BL32" i="44"/>
  <c r="BL47" i="44" s="1"/>
  <c r="B27" i="13"/>
  <c r="B26" i="13"/>
  <c r="S52" i="2"/>
  <c r="X52" i="2"/>
  <c r="D237" i="14"/>
  <c r="D238" i="14"/>
  <c r="D239" i="14"/>
  <c r="D240" i="14"/>
  <c r="D241" i="14"/>
  <c r="D242" i="14"/>
  <c r="D243" i="14"/>
  <c r="D244" i="14"/>
  <c r="D245" i="14"/>
  <c r="D246" i="14"/>
  <c r="D247" i="14"/>
  <c r="D248" i="14"/>
  <c r="D249" i="14"/>
  <c r="D250" i="14"/>
  <c r="D251" i="14"/>
  <c r="D252" i="14"/>
  <c r="D253" i="14"/>
  <c r="D254" i="14"/>
  <c r="D255" i="14"/>
  <c r="D236" i="14"/>
  <c r="BR86" i="2"/>
  <c r="BQ86" i="2"/>
  <c r="BN86" i="2"/>
  <c r="BM86" i="2"/>
  <c r="BK86" i="2"/>
  <c r="BJ86" i="2"/>
  <c r="BI86" i="2"/>
  <c r="BF86" i="2"/>
  <c r="BE86" i="2"/>
  <c r="BD86" i="2"/>
  <c r="BA86" i="2"/>
  <c r="BA91" i="2" s="1"/>
  <c r="AZ86" i="2"/>
  <c r="AZ91" i="2" s="1"/>
  <c r="AY86" i="2"/>
  <c r="AY91" i="2" s="1"/>
  <c r="AV86" i="2"/>
  <c r="AV91" i="2" s="1"/>
  <c r="AU86" i="2"/>
  <c r="AU91" i="2" s="1"/>
  <c r="AT86" i="2"/>
  <c r="AT91" i="2" s="1"/>
  <c r="AQ86" i="2"/>
  <c r="AQ91" i="2" s="1"/>
  <c r="AP86" i="2"/>
  <c r="AP91" i="2" s="1"/>
  <c r="AO86" i="2"/>
  <c r="AO91" i="2" s="1"/>
  <c r="AL86" i="2"/>
  <c r="AL91" i="2" s="1"/>
  <c r="AK86" i="2"/>
  <c r="AK91" i="2" s="1"/>
  <c r="AJ86" i="2"/>
  <c r="AJ91" i="2" s="1"/>
  <c r="AG86" i="2"/>
  <c r="AG91" i="2" s="1"/>
  <c r="AF86" i="2"/>
  <c r="AF91" i="2" s="1"/>
  <c r="AE86" i="2"/>
  <c r="AE91" i="2" s="1"/>
  <c r="AB86" i="2"/>
  <c r="AB91" i="2" s="1"/>
  <c r="AA86" i="2"/>
  <c r="AA91" i="2" s="1"/>
  <c r="Z86" i="2"/>
  <c r="Z91" i="2" s="1"/>
  <c r="W86" i="2"/>
  <c r="W91" i="2" s="1"/>
  <c r="V86" i="2"/>
  <c r="V91" i="2" s="1"/>
  <c r="U86" i="2"/>
  <c r="U91" i="2" s="1"/>
  <c r="R86" i="2"/>
  <c r="R91" i="2" s="1"/>
  <c r="Q86" i="2"/>
  <c r="Q91" i="2" s="1"/>
  <c r="P86" i="2"/>
  <c r="P91" i="2" s="1"/>
  <c r="M86" i="2"/>
  <c r="M91" i="2" s="1"/>
  <c r="L86" i="2"/>
  <c r="L91" i="2" s="1"/>
  <c r="K86" i="2"/>
  <c r="K91" i="2" s="1"/>
  <c r="J86" i="2"/>
  <c r="J91" i="2" s="1"/>
  <c r="H86" i="2"/>
  <c r="H91" i="2" s="1"/>
  <c r="G86" i="2"/>
  <c r="G91" i="2" s="1"/>
  <c r="F86" i="2"/>
  <c r="F91" i="2" s="1"/>
  <c r="E86" i="2"/>
  <c r="E91" i="2" s="1"/>
  <c r="BS45" i="30"/>
  <c r="BR45" i="30"/>
  <c r="BQ45" i="30"/>
  <c r="BP45" i="30"/>
  <c r="BN45" i="30"/>
  <c r="BM45" i="30"/>
  <c r="BL45" i="30"/>
  <c r="BK45" i="30"/>
  <c r="BJ45" i="30"/>
  <c r="BI45" i="30"/>
  <c r="BH45" i="30"/>
  <c r="BF45" i="30"/>
  <c r="BE45" i="30"/>
  <c r="BD45" i="30"/>
  <c r="BB45" i="30"/>
  <c r="BA45" i="30"/>
  <c r="AZ45" i="30"/>
  <c r="AY45" i="30"/>
  <c r="AX45" i="30"/>
  <c r="AV45" i="30"/>
  <c r="AU45" i="30"/>
  <c r="AT45" i="30"/>
  <c r="AR45" i="30"/>
  <c r="AQ45" i="30"/>
  <c r="AP45" i="30"/>
  <c r="AO45" i="30"/>
  <c r="AN45" i="30"/>
  <c r="AL45" i="30"/>
  <c r="AK45" i="30"/>
  <c r="AJ45" i="30"/>
  <c r="AH45" i="30"/>
  <c r="AG45" i="30"/>
  <c r="AF45" i="30"/>
  <c r="AE45" i="30"/>
  <c r="AD45" i="30"/>
  <c r="AB45" i="30"/>
  <c r="AA45" i="30"/>
  <c r="Z45" i="30"/>
  <c r="X45" i="30"/>
  <c r="W45" i="30"/>
  <c r="V45" i="30"/>
  <c r="U45" i="30"/>
  <c r="T45" i="30"/>
  <c r="R45" i="30"/>
  <c r="Q45" i="30"/>
  <c r="P45" i="30"/>
  <c r="O45" i="30"/>
  <c r="N45" i="30"/>
  <c r="M45" i="30"/>
  <c r="L45" i="30"/>
  <c r="K45" i="30"/>
  <c r="J45" i="30"/>
  <c r="I45" i="30"/>
  <c r="H45" i="30"/>
  <c r="G45" i="30"/>
  <c r="F45" i="30"/>
  <c r="E45" i="30"/>
  <c r="BR43" i="30"/>
  <c r="BR44" i="30" s="1"/>
  <c r="BQ43" i="30"/>
  <c r="BQ44" i="30" s="1"/>
  <c r="BN43" i="30"/>
  <c r="BN44" i="30" s="1"/>
  <c r="BM43" i="30"/>
  <c r="BM44" i="30" s="1"/>
  <c r="BK43" i="30"/>
  <c r="BK44" i="30" s="1"/>
  <c r="BJ43" i="30"/>
  <c r="BJ44" i="30" s="1"/>
  <c r="BI43" i="30"/>
  <c r="BF43" i="30"/>
  <c r="BF44" i="30" s="1"/>
  <c r="BE43" i="30"/>
  <c r="BE44" i="30" s="1"/>
  <c r="BD43" i="30"/>
  <c r="BA43" i="30"/>
  <c r="BA44" i="30" s="1"/>
  <c r="AZ43" i="30"/>
  <c r="AZ44" i="30" s="1"/>
  <c r="AY43" i="30"/>
  <c r="AY44" i="30" s="1"/>
  <c r="AV43" i="30"/>
  <c r="AU43" i="30"/>
  <c r="AT43" i="30"/>
  <c r="AT44" i="30" s="1"/>
  <c r="AQ43" i="30"/>
  <c r="AQ44" i="30" s="1"/>
  <c r="AP43" i="30"/>
  <c r="AP44" i="30" s="1"/>
  <c r="AO43" i="30"/>
  <c r="AO44" i="30" s="1"/>
  <c r="AL43" i="30"/>
  <c r="AL44" i="30" s="1"/>
  <c r="AK43" i="30"/>
  <c r="AK44" i="30" s="1"/>
  <c r="AJ43" i="30"/>
  <c r="AJ44" i="30" s="1"/>
  <c r="AG43" i="30"/>
  <c r="AF43" i="30"/>
  <c r="AE43" i="30"/>
  <c r="AE44" i="30" s="1"/>
  <c r="AB43" i="30"/>
  <c r="AB44" i="30" s="1"/>
  <c r="AA43" i="30"/>
  <c r="AA44" i="30" s="1"/>
  <c r="Z43" i="30"/>
  <c r="Z44" i="30" s="1"/>
  <c r="W43" i="30"/>
  <c r="W44" i="30" s="1"/>
  <c r="V43" i="30"/>
  <c r="V44" i="30" s="1"/>
  <c r="U43" i="30"/>
  <c r="U44" i="30" s="1"/>
  <c r="R43" i="30"/>
  <c r="R44" i="30" s="1"/>
  <c r="Q43" i="30"/>
  <c r="Q44" i="30" s="1"/>
  <c r="P43" i="30"/>
  <c r="M43" i="30"/>
  <c r="M44" i="30" s="1"/>
  <c r="L43" i="30"/>
  <c r="L44" i="30" s="1"/>
  <c r="K43" i="30"/>
  <c r="K44" i="30" s="1"/>
  <c r="J43" i="30"/>
  <c r="J44" i="30" s="1"/>
  <c r="H43" i="30"/>
  <c r="G43" i="30"/>
  <c r="G44" i="30" s="1"/>
  <c r="F43" i="30"/>
  <c r="F44" i="30" s="1"/>
  <c r="E43" i="30"/>
  <c r="E44" i="30" s="1"/>
  <c r="D88" i="11"/>
  <c r="C88" i="11"/>
  <c r="BT110" i="2"/>
  <c r="D84" i="13" s="1"/>
  <c r="N110" i="2"/>
  <c r="T110" i="2" s="1"/>
  <c r="X110" i="2" s="1"/>
  <c r="AD110" i="2" s="1"/>
  <c r="AH110" i="2" s="1"/>
  <c r="AN110" i="2" s="1"/>
  <c r="AR110" i="2" s="1"/>
  <c r="AX110" i="2" s="1"/>
  <c r="BB110" i="2" s="1"/>
  <c r="BH110" i="2" s="1"/>
  <c r="BL110" i="2" s="1"/>
  <c r="BP110" i="2" s="1"/>
  <c r="BS110" i="2" s="1"/>
  <c r="I110" i="2"/>
  <c r="O110" i="2" s="1"/>
  <c r="S110" i="2" s="1"/>
  <c r="Y110" i="2" s="1"/>
  <c r="AC110" i="2" s="1"/>
  <c r="AI110" i="2" s="1"/>
  <c r="AM110" i="2" s="1"/>
  <c r="AS110" i="2" s="1"/>
  <c r="AW110" i="2" s="1"/>
  <c r="BC110" i="2" s="1"/>
  <c r="BG110" i="2" s="1"/>
  <c r="Y82" i="13"/>
  <c r="X82" i="13"/>
  <c r="W82" i="13"/>
  <c r="V82" i="13"/>
  <c r="U82" i="13"/>
  <c r="T82" i="13"/>
  <c r="S82" i="13"/>
  <c r="R82" i="13"/>
  <c r="Q82" i="13"/>
  <c r="P82" i="13"/>
  <c r="O82" i="13"/>
  <c r="N82" i="13"/>
  <c r="M82" i="13"/>
  <c r="L82" i="13"/>
  <c r="K82" i="13"/>
  <c r="J82" i="13"/>
  <c r="I82" i="13"/>
  <c r="H82" i="13"/>
  <c r="G82" i="13"/>
  <c r="F82" i="13"/>
  <c r="BI44" i="30"/>
  <c r="AU44" i="30"/>
  <c r="AG44" i="30"/>
  <c r="I27" i="30"/>
  <c r="I28" i="30"/>
  <c r="BC45" i="43" l="1"/>
  <c r="BY32" i="43"/>
  <c r="BY45" i="43" s="1"/>
  <c r="BG32" i="43"/>
  <c r="BL43" i="43"/>
  <c r="CD24" i="43"/>
  <c r="BR24" i="43"/>
  <c r="BR43" i="43" s="1"/>
  <c r="BR44" i="43" s="1"/>
  <c r="BH84" i="43"/>
  <c r="BH89" i="43" s="1"/>
  <c r="BL48" i="43"/>
  <c r="BM86" i="43"/>
  <c r="BC43" i="43"/>
  <c r="BC44" i="43" s="1"/>
  <c r="BY24" i="43"/>
  <c r="BY43" i="43" s="1"/>
  <c r="BY44" i="43" s="1"/>
  <c r="BG24" i="43"/>
  <c r="BL45" i="43"/>
  <c r="CD32" i="43"/>
  <c r="BR32" i="43"/>
  <c r="BR45" i="43" s="1"/>
  <c r="AW44" i="43"/>
  <c r="BR86" i="43"/>
  <c r="BC84" i="43"/>
  <c r="BC89" i="43" s="1"/>
  <c r="BG48" i="43"/>
  <c r="BH90" i="43"/>
  <c r="BH95" i="43" s="1"/>
  <c r="BC47" i="44"/>
  <c r="BC48" i="44" s="1"/>
  <c r="BC43" i="44"/>
  <c r="BC44" i="44" s="1"/>
  <c r="BG24" i="44"/>
  <c r="BG45" i="44"/>
  <c r="BM32" i="44"/>
  <c r="BG49" i="44"/>
  <c r="BR32" i="44"/>
  <c r="BL45" i="44"/>
  <c r="BL49" i="44"/>
  <c r="BL48" i="44" s="1"/>
  <c r="BV24" i="44"/>
  <c r="BL43" i="44"/>
  <c r="BL44" i="44" s="1"/>
  <c r="H44" i="30"/>
  <c r="P44" i="30"/>
  <c r="AF44" i="30"/>
  <c r="AV44" i="30"/>
  <c r="BD44" i="30"/>
  <c r="BO110" i="2"/>
  <c r="BW110" i="2"/>
  <c r="BG84" i="43" l="1"/>
  <c r="BM48" i="43"/>
  <c r="CD43" i="43"/>
  <c r="CD44" i="43" s="1"/>
  <c r="CG24" i="43"/>
  <c r="BL84" i="43"/>
  <c r="BL89" i="43" s="1"/>
  <c r="BR48" i="43"/>
  <c r="BL44" i="43"/>
  <c r="CG32" i="43"/>
  <c r="CG45" i="43" s="1"/>
  <c r="CD45" i="43"/>
  <c r="CK24" i="43"/>
  <c r="BG43" i="43"/>
  <c r="CC24" i="43"/>
  <c r="BM24" i="43"/>
  <c r="BL90" i="43"/>
  <c r="BL95" i="43" s="1"/>
  <c r="BG45" i="43"/>
  <c r="CK45" i="43" s="1"/>
  <c r="CC32" i="43"/>
  <c r="BM32" i="43"/>
  <c r="CK32" i="43"/>
  <c r="BR90" i="43"/>
  <c r="BR95" i="43" s="1"/>
  <c r="BV86" i="43"/>
  <c r="BM90" i="43"/>
  <c r="BM95" i="43" s="1"/>
  <c r="BQ86" i="43"/>
  <c r="BG90" i="43"/>
  <c r="BG95" i="43" s="1"/>
  <c r="BZ24" i="44"/>
  <c r="BR45" i="44"/>
  <c r="BV32" i="44"/>
  <c r="BG47" i="44"/>
  <c r="BG48" i="44" s="1"/>
  <c r="BG43" i="44"/>
  <c r="BG44" i="44" s="1"/>
  <c r="BM24" i="44"/>
  <c r="BQ32" i="44"/>
  <c r="BM45" i="44"/>
  <c r="BR43" i="44"/>
  <c r="P47" i="30"/>
  <c r="Q47" i="30"/>
  <c r="R47" i="30"/>
  <c r="U47" i="30"/>
  <c r="V47" i="30"/>
  <c r="V48" i="30" s="1"/>
  <c r="W47" i="30"/>
  <c r="Z47" i="30"/>
  <c r="AA47" i="30"/>
  <c r="AB47" i="30"/>
  <c r="AE47" i="30"/>
  <c r="AF47" i="30"/>
  <c r="AF48" i="30" s="1"/>
  <c r="AG47" i="30"/>
  <c r="AJ47" i="30"/>
  <c r="AK47" i="30"/>
  <c r="AL47" i="30"/>
  <c r="AL48" i="30" s="1"/>
  <c r="AO47" i="30"/>
  <c r="AO48" i="30" s="1"/>
  <c r="AP47" i="30"/>
  <c r="AP48" i="30" s="1"/>
  <c r="AQ47" i="30"/>
  <c r="AT47" i="30"/>
  <c r="AU47" i="30"/>
  <c r="AV47" i="30"/>
  <c r="AY47" i="30"/>
  <c r="AZ47" i="30"/>
  <c r="AZ48" i="30" s="1"/>
  <c r="BA47" i="30"/>
  <c r="BD47" i="30"/>
  <c r="BE47" i="30"/>
  <c r="BF47" i="30"/>
  <c r="BF48" i="30" s="1"/>
  <c r="BI47" i="30"/>
  <c r="BI48" i="30" s="1"/>
  <c r="BJ47" i="30"/>
  <c r="BJ48" i="30" s="1"/>
  <c r="BK47" i="30"/>
  <c r="BM47" i="30"/>
  <c r="BN47" i="30"/>
  <c r="BQ47" i="30"/>
  <c r="BQ48" i="30" s="1"/>
  <c r="BR47" i="30"/>
  <c r="BR48" i="30" s="1"/>
  <c r="R48" i="30"/>
  <c r="P49" i="30"/>
  <c r="Q49" i="30"/>
  <c r="R49" i="30"/>
  <c r="U49" i="30"/>
  <c r="V49" i="30"/>
  <c r="W49" i="30"/>
  <c r="Z49" i="30"/>
  <c r="AA49" i="30"/>
  <c r="AB49" i="30"/>
  <c r="AE49" i="30"/>
  <c r="AF49" i="30"/>
  <c r="AG49" i="30"/>
  <c r="AJ49" i="30"/>
  <c r="AK49" i="30"/>
  <c r="AL49" i="30"/>
  <c r="AO49" i="30"/>
  <c r="AP49" i="30"/>
  <c r="AQ49" i="30"/>
  <c r="AT49" i="30"/>
  <c r="AU49" i="30"/>
  <c r="AV49" i="30"/>
  <c r="AY49" i="30"/>
  <c r="AZ49" i="30"/>
  <c r="BA49" i="30"/>
  <c r="BD49" i="30"/>
  <c r="BE49" i="30"/>
  <c r="BF49" i="30"/>
  <c r="BI49" i="30"/>
  <c r="BJ49" i="30"/>
  <c r="BK49" i="30"/>
  <c r="BM49" i="30"/>
  <c r="BN49" i="30"/>
  <c r="BQ49" i="30"/>
  <c r="BR49" i="30"/>
  <c r="G47" i="30"/>
  <c r="G48" i="30" s="1"/>
  <c r="H47" i="30"/>
  <c r="J47" i="30"/>
  <c r="K47" i="30"/>
  <c r="L47" i="30"/>
  <c r="M47" i="30"/>
  <c r="M48" i="30" s="1"/>
  <c r="G49" i="30"/>
  <c r="H49" i="30"/>
  <c r="J49" i="30"/>
  <c r="K49" i="30"/>
  <c r="L49" i="30"/>
  <c r="M49" i="30"/>
  <c r="F47" i="30"/>
  <c r="F48" i="30" s="1"/>
  <c r="F49" i="30"/>
  <c r="E49" i="30"/>
  <c r="E47" i="30"/>
  <c r="BY86" i="43" l="1"/>
  <c r="CK86" i="43"/>
  <c r="CL86" i="43" s="1"/>
  <c r="BR84" i="43"/>
  <c r="BR89" i="43" s="1"/>
  <c r="BV48" i="43"/>
  <c r="BV90" i="43"/>
  <c r="BV95" i="43" s="1"/>
  <c r="BZ86" i="43"/>
  <c r="CC43" i="43"/>
  <c r="CC44" i="43" s="1"/>
  <c r="CH24" i="43"/>
  <c r="CG43" i="43"/>
  <c r="CG44" i="43" s="1"/>
  <c r="CK43" i="43"/>
  <c r="BG44" i="43"/>
  <c r="CK44" i="43" s="1"/>
  <c r="BM84" i="43"/>
  <c r="BM89" i="43" s="1"/>
  <c r="BQ48" i="43"/>
  <c r="CC45" i="43"/>
  <c r="CH45" i="43" s="1"/>
  <c r="CH32" i="43"/>
  <c r="BM43" i="43"/>
  <c r="BQ24" i="43"/>
  <c r="BM45" i="43"/>
  <c r="BQ32" i="43"/>
  <c r="BQ45" i="43" s="1"/>
  <c r="BG89" i="43"/>
  <c r="BM43" i="44"/>
  <c r="BM44" i="44" s="1"/>
  <c r="BQ24" i="44"/>
  <c r="BQ45" i="44"/>
  <c r="CG32" i="44"/>
  <c r="CH32" i="44" s="1"/>
  <c r="BY32" i="44"/>
  <c r="BV45" i="44"/>
  <c r="BZ32" i="44"/>
  <c r="BR44" i="44"/>
  <c r="BV43" i="44"/>
  <c r="CC24" i="44"/>
  <c r="Q48" i="30"/>
  <c r="BE48" i="30"/>
  <c r="BM48" i="30"/>
  <c r="Z48" i="30"/>
  <c r="AK48" i="30"/>
  <c r="BA48" i="30"/>
  <c r="U48" i="30"/>
  <c r="BN48" i="30"/>
  <c r="AT48" i="30"/>
  <c r="AG48" i="30"/>
  <c r="H48" i="30"/>
  <c r="K48" i="30"/>
  <c r="J48" i="30"/>
  <c r="BK48" i="30"/>
  <c r="AQ48" i="30"/>
  <c r="W48" i="30"/>
  <c r="AY48" i="30"/>
  <c r="AE48" i="30"/>
  <c r="AV48" i="30"/>
  <c r="AB48" i="30"/>
  <c r="AU48" i="30"/>
  <c r="AA48" i="30"/>
  <c r="L48" i="30"/>
  <c r="BD48" i="30"/>
  <c r="AJ48" i="30"/>
  <c r="P48" i="30"/>
  <c r="E48" i="30"/>
  <c r="B25" i="13"/>
  <c r="BT34" i="30"/>
  <c r="BV84" i="43" l="1"/>
  <c r="BV89" i="43" s="1"/>
  <c r="BZ48" i="43"/>
  <c r="BQ84" i="43"/>
  <c r="BY48" i="43"/>
  <c r="BY90" i="43" s="1"/>
  <c r="BY95" i="43" s="1"/>
  <c r="CK48" i="43"/>
  <c r="CL48" i="43" s="1"/>
  <c r="BQ43" i="43"/>
  <c r="BQ44" i="43" s="1"/>
  <c r="BM44" i="43"/>
  <c r="CH43" i="43"/>
  <c r="CH44" i="43" s="1"/>
  <c r="CC86" i="43"/>
  <c r="BQ90" i="43"/>
  <c r="BZ90" i="43"/>
  <c r="BZ95" i="43" s="1"/>
  <c r="CD86" i="43"/>
  <c r="BY45" i="44"/>
  <c r="BY49" i="44"/>
  <c r="CD32" i="44"/>
  <c r="CD45" i="44" s="1"/>
  <c r="BZ45" i="44"/>
  <c r="BZ49" i="44"/>
  <c r="CC32" i="44"/>
  <c r="BZ43" i="44"/>
  <c r="BZ44" i="44" s="1"/>
  <c r="CG45" i="44"/>
  <c r="BZ47" i="44"/>
  <c r="BQ43" i="44"/>
  <c r="BY24" i="44"/>
  <c r="CG24" i="44"/>
  <c r="CH24" i="44" s="1"/>
  <c r="BV44" i="44"/>
  <c r="B16" i="32"/>
  <c r="B13" i="22"/>
  <c r="C17" i="33"/>
  <c r="CG86" i="43" l="1"/>
  <c r="CH86" i="43"/>
  <c r="CK84" i="43"/>
  <c r="BQ89" i="43"/>
  <c r="CK89" i="43" s="1"/>
  <c r="CL89" i="43" s="1"/>
  <c r="BQ95" i="43"/>
  <c r="CK95" i="43" s="1"/>
  <c r="CK90" i="43"/>
  <c r="CL90" i="43" s="1"/>
  <c r="BZ84" i="43"/>
  <c r="BZ89" i="43" s="1"/>
  <c r="CD48" i="43"/>
  <c r="BY84" i="43"/>
  <c r="BY89" i="43" s="1"/>
  <c r="CC48" i="43"/>
  <c r="CC49" i="44"/>
  <c r="CC45" i="44"/>
  <c r="CC43" i="44"/>
  <c r="CC44" i="44" s="1"/>
  <c r="BQ44" i="44"/>
  <c r="CG44" i="44" s="1"/>
  <c r="CG43" i="44"/>
  <c r="CC47" i="44"/>
  <c r="CC48" i="44" s="1"/>
  <c r="BY43" i="44"/>
  <c r="BY44" i="44" s="1"/>
  <c r="BY47" i="44"/>
  <c r="BY48" i="44" s="1"/>
  <c r="CD24" i="44"/>
  <c r="CD43" i="44" s="1"/>
  <c r="CD44" i="44" s="1"/>
  <c r="BZ48" i="44"/>
  <c r="B478" i="33"/>
  <c r="AB478" i="33" s="1"/>
  <c r="B477" i="33"/>
  <c r="AB477" i="33" s="1"/>
  <c r="AA478" i="33"/>
  <c r="AA477" i="33"/>
  <c r="A478" i="33"/>
  <c r="A477" i="33"/>
  <c r="B475" i="33"/>
  <c r="AB475" i="33" s="1"/>
  <c r="B474" i="33"/>
  <c r="AB474" i="33" s="1"/>
  <c r="AA475" i="33"/>
  <c r="AA474" i="33"/>
  <c r="A475" i="33"/>
  <c r="A474" i="33"/>
  <c r="B472" i="33"/>
  <c r="AB472" i="33" s="1"/>
  <c r="B471" i="33"/>
  <c r="AB471" i="33" s="1"/>
  <c r="AA472" i="33"/>
  <c r="AA471" i="33"/>
  <c r="A472" i="33"/>
  <c r="A471" i="33"/>
  <c r="B469" i="33"/>
  <c r="AB469" i="33" s="1"/>
  <c r="B468" i="33"/>
  <c r="AB468" i="33" s="1"/>
  <c r="AA469" i="33"/>
  <c r="AA468" i="33"/>
  <c r="A469" i="33"/>
  <c r="A468" i="33"/>
  <c r="B466" i="33"/>
  <c r="AB466" i="33" s="1"/>
  <c r="B465" i="33"/>
  <c r="AB465" i="33" s="1"/>
  <c r="AA466" i="33"/>
  <c r="AA465" i="33"/>
  <c r="A466" i="33"/>
  <c r="A465" i="33"/>
  <c r="B463" i="33"/>
  <c r="AB463" i="33" s="1"/>
  <c r="B462" i="33"/>
  <c r="AB462" i="33" s="1"/>
  <c r="AA463" i="33"/>
  <c r="AA462" i="33"/>
  <c r="A463" i="33"/>
  <c r="A462" i="33"/>
  <c r="B460" i="33"/>
  <c r="AB460" i="33" s="1"/>
  <c r="B459" i="33"/>
  <c r="AB459" i="33" s="1"/>
  <c r="AA460" i="33"/>
  <c r="AA459" i="33"/>
  <c r="A460" i="33"/>
  <c r="A459" i="33"/>
  <c r="B457" i="33"/>
  <c r="AB457" i="33" s="1"/>
  <c r="B456" i="33"/>
  <c r="AB456" i="33" s="1"/>
  <c r="AA457" i="33"/>
  <c r="AA456" i="33"/>
  <c r="A457" i="33"/>
  <c r="A456" i="33"/>
  <c r="B454" i="33"/>
  <c r="AB454" i="33" s="1"/>
  <c r="B453" i="33"/>
  <c r="AB453" i="33" s="1"/>
  <c r="AA454" i="33"/>
  <c r="AA453" i="33"/>
  <c r="A454" i="33"/>
  <c r="A453" i="33"/>
  <c r="B451" i="33"/>
  <c r="AB451" i="33" s="1"/>
  <c r="B450" i="33"/>
  <c r="AB450" i="33" s="1"/>
  <c r="AA451" i="33"/>
  <c r="AA450" i="33"/>
  <c r="A451" i="33"/>
  <c r="A450" i="33"/>
  <c r="B448" i="33"/>
  <c r="AB448" i="33" s="1"/>
  <c r="B447" i="33"/>
  <c r="AB447" i="33" s="1"/>
  <c r="AA448" i="33"/>
  <c r="AA447" i="33"/>
  <c r="A448" i="33"/>
  <c r="A447" i="33"/>
  <c r="B445" i="33"/>
  <c r="AB445" i="33" s="1"/>
  <c r="B444" i="33"/>
  <c r="AB444" i="33" s="1"/>
  <c r="AA445" i="33"/>
  <c r="AA444" i="33"/>
  <c r="A445" i="33"/>
  <c r="A444" i="33"/>
  <c r="B442" i="33"/>
  <c r="AB442" i="33" s="1"/>
  <c r="B441" i="33"/>
  <c r="AB441" i="33" s="1"/>
  <c r="AA442" i="33"/>
  <c r="AA441" i="33"/>
  <c r="A442" i="33"/>
  <c r="A441" i="33"/>
  <c r="B439" i="33"/>
  <c r="AB439" i="33" s="1"/>
  <c r="B438" i="33"/>
  <c r="AB438" i="33" s="1"/>
  <c r="AA439" i="33"/>
  <c r="AA438" i="33"/>
  <c r="A439" i="33"/>
  <c r="A438" i="33"/>
  <c r="B436" i="33"/>
  <c r="AB436" i="33" s="1"/>
  <c r="B435" i="33"/>
  <c r="AB435" i="33" s="1"/>
  <c r="AA436" i="33"/>
  <c r="AA435" i="33"/>
  <c r="A436" i="33"/>
  <c r="A435" i="33"/>
  <c r="B433" i="33"/>
  <c r="AB433" i="33" s="1"/>
  <c r="B432" i="33"/>
  <c r="AB432" i="33" s="1"/>
  <c r="AA433" i="33"/>
  <c r="AA432" i="33"/>
  <c r="A433" i="33"/>
  <c r="A432" i="33"/>
  <c r="B430" i="33"/>
  <c r="AB430" i="33" s="1"/>
  <c r="B429" i="33"/>
  <c r="AB429" i="33" s="1"/>
  <c r="AA430" i="33"/>
  <c r="AA429" i="33"/>
  <c r="A430" i="33"/>
  <c r="A429" i="33"/>
  <c r="B427" i="33"/>
  <c r="AB427" i="33" s="1"/>
  <c r="B426" i="33"/>
  <c r="AB426" i="33" s="1"/>
  <c r="AA427" i="33"/>
  <c r="AA426" i="33"/>
  <c r="A427" i="33"/>
  <c r="A426" i="33"/>
  <c r="B424" i="33"/>
  <c r="AB424" i="33" s="1"/>
  <c r="B423" i="33"/>
  <c r="AB423" i="33" s="1"/>
  <c r="AA424" i="33"/>
  <c r="AA423" i="33"/>
  <c r="A424" i="33"/>
  <c r="A423" i="33"/>
  <c r="B421" i="33"/>
  <c r="AB421" i="33" s="1"/>
  <c r="B420" i="33"/>
  <c r="AB420" i="33" s="1"/>
  <c r="AA421" i="33"/>
  <c r="AA420" i="33"/>
  <c r="A421" i="33"/>
  <c r="A420" i="33"/>
  <c r="B418" i="33"/>
  <c r="AB418" i="33" s="1"/>
  <c r="B417" i="33"/>
  <c r="AB417" i="33" s="1"/>
  <c r="AA418" i="33"/>
  <c r="AA417" i="33"/>
  <c r="A418" i="33"/>
  <c r="A417" i="33"/>
  <c r="B415" i="33"/>
  <c r="AB415" i="33" s="1"/>
  <c r="B414" i="33"/>
  <c r="AB414" i="33" s="1"/>
  <c r="AA415" i="33"/>
  <c r="AA414" i="33"/>
  <c r="A415" i="33"/>
  <c r="A414" i="33"/>
  <c r="B412" i="33"/>
  <c r="AB412" i="33" s="1"/>
  <c r="B411" i="33"/>
  <c r="AB411" i="33" s="1"/>
  <c r="AA412" i="33"/>
  <c r="AA411" i="33"/>
  <c r="A412" i="33"/>
  <c r="A411" i="33"/>
  <c r="B409" i="33"/>
  <c r="AB409" i="33" s="1"/>
  <c r="B408" i="33"/>
  <c r="AB408" i="33" s="1"/>
  <c r="AA409" i="33"/>
  <c r="AA408" i="33"/>
  <c r="A409" i="33"/>
  <c r="A408" i="33"/>
  <c r="B406" i="33"/>
  <c r="AB406" i="33" s="1"/>
  <c r="B405" i="33"/>
  <c r="AB405" i="33" s="1"/>
  <c r="AA406" i="33"/>
  <c r="AA405" i="33"/>
  <c r="A406" i="33"/>
  <c r="A405" i="33"/>
  <c r="B403" i="33"/>
  <c r="AB403" i="33" s="1"/>
  <c r="B402" i="33"/>
  <c r="AB402" i="33" s="1"/>
  <c r="AA403" i="33"/>
  <c r="AA402" i="33"/>
  <c r="A403" i="33"/>
  <c r="A402" i="33"/>
  <c r="B400" i="33"/>
  <c r="AB400" i="33" s="1"/>
  <c r="B399" i="33"/>
  <c r="AB399" i="33" s="1"/>
  <c r="AA400" i="33"/>
  <c r="AA399" i="33"/>
  <c r="A400" i="33"/>
  <c r="A399" i="33"/>
  <c r="B397" i="33"/>
  <c r="AB397" i="33" s="1"/>
  <c r="B396" i="33"/>
  <c r="AB396" i="33" s="1"/>
  <c r="AA397" i="33"/>
  <c r="AA396" i="33"/>
  <c r="A397" i="33"/>
  <c r="A396" i="33"/>
  <c r="B394" i="33"/>
  <c r="AB394" i="33" s="1"/>
  <c r="B393" i="33"/>
  <c r="AB393" i="33" s="1"/>
  <c r="AA394" i="33"/>
  <c r="AA393" i="33"/>
  <c r="A394" i="33"/>
  <c r="A393" i="33"/>
  <c r="B391" i="33"/>
  <c r="AB391" i="33" s="1"/>
  <c r="B390" i="33"/>
  <c r="AB390" i="33" s="1"/>
  <c r="AA391" i="33"/>
  <c r="AA390" i="33"/>
  <c r="A391" i="33"/>
  <c r="A390" i="33"/>
  <c r="B388" i="33"/>
  <c r="AB388" i="33" s="1"/>
  <c r="B387" i="33"/>
  <c r="AB387" i="33" s="1"/>
  <c r="AA388" i="33"/>
  <c r="AA387" i="33"/>
  <c r="A388" i="33"/>
  <c r="A387" i="33"/>
  <c r="B385" i="33"/>
  <c r="AB385" i="33" s="1"/>
  <c r="B384" i="33"/>
  <c r="AB384" i="33" s="1"/>
  <c r="AA385" i="33"/>
  <c r="AA384" i="33"/>
  <c r="A385" i="33"/>
  <c r="A384" i="33"/>
  <c r="B382" i="33"/>
  <c r="AB382" i="33" s="1"/>
  <c r="B381" i="33"/>
  <c r="AB381" i="33" s="1"/>
  <c r="AA382" i="33"/>
  <c r="AA381" i="33"/>
  <c r="A382" i="33"/>
  <c r="A381" i="33"/>
  <c r="B379" i="33"/>
  <c r="AB379" i="33" s="1"/>
  <c r="B378" i="33"/>
  <c r="AB378" i="33" s="1"/>
  <c r="AA379" i="33"/>
  <c r="AA378" i="33"/>
  <c r="A379" i="33"/>
  <c r="A378" i="33"/>
  <c r="B376" i="33"/>
  <c r="AB376" i="33" s="1"/>
  <c r="B375" i="33"/>
  <c r="AB375" i="33" s="1"/>
  <c r="AA376" i="33"/>
  <c r="AA375" i="33"/>
  <c r="A376" i="33"/>
  <c r="A375" i="33"/>
  <c r="B373" i="33"/>
  <c r="AB373" i="33" s="1"/>
  <c r="B372" i="33"/>
  <c r="AB372" i="33" s="1"/>
  <c r="AA373" i="33"/>
  <c r="AA372" i="33"/>
  <c r="A373" i="33"/>
  <c r="A372" i="33"/>
  <c r="B370" i="33"/>
  <c r="AB370" i="33" s="1"/>
  <c r="B369" i="33"/>
  <c r="AB369" i="33" s="1"/>
  <c r="AA370" i="33"/>
  <c r="AA369" i="33"/>
  <c r="A370" i="33"/>
  <c r="A369" i="33"/>
  <c r="B367" i="33"/>
  <c r="AB367" i="33" s="1"/>
  <c r="B366" i="33"/>
  <c r="AB366" i="33" s="1"/>
  <c r="AA367" i="33"/>
  <c r="AA366" i="33"/>
  <c r="A367" i="33"/>
  <c r="A366" i="33"/>
  <c r="B364" i="33"/>
  <c r="AB364" i="33" s="1"/>
  <c r="B363" i="33"/>
  <c r="AB363" i="33" s="1"/>
  <c r="AA364" i="33"/>
  <c r="AA363" i="33"/>
  <c r="A364" i="33"/>
  <c r="A363" i="33"/>
  <c r="B361" i="33"/>
  <c r="AB361" i="33" s="1"/>
  <c r="B360" i="33"/>
  <c r="AB360" i="33" s="1"/>
  <c r="AA361" i="33"/>
  <c r="AA360" i="33"/>
  <c r="A361" i="33"/>
  <c r="A360" i="33"/>
  <c r="B358" i="33"/>
  <c r="AB358" i="33" s="1"/>
  <c r="B357" i="33"/>
  <c r="AB357" i="33" s="1"/>
  <c r="AA358" i="33"/>
  <c r="AA357" i="33"/>
  <c r="A358" i="33"/>
  <c r="A357" i="33"/>
  <c r="B355" i="33"/>
  <c r="AB355" i="33" s="1"/>
  <c r="B354" i="33"/>
  <c r="AB354" i="33" s="1"/>
  <c r="AA355" i="33"/>
  <c r="AA354" i="33"/>
  <c r="A355" i="33"/>
  <c r="A354" i="33"/>
  <c r="B352" i="33"/>
  <c r="AB352" i="33" s="1"/>
  <c r="B351" i="33"/>
  <c r="AB351" i="33" s="1"/>
  <c r="AA352" i="33"/>
  <c r="AA351" i="33"/>
  <c r="A352" i="33"/>
  <c r="A351" i="33"/>
  <c r="B349" i="33"/>
  <c r="AB349" i="33" s="1"/>
  <c r="B348" i="33"/>
  <c r="AB348" i="33" s="1"/>
  <c r="AA349" i="33"/>
  <c r="AA348" i="33"/>
  <c r="A349" i="33"/>
  <c r="A348" i="33"/>
  <c r="B346" i="33"/>
  <c r="AB346" i="33" s="1"/>
  <c r="B345" i="33"/>
  <c r="AB345" i="33" s="1"/>
  <c r="AA346" i="33"/>
  <c r="AA345" i="33"/>
  <c r="A346" i="33"/>
  <c r="A345" i="33"/>
  <c r="B343" i="33"/>
  <c r="AB343" i="33" s="1"/>
  <c r="B342" i="33"/>
  <c r="AB342" i="33" s="1"/>
  <c r="AA343" i="33"/>
  <c r="AA342" i="33"/>
  <c r="A343" i="33"/>
  <c r="A342" i="33"/>
  <c r="B340" i="33"/>
  <c r="AB340" i="33" s="1"/>
  <c r="B339" i="33"/>
  <c r="AB339" i="33" s="1"/>
  <c r="AA340" i="33"/>
  <c r="AA339" i="33"/>
  <c r="A340" i="33"/>
  <c r="A339" i="33"/>
  <c r="B337" i="33"/>
  <c r="AB337" i="33" s="1"/>
  <c r="B336" i="33"/>
  <c r="AB336" i="33" s="1"/>
  <c r="AA337" i="33"/>
  <c r="AA336" i="33"/>
  <c r="A337" i="33"/>
  <c r="A336" i="33"/>
  <c r="B334" i="33"/>
  <c r="AB334" i="33" s="1"/>
  <c r="B333" i="33"/>
  <c r="AB333" i="33" s="1"/>
  <c r="AA334" i="33"/>
  <c r="AA333" i="33"/>
  <c r="A334" i="33"/>
  <c r="A333" i="33"/>
  <c r="B331" i="33"/>
  <c r="AB331" i="33" s="1"/>
  <c r="B330" i="33"/>
  <c r="AB330" i="33" s="1"/>
  <c r="AA331" i="33"/>
  <c r="AA330" i="33"/>
  <c r="A331" i="33"/>
  <c r="A330" i="33"/>
  <c r="B328" i="33"/>
  <c r="AB328" i="33" s="1"/>
  <c r="B327" i="33"/>
  <c r="AB327" i="33" s="1"/>
  <c r="AA328" i="33"/>
  <c r="AA327" i="33"/>
  <c r="A328" i="33"/>
  <c r="A327" i="33"/>
  <c r="B325" i="33"/>
  <c r="AB325" i="33" s="1"/>
  <c r="B324" i="33"/>
  <c r="AB324" i="33" s="1"/>
  <c r="AA325" i="33"/>
  <c r="AA324" i="33"/>
  <c r="A325" i="33"/>
  <c r="A324" i="33"/>
  <c r="B322" i="33"/>
  <c r="AB322" i="33" s="1"/>
  <c r="B321" i="33"/>
  <c r="AB321" i="33" s="1"/>
  <c r="AA322" i="33"/>
  <c r="AA321" i="33"/>
  <c r="A322" i="33"/>
  <c r="A321" i="33"/>
  <c r="B319" i="33"/>
  <c r="AB319" i="33" s="1"/>
  <c r="B318" i="33"/>
  <c r="AB318" i="33" s="1"/>
  <c r="AA319" i="33"/>
  <c r="AA318" i="33"/>
  <c r="A319" i="33"/>
  <c r="A318" i="33"/>
  <c r="B316" i="33"/>
  <c r="AB316" i="33" s="1"/>
  <c r="B315" i="33"/>
  <c r="AB315" i="33" s="1"/>
  <c r="AA316" i="33"/>
  <c r="AA315" i="33"/>
  <c r="A316" i="33"/>
  <c r="A315" i="33"/>
  <c r="B313" i="33"/>
  <c r="AB313" i="33" s="1"/>
  <c r="B312" i="33"/>
  <c r="AB312" i="33" s="1"/>
  <c r="AA313" i="33"/>
  <c r="AA312" i="33"/>
  <c r="A313" i="33"/>
  <c r="A312" i="33"/>
  <c r="B310" i="33"/>
  <c r="AB310" i="33" s="1"/>
  <c r="B309" i="33"/>
  <c r="AB309" i="33" s="1"/>
  <c r="AA310" i="33"/>
  <c r="AA309" i="33"/>
  <c r="A310" i="33"/>
  <c r="A309" i="33"/>
  <c r="B307" i="33"/>
  <c r="AB307" i="33" s="1"/>
  <c r="B306" i="33"/>
  <c r="AB306" i="33" s="1"/>
  <c r="AA307" i="33"/>
  <c r="AA306" i="33"/>
  <c r="A307" i="33"/>
  <c r="A306" i="33"/>
  <c r="B304" i="33"/>
  <c r="AB304" i="33" s="1"/>
  <c r="B303" i="33"/>
  <c r="AB303" i="33" s="1"/>
  <c r="AA304" i="33"/>
  <c r="AA303" i="33"/>
  <c r="A304" i="33"/>
  <c r="A303" i="33"/>
  <c r="B301" i="33"/>
  <c r="AB301" i="33" s="1"/>
  <c r="B300" i="33"/>
  <c r="AB300" i="33" s="1"/>
  <c r="AA301" i="33"/>
  <c r="AA300" i="33"/>
  <c r="A301" i="33"/>
  <c r="A300" i="33"/>
  <c r="B298" i="33"/>
  <c r="AB298" i="33" s="1"/>
  <c r="B297" i="33"/>
  <c r="AB297" i="33" s="1"/>
  <c r="AA298" i="33"/>
  <c r="AA297" i="33"/>
  <c r="A298" i="33"/>
  <c r="A297" i="33"/>
  <c r="B295" i="33"/>
  <c r="AB295" i="33" s="1"/>
  <c r="B294" i="33"/>
  <c r="AB294" i="33" s="1"/>
  <c r="AA295" i="33"/>
  <c r="AA294" i="33"/>
  <c r="A295" i="33"/>
  <c r="A294" i="33"/>
  <c r="B292" i="33"/>
  <c r="AB292" i="33" s="1"/>
  <c r="B291" i="33"/>
  <c r="AB291" i="33" s="1"/>
  <c r="AA292" i="33"/>
  <c r="AA291" i="33"/>
  <c r="A292" i="33"/>
  <c r="A291" i="33"/>
  <c r="B289" i="33"/>
  <c r="AB289" i="33" s="1"/>
  <c r="B288" i="33"/>
  <c r="AB288" i="33" s="1"/>
  <c r="AA289" i="33"/>
  <c r="AA288" i="33"/>
  <c r="A289" i="33"/>
  <c r="A288" i="33"/>
  <c r="B286" i="33"/>
  <c r="AB286" i="33" s="1"/>
  <c r="B285" i="33"/>
  <c r="AB285" i="33" s="1"/>
  <c r="AA286" i="33"/>
  <c r="AA285" i="33"/>
  <c r="A286" i="33"/>
  <c r="A285" i="33"/>
  <c r="B283" i="33"/>
  <c r="AB283" i="33" s="1"/>
  <c r="B282" i="33"/>
  <c r="AB282" i="33" s="1"/>
  <c r="AA283" i="33"/>
  <c r="AA282" i="33"/>
  <c r="A283" i="33"/>
  <c r="A282" i="33"/>
  <c r="B280" i="33"/>
  <c r="AB280" i="33" s="1"/>
  <c r="B279" i="33"/>
  <c r="AB279" i="33" s="1"/>
  <c r="AA280" i="33"/>
  <c r="AA279" i="33"/>
  <c r="A280" i="33"/>
  <c r="A279" i="33"/>
  <c r="B277" i="33"/>
  <c r="AB277" i="33" s="1"/>
  <c r="B276" i="33"/>
  <c r="AB276" i="33" s="1"/>
  <c r="AA277" i="33"/>
  <c r="AA276" i="33"/>
  <c r="A277" i="33"/>
  <c r="A276" i="33"/>
  <c r="B274" i="33"/>
  <c r="AB274" i="33" s="1"/>
  <c r="B273" i="33"/>
  <c r="AB273" i="33" s="1"/>
  <c r="AA274" i="33"/>
  <c r="AA273" i="33"/>
  <c r="A274" i="33"/>
  <c r="A273" i="33"/>
  <c r="B271" i="33"/>
  <c r="AB271" i="33" s="1"/>
  <c r="B270" i="33"/>
  <c r="AB270" i="33" s="1"/>
  <c r="AA271" i="33"/>
  <c r="AA270" i="33"/>
  <c r="A271" i="33"/>
  <c r="A270" i="33"/>
  <c r="B268" i="33"/>
  <c r="AB268" i="33" s="1"/>
  <c r="B267" i="33"/>
  <c r="AB267" i="33" s="1"/>
  <c r="AA268" i="33"/>
  <c r="AA267" i="33"/>
  <c r="A268" i="33"/>
  <c r="A267" i="33"/>
  <c r="B265" i="33"/>
  <c r="AB265" i="33" s="1"/>
  <c r="B264" i="33"/>
  <c r="AB264" i="33" s="1"/>
  <c r="AA265" i="33"/>
  <c r="AA264" i="33"/>
  <c r="A265" i="33"/>
  <c r="A264" i="33"/>
  <c r="B262" i="33"/>
  <c r="AB262" i="33" s="1"/>
  <c r="B261" i="33"/>
  <c r="AB261" i="33" s="1"/>
  <c r="AA262" i="33"/>
  <c r="AA261" i="33"/>
  <c r="A262" i="33"/>
  <c r="A261" i="33"/>
  <c r="B259" i="33"/>
  <c r="AB259" i="33" s="1"/>
  <c r="B258" i="33"/>
  <c r="AB258" i="33" s="1"/>
  <c r="AA259" i="33"/>
  <c r="AA258" i="33"/>
  <c r="A259" i="33"/>
  <c r="A258" i="33"/>
  <c r="B256" i="33"/>
  <c r="AB256" i="33" s="1"/>
  <c r="B255" i="33"/>
  <c r="AB255" i="33" s="1"/>
  <c r="AA256" i="33"/>
  <c r="AA255" i="33"/>
  <c r="A256" i="33"/>
  <c r="A255" i="33"/>
  <c r="B253" i="33"/>
  <c r="AB253" i="33" s="1"/>
  <c r="B252" i="33"/>
  <c r="AB252" i="33" s="1"/>
  <c r="AA253" i="33"/>
  <c r="AA252" i="33"/>
  <c r="A253" i="33"/>
  <c r="A252" i="33"/>
  <c r="B250" i="33"/>
  <c r="AB250" i="33" s="1"/>
  <c r="B249" i="33"/>
  <c r="AB249" i="33" s="1"/>
  <c r="AA250" i="33"/>
  <c r="AA249" i="33"/>
  <c r="A250" i="33"/>
  <c r="A249" i="33"/>
  <c r="B247" i="33"/>
  <c r="AB247" i="33" s="1"/>
  <c r="B246" i="33"/>
  <c r="AB246" i="33" s="1"/>
  <c r="AA247" i="33"/>
  <c r="AA246" i="33"/>
  <c r="A247" i="33"/>
  <c r="A246" i="33"/>
  <c r="B244" i="33"/>
  <c r="AB244" i="33" s="1"/>
  <c r="B243" i="33"/>
  <c r="AB243" i="33" s="1"/>
  <c r="AA244" i="33"/>
  <c r="AA243" i="33"/>
  <c r="A244" i="33"/>
  <c r="A243" i="33"/>
  <c r="B241" i="33"/>
  <c r="AB241" i="33" s="1"/>
  <c r="B240" i="33"/>
  <c r="AB240" i="33" s="1"/>
  <c r="AA241" i="33"/>
  <c r="AA240" i="33"/>
  <c r="A241" i="33"/>
  <c r="A240" i="33"/>
  <c r="B238" i="33"/>
  <c r="AB238" i="33" s="1"/>
  <c r="B237" i="33"/>
  <c r="AB237" i="33" s="1"/>
  <c r="AA238" i="33"/>
  <c r="AA237" i="33"/>
  <c r="A238" i="33"/>
  <c r="A237" i="33"/>
  <c r="B235" i="33"/>
  <c r="AB235" i="33" s="1"/>
  <c r="B234" i="33"/>
  <c r="AB234" i="33" s="1"/>
  <c r="AA235" i="33"/>
  <c r="AA234" i="33"/>
  <c r="A235" i="33"/>
  <c r="A234" i="33"/>
  <c r="B232" i="33"/>
  <c r="AB232" i="33" s="1"/>
  <c r="B231" i="33"/>
  <c r="AB231" i="33" s="1"/>
  <c r="AA232" i="33"/>
  <c r="AA231" i="33"/>
  <c r="A232" i="33"/>
  <c r="A231" i="33"/>
  <c r="B229" i="33"/>
  <c r="AB229" i="33" s="1"/>
  <c r="B228" i="33"/>
  <c r="AB228" i="33" s="1"/>
  <c r="AA229" i="33"/>
  <c r="AA228" i="33"/>
  <c r="A229" i="33"/>
  <c r="A228" i="33"/>
  <c r="B226" i="33"/>
  <c r="AB226" i="33" s="1"/>
  <c r="B225" i="33"/>
  <c r="AB225" i="33" s="1"/>
  <c r="AA226" i="33"/>
  <c r="AA225" i="33"/>
  <c r="A226" i="33"/>
  <c r="A225" i="33"/>
  <c r="B223" i="33"/>
  <c r="AB223" i="33" s="1"/>
  <c r="B222" i="33"/>
  <c r="AB222" i="33" s="1"/>
  <c r="AA223" i="33"/>
  <c r="AA222" i="33"/>
  <c r="A223" i="33"/>
  <c r="A222" i="33"/>
  <c r="B220" i="33"/>
  <c r="AB220" i="33" s="1"/>
  <c r="B219" i="33"/>
  <c r="AB219" i="33" s="1"/>
  <c r="AA220" i="33"/>
  <c r="AA219" i="33"/>
  <c r="A220" i="33"/>
  <c r="A219" i="33"/>
  <c r="B217" i="33"/>
  <c r="AB217" i="33" s="1"/>
  <c r="B216" i="33"/>
  <c r="AB216" i="33" s="1"/>
  <c r="AA217" i="33"/>
  <c r="AA216" i="33"/>
  <c r="A217" i="33"/>
  <c r="A216" i="33"/>
  <c r="B214" i="33"/>
  <c r="AB214" i="33" s="1"/>
  <c r="B213" i="33"/>
  <c r="AB213" i="33" s="1"/>
  <c r="AA214" i="33"/>
  <c r="AA213" i="33"/>
  <c r="A214" i="33"/>
  <c r="A213" i="33"/>
  <c r="B211" i="33"/>
  <c r="AB211" i="33" s="1"/>
  <c r="B210" i="33"/>
  <c r="AB210" i="33" s="1"/>
  <c r="AA211" i="33"/>
  <c r="AA210" i="33"/>
  <c r="A211" i="33"/>
  <c r="A210" i="33"/>
  <c r="B208" i="33"/>
  <c r="AB208" i="33" s="1"/>
  <c r="B207" i="33"/>
  <c r="AB207" i="33" s="1"/>
  <c r="AA208" i="33"/>
  <c r="AA207" i="33"/>
  <c r="A208" i="33"/>
  <c r="A207" i="33"/>
  <c r="B205" i="33"/>
  <c r="AB205" i="33" s="1"/>
  <c r="B204" i="33"/>
  <c r="AB204" i="33" s="1"/>
  <c r="AA205" i="33"/>
  <c r="AA204" i="33"/>
  <c r="A205" i="33"/>
  <c r="A204" i="33"/>
  <c r="B202" i="33"/>
  <c r="AB202" i="33" s="1"/>
  <c r="B201" i="33"/>
  <c r="AB201" i="33" s="1"/>
  <c r="AA202" i="33"/>
  <c r="AA201" i="33"/>
  <c r="A202" i="33"/>
  <c r="A201" i="33"/>
  <c r="B199" i="33"/>
  <c r="AB199" i="33" s="1"/>
  <c r="B198" i="33"/>
  <c r="AB198" i="33" s="1"/>
  <c r="AA199" i="33"/>
  <c r="AA198" i="33"/>
  <c r="A199" i="33"/>
  <c r="A198" i="33"/>
  <c r="B196" i="33"/>
  <c r="AB196" i="33" s="1"/>
  <c r="B195" i="33"/>
  <c r="AB195" i="33" s="1"/>
  <c r="AA196" i="33"/>
  <c r="AA195" i="33"/>
  <c r="A196" i="33"/>
  <c r="A195" i="33"/>
  <c r="B193" i="33"/>
  <c r="AB193" i="33" s="1"/>
  <c r="B192" i="33"/>
  <c r="AB192" i="33" s="1"/>
  <c r="AA193" i="33"/>
  <c r="AA192" i="33"/>
  <c r="A193" i="33"/>
  <c r="A192" i="33"/>
  <c r="B190" i="33"/>
  <c r="AB190" i="33" s="1"/>
  <c r="B189" i="33"/>
  <c r="AB189" i="33" s="1"/>
  <c r="AA190" i="33"/>
  <c r="AA189" i="33"/>
  <c r="A190" i="33"/>
  <c r="A189" i="33"/>
  <c r="B187" i="33"/>
  <c r="AB187" i="33" s="1"/>
  <c r="B186" i="33"/>
  <c r="AB186" i="33" s="1"/>
  <c r="AA187" i="33"/>
  <c r="AA186" i="33"/>
  <c r="A187" i="33"/>
  <c r="A186" i="33"/>
  <c r="B184" i="33"/>
  <c r="AB184" i="33" s="1"/>
  <c r="B183" i="33"/>
  <c r="AB183" i="33" s="1"/>
  <c r="AA184" i="33"/>
  <c r="AA183" i="33"/>
  <c r="A184" i="33"/>
  <c r="A183" i="33"/>
  <c r="B181" i="33"/>
  <c r="AB181" i="33" s="1"/>
  <c r="B180" i="33"/>
  <c r="AB180" i="33" s="1"/>
  <c r="AA181" i="33"/>
  <c r="AA180" i="33"/>
  <c r="A181" i="33"/>
  <c r="A180" i="33"/>
  <c r="B178" i="33"/>
  <c r="AB178" i="33" s="1"/>
  <c r="B177" i="33"/>
  <c r="AB177" i="33" s="1"/>
  <c r="AA178" i="33"/>
  <c r="AA177" i="33"/>
  <c r="A178" i="33"/>
  <c r="A177" i="33"/>
  <c r="B175" i="33"/>
  <c r="AB175" i="33" s="1"/>
  <c r="B174" i="33"/>
  <c r="AB174" i="33" s="1"/>
  <c r="AA175" i="33"/>
  <c r="AA174" i="33"/>
  <c r="A175" i="33"/>
  <c r="A174" i="33"/>
  <c r="B172" i="33"/>
  <c r="AB172" i="33" s="1"/>
  <c r="B171" i="33"/>
  <c r="AB171" i="33" s="1"/>
  <c r="AA172" i="33"/>
  <c r="AA171" i="33"/>
  <c r="A172" i="33"/>
  <c r="A171" i="33"/>
  <c r="B169" i="33"/>
  <c r="AB169" i="33" s="1"/>
  <c r="B168" i="33"/>
  <c r="AB168" i="33" s="1"/>
  <c r="AA169" i="33"/>
  <c r="AA168" i="33"/>
  <c r="A169" i="33"/>
  <c r="A168" i="33"/>
  <c r="B166" i="33"/>
  <c r="AB166" i="33" s="1"/>
  <c r="B165" i="33"/>
  <c r="AB165" i="33" s="1"/>
  <c r="AA166" i="33"/>
  <c r="AA165" i="33"/>
  <c r="A166" i="33"/>
  <c r="A165" i="33"/>
  <c r="B163" i="33"/>
  <c r="AB163" i="33" s="1"/>
  <c r="B162" i="33"/>
  <c r="AB162" i="33" s="1"/>
  <c r="AA163" i="33"/>
  <c r="AA162" i="33"/>
  <c r="A163" i="33"/>
  <c r="A162" i="33"/>
  <c r="B160" i="33"/>
  <c r="AB160" i="33" s="1"/>
  <c r="B159" i="33"/>
  <c r="AB159" i="33" s="1"/>
  <c r="AA160" i="33"/>
  <c r="AA159" i="33"/>
  <c r="A160" i="33"/>
  <c r="A159" i="33"/>
  <c r="B157" i="33"/>
  <c r="AB157" i="33" s="1"/>
  <c r="B156" i="33"/>
  <c r="AB156" i="33" s="1"/>
  <c r="AA157" i="33"/>
  <c r="AA156" i="33"/>
  <c r="A157" i="33"/>
  <c r="A156" i="33"/>
  <c r="B154" i="33"/>
  <c r="AB154" i="33" s="1"/>
  <c r="B153" i="33"/>
  <c r="AB153" i="33" s="1"/>
  <c r="AA154" i="33"/>
  <c r="AA153" i="33"/>
  <c r="A154" i="33"/>
  <c r="A153" i="33"/>
  <c r="B151" i="33"/>
  <c r="AB151" i="33" s="1"/>
  <c r="B150" i="33"/>
  <c r="AB150" i="33" s="1"/>
  <c r="AA151" i="33"/>
  <c r="AA150" i="33"/>
  <c r="A151" i="33"/>
  <c r="A150" i="33"/>
  <c r="B148" i="33"/>
  <c r="AB148" i="33" s="1"/>
  <c r="B147" i="33"/>
  <c r="AB147" i="33" s="1"/>
  <c r="AA148" i="33"/>
  <c r="AA147" i="33"/>
  <c r="A148" i="33"/>
  <c r="A147" i="33"/>
  <c r="B145" i="33"/>
  <c r="AB145" i="33" s="1"/>
  <c r="B144" i="33"/>
  <c r="AB144" i="33" s="1"/>
  <c r="AA145" i="33"/>
  <c r="AA144" i="33"/>
  <c r="A145" i="33"/>
  <c r="A144" i="33"/>
  <c r="B142" i="33"/>
  <c r="AB142" i="33" s="1"/>
  <c r="B141" i="33"/>
  <c r="AB141" i="33" s="1"/>
  <c r="AA142" i="33"/>
  <c r="AA141" i="33"/>
  <c r="A142" i="33"/>
  <c r="A141" i="33"/>
  <c r="B139" i="33"/>
  <c r="AB139" i="33" s="1"/>
  <c r="B138" i="33"/>
  <c r="AB138" i="33" s="1"/>
  <c r="AA139" i="33"/>
  <c r="AA138" i="33"/>
  <c r="A139" i="33"/>
  <c r="A138" i="33"/>
  <c r="B136" i="33"/>
  <c r="AB136" i="33" s="1"/>
  <c r="B135" i="33"/>
  <c r="AB135" i="33" s="1"/>
  <c r="AA136" i="33"/>
  <c r="AA135" i="33"/>
  <c r="A136" i="33"/>
  <c r="A135" i="33"/>
  <c r="B133" i="33"/>
  <c r="AB133" i="33" s="1"/>
  <c r="B132" i="33"/>
  <c r="AB132" i="33" s="1"/>
  <c r="AA133" i="33"/>
  <c r="AA132" i="33"/>
  <c r="A133" i="33"/>
  <c r="A132" i="33"/>
  <c r="B130" i="33"/>
  <c r="AB130" i="33" s="1"/>
  <c r="B129" i="33"/>
  <c r="AB129" i="33" s="1"/>
  <c r="AA130" i="33"/>
  <c r="AA129" i="33"/>
  <c r="A130" i="33"/>
  <c r="A129" i="33"/>
  <c r="B127" i="33"/>
  <c r="AB127" i="33" s="1"/>
  <c r="B126" i="33"/>
  <c r="AB126" i="33" s="1"/>
  <c r="AA127" i="33"/>
  <c r="AA126" i="33"/>
  <c r="A127" i="33"/>
  <c r="A126" i="33"/>
  <c r="B124" i="33"/>
  <c r="AB124" i="33" s="1"/>
  <c r="B123" i="33"/>
  <c r="AB123" i="33" s="1"/>
  <c r="AA124" i="33"/>
  <c r="AA123" i="33"/>
  <c r="A124" i="33"/>
  <c r="A123" i="33"/>
  <c r="B121" i="33"/>
  <c r="AB121" i="33" s="1"/>
  <c r="B120" i="33"/>
  <c r="AB120" i="33" s="1"/>
  <c r="AA121" i="33"/>
  <c r="AA120" i="33"/>
  <c r="A121" i="33"/>
  <c r="A120" i="33"/>
  <c r="B118" i="33"/>
  <c r="AB118" i="33" s="1"/>
  <c r="B117" i="33"/>
  <c r="AB117" i="33" s="1"/>
  <c r="AA118" i="33"/>
  <c r="AA117" i="33"/>
  <c r="A118" i="33"/>
  <c r="A117" i="33"/>
  <c r="B115" i="33"/>
  <c r="AB115" i="33" s="1"/>
  <c r="B114" i="33"/>
  <c r="AB114" i="33" s="1"/>
  <c r="AA115" i="33"/>
  <c r="AA114" i="33"/>
  <c r="A115" i="33"/>
  <c r="A114" i="33"/>
  <c r="B112" i="33"/>
  <c r="AB112" i="33" s="1"/>
  <c r="B111" i="33"/>
  <c r="AB111" i="33" s="1"/>
  <c r="AA112" i="33"/>
  <c r="AA111" i="33"/>
  <c r="A112" i="33"/>
  <c r="A111" i="33"/>
  <c r="B109" i="33"/>
  <c r="AB109" i="33" s="1"/>
  <c r="B108" i="33"/>
  <c r="AB108" i="33" s="1"/>
  <c r="AA109" i="33"/>
  <c r="AA108" i="33"/>
  <c r="A109" i="33"/>
  <c r="A108" i="33"/>
  <c r="B106" i="33"/>
  <c r="AB106" i="33" s="1"/>
  <c r="B105" i="33"/>
  <c r="AB105" i="33" s="1"/>
  <c r="AA106" i="33"/>
  <c r="AA105" i="33"/>
  <c r="A106" i="33"/>
  <c r="A105" i="33"/>
  <c r="B103" i="33"/>
  <c r="AB103" i="33" s="1"/>
  <c r="B102" i="33"/>
  <c r="AB102" i="33" s="1"/>
  <c r="AA103" i="33"/>
  <c r="AA102" i="33"/>
  <c r="A103" i="33"/>
  <c r="A102" i="33"/>
  <c r="B100" i="33"/>
  <c r="AB100" i="33" s="1"/>
  <c r="B99" i="33"/>
  <c r="AB99" i="33" s="1"/>
  <c r="AA100" i="33"/>
  <c r="AA99" i="33"/>
  <c r="A100" i="33"/>
  <c r="A99" i="33"/>
  <c r="B97" i="33"/>
  <c r="AB97" i="33" s="1"/>
  <c r="B96" i="33"/>
  <c r="AB96" i="33" s="1"/>
  <c r="AA97" i="33"/>
  <c r="AA96" i="33"/>
  <c r="A97" i="33"/>
  <c r="A96" i="33"/>
  <c r="B94" i="33"/>
  <c r="AB94" i="33" s="1"/>
  <c r="B93" i="33"/>
  <c r="AB93" i="33" s="1"/>
  <c r="AA94" i="33"/>
  <c r="AA93" i="33"/>
  <c r="A94" i="33"/>
  <c r="A93" i="33"/>
  <c r="B91" i="33"/>
  <c r="AB91" i="33" s="1"/>
  <c r="B90" i="33"/>
  <c r="AB90" i="33" s="1"/>
  <c r="AA91" i="33"/>
  <c r="AA90" i="33"/>
  <c r="A91" i="33"/>
  <c r="A90" i="33"/>
  <c r="B88" i="33"/>
  <c r="AB88" i="33" s="1"/>
  <c r="B87" i="33"/>
  <c r="AB87" i="33" s="1"/>
  <c r="AA88" i="33"/>
  <c r="AA87" i="33"/>
  <c r="A88" i="33"/>
  <c r="A87" i="33"/>
  <c r="B85" i="33"/>
  <c r="AB85" i="33" s="1"/>
  <c r="B84" i="33"/>
  <c r="AB84" i="33" s="1"/>
  <c r="AA85" i="33"/>
  <c r="AA84" i="33"/>
  <c r="A85" i="33"/>
  <c r="A84" i="33"/>
  <c r="B82" i="33"/>
  <c r="AB82" i="33" s="1"/>
  <c r="B81" i="33"/>
  <c r="AB81" i="33" s="1"/>
  <c r="AA82" i="33"/>
  <c r="AA81" i="33"/>
  <c r="A82" i="33"/>
  <c r="A81" i="33"/>
  <c r="B79" i="33"/>
  <c r="AB79" i="33" s="1"/>
  <c r="B78" i="33"/>
  <c r="AB78" i="33" s="1"/>
  <c r="AA79" i="33"/>
  <c r="AA78" i="33"/>
  <c r="A79" i="33"/>
  <c r="A78" i="33"/>
  <c r="B76" i="33"/>
  <c r="AB76" i="33" s="1"/>
  <c r="B75" i="33"/>
  <c r="AB75" i="33" s="1"/>
  <c r="AA76" i="33"/>
  <c r="AA75" i="33"/>
  <c r="A76" i="33"/>
  <c r="A75" i="33"/>
  <c r="B73" i="33"/>
  <c r="AB73" i="33" s="1"/>
  <c r="B72" i="33"/>
  <c r="AB72" i="33" s="1"/>
  <c r="AA73" i="33"/>
  <c r="AA72" i="33"/>
  <c r="A73" i="33"/>
  <c r="A72" i="33"/>
  <c r="B70" i="33"/>
  <c r="AB70" i="33" s="1"/>
  <c r="B69" i="33"/>
  <c r="AB69" i="33" s="1"/>
  <c r="AA70" i="33"/>
  <c r="AA69" i="33"/>
  <c r="A70" i="33"/>
  <c r="A69" i="33"/>
  <c r="B67" i="33"/>
  <c r="AB67" i="33" s="1"/>
  <c r="B66" i="33"/>
  <c r="AB66" i="33" s="1"/>
  <c r="AA67" i="33"/>
  <c r="AA66" i="33"/>
  <c r="A67" i="33"/>
  <c r="A66" i="33"/>
  <c r="B64" i="33"/>
  <c r="AB64" i="33" s="1"/>
  <c r="B63" i="33"/>
  <c r="AB63" i="33" s="1"/>
  <c r="AA64" i="33"/>
  <c r="AA63" i="33"/>
  <c r="A64" i="33"/>
  <c r="A63" i="33"/>
  <c r="B61" i="33"/>
  <c r="AB61" i="33" s="1"/>
  <c r="B60" i="33"/>
  <c r="AB60" i="33" s="1"/>
  <c r="AA61" i="33"/>
  <c r="AA60" i="33"/>
  <c r="A61" i="33"/>
  <c r="A60" i="33"/>
  <c r="B58" i="33"/>
  <c r="AB58" i="33" s="1"/>
  <c r="B57" i="33"/>
  <c r="AB57" i="33" s="1"/>
  <c r="AA58" i="33"/>
  <c r="AA57" i="33"/>
  <c r="A58" i="33"/>
  <c r="A57" i="33"/>
  <c r="B55" i="33"/>
  <c r="AB55" i="33" s="1"/>
  <c r="B54" i="33"/>
  <c r="AB54" i="33" s="1"/>
  <c r="AA55" i="33"/>
  <c r="AA54" i="33"/>
  <c r="A55" i="33"/>
  <c r="A54" i="33"/>
  <c r="B52" i="33"/>
  <c r="AB52" i="33" s="1"/>
  <c r="B51" i="33"/>
  <c r="AB51" i="33" s="1"/>
  <c r="AA52" i="33"/>
  <c r="AA51" i="33"/>
  <c r="A52" i="33"/>
  <c r="A51" i="33"/>
  <c r="B49" i="33"/>
  <c r="AB49" i="33" s="1"/>
  <c r="B48" i="33"/>
  <c r="AB48" i="33" s="1"/>
  <c r="AA49" i="33"/>
  <c r="AA48" i="33"/>
  <c r="A49" i="33"/>
  <c r="A48" i="33"/>
  <c r="B46" i="33"/>
  <c r="AB46" i="33" s="1"/>
  <c r="B45" i="33"/>
  <c r="AB45" i="33" s="1"/>
  <c r="AA46" i="33"/>
  <c r="AA45" i="33"/>
  <c r="A46" i="33"/>
  <c r="A45" i="33"/>
  <c r="B43" i="33"/>
  <c r="AB43" i="33" s="1"/>
  <c r="B42" i="33"/>
  <c r="AB42" i="33" s="1"/>
  <c r="AA43" i="33"/>
  <c r="AA42" i="33"/>
  <c r="A43" i="33"/>
  <c r="A42" i="33"/>
  <c r="B40" i="33"/>
  <c r="AB40" i="33" s="1"/>
  <c r="B39" i="33"/>
  <c r="AB39" i="33" s="1"/>
  <c r="AA40" i="33"/>
  <c r="AA39" i="33"/>
  <c r="A40" i="33"/>
  <c r="A39" i="33"/>
  <c r="B37" i="33"/>
  <c r="AB37" i="33" s="1"/>
  <c r="B36" i="33"/>
  <c r="AB36" i="33" s="1"/>
  <c r="AA37" i="33"/>
  <c r="AA36" i="33"/>
  <c r="A37" i="33"/>
  <c r="A36" i="33"/>
  <c r="B34" i="33"/>
  <c r="AB34" i="33" s="1"/>
  <c r="B33" i="33"/>
  <c r="AB33" i="33" s="1"/>
  <c r="AA34" i="33"/>
  <c r="AA33" i="33"/>
  <c r="A34" i="33"/>
  <c r="A33" i="33"/>
  <c r="B31" i="33"/>
  <c r="AB31" i="33" s="1"/>
  <c r="B30" i="33"/>
  <c r="AB30" i="33" s="1"/>
  <c r="AA31" i="33"/>
  <c r="AA30" i="33"/>
  <c r="A31" i="33"/>
  <c r="A30" i="33"/>
  <c r="CC84" i="43" l="1"/>
  <c r="CC89" i="43" s="1"/>
  <c r="CH48" i="43"/>
  <c r="CH84" i="43" s="1"/>
  <c r="CH90" i="43"/>
  <c r="CH95" i="43" s="1"/>
  <c r="CH89" i="43"/>
  <c r="CD84" i="43"/>
  <c r="CD89" i="43" s="1"/>
  <c r="CG48" i="43"/>
  <c r="CG84" i="43" s="1"/>
  <c r="CC90" i="43"/>
  <c r="CC95" i="43" s="1"/>
  <c r="CG89" i="43"/>
  <c r="CD90" i="43"/>
  <c r="CD95" i="43" s="1"/>
  <c r="X27" i="30"/>
  <c r="X28" i="30"/>
  <c r="O27" i="30"/>
  <c r="O28" i="30"/>
  <c r="S28" i="30" s="1"/>
  <c r="N27" i="30"/>
  <c r="N28" i="30"/>
  <c r="CG90" i="43" l="1"/>
  <c r="CG95" i="43" s="1"/>
  <c r="S27" i="30"/>
  <c r="B16" i="31"/>
  <c r="C14" i="33" l="1"/>
  <c r="G184" i="31" l="1"/>
  <c r="H184" i="31"/>
  <c r="H20" i="2" l="1"/>
  <c r="F20" i="2"/>
  <c r="H20" i="30"/>
  <c r="H21" i="32" l="1" a="1"/>
  <c r="H21" i="32" s="1"/>
  <c r="G21" i="32" a="1"/>
  <c r="G21" i="32" s="1"/>
  <c r="F21" i="32" a="1"/>
  <c r="F21" i="32" s="1"/>
  <c r="E21" i="32" a="1"/>
  <c r="E21" i="32" s="1"/>
  <c r="D21" i="32" a="1"/>
  <c r="D21" i="32" s="1"/>
  <c r="H21" i="31" a="1"/>
  <c r="H21" i="31" s="1"/>
  <c r="G21" i="31" a="1"/>
  <c r="G21" i="31" s="1"/>
  <c r="F21" i="31" a="1"/>
  <c r="F21" i="31" s="1"/>
  <c r="E21" i="31" a="1"/>
  <c r="E21" i="31" s="1"/>
  <c r="D21" i="31" a="1"/>
  <c r="D21" i="31" s="1"/>
  <c r="D22" i="31" s="1"/>
  <c r="D22" i="32" l="1"/>
  <c r="C22" i="32" s="1"/>
  <c r="BT73" i="2"/>
  <c r="Y28" i="30" l="1"/>
  <c r="Y27" i="30"/>
  <c r="BT103" i="2" l="1"/>
  <c r="D64" i="13" s="1"/>
  <c r="X105" i="2"/>
  <c r="AD105" i="2" s="1"/>
  <c r="AH105" i="2" s="1"/>
  <c r="S105" i="2"/>
  <c r="Y105" i="2" s="1"/>
  <c r="AC105" i="2" s="1"/>
  <c r="I108" i="2"/>
  <c r="BT96" i="2" l="1"/>
  <c r="AC27" i="30"/>
  <c r="AD27" i="30"/>
  <c r="AH27" i="30" s="1"/>
  <c r="AC28" i="30"/>
  <c r="AI28" i="30" s="1"/>
  <c r="AD28" i="30"/>
  <c r="AH28" i="30" s="1"/>
  <c r="E80" i="2"/>
  <c r="I93" i="2"/>
  <c r="O93" i="2" s="1"/>
  <c r="S93" i="2" s="1"/>
  <c r="Y93" i="2" s="1"/>
  <c r="AC93" i="2" s="1"/>
  <c r="AI93" i="2" s="1"/>
  <c r="AM93" i="2" s="1"/>
  <c r="AS93" i="2" s="1"/>
  <c r="AW93" i="2" s="1"/>
  <c r="BG93" i="2" s="1"/>
  <c r="BO93" i="2" s="1"/>
  <c r="N93" i="2"/>
  <c r="T93" i="2" s="1"/>
  <c r="X93" i="2" s="1"/>
  <c r="AD93" i="2" s="1"/>
  <c r="AH93" i="2" s="1"/>
  <c r="AN93" i="2" s="1"/>
  <c r="AR93" i="2" s="1"/>
  <c r="AX93" i="2" s="1"/>
  <c r="BB93" i="2" s="1"/>
  <c r="BH93" i="2" s="1"/>
  <c r="BL93" i="2" s="1"/>
  <c r="BP93" i="2" s="1"/>
  <c r="BS93" i="2" s="1"/>
  <c r="I94" i="2"/>
  <c r="O94" i="2" s="1"/>
  <c r="S94" i="2" s="1"/>
  <c r="Y94" i="2" s="1"/>
  <c r="AC94" i="2" s="1"/>
  <c r="AI94" i="2" s="1"/>
  <c r="AM94" i="2" s="1"/>
  <c r="AS94" i="2" s="1"/>
  <c r="AW94" i="2" s="1"/>
  <c r="BG94" i="2" s="1"/>
  <c r="BO94" i="2" s="1"/>
  <c r="N94" i="2"/>
  <c r="T94" i="2" s="1"/>
  <c r="X94" i="2" s="1"/>
  <c r="AD94" i="2" s="1"/>
  <c r="AH94" i="2" s="1"/>
  <c r="AN94" i="2" s="1"/>
  <c r="AR94" i="2" s="1"/>
  <c r="AX94" i="2" s="1"/>
  <c r="BB94" i="2" s="1"/>
  <c r="BH94" i="2" s="1"/>
  <c r="BL94" i="2" s="1"/>
  <c r="BP94" i="2" s="1"/>
  <c r="BS94" i="2" s="1"/>
  <c r="BT56" i="2"/>
  <c r="BT57" i="2"/>
  <c r="BT58" i="2"/>
  <c r="BT59" i="2"/>
  <c r="BT60" i="2"/>
  <c r="BT61" i="2"/>
  <c r="BT62" i="2"/>
  <c r="BT63" i="2"/>
  <c r="BT64" i="2"/>
  <c r="BT65" i="2"/>
  <c r="BT66" i="2"/>
  <c r="BT67" i="2"/>
  <c r="BT68" i="2"/>
  <c r="BT69" i="2"/>
  <c r="BT70" i="2"/>
  <c r="N25" i="30"/>
  <c r="I25" i="30"/>
  <c r="O25" i="30" s="1"/>
  <c r="AI27" i="30" l="1"/>
  <c r="BT93" i="2"/>
  <c r="BW94" i="2"/>
  <c r="BW93" i="2"/>
  <c r="BT94" i="2"/>
  <c r="BT108" i="2" l="1"/>
  <c r="BT107" i="2"/>
  <c r="BT78" i="2"/>
  <c r="BT54" i="2"/>
  <c r="BT55" i="2"/>
  <c r="BT36" i="30"/>
  <c r="BT37" i="30"/>
  <c r="BT38" i="30"/>
  <c r="BT39" i="30"/>
  <c r="BT40" i="30"/>
  <c r="BT35" i="30"/>
  <c r="B791" i="33" l="1"/>
  <c r="B789" i="33"/>
  <c r="B787" i="33"/>
  <c r="B785" i="33"/>
  <c r="B783" i="33"/>
  <c r="B781" i="33"/>
  <c r="B779" i="33"/>
  <c r="B777" i="33"/>
  <c r="B775" i="33"/>
  <c r="B773" i="33"/>
  <c r="B771" i="33"/>
  <c r="B769" i="33"/>
  <c r="B767" i="33"/>
  <c r="B765" i="33"/>
  <c r="B763" i="33"/>
  <c r="B761" i="33"/>
  <c r="B759" i="33"/>
  <c r="B757" i="33"/>
  <c r="B755" i="33"/>
  <c r="B753" i="33"/>
  <c r="B751" i="33"/>
  <c r="B749" i="33"/>
  <c r="B747" i="33"/>
  <c r="B745" i="33"/>
  <c r="B743" i="33"/>
  <c r="B741" i="33"/>
  <c r="B739" i="33"/>
  <c r="B737" i="33"/>
  <c r="B735" i="33"/>
  <c r="B733" i="33"/>
  <c r="B731" i="33"/>
  <c r="B729" i="33"/>
  <c r="B727" i="33"/>
  <c r="B725" i="33"/>
  <c r="B723" i="33"/>
  <c r="B721" i="33"/>
  <c r="B719" i="33"/>
  <c r="B717" i="33"/>
  <c r="B715" i="33"/>
  <c r="B713" i="33"/>
  <c r="B711" i="33"/>
  <c r="B709" i="33"/>
  <c r="B707" i="33"/>
  <c r="B705" i="33"/>
  <c r="B703" i="33"/>
  <c r="B701" i="33"/>
  <c r="B699" i="33"/>
  <c r="B697" i="33"/>
  <c r="B695" i="33"/>
  <c r="B693" i="33"/>
  <c r="B691" i="33"/>
  <c r="B689" i="33"/>
  <c r="B687" i="33"/>
  <c r="B685" i="33"/>
  <c r="B683" i="33"/>
  <c r="B681" i="33"/>
  <c r="B679" i="33"/>
  <c r="B677" i="33"/>
  <c r="B675" i="33"/>
  <c r="B673" i="33"/>
  <c r="B671" i="33"/>
  <c r="B669" i="33"/>
  <c r="B667" i="33"/>
  <c r="B665" i="33"/>
  <c r="B663" i="33"/>
  <c r="B661" i="33"/>
  <c r="B659" i="33"/>
  <c r="B657" i="33"/>
  <c r="B655" i="33"/>
  <c r="B653" i="33"/>
  <c r="B651" i="33"/>
  <c r="B649" i="33"/>
  <c r="B647" i="33"/>
  <c r="B645" i="33"/>
  <c r="B643" i="33"/>
  <c r="B641" i="33"/>
  <c r="B639" i="33"/>
  <c r="B637" i="33"/>
  <c r="B635" i="33"/>
  <c r="B633" i="33"/>
  <c r="B631" i="33"/>
  <c r="B629" i="33"/>
  <c r="B627" i="33"/>
  <c r="B625" i="33"/>
  <c r="B623" i="33"/>
  <c r="B621" i="33"/>
  <c r="B619" i="33"/>
  <c r="B617" i="33"/>
  <c r="B615" i="33"/>
  <c r="B613" i="33"/>
  <c r="B611" i="33"/>
  <c r="B609" i="33"/>
  <c r="B607" i="33"/>
  <c r="B605" i="33"/>
  <c r="B603" i="33"/>
  <c r="B601" i="33"/>
  <c r="B599" i="33"/>
  <c r="B597" i="33"/>
  <c r="B595" i="33"/>
  <c r="B593" i="33"/>
  <c r="B591" i="33"/>
  <c r="B589" i="33"/>
  <c r="B587" i="33"/>
  <c r="B585" i="33"/>
  <c r="B583" i="33"/>
  <c r="B581" i="33"/>
  <c r="B579" i="33"/>
  <c r="B577" i="33"/>
  <c r="B575" i="33"/>
  <c r="B573" i="33"/>
  <c r="B571" i="33"/>
  <c r="B569" i="33"/>
  <c r="B567" i="33"/>
  <c r="B565" i="33"/>
  <c r="B563" i="33"/>
  <c r="B561" i="33"/>
  <c r="B559" i="33"/>
  <c r="B557" i="33"/>
  <c r="B555" i="33"/>
  <c r="B553" i="33"/>
  <c r="B551" i="33"/>
  <c r="B549" i="33"/>
  <c r="B547" i="33"/>
  <c r="B545" i="33"/>
  <c r="B543" i="33"/>
  <c r="B541" i="33"/>
  <c r="B539" i="33"/>
  <c r="B537" i="33"/>
  <c r="B535" i="33"/>
  <c r="B533" i="33"/>
  <c r="B531" i="33"/>
  <c r="B529" i="33"/>
  <c r="B527" i="33"/>
  <c r="B525" i="33"/>
  <c r="B523" i="33"/>
  <c r="B521" i="33"/>
  <c r="B519" i="33"/>
  <c r="B517" i="33"/>
  <c r="B515" i="33"/>
  <c r="B513" i="33"/>
  <c r="B511" i="33"/>
  <c r="B509" i="33"/>
  <c r="B507" i="33"/>
  <c r="B505" i="33"/>
  <c r="B503" i="33"/>
  <c r="B501" i="33"/>
  <c r="B499" i="33"/>
  <c r="B497" i="33"/>
  <c r="B495" i="33"/>
  <c r="B493" i="33"/>
  <c r="D478" i="33"/>
  <c r="D475" i="33"/>
  <c r="D472" i="33"/>
  <c r="D469" i="33"/>
  <c r="D466" i="33"/>
  <c r="D463" i="33"/>
  <c r="D460" i="33"/>
  <c r="D457" i="33"/>
  <c r="D454" i="33"/>
  <c r="D451" i="33"/>
  <c r="D448" i="33"/>
  <c r="D445" i="33"/>
  <c r="D442" i="33"/>
  <c r="D439" i="33"/>
  <c r="D436" i="33"/>
  <c r="D433" i="33"/>
  <c r="D430" i="33"/>
  <c r="D427" i="33"/>
  <c r="D424" i="33"/>
  <c r="D421" i="33"/>
  <c r="D418" i="33"/>
  <c r="D415" i="33"/>
  <c r="D412" i="33"/>
  <c r="D409" i="33"/>
  <c r="D406" i="33"/>
  <c r="D403" i="33"/>
  <c r="D400" i="33"/>
  <c r="D397" i="33"/>
  <c r="D394" i="33"/>
  <c r="D391" i="33"/>
  <c r="D388" i="33"/>
  <c r="D385" i="33"/>
  <c r="D382" i="33"/>
  <c r="D379" i="33"/>
  <c r="D376" i="33"/>
  <c r="D373" i="33"/>
  <c r="D370" i="33"/>
  <c r="D367" i="33"/>
  <c r="D364" i="33"/>
  <c r="D361" i="33"/>
  <c r="D358" i="33"/>
  <c r="D355" i="33"/>
  <c r="D352" i="33"/>
  <c r="D349" i="33"/>
  <c r="D346" i="33"/>
  <c r="D343" i="33"/>
  <c r="D340" i="33"/>
  <c r="D337" i="33"/>
  <c r="D334" i="33"/>
  <c r="D331" i="33"/>
  <c r="D328" i="33"/>
  <c r="D325" i="33"/>
  <c r="D322" i="33"/>
  <c r="D319" i="33"/>
  <c r="D316" i="33"/>
  <c r="D313" i="33"/>
  <c r="D310" i="33"/>
  <c r="D307" i="33"/>
  <c r="D304" i="33"/>
  <c r="D301" i="33"/>
  <c r="D298" i="33"/>
  <c r="D295" i="33"/>
  <c r="D292" i="33"/>
  <c r="D289" i="33"/>
  <c r="D286" i="33"/>
  <c r="D283" i="33"/>
  <c r="D280" i="33"/>
  <c r="D277" i="33"/>
  <c r="D274" i="33"/>
  <c r="D271" i="33"/>
  <c r="D268" i="33"/>
  <c r="D265" i="33"/>
  <c r="D262" i="33"/>
  <c r="D259" i="33"/>
  <c r="D256" i="33"/>
  <c r="D253" i="33"/>
  <c r="D250" i="33"/>
  <c r="D247" i="33"/>
  <c r="D244" i="33"/>
  <c r="D241" i="33"/>
  <c r="D238" i="33"/>
  <c r="D235" i="33"/>
  <c r="D232" i="33"/>
  <c r="D229" i="33"/>
  <c r="D226" i="33"/>
  <c r="D223" i="33"/>
  <c r="D220" i="33"/>
  <c r="D217" i="33"/>
  <c r="D214" i="33"/>
  <c r="D211" i="33"/>
  <c r="D208" i="33"/>
  <c r="D205" i="33"/>
  <c r="D202" i="33"/>
  <c r="D199" i="33"/>
  <c r="D196" i="33"/>
  <c r="D193" i="33"/>
  <c r="D190" i="33"/>
  <c r="D187" i="33"/>
  <c r="D184" i="33"/>
  <c r="D181" i="33"/>
  <c r="D178" i="33"/>
  <c r="D175" i="33"/>
  <c r="D172" i="33"/>
  <c r="D169" i="33"/>
  <c r="D166" i="33"/>
  <c r="D163" i="33"/>
  <c r="D160" i="33"/>
  <c r="D157" i="33"/>
  <c r="D154" i="33"/>
  <c r="D151" i="33"/>
  <c r="D148" i="33"/>
  <c r="D145" i="33"/>
  <c r="D142" i="33"/>
  <c r="D139" i="33"/>
  <c r="D136" i="33"/>
  <c r="D133" i="33"/>
  <c r="D130" i="33"/>
  <c r="D127" i="33"/>
  <c r="D124" i="33"/>
  <c r="D121" i="33"/>
  <c r="D118" i="33"/>
  <c r="D115" i="33"/>
  <c r="D112" i="33"/>
  <c r="D109" i="33"/>
  <c r="D106" i="33"/>
  <c r="D103" i="33"/>
  <c r="D100" i="33"/>
  <c r="D97" i="33"/>
  <c r="D94" i="33"/>
  <c r="D91" i="33"/>
  <c r="D88" i="33"/>
  <c r="D85" i="33"/>
  <c r="D82" i="33"/>
  <c r="D79" i="33"/>
  <c r="D76" i="33"/>
  <c r="D73" i="33"/>
  <c r="D70" i="33"/>
  <c r="D67" i="33"/>
  <c r="D64" i="33"/>
  <c r="D61" i="33"/>
  <c r="D58" i="33"/>
  <c r="D55" i="33"/>
  <c r="D52" i="33"/>
  <c r="D49" i="33"/>
  <c r="D46" i="33"/>
  <c r="D43" i="33"/>
  <c r="D40" i="33"/>
  <c r="D37" i="33"/>
  <c r="D34" i="33"/>
  <c r="D31" i="33"/>
  <c r="H22" i="32"/>
  <c r="G22" i="32"/>
  <c r="F22" i="32"/>
  <c r="E22" i="32"/>
  <c r="P24" i="12" l="1" a="1"/>
  <c r="P24" i="12" s="1"/>
  <c r="P22" i="12" a="1"/>
  <c r="P22" i="12" s="1"/>
  <c r="P25" i="12" a="1"/>
  <c r="P25" i="12" s="1"/>
  <c r="P30" i="12" a="1"/>
  <c r="P30" i="12" s="1"/>
  <c r="P33" i="12" a="1"/>
  <c r="P33" i="12" s="1"/>
  <c r="P38" i="12" a="1"/>
  <c r="P38" i="12" s="1"/>
  <c r="O26" i="12" a="1"/>
  <c r="O26" i="12" s="1"/>
  <c r="O29" i="12" a="1"/>
  <c r="O29" i="12" s="1"/>
  <c r="O34" i="12" a="1"/>
  <c r="O34" i="12" s="1"/>
  <c r="O37" i="12" a="1"/>
  <c r="O37" i="12" s="1"/>
  <c r="P23" i="12" a="1"/>
  <c r="P23" i="12" s="1"/>
  <c r="P28" i="12" a="1"/>
  <c r="P28" i="12" s="1"/>
  <c r="P31" i="12" a="1"/>
  <c r="P31" i="12" s="1"/>
  <c r="P36" i="12" a="1"/>
  <c r="P36" i="12" s="1"/>
  <c r="P39" i="12" a="1"/>
  <c r="P39" i="12" s="1"/>
  <c r="P21" i="12" a="1"/>
  <c r="P21" i="12" s="1"/>
  <c r="O24" i="12" a="1"/>
  <c r="O24" i="12" s="1"/>
  <c r="S24" i="12" s="1"/>
  <c r="O32" i="12" a="1"/>
  <c r="O32" i="12" s="1"/>
  <c r="O35" i="12" a="1"/>
  <c r="O35" i="12" s="1"/>
  <c r="P26" i="12" a="1"/>
  <c r="P26" i="12" s="1"/>
  <c r="P37" i="12" a="1"/>
  <c r="P37" i="12" s="1"/>
  <c r="O25" i="12" a="1"/>
  <c r="O25" i="12" s="1"/>
  <c r="O33" i="12" a="1"/>
  <c r="O33" i="12" s="1"/>
  <c r="P27" i="12" a="1"/>
  <c r="P27" i="12" s="1"/>
  <c r="T27" i="12" s="1"/>
  <c r="P35" i="12" a="1"/>
  <c r="P35" i="12" s="1"/>
  <c r="O23" i="12" a="1"/>
  <c r="O23" i="12" s="1"/>
  <c r="O31" i="12" a="1"/>
  <c r="O31" i="12" s="1"/>
  <c r="O21" i="12" a="1"/>
  <c r="O21" i="12" s="1"/>
  <c r="O27" i="12" a="1"/>
  <c r="O27" i="12" s="1"/>
  <c r="O40" i="12" a="1"/>
  <c r="O40" i="12" s="1"/>
  <c r="P29" i="12" a="1"/>
  <c r="P29" i="12" s="1"/>
  <c r="P34" i="12" a="1"/>
  <c r="P34" i="12" s="1"/>
  <c r="O22" i="12" a="1"/>
  <c r="O22" i="12" s="1"/>
  <c r="O30" i="12" a="1"/>
  <c r="O30" i="12" s="1"/>
  <c r="O38" i="12" a="1"/>
  <c r="O38" i="12" s="1"/>
  <c r="P32" i="12" a="1"/>
  <c r="P32" i="12" s="1"/>
  <c r="P40" i="12" a="1"/>
  <c r="P40" i="12" s="1"/>
  <c r="O28" i="12" a="1"/>
  <c r="O28" i="12" s="1"/>
  <c r="O36" i="12" a="1"/>
  <c r="O36" i="12" s="1"/>
  <c r="O39" i="12" a="1"/>
  <c r="O39" i="12" s="1"/>
  <c r="H184" i="32"/>
  <c r="H23" i="32" s="1"/>
  <c r="D23" i="32"/>
  <c r="C23" i="32" s="1"/>
  <c r="E184" i="32"/>
  <c r="E23" i="32" s="1"/>
  <c r="F184" i="32"/>
  <c r="F23" i="32" s="1"/>
  <c r="G184" i="32"/>
  <c r="G23" i="32" s="1"/>
  <c r="S25" i="12" l="1"/>
  <c r="S26" i="12"/>
  <c r="O41" i="12"/>
  <c r="P41" i="12"/>
  <c r="C184" i="32"/>
  <c r="I173" i="32" s="1"/>
  <c r="I135" i="32" l="1"/>
  <c r="I68" i="32"/>
  <c r="I109" i="32"/>
  <c r="I146" i="32"/>
  <c r="I179" i="32"/>
  <c r="I147" i="32"/>
  <c r="I172" i="32"/>
  <c r="I152" i="32"/>
  <c r="I148" i="32"/>
  <c r="I151" i="32"/>
  <c r="I161" i="32"/>
  <c r="I153" i="32"/>
  <c r="I167" i="32"/>
  <c r="I113" i="32"/>
  <c r="I66" i="32"/>
  <c r="I107" i="32"/>
  <c r="I126" i="32"/>
  <c r="I73" i="32"/>
  <c r="I90" i="32"/>
  <c r="I54" i="32"/>
  <c r="I115" i="32"/>
  <c r="I75" i="32"/>
  <c r="I123" i="32"/>
  <c r="I77" i="32"/>
  <c r="I45" i="32"/>
  <c r="I55" i="32"/>
  <c r="I120" i="32"/>
  <c r="I64" i="32"/>
  <c r="I51" i="32"/>
  <c r="I183" i="32"/>
  <c r="I171" i="32"/>
  <c r="I140" i="32"/>
  <c r="I138" i="32"/>
  <c r="I142" i="32"/>
  <c r="I101" i="32"/>
  <c r="I85" i="32"/>
  <c r="I104" i="32"/>
  <c r="I122" i="32"/>
  <c r="I71" i="32"/>
  <c r="I69" i="32"/>
  <c r="I38" i="32"/>
  <c r="I49" i="32"/>
  <c r="I175" i="32"/>
  <c r="I99" i="32"/>
  <c r="I44" i="32"/>
  <c r="I97" i="32"/>
  <c r="I155" i="32"/>
  <c r="I65" i="32"/>
  <c r="I112" i="32"/>
  <c r="I61" i="32"/>
  <c r="I106" i="32"/>
  <c r="I160" i="32"/>
  <c r="I139" i="32"/>
  <c r="I98" i="32"/>
  <c r="I82" i="32"/>
  <c r="I43" i="32"/>
  <c r="I118" i="32"/>
  <c r="I91" i="32"/>
  <c r="I95" i="32"/>
  <c r="I89" i="32"/>
  <c r="I60" i="32"/>
  <c r="I87" i="32"/>
  <c r="I67" i="32"/>
  <c r="I46" i="32"/>
  <c r="I105" i="32"/>
  <c r="I156" i="32"/>
  <c r="I62" i="32"/>
  <c r="I40" i="32"/>
  <c r="I59" i="32"/>
  <c r="I159" i="32"/>
  <c r="I35" i="32"/>
  <c r="I168" i="32"/>
  <c r="I121" i="32"/>
  <c r="I134" i="32"/>
  <c r="I130" i="32"/>
  <c r="I114" i="32"/>
  <c r="I93" i="32"/>
  <c r="I128" i="32"/>
  <c r="I57" i="32"/>
  <c r="I136" i="32"/>
  <c r="I74" i="32"/>
  <c r="I81" i="32"/>
  <c r="I79" i="32"/>
  <c r="I63" i="32"/>
  <c r="I83" i="32"/>
  <c r="I52" i="32"/>
  <c r="I131" i="32"/>
  <c r="I37" i="32"/>
  <c r="I53" i="32"/>
  <c r="I145" i="32"/>
  <c r="I165" i="32"/>
  <c r="I72" i="32"/>
  <c r="I125" i="32"/>
  <c r="I157" i="32"/>
  <c r="I110" i="32"/>
  <c r="I103" i="32"/>
  <c r="I34" i="32"/>
  <c r="I39" i="32"/>
  <c r="I48" i="32"/>
  <c r="I47" i="32"/>
  <c r="I144" i="32"/>
  <c r="I143" i="32"/>
  <c r="I129" i="32"/>
  <c r="I178" i="32"/>
  <c r="I174" i="32"/>
  <c r="I162" i="32"/>
  <c r="I100" i="32"/>
  <c r="I111" i="32"/>
  <c r="I108" i="32"/>
  <c r="I177" i="32"/>
  <c r="I158" i="32"/>
  <c r="I150" i="32"/>
  <c r="I182" i="32"/>
  <c r="I116" i="32"/>
  <c r="I164" i="32"/>
  <c r="I117" i="32"/>
  <c r="I41" i="32"/>
  <c r="I36" i="32"/>
  <c r="I80" i="32"/>
  <c r="I56" i="32"/>
  <c r="I132" i="32"/>
  <c r="I42" i="32"/>
  <c r="I88" i="32"/>
  <c r="I78" i="32"/>
  <c r="I169" i="32"/>
  <c r="I163" i="32"/>
  <c r="I102" i="32"/>
  <c r="I137" i="32"/>
  <c r="I181" i="32"/>
  <c r="I154" i="32"/>
  <c r="I119" i="32"/>
  <c r="I127" i="32"/>
  <c r="I133" i="32"/>
  <c r="I176" i="32"/>
  <c r="I141" i="32"/>
  <c r="I76" i="32"/>
  <c r="I96" i="32"/>
  <c r="I170" i="32"/>
  <c r="I58" i="32"/>
  <c r="I84" i="32"/>
  <c r="I86" i="32"/>
  <c r="I180" i="32"/>
  <c r="I149" i="32"/>
  <c r="I50" i="32"/>
  <c r="I92" i="32"/>
  <c r="I166" i="32"/>
  <c r="I124" i="32"/>
  <c r="I70" i="32"/>
  <c r="I94" i="32"/>
  <c r="I184" i="32" l="1"/>
  <c r="C24" i="32" l="1"/>
  <c r="H22" i="31"/>
  <c r="G22" i="31"/>
  <c r="F22" i="31"/>
  <c r="E22" i="31"/>
  <c r="H23" i="31" l="1"/>
  <c r="E184" i="31"/>
  <c r="E23" i="31" s="1"/>
  <c r="D184" i="31"/>
  <c r="D23" i="31" s="1"/>
  <c r="G23" i="31"/>
  <c r="F184" i="31"/>
  <c r="F23" i="31" s="1"/>
  <c r="C23" i="31" l="1"/>
  <c r="C24" i="31" s="1"/>
  <c r="C32" i="31"/>
  <c r="C184" i="31"/>
  <c r="I82" i="31" s="1"/>
  <c r="I86" i="31" l="1"/>
  <c r="I122" i="31"/>
  <c r="I169" i="31"/>
  <c r="I177" i="31"/>
  <c r="I41" i="31"/>
  <c r="I40" i="31"/>
  <c r="I73" i="31"/>
  <c r="I85" i="31"/>
  <c r="I37" i="31"/>
  <c r="I69" i="31"/>
  <c r="I49" i="31"/>
  <c r="I43" i="31"/>
  <c r="I57" i="31"/>
  <c r="I91" i="31"/>
  <c r="I63" i="31"/>
  <c r="I92" i="31"/>
  <c r="I111" i="31"/>
  <c r="I145" i="31"/>
  <c r="I114" i="31"/>
  <c r="I144" i="31"/>
  <c r="I76" i="31"/>
  <c r="I128" i="31"/>
  <c r="I42" i="31"/>
  <c r="I182" i="31"/>
  <c r="I167" i="31"/>
  <c r="I173" i="31"/>
  <c r="I65" i="31"/>
  <c r="I48" i="31"/>
  <c r="I93" i="31"/>
  <c r="I107" i="31"/>
  <c r="I45" i="31"/>
  <c r="I81" i="31"/>
  <c r="I67" i="31"/>
  <c r="I95" i="31"/>
  <c r="I68" i="31"/>
  <c r="I100" i="31"/>
  <c r="I113" i="31"/>
  <c r="I152" i="31"/>
  <c r="I150" i="31"/>
  <c r="I50" i="31"/>
  <c r="I87" i="31"/>
  <c r="I136" i="31"/>
  <c r="I147" i="31"/>
  <c r="I153" i="31"/>
  <c r="I174" i="31"/>
  <c r="I179" i="31"/>
  <c r="I172" i="31"/>
  <c r="I71" i="31"/>
  <c r="I105" i="31"/>
  <c r="I101" i="31"/>
  <c r="I115" i="31"/>
  <c r="I53" i="31"/>
  <c r="I83" i="31"/>
  <c r="I51" i="31"/>
  <c r="I77" i="31"/>
  <c r="I97" i="31"/>
  <c r="I79" i="31"/>
  <c r="I103" i="31"/>
  <c r="I127" i="31"/>
  <c r="I171" i="31"/>
  <c r="I125" i="31"/>
  <c r="I60" i="31"/>
  <c r="I148" i="31"/>
  <c r="I155" i="31"/>
  <c r="I160" i="31"/>
  <c r="I181" i="31"/>
  <c r="I158" i="31"/>
  <c r="I137" i="31"/>
  <c r="I112" i="31"/>
  <c r="I61" i="31"/>
  <c r="I75" i="31"/>
  <c r="I35" i="31"/>
  <c r="I59" i="31"/>
  <c r="I109" i="31"/>
  <c r="I89" i="31"/>
  <c r="I99" i="31"/>
  <c r="I84" i="31"/>
  <c r="I108" i="31"/>
  <c r="I132" i="31"/>
  <c r="I176" i="31"/>
  <c r="I116" i="31"/>
  <c r="I156" i="31"/>
  <c r="I124" i="31"/>
  <c r="I162" i="31"/>
  <c r="I121" i="31"/>
  <c r="I161" i="31"/>
  <c r="I166" i="31"/>
  <c r="I117" i="31"/>
  <c r="I90" i="31"/>
  <c r="I126" i="31"/>
  <c r="I168" i="31"/>
  <c r="I36" i="31"/>
  <c r="I134" i="31"/>
  <c r="I157" i="31"/>
  <c r="I39" i="31"/>
  <c r="I46" i="31"/>
  <c r="I106" i="31"/>
  <c r="I141" i="31"/>
  <c r="I54" i="31"/>
  <c r="I118" i="31"/>
  <c r="I151" i="31"/>
  <c r="I159" i="31"/>
  <c r="I47" i="31"/>
  <c r="I64" i="31"/>
  <c r="I131" i="31"/>
  <c r="I135" i="31"/>
  <c r="I56" i="31"/>
  <c r="I38" i="31"/>
  <c r="I66" i="31"/>
  <c r="I120" i="31"/>
  <c r="I175" i="31"/>
  <c r="I55" i="31"/>
  <c r="I80" i="31"/>
  <c r="I139" i="31"/>
  <c r="I164" i="31"/>
  <c r="I88" i="31"/>
  <c r="I129" i="31"/>
  <c r="I133" i="31"/>
  <c r="I165" i="31"/>
  <c r="I62" i="31"/>
  <c r="I96" i="31"/>
  <c r="I142" i="31"/>
  <c r="I154" i="31"/>
  <c r="I70" i="31"/>
  <c r="I72" i="31"/>
  <c r="I98" i="31"/>
  <c r="I146" i="31"/>
  <c r="I180" i="31"/>
  <c r="I78" i="31"/>
  <c r="I44" i="31"/>
  <c r="I149" i="31"/>
  <c r="I178" i="31"/>
  <c r="I52" i="31"/>
  <c r="I140" i="31"/>
  <c r="I143" i="31"/>
  <c r="I34" i="31"/>
  <c r="I94" i="31"/>
  <c r="I58" i="31"/>
  <c r="I119" i="31"/>
  <c r="I170" i="31"/>
  <c r="I102" i="31"/>
  <c r="I104" i="31"/>
  <c r="I123" i="31"/>
  <c r="I138" i="31"/>
  <c r="I183" i="31"/>
  <c r="I110" i="31"/>
  <c r="I74" i="31"/>
  <c r="I130" i="31"/>
  <c r="I163" i="31"/>
  <c r="I184" i="31" l="1"/>
  <c r="AD22" i="12" l="1"/>
  <c r="AD21" i="12"/>
  <c r="L39" i="14" l="1"/>
  <c r="L35" i="14"/>
  <c r="L31" i="14"/>
  <c r="L27" i="14"/>
  <c r="L23" i="14"/>
  <c r="L33" i="14"/>
  <c r="L25" i="14"/>
  <c r="L36" i="14"/>
  <c r="L28" i="14"/>
  <c r="L20" i="14"/>
  <c r="L38" i="14"/>
  <c r="L34" i="14"/>
  <c r="L30" i="14"/>
  <c r="L26" i="14"/>
  <c r="L22" i="14"/>
  <c r="L37" i="14"/>
  <c r="L29" i="14"/>
  <c r="L21" i="14"/>
  <c r="L32" i="14"/>
  <c r="L24" i="14"/>
  <c r="BX79" i="2"/>
  <c r="BX81" i="2"/>
  <c r="BX86" i="2"/>
  <c r="BX87" i="2"/>
  <c r="H152" i="14" l="1"/>
  <c r="AM27" i="30" l="1"/>
  <c r="AN27" i="30"/>
  <c r="AR27" i="30" s="1"/>
  <c r="AM28" i="30"/>
  <c r="AN28" i="30"/>
  <c r="AR28" i="30" s="1"/>
  <c r="T25" i="30"/>
  <c r="X25" i="30" s="1"/>
  <c r="S25" i="30"/>
  <c r="D19" i="13" l="1"/>
  <c r="D18" i="13"/>
  <c r="D17" i="13"/>
  <c r="D16" i="13"/>
  <c r="D15" i="13"/>
  <c r="D40" i="11"/>
  <c r="D39" i="11"/>
  <c r="D38" i="11"/>
  <c r="D37" i="11"/>
  <c r="D36" i="11"/>
  <c r="D35" i="11"/>
  <c r="D34" i="11"/>
  <c r="D33" i="11"/>
  <c r="D32" i="11"/>
  <c r="D31" i="11"/>
  <c r="D30" i="11"/>
  <c r="D29" i="11"/>
  <c r="D28" i="11"/>
  <c r="D27" i="11"/>
  <c r="D26" i="11"/>
  <c r="C40" i="11"/>
  <c r="C39" i="11"/>
  <c r="C38" i="11"/>
  <c r="C37" i="11"/>
  <c r="C36" i="11"/>
  <c r="C35" i="11"/>
  <c r="C34" i="11"/>
  <c r="C33" i="11"/>
  <c r="C32" i="11"/>
  <c r="C31" i="11"/>
  <c r="C30" i="11"/>
  <c r="C29" i="11"/>
  <c r="C28" i="11"/>
  <c r="C27" i="11"/>
  <c r="C26" i="11"/>
  <c r="D25" i="11"/>
  <c r="C25" i="11"/>
  <c r="D24" i="11"/>
  <c r="C24" i="11"/>
  <c r="N40" i="30" l="1"/>
  <c r="T40" i="30" s="1"/>
  <c r="X40" i="30" s="1"/>
  <c r="AD40" i="30" s="1"/>
  <c r="AH40" i="30" s="1"/>
  <c r="AN40" i="30" s="1"/>
  <c r="AR40" i="30" s="1"/>
  <c r="AX40" i="30" s="1"/>
  <c r="BB40" i="30" s="1"/>
  <c r="BH40" i="30" s="1"/>
  <c r="BL40" i="30" s="1"/>
  <c r="BP40" i="30" s="1"/>
  <c r="BS40" i="30" s="1"/>
  <c r="I40" i="30"/>
  <c r="O40" i="30" s="1"/>
  <c r="S40" i="30" s="1"/>
  <c r="Y40" i="30" s="1"/>
  <c r="AC40" i="30" s="1"/>
  <c r="AI40" i="30" s="1"/>
  <c r="AM40" i="30" s="1"/>
  <c r="AS40" i="30" s="1"/>
  <c r="AW40" i="30" s="1"/>
  <c r="BC40" i="30" s="1"/>
  <c r="BG40" i="30" s="1"/>
  <c r="N39" i="30"/>
  <c r="T39" i="30" s="1"/>
  <c r="X39" i="30" s="1"/>
  <c r="AD39" i="30" s="1"/>
  <c r="AH39" i="30" s="1"/>
  <c r="AN39" i="30" s="1"/>
  <c r="AR39" i="30" s="1"/>
  <c r="AX39" i="30" s="1"/>
  <c r="BB39" i="30" s="1"/>
  <c r="BH39" i="30" s="1"/>
  <c r="BL39" i="30" s="1"/>
  <c r="BP39" i="30" s="1"/>
  <c r="BS39" i="30" s="1"/>
  <c r="I39" i="30"/>
  <c r="O39" i="30" s="1"/>
  <c r="S39" i="30" s="1"/>
  <c r="Y39" i="30" s="1"/>
  <c r="AC39" i="30" s="1"/>
  <c r="AI39" i="30" s="1"/>
  <c r="AM39" i="30" s="1"/>
  <c r="AS39" i="30" s="1"/>
  <c r="AW39" i="30" s="1"/>
  <c r="BC39" i="30" s="1"/>
  <c r="BG39" i="30" s="1"/>
  <c r="N38" i="30"/>
  <c r="T38" i="30" s="1"/>
  <c r="X38" i="30" s="1"/>
  <c r="AD38" i="30" s="1"/>
  <c r="AH38" i="30" s="1"/>
  <c r="AN38" i="30" s="1"/>
  <c r="AR38" i="30" s="1"/>
  <c r="AX38" i="30" s="1"/>
  <c r="BB38" i="30" s="1"/>
  <c r="BH38" i="30" s="1"/>
  <c r="BL38" i="30" s="1"/>
  <c r="BP38" i="30" s="1"/>
  <c r="BS38" i="30" s="1"/>
  <c r="I38" i="30"/>
  <c r="O38" i="30" s="1"/>
  <c r="S38" i="30" s="1"/>
  <c r="Y38" i="30" s="1"/>
  <c r="AC38" i="30" s="1"/>
  <c r="AI38" i="30" s="1"/>
  <c r="AM38" i="30" s="1"/>
  <c r="AS38" i="30" s="1"/>
  <c r="AW38" i="30" s="1"/>
  <c r="BC38" i="30" s="1"/>
  <c r="BG38" i="30" s="1"/>
  <c r="N37" i="30"/>
  <c r="T37" i="30" s="1"/>
  <c r="X37" i="30" s="1"/>
  <c r="AD37" i="30" s="1"/>
  <c r="AH37" i="30" s="1"/>
  <c r="AN37" i="30" s="1"/>
  <c r="AR37" i="30" s="1"/>
  <c r="AX37" i="30" s="1"/>
  <c r="BB37" i="30" s="1"/>
  <c r="BH37" i="30" s="1"/>
  <c r="BL37" i="30" s="1"/>
  <c r="BP37" i="30" s="1"/>
  <c r="BS37" i="30" s="1"/>
  <c r="I37" i="30"/>
  <c r="O37" i="30" s="1"/>
  <c r="S37" i="30" s="1"/>
  <c r="Y37" i="30" s="1"/>
  <c r="AC37" i="30" s="1"/>
  <c r="AI37" i="30" s="1"/>
  <c r="AM37" i="30" s="1"/>
  <c r="AS37" i="30" s="1"/>
  <c r="AW37" i="30" s="1"/>
  <c r="BC37" i="30" s="1"/>
  <c r="BG37" i="30" s="1"/>
  <c r="N36" i="30"/>
  <c r="T36" i="30" s="1"/>
  <c r="X36" i="30" s="1"/>
  <c r="AD36" i="30" s="1"/>
  <c r="AH36" i="30" s="1"/>
  <c r="AN36" i="30" s="1"/>
  <c r="AR36" i="30" s="1"/>
  <c r="AX36" i="30" s="1"/>
  <c r="BB36" i="30" s="1"/>
  <c r="BH36" i="30" s="1"/>
  <c r="BL36" i="30" s="1"/>
  <c r="BP36" i="30" s="1"/>
  <c r="BS36" i="30" s="1"/>
  <c r="I36" i="30"/>
  <c r="O36" i="30" s="1"/>
  <c r="S36" i="30" s="1"/>
  <c r="Y36" i="30" s="1"/>
  <c r="AC36" i="30" s="1"/>
  <c r="AI36" i="30" s="1"/>
  <c r="AM36" i="30" s="1"/>
  <c r="AS36" i="30" s="1"/>
  <c r="AW36" i="30" s="1"/>
  <c r="BC36" i="30" s="1"/>
  <c r="BG36" i="30" s="1"/>
  <c r="D14" i="13"/>
  <c r="N35" i="30"/>
  <c r="T35" i="30" s="1"/>
  <c r="X35" i="30" s="1"/>
  <c r="AD35" i="30" s="1"/>
  <c r="AH35" i="30" s="1"/>
  <c r="AN35" i="30" s="1"/>
  <c r="AR35" i="30" s="1"/>
  <c r="AX35" i="30" s="1"/>
  <c r="BB35" i="30" s="1"/>
  <c r="BH35" i="30" s="1"/>
  <c r="BL35" i="30" s="1"/>
  <c r="BP35" i="30" s="1"/>
  <c r="BS35" i="30" s="1"/>
  <c r="I35" i="30"/>
  <c r="O35" i="30" s="1"/>
  <c r="S35" i="30" s="1"/>
  <c r="Y35" i="30" s="1"/>
  <c r="AC35" i="30" s="1"/>
  <c r="AI35" i="30" s="1"/>
  <c r="AM35" i="30" s="1"/>
  <c r="AS35" i="30" s="1"/>
  <c r="AW35" i="30" s="1"/>
  <c r="BC35" i="30" s="1"/>
  <c r="BG35" i="30" s="1"/>
  <c r="D13" i="13"/>
  <c r="N34" i="30"/>
  <c r="I34" i="30"/>
  <c r="BT33" i="30"/>
  <c r="D12" i="13" s="1"/>
  <c r="N33" i="30"/>
  <c r="T33" i="30" s="1"/>
  <c r="X33" i="30" s="1"/>
  <c r="AD33" i="30" s="1"/>
  <c r="AH33" i="30" s="1"/>
  <c r="AN33" i="30" s="1"/>
  <c r="AR33" i="30" s="1"/>
  <c r="AX33" i="30" s="1"/>
  <c r="BB33" i="30" s="1"/>
  <c r="BH33" i="30" s="1"/>
  <c r="BL33" i="30" s="1"/>
  <c r="BP33" i="30" s="1"/>
  <c r="BS33" i="30" s="1"/>
  <c r="I33" i="30"/>
  <c r="O33" i="30" s="1"/>
  <c r="S33" i="30" s="1"/>
  <c r="Y33" i="30" s="1"/>
  <c r="AC33" i="30" s="1"/>
  <c r="AI33" i="30" s="1"/>
  <c r="AM33" i="30" s="1"/>
  <c r="AS33" i="30" s="1"/>
  <c r="AW33" i="30" s="1"/>
  <c r="BC33" i="30" s="1"/>
  <c r="BG33" i="30" s="1"/>
  <c r="N32" i="30"/>
  <c r="I32" i="30"/>
  <c r="N31" i="30"/>
  <c r="T31" i="30" s="1"/>
  <c r="X31" i="30" s="1"/>
  <c r="AD31" i="30" s="1"/>
  <c r="AH31" i="30" s="1"/>
  <c r="AN31" i="30" s="1"/>
  <c r="AR31" i="30" s="1"/>
  <c r="AX31" i="30" s="1"/>
  <c r="BB31" i="30" s="1"/>
  <c r="BH31" i="30" s="1"/>
  <c r="BL31" i="30" s="1"/>
  <c r="BP31" i="30" s="1"/>
  <c r="BS31" i="30" s="1"/>
  <c r="I31" i="30"/>
  <c r="O31" i="30" s="1"/>
  <c r="S31" i="30" s="1"/>
  <c r="Y31" i="30" s="1"/>
  <c r="AC31" i="30" s="1"/>
  <c r="AI31" i="30" s="1"/>
  <c r="AM31" i="30" s="1"/>
  <c r="AS31" i="30" s="1"/>
  <c r="AW31" i="30" s="1"/>
  <c r="BC31" i="30" s="1"/>
  <c r="BG31" i="30" s="1"/>
  <c r="N30" i="30"/>
  <c r="T30" i="30" s="1"/>
  <c r="X30" i="30" s="1"/>
  <c r="AD30" i="30" s="1"/>
  <c r="AH30" i="30" s="1"/>
  <c r="AN30" i="30" s="1"/>
  <c r="AR30" i="30" s="1"/>
  <c r="AX30" i="30" s="1"/>
  <c r="BB30" i="30" s="1"/>
  <c r="BH30" i="30" s="1"/>
  <c r="BL30" i="30" s="1"/>
  <c r="BP30" i="30" s="1"/>
  <c r="BS30" i="30" s="1"/>
  <c r="I30" i="30"/>
  <c r="O30" i="30" s="1"/>
  <c r="S30" i="30" s="1"/>
  <c r="Y30" i="30" s="1"/>
  <c r="AC30" i="30" s="1"/>
  <c r="AI30" i="30" s="1"/>
  <c r="AM30" i="30" s="1"/>
  <c r="AS30" i="30" s="1"/>
  <c r="AW30" i="30" s="1"/>
  <c r="BC30" i="30" s="1"/>
  <c r="BG30" i="30" s="1"/>
  <c r="N29" i="30"/>
  <c r="T29" i="30" s="1"/>
  <c r="X29" i="30" s="1"/>
  <c r="AD29" i="30" s="1"/>
  <c r="AH29" i="30" s="1"/>
  <c r="AN29" i="30" s="1"/>
  <c r="AR29" i="30" s="1"/>
  <c r="AX29" i="30" s="1"/>
  <c r="BB29" i="30" s="1"/>
  <c r="BH29" i="30" s="1"/>
  <c r="BL29" i="30" s="1"/>
  <c r="BP29" i="30" s="1"/>
  <c r="BS29" i="30" s="1"/>
  <c r="I29" i="30"/>
  <c r="O29" i="30" s="1"/>
  <c r="S29" i="30" s="1"/>
  <c r="Y29" i="30" s="1"/>
  <c r="AC29" i="30" s="1"/>
  <c r="AI29" i="30" s="1"/>
  <c r="AM29" i="30" s="1"/>
  <c r="AS29" i="30" s="1"/>
  <c r="AW29" i="30" s="1"/>
  <c r="BC29" i="30" s="1"/>
  <c r="BG29" i="30" s="1"/>
  <c r="AX28" i="30"/>
  <c r="BB28" i="30" s="1"/>
  <c r="BH28" i="30" s="1"/>
  <c r="BL28" i="30" s="1"/>
  <c r="BP28" i="30" s="1"/>
  <c r="BS28" i="30" s="1"/>
  <c r="AS28" i="30"/>
  <c r="AW28" i="30" s="1"/>
  <c r="BC28" i="30" s="1"/>
  <c r="BG28" i="30" s="1"/>
  <c r="AX27" i="30"/>
  <c r="BB27" i="30" s="1"/>
  <c r="BH27" i="30" s="1"/>
  <c r="BL27" i="30" s="1"/>
  <c r="BP27" i="30" s="1"/>
  <c r="BS27" i="30" s="1"/>
  <c r="AS27" i="30"/>
  <c r="N26" i="30"/>
  <c r="T26" i="30" s="1"/>
  <c r="X26" i="30" s="1"/>
  <c r="AD26" i="30" s="1"/>
  <c r="AH26" i="30" s="1"/>
  <c r="AN26" i="30" s="1"/>
  <c r="AR26" i="30" s="1"/>
  <c r="AX26" i="30" s="1"/>
  <c r="BB26" i="30" s="1"/>
  <c r="BH26" i="30" s="1"/>
  <c r="BL26" i="30" s="1"/>
  <c r="BP26" i="30" s="1"/>
  <c r="BS26" i="30" s="1"/>
  <c r="I26" i="30"/>
  <c r="AD25" i="30"/>
  <c r="AH25" i="30" s="1"/>
  <c r="AN25" i="30" s="1"/>
  <c r="AR25" i="30" s="1"/>
  <c r="AX25" i="30" s="1"/>
  <c r="BB25" i="30" s="1"/>
  <c r="BH25" i="30" s="1"/>
  <c r="BL25" i="30" s="1"/>
  <c r="BP25" i="30" s="1"/>
  <c r="BS25" i="30" s="1"/>
  <c r="Y25" i="30"/>
  <c r="AC25" i="30" s="1"/>
  <c r="AI25" i="30" s="1"/>
  <c r="AM25" i="30" s="1"/>
  <c r="AS25" i="30" s="1"/>
  <c r="AW25" i="30" s="1"/>
  <c r="BC25" i="30" s="1"/>
  <c r="BG25" i="30" s="1"/>
  <c r="N24" i="30"/>
  <c r="I24" i="30"/>
  <c r="N20" i="30"/>
  <c r="M20" i="30"/>
  <c r="L20" i="30"/>
  <c r="K20" i="30"/>
  <c r="J20" i="30"/>
  <c r="I20" i="30"/>
  <c r="G20" i="30"/>
  <c r="F20" i="30"/>
  <c r="E20" i="30"/>
  <c r="O19" i="30"/>
  <c r="O34" i="30" l="1"/>
  <c r="I43" i="30"/>
  <c r="I44" i="30" s="1"/>
  <c r="T34" i="30"/>
  <c r="N43" i="30"/>
  <c r="N44" i="30" s="1"/>
  <c r="AW27" i="30"/>
  <c r="N47" i="30"/>
  <c r="N49" i="30"/>
  <c r="O26" i="30"/>
  <c r="I49" i="30"/>
  <c r="I47" i="30"/>
  <c r="P20" i="30"/>
  <c r="W20" i="30"/>
  <c r="R20" i="30"/>
  <c r="O32" i="30"/>
  <c r="T20" i="30"/>
  <c r="X20" i="30"/>
  <c r="O24" i="30"/>
  <c r="Y19" i="30"/>
  <c r="BO28" i="30"/>
  <c r="BT28" i="30" s="1"/>
  <c r="BW28" i="30"/>
  <c r="BW36" i="30"/>
  <c r="BX36" i="30" s="1"/>
  <c r="BO36" i="30"/>
  <c r="BW25" i="30"/>
  <c r="BX25" i="30" s="1"/>
  <c r="BO25" i="30"/>
  <c r="BT25" i="30" s="1"/>
  <c r="BW29" i="30"/>
  <c r="BX29" i="30" s="1"/>
  <c r="BO29" i="30"/>
  <c r="BW31" i="30"/>
  <c r="BX31" i="30" s="1"/>
  <c r="BO31" i="30"/>
  <c r="BT31" i="30" s="1"/>
  <c r="BW33" i="30"/>
  <c r="BX33" i="30" s="1"/>
  <c r="BO33" i="30"/>
  <c r="BO35" i="30"/>
  <c r="BW35" i="30"/>
  <c r="BX35" i="30" s="1"/>
  <c r="BW37" i="30"/>
  <c r="BX37" i="30" s="1"/>
  <c r="BO37" i="30"/>
  <c r="BO40" i="30"/>
  <c r="BW40" i="30"/>
  <c r="BX40" i="30" s="1"/>
  <c r="BO39" i="30"/>
  <c r="BW39" i="30"/>
  <c r="BX39" i="30" s="1"/>
  <c r="BW30" i="30"/>
  <c r="BX30" i="30" s="1"/>
  <c r="BO30" i="30"/>
  <c r="BT30" i="30" s="1"/>
  <c r="BO38" i="30"/>
  <c r="BW38" i="30"/>
  <c r="BX38" i="30" s="1"/>
  <c r="Q20" i="30"/>
  <c r="U20" i="30"/>
  <c r="T24" i="30"/>
  <c r="V20" i="30"/>
  <c r="T32" i="30"/>
  <c r="O20" i="30"/>
  <c r="S20" i="30"/>
  <c r="X34" i="30" l="1"/>
  <c r="T43" i="30"/>
  <c r="T44" i="30" s="1"/>
  <c r="S34" i="30"/>
  <c r="O43" i="30"/>
  <c r="O44" i="30" s="1"/>
  <c r="BC27" i="30"/>
  <c r="N48" i="30"/>
  <c r="T49" i="30"/>
  <c r="T47" i="30"/>
  <c r="T48" i="30" s="1"/>
  <c r="S26" i="30"/>
  <c r="I48" i="30"/>
  <c r="O47" i="30"/>
  <c r="O49" i="30"/>
  <c r="S24" i="30"/>
  <c r="BT29" i="30"/>
  <c r="S32" i="30"/>
  <c r="S45" i="30" s="1"/>
  <c r="AB20" i="30"/>
  <c r="AG20" i="30"/>
  <c r="Z20" i="30"/>
  <c r="AH20" i="30"/>
  <c r="C28" i="32"/>
  <c r="C29" i="32" s="1"/>
  <c r="BX28" i="30"/>
  <c r="AC20" i="30"/>
  <c r="Y20" i="30"/>
  <c r="AA20" i="30"/>
  <c r="AD20" i="30"/>
  <c r="AE20" i="30"/>
  <c r="AF20" i="30"/>
  <c r="AI19" i="30"/>
  <c r="X32" i="30"/>
  <c r="X24" i="30"/>
  <c r="Y34" i="30" l="1"/>
  <c r="S43" i="30"/>
  <c r="S44" i="30" s="1"/>
  <c r="AD34" i="30"/>
  <c r="X43" i="30"/>
  <c r="X44" i="30" s="1"/>
  <c r="BG27" i="30"/>
  <c r="X49" i="30"/>
  <c r="X47" i="30"/>
  <c r="X48" i="30" s="1"/>
  <c r="Y26" i="30"/>
  <c r="Y32" i="30"/>
  <c r="Y45" i="30" s="1"/>
  <c r="S49" i="30"/>
  <c r="S47" i="30"/>
  <c r="O48" i="30"/>
  <c r="Y24" i="30"/>
  <c r="J145" i="32"/>
  <c r="K145" i="32" s="1"/>
  <c r="J143" i="32"/>
  <c r="K143" i="32" s="1"/>
  <c r="J44" i="32"/>
  <c r="K44" i="32" s="1"/>
  <c r="J183" i="32"/>
  <c r="K183" i="32" s="1"/>
  <c r="J100" i="32"/>
  <c r="K100" i="32" s="1"/>
  <c r="J178" i="32"/>
  <c r="K178" i="32" s="1"/>
  <c r="J89" i="32"/>
  <c r="K89" i="32" s="1"/>
  <c r="J74" i="32"/>
  <c r="K74" i="32" s="1"/>
  <c r="J76" i="32"/>
  <c r="K76" i="32" s="1"/>
  <c r="J119" i="32"/>
  <c r="K119" i="32" s="1"/>
  <c r="J149" i="32"/>
  <c r="K149" i="32" s="1"/>
  <c r="J64" i="32"/>
  <c r="K64" i="32" s="1"/>
  <c r="J136" i="32"/>
  <c r="K136" i="32" s="1"/>
  <c r="J67" i="32"/>
  <c r="K67" i="32" s="1"/>
  <c r="J36" i="32"/>
  <c r="K36" i="32" s="1"/>
  <c r="J95" i="32"/>
  <c r="K95" i="32" s="1"/>
  <c r="J91" i="32"/>
  <c r="K91" i="32" s="1"/>
  <c r="J179" i="32"/>
  <c r="K179" i="32" s="1"/>
  <c r="J158" i="32"/>
  <c r="K158" i="32" s="1"/>
  <c r="J96" i="32"/>
  <c r="K96" i="32" s="1"/>
  <c r="J60" i="32"/>
  <c r="K60" i="32" s="1"/>
  <c r="J101" i="32"/>
  <c r="K101" i="32" s="1"/>
  <c r="J161" i="32"/>
  <c r="K161" i="32" s="1"/>
  <c r="J115" i="32"/>
  <c r="K115" i="32" s="1"/>
  <c r="J147" i="32"/>
  <c r="K147" i="32" s="1"/>
  <c r="J135" i="32"/>
  <c r="K135" i="32" s="1"/>
  <c r="J170" i="32"/>
  <c r="K170" i="32" s="1"/>
  <c r="J173" i="32"/>
  <c r="K173" i="32" s="1"/>
  <c r="J123" i="32"/>
  <c r="K123" i="32" s="1"/>
  <c r="J140" i="32"/>
  <c r="K140" i="32" s="1"/>
  <c r="J73" i="32"/>
  <c r="K73" i="32" s="1"/>
  <c r="J94" i="32"/>
  <c r="K94" i="32" s="1"/>
  <c r="J127" i="32"/>
  <c r="K127" i="32" s="1"/>
  <c r="J75" i="32"/>
  <c r="K75" i="32" s="1"/>
  <c r="J35" i="32"/>
  <c r="K35" i="32" s="1"/>
  <c r="J109" i="32"/>
  <c r="K109" i="32" s="1"/>
  <c r="J49" i="32"/>
  <c r="K49" i="32" s="1"/>
  <c r="J39" i="32"/>
  <c r="K39" i="32" s="1"/>
  <c r="AL20" i="30"/>
  <c r="AQ20" i="30"/>
  <c r="J163" i="32"/>
  <c r="K163" i="32" s="1"/>
  <c r="J61" i="32"/>
  <c r="K61" i="32" s="1"/>
  <c r="J120" i="32"/>
  <c r="K120" i="32" s="1"/>
  <c r="J118" i="32"/>
  <c r="K118" i="32" s="1"/>
  <c r="J160" i="32"/>
  <c r="K160" i="32" s="1"/>
  <c r="J51" i="32"/>
  <c r="K51" i="32" s="1"/>
  <c r="J151" i="32"/>
  <c r="K151" i="32" s="1"/>
  <c r="J159" i="32"/>
  <c r="K159" i="32" s="1"/>
  <c r="J156" i="32"/>
  <c r="K156" i="32" s="1"/>
  <c r="J116" i="32"/>
  <c r="K116" i="32" s="1"/>
  <c r="J90" i="32"/>
  <c r="K90" i="32" s="1"/>
  <c r="J165" i="32"/>
  <c r="K165" i="32" s="1"/>
  <c r="J112" i="32"/>
  <c r="K112" i="32" s="1"/>
  <c r="J102" i="32"/>
  <c r="K102" i="32" s="1"/>
  <c r="J45" i="32"/>
  <c r="K45" i="32" s="1"/>
  <c r="J84" i="32"/>
  <c r="K84" i="32" s="1"/>
  <c r="J50" i="32"/>
  <c r="K50" i="32" s="1"/>
  <c r="J37" i="32"/>
  <c r="K37" i="32" s="1"/>
  <c r="J87" i="32"/>
  <c r="K87" i="32" s="1"/>
  <c r="J63" i="32"/>
  <c r="K63" i="32" s="1"/>
  <c r="J128" i="32"/>
  <c r="K128" i="32" s="1"/>
  <c r="J77" i="32"/>
  <c r="K77" i="32" s="1"/>
  <c r="J40" i="32"/>
  <c r="K40" i="32" s="1"/>
  <c r="J34" i="32"/>
  <c r="K34" i="32" s="1"/>
  <c r="J164" i="32"/>
  <c r="K164" i="32" s="1"/>
  <c r="J157" i="32"/>
  <c r="K157" i="32" s="1"/>
  <c r="J144" i="32"/>
  <c r="K144" i="32" s="1"/>
  <c r="J150" i="32"/>
  <c r="K150" i="32" s="1"/>
  <c r="J108" i="32"/>
  <c r="K108" i="32" s="1"/>
  <c r="J169" i="32"/>
  <c r="K169" i="32" s="1"/>
  <c r="J166" i="32"/>
  <c r="K166" i="32" s="1"/>
  <c r="J110" i="32"/>
  <c r="K110" i="32" s="1"/>
  <c r="J69" i="32"/>
  <c r="K69" i="32" s="1"/>
  <c r="J57" i="32"/>
  <c r="K57" i="32" s="1"/>
  <c r="J168" i="32"/>
  <c r="K168" i="32" s="1"/>
  <c r="J79" i="32"/>
  <c r="K79" i="32" s="1"/>
  <c r="J93" i="32"/>
  <c r="K93" i="32" s="1"/>
  <c r="J142" i="32"/>
  <c r="K142" i="32" s="1"/>
  <c r="J42" i="32"/>
  <c r="K42" i="32" s="1"/>
  <c r="J103" i="32"/>
  <c r="K103" i="32" s="1"/>
  <c r="J176" i="32"/>
  <c r="K176" i="32" s="1"/>
  <c r="J59" i="32"/>
  <c r="K59" i="32" s="1"/>
  <c r="J85" i="32"/>
  <c r="K85" i="32" s="1"/>
  <c r="J153" i="32"/>
  <c r="K153" i="32" s="1"/>
  <c r="J72" i="32"/>
  <c r="K72" i="32" s="1"/>
  <c r="J65" i="32"/>
  <c r="K65" i="32" s="1"/>
  <c r="J146" i="32"/>
  <c r="K146" i="32" s="1"/>
  <c r="J181" i="32"/>
  <c r="K181" i="32" s="1"/>
  <c r="J66" i="32"/>
  <c r="K66" i="32" s="1"/>
  <c r="J174" i="32"/>
  <c r="K174" i="32" s="1"/>
  <c r="J130" i="32"/>
  <c r="K130" i="32" s="1"/>
  <c r="J80" i="32"/>
  <c r="K80" i="32" s="1"/>
  <c r="J137" i="32"/>
  <c r="K137" i="32" s="1"/>
  <c r="J132" i="32"/>
  <c r="K132" i="32" s="1"/>
  <c r="J141" i="32"/>
  <c r="K141" i="32" s="1"/>
  <c r="J180" i="32"/>
  <c r="K180" i="32" s="1"/>
  <c r="J138" i="32"/>
  <c r="K138" i="32" s="1"/>
  <c r="J139" i="32"/>
  <c r="K139" i="32" s="1"/>
  <c r="J105" i="32"/>
  <c r="K105" i="32" s="1"/>
  <c r="J53" i="32"/>
  <c r="K53" i="32" s="1"/>
  <c r="J47" i="32"/>
  <c r="K47" i="32" s="1"/>
  <c r="J48" i="32"/>
  <c r="K48" i="32" s="1"/>
  <c r="J106" i="32"/>
  <c r="K106" i="32" s="1"/>
  <c r="J152" i="32"/>
  <c r="K152" i="32" s="1"/>
  <c r="J99" i="32"/>
  <c r="K99" i="32" s="1"/>
  <c r="J88" i="32"/>
  <c r="K88" i="32" s="1"/>
  <c r="J41" i="32"/>
  <c r="K41" i="32" s="1"/>
  <c r="J58" i="32"/>
  <c r="K58" i="32" s="1"/>
  <c r="J177" i="32"/>
  <c r="K177" i="32" s="1"/>
  <c r="J78" i="32"/>
  <c r="K78" i="32" s="1"/>
  <c r="J62" i="32"/>
  <c r="K62" i="32" s="1"/>
  <c r="J171" i="32"/>
  <c r="K171" i="32" s="1"/>
  <c r="J155" i="32"/>
  <c r="K155" i="32" s="1"/>
  <c r="J126" i="32"/>
  <c r="K126" i="32" s="1"/>
  <c r="J38" i="32"/>
  <c r="K38" i="32" s="1"/>
  <c r="J122" i="32"/>
  <c r="K122" i="32" s="1"/>
  <c r="J111" i="32"/>
  <c r="K111" i="32" s="1"/>
  <c r="J124" i="32"/>
  <c r="K124" i="32" s="1"/>
  <c r="J68" i="32"/>
  <c r="K68" i="32" s="1"/>
  <c r="J121" i="32"/>
  <c r="K121" i="32" s="1"/>
  <c r="J134" i="32"/>
  <c r="K134" i="32" s="1"/>
  <c r="J98" i="32"/>
  <c r="K98" i="32" s="1"/>
  <c r="J148" i="32"/>
  <c r="K148" i="32" s="1"/>
  <c r="J52" i="32"/>
  <c r="K52" i="32" s="1"/>
  <c r="J86" i="32"/>
  <c r="K86" i="32" s="1"/>
  <c r="J131" i="32"/>
  <c r="K131" i="32" s="1"/>
  <c r="J167" i="32"/>
  <c r="K167" i="32" s="1"/>
  <c r="J46" i="32"/>
  <c r="K46" i="32" s="1"/>
  <c r="J182" i="32"/>
  <c r="K182" i="32" s="1"/>
  <c r="J162" i="32"/>
  <c r="K162" i="32" s="1"/>
  <c r="J92" i="32"/>
  <c r="K92" i="32" s="1"/>
  <c r="J56" i="32"/>
  <c r="K56" i="32" s="1"/>
  <c r="J70" i="32"/>
  <c r="K70" i="32" s="1"/>
  <c r="J129" i="32"/>
  <c r="K129" i="32" s="1"/>
  <c r="J175" i="32"/>
  <c r="K175" i="32" s="1"/>
  <c r="J107" i="32"/>
  <c r="K107" i="32" s="1"/>
  <c r="J104" i="32"/>
  <c r="K104" i="32" s="1"/>
  <c r="J114" i="32"/>
  <c r="K114" i="32" s="1"/>
  <c r="J125" i="32"/>
  <c r="K125" i="32" s="1"/>
  <c r="J81" i="32"/>
  <c r="K81" i="32" s="1"/>
  <c r="J97" i="32"/>
  <c r="K97" i="32" s="1"/>
  <c r="J71" i="32"/>
  <c r="K71" i="32" s="1"/>
  <c r="J154" i="32"/>
  <c r="K154" i="32" s="1"/>
  <c r="J133" i="32"/>
  <c r="K133" i="32" s="1"/>
  <c r="J117" i="32"/>
  <c r="K117" i="32" s="1"/>
  <c r="J82" i="32"/>
  <c r="K82" i="32" s="1"/>
  <c r="J172" i="32"/>
  <c r="K172" i="32" s="1"/>
  <c r="J43" i="32"/>
  <c r="K43" i="32" s="1"/>
  <c r="J113" i="32"/>
  <c r="K113" i="32" s="1"/>
  <c r="J83" i="32"/>
  <c r="K83" i="32" s="1"/>
  <c r="J54" i="32"/>
  <c r="K54" i="32" s="1"/>
  <c r="J55" i="32"/>
  <c r="K55" i="32" s="1"/>
  <c r="AJ20" i="30"/>
  <c r="AO20" i="30"/>
  <c r="AP20" i="30"/>
  <c r="AI20" i="30"/>
  <c r="AK20" i="30"/>
  <c r="AS19" i="30"/>
  <c r="AR20" i="30"/>
  <c r="AM20" i="30"/>
  <c r="AN20" i="30"/>
  <c r="AD24" i="30"/>
  <c r="AD32" i="30"/>
  <c r="C45" i="2"/>
  <c r="AH34" i="30" l="1"/>
  <c r="AD43" i="30"/>
  <c r="AD44" i="30" s="1"/>
  <c r="AC34" i="30"/>
  <c r="Y43" i="30"/>
  <c r="Y44" i="30" s="1"/>
  <c r="BO27" i="30"/>
  <c r="BW27" i="30"/>
  <c r="BX27" i="30" s="1"/>
  <c r="AC32" i="30"/>
  <c r="AC45" i="30" s="1"/>
  <c r="AD49" i="30"/>
  <c r="AD47" i="30"/>
  <c r="AD48" i="30" s="1"/>
  <c r="Y49" i="30"/>
  <c r="AC26" i="30"/>
  <c r="Y47" i="30"/>
  <c r="S48" i="30"/>
  <c r="AC24" i="30"/>
  <c r="J184" i="32"/>
  <c r="K184" i="32"/>
  <c r="AV20" i="30"/>
  <c r="BA20" i="30"/>
  <c r="AZ20" i="30"/>
  <c r="BC19" i="30"/>
  <c r="BB20" i="30"/>
  <c r="AS20" i="30"/>
  <c r="AY20" i="30"/>
  <c r="AX20" i="30"/>
  <c r="AW20" i="30"/>
  <c r="AU20" i="30"/>
  <c r="AT20" i="30"/>
  <c r="AH24" i="30"/>
  <c r="AH32" i="30"/>
  <c r="AC49" i="30" l="1"/>
  <c r="AI32" i="30"/>
  <c r="AI45" i="30" s="1"/>
  <c r="AC47" i="30"/>
  <c r="AN34" i="30"/>
  <c r="AH43" i="30"/>
  <c r="AH44" i="30" s="1"/>
  <c r="AI34" i="30"/>
  <c r="AC43" i="30"/>
  <c r="AC44" i="30" s="1"/>
  <c r="AH49" i="30"/>
  <c r="AH47" i="30"/>
  <c r="AH48" i="30" s="1"/>
  <c r="Y48" i="30"/>
  <c r="AI26" i="30"/>
  <c r="AI49" i="30"/>
  <c r="AI24" i="30"/>
  <c r="BK20" i="30"/>
  <c r="BD20" i="30"/>
  <c r="BF20" i="30"/>
  <c r="BC20" i="30"/>
  <c r="BH20" i="30"/>
  <c r="BQ19" i="30"/>
  <c r="BV20" i="30"/>
  <c r="BM19" i="30"/>
  <c r="BJ20" i="30"/>
  <c r="BI20" i="30"/>
  <c r="BL20" i="30"/>
  <c r="BW20" i="30"/>
  <c r="BE20" i="30"/>
  <c r="BG20" i="30"/>
  <c r="AM32" i="30"/>
  <c r="AM45" i="30" s="1"/>
  <c r="AN32" i="30"/>
  <c r="AN24" i="30"/>
  <c r="N50" i="2"/>
  <c r="I50" i="2"/>
  <c r="AC48" i="30" l="1"/>
  <c r="AM34" i="30"/>
  <c r="AI43" i="30"/>
  <c r="AI44" i="30" s="1"/>
  <c r="AI47" i="30"/>
  <c r="AR34" i="30"/>
  <c r="AN43" i="30"/>
  <c r="AN44" i="30" s="1"/>
  <c r="AI48" i="30"/>
  <c r="AN49" i="30"/>
  <c r="AN47" i="30"/>
  <c r="AM26" i="30"/>
  <c r="AM49" i="30"/>
  <c r="AM24" i="30"/>
  <c r="BR20" i="30"/>
  <c r="BQ20" i="30"/>
  <c r="BO20" i="30"/>
  <c r="BM20" i="30"/>
  <c r="BN20" i="30"/>
  <c r="BP20" i="30"/>
  <c r="AR32" i="30"/>
  <c r="AR24" i="30"/>
  <c r="AS32" i="30"/>
  <c r="AS45" i="30" s="1"/>
  <c r="H91" i="14"/>
  <c r="H90" i="14"/>
  <c r="H89" i="14"/>
  <c r="H88" i="14"/>
  <c r="H87" i="14"/>
  <c r="H86" i="14"/>
  <c r="H85" i="14"/>
  <c r="H84" i="14"/>
  <c r="H83" i="14"/>
  <c r="H82" i="14"/>
  <c r="H81" i="14"/>
  <c r="H80" i="14"/>
  <c r="H79" i="14"/>
  <c r="H78" i="14"/>
  <c r="H77" i="14"/>
  <c r="H76" i="14"/>
  <c r="H75" i="14"/>
  <c r="H74" i="14"/>
  <c r="H73" i="14"/>
  <c r="H72" i="14"/>
  <c r="B72" i="14"/>
  <c r="AM47" i="30" l="1"/>
  <c r="AM48" i="30" s="1"/>
  <c r="AX34" i="30"/>
  <c r="AR43" i="30"/>
  <c r="AR44" i="30" s="1"/>
  <c r="AS34" i="30"/>
  <c r="AM43" i="30"/>
  <c r="AM44" i="30" s="1"/>
  <c r="AN48" i="30"/>
  <c r="AR49" i="30"/>
  <c r="AR47" i="30"/>
  <c r="AS26" i="30"/>
  <c r="AS49" i="30"/>
  <c r="AS24" i="30"/>
  <c r="AX24" i="30"/>
  <c r="AX32" i="30"/>
  <c r="AW32" i="30"/>
  <c r="AW45" i="30" s="1"/>
  <c r="AN105" i="2"/>
  <c r="AR105" i="2" s="1"/>
  <c r="AX105" i="2" s="1"/>
  <c r="BB105" i="2" s="1"/>
  <c r="AI105" i="2"/>
  <c r="AM105" i="2" s="1"/>
  <c r="AS105" i="2" s="1"/>
  <c r="AW105" i="2" s="1"/>
  <c r="AX28" i="2"/>
  <c r="BB28" i="2" s="1"/>
  <c r="BH28" i="2" s="1"/>
  <c r="AX27" i="2"/>
  <c r="BB27" i="2" s="1"/>
  <c r="BH27" i="2" s="1"/>
  <c r="AS28" i="2"/>
  <c r="AW28" i="2" s="1"/>
  <c r="BC28" i="2" s="1"/>
  <c r="AS27" i="2"/>
  <c r="AW27" i="2" s="1"/>
  <c r="BC27" i="2" s="1"/>
  <c r="AD25" i="2"/>
  <c r="AH25" i="2" s="1"/>
  <c r="Y25" i="2"/>
  <c r="AC25" i="2" s="1"/>
  <c r="AI25" i="2" s="1"/>
  <c r="O108" i="2"/>
  <c r="S108" i="2" s="1"/>
  <c r="AS47" i="30" l="1"/>
  <c r="AW34" i="30"/>
  <c r="AS43" i="30"/>
  <c r="AS44" i="30" s="1"/>
  <c r="BB34" i="30"/>
  <c r="AX43" i="30"/>
  <c r="AX44" i="30" s="1"/>
  <c r="AX49" i="30"/>
  <c r="AX47" i="30"/>
  <c r="AX48" i="30" s="1"/>
  <c r="AR48" i="30"/>
  <c r="AS48" i="30"/>
  <c r="AW26" i="30"/>
  <c r="AW49" i="30"/>
  <c r="AW24" i="30"/>
  <c r="BC32" i="30"/>
  <c r="BC45" i="30" s="1"/>
  <c r="BB32" i="30"/>
  <c r="BB24" i="30"/>
  <c r="S21" i="12"/>
  <c r="S22" i="12"/>
  <c r="S23" i="12"/>
  <c r="S27" i="12"/>
  <c r="S28" i="12"/>
  <c r="S29" i="12"/>
  <c r="S30" i="12"/>
  <c r="S31" i="12"/>
  <c r="S32" i="12"/>
  <c r="S33" i="12"/>
  <c r="S34" i="12"/>
  <c r="S35" i="12"/>
  <c r="S36" i="12"/>
  <c r="S37" i="12"/>
  <c r="S38" i="12"/>
  <c r="S39" i="12"/>
  <c r="S40" i="12"/>
  <c r="BC34" i="30" l="1"/>
  <c r="AW43" i="30"/>
  <c r="AW44" i="30" s="1"/>
  <c r="BH34" i="30"/>
  <c r="BB43" i="30"/>
  <c r="BB44" i="30" s="1"/>
  <c r="AW47" i="30"/>
  <c r="AW48" i="30" s="1"/>
  <c r="BB49" i="30"/>
  <c r="BB47" i="30"/>
  <c r="BB48" i="30" s="1"/>
  <c r="BC26" i="30"/>
  <c r="BC49" i="30"/>
  <c r="BC24" i="30"/>
  <c r="BH24" i="30"/>
  <c r="BG32" i="30"/>
  <c r="BG45" i="30" s="1"/>
  <c r="BH32" i="30"/>
  <c r="Z41" i="12"/>
  <c r="AB41" i="12"/>
  <c r="BG34" i="30" l="1"/>
  <c r="BC43" i="30"/>
  <c r="BC44" i="30" s="1"/>
  <c r="BL34" i="30"/>
  <c r="BH43" i="30"/>
  <c r="BH44" i="30" s="1"/>
  <c r="BC47" i="30"/>
  <c r="BC48" i="30" s="1"/>
  <c r="BH49" i="30"/>
  <c r="BH47" i="30"/>
  <c r="BH48" i="30" s="1"/>
  <c r="BG26" i="30"/>
  <c r="BG49" i="30"/>
  <c r="BG24" i="30"/>
  <c r="BO32" i="30"/>
  <c r="BO45" i="30" s="1"/>
  <c r="BL32" i="30"/>
  <c r="BL24" i="30"/>
  <c r="D81" i="14"/>
  <c r="D82" i="14"/>
  <c r="D83" i="14"/>
  <c r="D84" i="14"/>
  <c r="D85" i="14"/>
  <c r="D86" i="14"/>
  <c r="D87" i="14"/>
  <c r="D88" i="14"/>
  <c r="D89" i="14"/>
  <c r="D90" i="14"/>
  <c r="D91" i="14"/>
  <c r="BG47" i="30" l="1"/>
  <c r="BG48" i="30" s="1"/>
  <c r="BP34" i="30"/>
  <c r="BL43" i="30"/>
  <c r="BL44" i="30" s="1"/>
  <c r="BG43" i="30"/>
  <c r="BG44" i="30" s="1"/>
  <c r="BO34" i="30"/>
  <c r="BW34" i="30"/>
  <c r="BX34" i="30" s="1"/>
  <c r="BW32" i="30"/>
  <c r="BX32" i="30" s="1"/>
  <c r="BL49" i="30"/>
  <c r="BL47" i="30"/>
  <c r="BL48" i="30" s="1"/>
  <c r="BO26" i="30"/>
  <c r="BW26" i="30"/>
  <c r="BX26" i="30" s="1"/>
  <c r="BO49" i="30"/>
  <c r="BO24" i="30"/>
  <c r="BP24" i="30"/>
  <c r="BW24" i="30"/>
  <c r="BX24" i="30" s="1"/>
  <c r="BP32" i="30"/>
  <c r="BO43" i="30" l="1"/>
  <c r="BO44" i="30" s="1"/>
  <c r="BO47" i="30"/>
  <c r="BO48" i="30" s="1"/>
  <c r="BS34" i="30"/>
  <c r="BS43" i="30" s="1"/>
  <c r="BS44" i="30" s="1"/>
  <c r="BP43" i="30"/>
  <c r="BP44" i="30" s="1"/>
  <c r="BP49" i="30"/>
  <c r="BP47" i="30"/>
  <c r="BP48" i="30" s="1"/>
  <c r="BT26" i="30"/>
  <c r="BT32" i="30"/>
  <c r="BT45" i="30" s="1"/>
  <c r="BS32" i="30"/>
  <c r="BS24" i="30"/>
  <c r="BT24" i="30"/>
  <c r="C47" i="11"/>
  <c r="C48" i="11"/>
  <c r="C49" i="11"/>
  <c r="C50" i="11"/>
  <c r="C51" i="11"/>
  <c r="C52" i="11"/>
  <c r="C53" i="11"/>
  <c r="C54" i="11"/>
  <c r="C55" i="11"/>
  <c r="C56" i="11"/>
  <c r="C57" i="11"/>
  <c r="C58" i="11"/>
  <c r="C59" i="11"/>
  <c r="C60" i="11"/>
  <c r="C61" i="11"/>
  <c r="C62" i="11"/>
  <c r="C63" i="11"/>
  <c r="C64" i="11"/>
  <c r="C65" i="11"/>
  <c r="C66" i="11"/>
  <c r="C67" i="11"/>
  <c r="C68" i="11"/>
  <c r="C69" i="11"/>
  <c r="C70" i="11"/>
  <c r="D70" i="11"/>
  <c r="C71" i="11"/>
  <c r="D71" i="11"/>
  <c r="C72" i="11"/>
  <c r="D72" i="11"/>
  <c r="C73" i="11"/>
  <c r="D73" i="11"/>
  <c r="C74" i="11"/>
  <c r="D74" i="11"/>
  <c r="C75" i="11"/>
  <c r="D75" i="11"/>
  <c r="C76" i="11"/>
  <c r="D76" i="11"/>
  <c r="C77" i="11"/>
  <c r="D77" i="11"/>
  <c r="C78" i="11"/>
  <c r="D78" i="11"/>
  <c r="C79" i="11"/>
  <c r="D79" i="11"/>
  <c r="C80" i="11"/>
  <c r="D80" i="11"/>
  <c r="C81" i="11"/>
  <c r="D81" i="11"/>
  <c r="C82" i="11"/>
  <c r="D82" i="11"/>
  <c r="C83" i="11"/>
  <c r="D83" i="11"/>
  <c r="C84" i="11"/>
  <c r="D84" i="11"/>
  <c r="C85" i="11"/>
  <c r="D85" i="11"/>
  <c r="C86" i="11"/>
  <c r="D86" i="11"/>
  <c r="C87" i="11"/>
  <c r="D87" i="11"/>
  <c r="C89" i="11"/>
  <c r="D89" i="11"/>
  <c r="AA43" i="2"/>
  <c r="AB43" i="2"/>
  <c r="AE43" i="2"/>
  <c r="AF43" i="2"/>
  <c r="AG43" i="2"/>
  <c r="Z43" i="2"/>
  <c r="Q43" i="2"/>
  <c r="R43" i="2"/>
  <c r="U43" i="2"/>
  <c r="V43" i="2"/>
  <c r="W43" i="2"/>
  <c r="P43" i="2"/>
  <c r="F43" i="2"/>
  <c r="G43" i="2"/>
  <c r="H43" i="2"/>
  <c r="J43" i="2"/>
  <c r="K43" i="2"/>
  <c r="L43" i="2"/>
  <c r="M43" i="2"/>
  <c r="E43" i="2"/>
  <c r="N41" i="12"/>
  <c r="BT43" i="30" l="1"/>
  <c r="BT44" i="30" s="1"/>
  <c r="BS49" i="30"/>
  <c r="BS47" i="30"/>
  <c r="BS48" i="30" s="1"/>
  <c r="C28" i="31"/>
  <c r="C29" i="31" s="1"/>
  <c r="J115" i="31" l="1"/>
  <c r="K115" i="31" s="1"/>
  <c r="J42" i="31"/>
  <c r="K42" i="31" s="1"/>
  <c r="J131" i="31"/>
  <c r="K131" i="31" s="1"/>
  <c r="J116" i="31"/>
  <c r="K116" i="31" s="1"/>
  <c r="J168" i="31"/>
  <c r="K168" i="31" s="1"/>
  <c r="J103" i="31"/>
  <c r="K103" i="31" s="1"/>
  <c r="J100" i="31"/>
  <c r="K100" i="31" s="1"/>
  <c r="J107" i="31"/>
  <c r="K107" i="31" s="1"/>
  <c r="J111" i="31"/>
  <c r="K111" i="31" s="1"/>
  <c r="J49" i="31"/>
  <c r="K49" i="31" s="1"/>
  <c r="J67" i="31"/>
  <c r="K67" i="31" s="1"/>
  <c r="J109" i="31"/>
  <c r="K109" i="31" s="1"/>
  <c r="J83" i="31"/>
  <c r="K83" i="31" s="1"/>
  <c r="J55" i="31"/>
  <c r="K55" i="31" s="1"/>
  <c r="J106" i="31"/>
  <c r="K106" i="31" s="1"/>
  <c r="J157" i="31"/>
  <c r="K157" i="31" s="1"/>
  <c r="J39" i="31"/>
  <c r="K39" i="31" s="1"/>
  <c r="J47" i="31"/>
  <c r="K47" i="31" s="1"/>
  <c r="J56" i="31"/>
  <c r="K56" i="31" s="1"/>
  <c r="J145" i="31"/>
  <c r="K145" i="31" s="1"/>
  <c r="J82" i="31"/>
  <c r="K82" i="31" s="1"/>
  <c r="J163" i="31"/>
  <c r="K163" i="31" s="1"/>
  <c r="J97" i="31"/>
  <c r="K97" i="31" s="1"/>
  <c r="J156" i="31"/>
  <c r="K156" i="31" s="1"/>
  <c r="J84" i="31"/>
  <c r="K84" i="31" s="1"/>
  <c r="J183" i="31"/>
  <c r="K183" i="31" s="1"/>
  <c r="J45" i="31"/>
  <c r="K45" i="31" s="1"/>
  <c r="J80" i="31"/>
  <c r="K80" i="31" s="1"/>
  <c r="J37" i="31"/>
  <c r="K37" i="31" s="1"/>
  <c r="J104" i="31"/>
  <c r="K104" i="31" s="1"/>
  <c r="J173" i="31"/>
  <c r="K173" i="31" s="1"/>
  <c r="J40" i="31"/>
  <c r="K40" i="31" s="1"/>
  <c r="J66" i="31"/>
  <c r="K66" i="31" s="1"/>
  <c r="J76" i="31"/>
  <c r="K76" i="31" s="1"/>
  <c r="J58" i="31"/>
  <c r="K58" i="31" s="1"/>
  <c r="J175" i="31"/>
  <c r="K175" i="31" s="1"/>
  <c r="J110" i="31"/>
  <c r="K110" i="31" s="1"/>
  <c r="J62" i="31"/>
  <c r="K62" i="31" s="1"/>
  <c r="J147" i="31"/>
  <c r="K147" i="31" s="1"/>
  <c r="J154" i="31"/>
  <c r="K154" i="31" s="1"/>
  <c r="J112" i="31"/>
  <c r="K112" i="31" s="1"/>
  <c r="J134" i="31"/>
  <c r="K134" i="31" s="1"/>
  <c r="J36" i="31"/>
  <c r="K36" i="31" s="1"/>
  <c r="J35" i="31"/>
  <c r="K35" i="31" s="1"/>
  <c r="J150" i="31"/>
  <c r="K150" i="31" s="1"/>
  <c r="J60" i="31"/>
  <c r="K60" i="31" s="1"/>
  <c r="J43" i="31"/>
  <c r="K43" i="31" s="1"/>
  <c r="J144" i="31"/>
  <c r="K144" i="31" s="1"/>
  <c r="J96" i="31"/>
  <c r="K96" i="31" s="1"/>
  <c r="J61" i="31"/>
  <c r="K61" i="31" s="1"/>
  <c r="J87" i="31"/>
  <c r="K87" i="31" s="1"/>
  <c r="J50" i="31"/>
  <c r="K50" i="31" s="1"/>
  <c r="J105" i="31"/>
  <c r="K105" i="31" s="1"/>
  <c r="J166" i="31"/>
  <c r="K166" i="31" s="1"/>
  <c r="J93" i="31"/>
  <c r="K93" i="31" s="1"/>
  <c r="J172" i="31"/>
  <c r="K172" i="31" s="1"/>
  <c r="J129" i="31"/>
  <c r="K129" i="31" s="1"/>
  <c r="J71" i="31"/>
  <c r="K71" i="31" s="1"/>
  <c r="J86" i="31"/>
  <c r="K86" i="31" s="1"/>
  <c r="J69" i="31"/>
  <c r="K69" i="31" s="1"/>
  <c r="J88" i="31"/>
  <c r="K88" i="31" s="1"/>
  <c r="J41" i="31"/>
  <c r="K41" i="31" s="1"/>
  <c r="J142" i="31"/>
  <c r="K142" i="31" s="1"/>
  <c r="J108" i="31"/>
  <c r="K108" i="31" s="1"/>
  <c r="J102" i="31"/>
  <c r="K102" i="31" s="1"/>
  <c r="J164" i="31"/>
  <c r="K164" i="31" s="1"/>
  <c r="J91" i="31"/>
  <c r="K91" i="31" s="1"/>
  <c r="J149" i="31"/>
  <c r="K149" i="31" s="1"/>
  <c r="J65" i="31"/>
  <c r="K65" i="31" s="1"/>
  <c r="J165" i="31"/>
  <c r="K165" i="31" s="1"/>
  <c r="J51" i="31"/>
  <c r="K51" i="31" s="1"/>
  <c r="J63" i="31"/>
  <c r="K63" i="31" s="1"/>
  <c r="J118" i="31"/>
  <c r="K118" i="31" s="1"/>
  <c r="J133" i="31"/>
  <c r="K133" i="31" s="1"/>
  <c r="J98" i="31"/>
  <c r="K98" i="31" s="1"/>
  <c r="J77" i="31"/>
  <c r="K77" i="31" s="1"/>
  <c r="J64" i="31"/>
  <c r="K64" i="31" s="1"/>
  <c r="J152" i="31"/>
  <c r="K152" i="31" s="1"/>
  <c r="J169" i="31"/>
  <c r="K169" i="31" s="1"/>
  <c r="J127" i="31"/>
  <c r="K127" i="31" s="1"/>
  <c r="J89" i="31"/>
  <c r="K89" i="31" s="1"/>
  <c r="J74" i="31"/>
  <c r="K74" i="31" s="1"/>
  <c r="J85" i="31"/>
  <c r="K85" i="31" s="1"/>
  <c r="J143" i="31"/>
  <c r="K143" i="31" s="1"/>
  <c r="J132" i="31"/>
  <c r="K132" i="31" s="1"/>
  <c r="J120" i="31"/>
  <c r="K120" i="31" s="1"/>
  <c r="J151" i="31"/>
  <c r="K151" i="31" s="1"/>
  <c r="J46" i="31"/>
  <c r="K46" i="31" s="1"/>
  <c r="J137" i="31"/>
  <c r="K137" i="31" s="1"/>
  <c r="J101" i="31"/>
  <c r="K101" i="31" s="1"/>
  <c r="J75" i="31"/>
  <c r="K75" i="31" s="1"/>
  <c r="J153" i="31"/>
  <c r="K153" i="31" s="1"/>
  <c r="J155" i="31"/>
  <c r="K155" i="31" s="1"/>
  <c r="J124" i="31"/>
  <c r="K124" i="31" s="1"/>
  <c r="J59" i="31"/>
  <c r="K59" i="31" s="1"/>
  <c r="J54" i="31"/>
  <c r="K54" i="31" s="1"/>
  <c r="J113" i="31"/>
  <c r="K113" i="31" s="1"/>
  <c r="J177" i="31"/>
  <c r="K177" i="31" s="1"/>
  <c r="J130" i="31"/>
  <c r="K130" i="31" s="1"/>
  <c r="J92" i="31"/>
  <c r="K92" i="31" s="1"/>
  <c r="J34" i="31"/>
  <c r="K34" i="31" s="1"/>
  <c r="J128" i="31"/>
  <c r="K128" i="31" s="1"/>
  <c r="J138" i="31"/>
  <c r="K138" i="31" s="1"/>
  <c r="J70" i="31"/>
  <c r="K70" i="31" s="1"/>
  <c r="J162" i="31"/>
  <c r="K162" i="31" s="1"/>
  <c r="J161" i="31"/>
  <c r="K161" i="31" s="1"/>
  <c r="J180" i="31"/>
  <c r="K180" i="31" s="1"/>
  <c r="J182" i="31"/>
  <c r="K182" i="31" s="1"/>
  <c r="J44" i="31"/>
  <c r="K44" i="31" s="1"/>
  <c r="J139" i="31"/>
  <c r="K139" i="31" s="1"/>
  <c r="J179" i="31"/>
  <c r="K179" i="31" s="1"/>
  <c r="J170" i="31"/>
  <c r="K170" i="31" s="1"/>
  <c r="J181" i="31"/>
  <c r="K181" i="31" s="1"/>
  <c r="J81" i="31"/>
  <c r="K81" i="31" s="1"/>
  <c r="J52" i="31"/>
  <c r="K52" i="31" s="1"/>
  <c r="J90" i="31"/>
  <c r="K90" i="31" s="1"/>
  <c r="J141" i="31"/>
  <c r="K141" i="31" s="1"/>
  <c r="J146" i="31"/>
  <c r="K146" i="31" s="1"/>
  <c r="J135" i="31"/>
  <c r="K135" i="31" s="1"/>
  <c r="J78" i="31"/>
  <c r="K78" i="31" s="1"/>
  <c r="J119" i="31"/>
  <c r="K119" i="31" s="1"/>
  <c r="J95" i="31"/>
  <c r="K95" i="31" s="1"/>
  <c r="J68" i="31"/>
  <c r="K68" i="31" s="1"/>
  <c r="J121" i="31"/>
  <c r="K121" i="31" s="1"/>
  <c r="J148" i="31"/>
  <c r="K148" i="31" s="1"/>
  <c r="J72" i="31"/>
  <c r="K72" i="31" s="1"/>
  <c r="J73" i="31"/>
  <c r="K73" i="31" s="1"/>
  <c r="J167" i="31"/>
  <c r="K167" i="31" s="1"/>
  <c r="J160" i="31"/>
  <c r="K160" i="31" s="1"/>
  <c r="J94" i="31"/>
  <c r="K94" i="31" s="1"/>
  <c r="J53" i="31"/>
  <c r="K53" i="31" s="1"/>
  <c r="J125" i="31"/>
  <c r="K125" i="31" s="1"/>
  <c r="J79" i="31"/>
  <c r="K79" i="31" s="1"/>
  <c r="J122" i="31"/>
  <c r="K122" i="31" s="1"/>
  <c r="J136" i="31"/>
  <c r="K136" i="31" s="1"/>
  <c r="J99" i="31"/>
  <c r="K99" i="31" s="1"/>
  <c r="J174" i="31"/>
  <c r="K174" i="31" s="1"/>
  <c r="J171" i="31"/>
  <c r="K171" i="31" s="1"/>
  <c r="J38" i="31"/>
  <c r="K38" i="31" s="1"/>
  <c r="J126" i="31"/>
  <c r="K126" i="31" s="1"/>
  <c r="J48" i="31"/>
  <c r="K48" i="31" s="1"/>
  <c r="J159" i="31"/>
  <c r="K159" i="31" s="1"/>
  <c r="J176" i="31"/>
  <c r="K176" i="31" s="1"/>
  <c r="J114" i="31"/>
  <c r="K114" i="31" s="1"/>
  <c r="J117" i="31"/>
  <c r="K117" i="31" s="1"/>
  <c r="J57" i="31"/>
  <c r="K57" i="31" s="1"/>
  <c r="J123" i="31"/>
  <c r="K123" i="31" s="1"/>
  <c r="J140" i="31"/>
  <c r="K140" i="31" s="1"/>
  <c r="J158" i="31"/>
  <c r="K158" i="31" s="1"/>
  <c r="J178" i="31"/>
  <c r="K178" i="31" s="1"/>
  <c r="B73" i="14"/>
  <c r="B74" i="14"/>
  <c r="B75" i="14"/>
  <c r="B76" i="14"/>
  <c r="B77" i="14"/>
  <c r="B78" i="14"/>
  <c r="B79" i="14"/>
  <c r="B80" i="14"/>
  <c r="B81" i="14"/>
  <c r="B82" i="14"/>
  <c r="B83" i="14"/>
  <c r="B84" i="14"/>
  <c r="B85" i="14"/>
  <c r="B86" i="14"/>
  <c r="B87" i="14"/>
  <c r="B88" i="14"/>
  <c r="B89" i="14"/>
  <c r="B90" i="14"/>
  <c r="B91" i="14"/>
  <c r="J184" i="31" l="1"/>
  <c r="L37" i="22"/>
  <c r="A28" i="22"/>
  <c r="A29" i="22"/>
  <c r="A30" i="22"/>
  <c r="A31" i="22"/>
  <c r="A32" i="22"/>
  <c r="A33" i="22"/>
  <c r="A34" i="22"/>
  <c r="A35" i="22"/>
  <c r="A36" i="22"/>
  <c r="A18" i="22"/>
  <c r="A19" i="22"/>
  <c r="A20" i="22"/>
  <c r="A21" i="22"/>
  <c r="A22" i="22"/>
  <c r="A23" i="22"/>
  <c r="A24" i="22"/>
  <c r="A25" i="22"/>
  <c r="A26" i="22"/>
  <c r="A27" i="22"/>
  <c r="A17" i="22"/>
  <c r="G36" i="22" l="1" a="1"/>
  <c r="G36" i="22" s="1"/>
  <c r="E36" i="22" a="1"/>
  <c r="E36" i="22" s="1"/>
  <c r="F36" i="22" a="1"/>
  <c r="F36" i="22" s="1"/>
  <c r="H36" i="22" a="1"/>
  <c r="H36" i="22" s="1"/>
  <c r="E35" i="22" a="1"/>
  <c r="E35" i="22" s="1"/>
  <c r="H35" i="22" a="1"/>
  <c r="H35" i="22" s="1"/>
  <c r="G35" i="22" a="1"/>
  <c r="G35" i="22" s="1"/>
  <c r="F35" i="22" a="1"/>
  <c r="F35" i="22" s="1"/>
  <c r="E34" i="22" a="1"/>
  <c r="E34" i="22" s="1"/>
  <c r="G34" i="22" a="1"/>
  <c r="G34" i="22" s="1"/>
  <c r="H34" i="22" a="1"/>
  <c r="H34" i="22" s="1"/>
  <c r="F34" i="22" a="1"/>
  <c r="F34" i="22" s="1"/>
  <c r="F33" i="22" a="1"/>
  <c r="F33" i="22" s="1"/>
  <c r="H33" i="22" a="1"/>
  <c r="H33" i="22" s="1"/>
  <c r="E33" i="22" a="1"/>
  <c r="E33" i="22" s="1"/>
  <c r="G33" i="22" a="1"/>
  <c r="G33" i="22" s="1"/>
  <c r="G32" i="22" a="1"/>
  <c r="G32" i="22" s="1"/>
  <c r="F32" i="22" a="1"/>
  <c r="F32" i="22" s="1"/>
  <c r="E32" i="22" a="1"/>
  <c r="E32" i="22" s="1"/>
  <c r="H32" i="22" a="1"/>
  <c r="H32" i="22" s="1"/>
  <c r="E31" i="22" a="1"/>
  <c r="E31" i="22" s="1"/>
  <c r="F31" i="22" a="1"/>
  <c r="F31" i="22" s="1"/>
  <c r="G31" i="22" a="1"/>
  <c r="G31" i="22" s="1"/>
  <c r="H31" i="22" a="1"/>
  <c r="H31" i="22" s="1"/>
  <c r="G30" i="22" a="1"/>
  <c r="G30" i="22" s="1"/>
  <c r="H30" i="22" a="1"/>
  <c r="H30" i="22" s="1"/>
  <c r="E30" i="22" a="1"/>
  <c r="E30" i="22" s="1"/>
  <c r="F30" i="22" a="1"/>
  <c r="F30" i="22" s="1"/>
  <c r="F29" i="22" a="1"/>
  <c r="F29" i="22" s="1"/>
  <c r="E29" i="22" a="1"/>
  <c r="E29" i="22" s="1"/>
  <c r="H29" i="22" a="1"/>
  <c r="H29" i="22" s="1"/>
  <c r="G29" i="22" a="1"/>
  <c r="G29" i="22" s="1"/>
  <c r="G28" i="22" a="1"/>
  <c r="G28" i="22" s="1"/>
  <c r="F28" i="22" a="1"/>
  <c r="F28" i="22" s="1"/>
  <c r="E28" i="22" a="1"/>
  <c r="E28" i="22" s="1"/>
  <c r="H28" i="22" a="1"/>
  <c r="H28" i="22" s="1"/>
  <c r="E27" i="22" a="1"/>
  <c r="E27" i="22" s="1"/>
  <c r="H27" i="22" a="1"/>
  <c r="H27" i="22" s="1"/>
  <c r="G27" i="22" a="1"/>
  <c r="G27" i="22" s="1"/>
  <c r="F27" i="22" a="1"/>
  <c r="F27" i="22" s="1"/>
  <c r="G26" i="22" a="1"/>
  <c r="G26" i="22" s="1"/>
  <c r="E26" i="22" a="1"/>
  <c r="E26" i="22" s="1"/>
  <c r="H26" i="22" a="1"/>
  <c r="H26" i="22" s="1"/>
  <c r="F26" i="22" a="1"/>
  <c r="F26" i="22" s="1"/>
  <c r="F25" i="22" a="1"/>
  <c r="F25" i="22" s="1"/>
  <c r="E25" i="22" a="1"/>
  <c r="E25" i="22" s="1"/>
  <c r="G25" i="22" a="1"/>
  <c r="G25" i="22" s="1"/>
  <c r="H25" i="22" a="1"/>
  <c r="H25" i="22" s="1"/>
  <c r="G24" i="22" a="1"/>
  <c r="G24" i="22" s="1"/>
  <c r="F24" i="22" a="1"/>
  <c r="F24" i="22" s="1"/>
  <c r="H24" i="22" a="1"/>
  <c r="H24" i="22" s="1"/>
  <c r="E24" i="22" a="1"/>
  <c r="E24" i="22" s="1"/>
  <c r="E23" i="22" a="1"/>
  <c r="E23" i="22" s="1"/>
  <c r="F23" i="22" a="1"/>
  <c r="F23" i="22" s="1"/>
  <c r="G23" i="22" a="1"/>
  <c r="G23" i="22" s="1"/>
  <c r="H23" i="22" a="1"/>
  <c r="H23" i="22" s="1"/>
  <c r="G22" i="22" a="1"/>
  <c r="G22" i="22" s="1"/>
  <c r="H22" i="22" a="1"/>
  <c r="H22" i="22" s="1"/>
  <c r="E22" i="22" a="1"/>
  <c r="E22" i="22" s="1"/>
  <c r="F22" i="22" a="1"/>
  <c r="F22" i="22" s="1"/>
  <c r="F21" i="22" a="1"/>
  <c r="F21" i="22" s="1"/>
  <c r="E21" i="22" a="1"/>
  <c r="E21" i="22" s="1"/>
  <c r="H21" i="22" a="1"/>
  <c r="H21" i="22" s="1"/>
  <c r="G21" i="22" a="1"/>
  <c r="G21" i="22" s="1"/>
  <c r="G20" i="22" a="1"/>
  <c r="G20" i="22" s="1"/>
  <c r="E20" i="22" a="1"/>
  <c r="E20" i="22" s="1"/>
  <c r="F20" i="22" a="1"/>
  <c r="F20" i="22" s="1"/>
  <c r="H20" i="22" a="1"/>
  <c r="H20" i="22" s="1"/>
  <c r="E19" i="22" a="1"/>
  <c r="E19" i="22" s="1"/>
  <c r="H19" i="22" a="1"/>
  <c r="H19" i="22" s="1"/>
  <c r="G19" i="22" a="1"/>
  <c r="G19" i="22" s="1"/>
  <c r="F19" i="22" a="1"/>
  <c r="F19" i="22" s="1"/>
  <c r="G18" i="22" a="1"/>
  <c r="G18" i="22" s="1"/>
  <c r="E18" i="22" a="1"/>
  <c r="E18" i="22" s="1"/>
  <c r="F18" i="22" a="1"/>
  <c r="F18" i="22" s="1"/>
  <c r="H18" i="22" a="1"/>
  <c r="H18" i="22" s="1"/>
  <c r="F17" i="22" a="1"/>
  <c r="F17" i="22" s="1"/>
  <c r="H17" i="22" a="1"/>
  <c r="H17" i="22" s="1"/>
  <c r="E17" i="22" a="1"/>
  <c r="E17" i="22" s="1"/>
  <c r="G17" i="22" a="1"/>
  <c r="G17" i="22" s="1"/>
  <c r="B28" i="13"/>
  <c r="B29" i="13"/>
  <c r="B30" i="13"/>
  <c r="B31" i="13"/>
  <c r="B32" i="13"/>
  <c r="B33" i="13"/>
  <c r="B34" i="13"/>
  <c r="B35" i="13"/>
  <c r="B36" i="13"/>
  <c r="B37" i="13"/>
  <c r="B38" i="13"/>
  <c r="B39" i="13"/>
  <c r="B40" i="13"/>
  <c r="B41" i="13"/>
  <c r="B42" i="13"/>
  <c r="B43" i="13"/>
  <c r="B44" i="13"/>
  <c r="F37" i="22" l="1"/>
  <c r="G37" i="22"/>
  <c r="H37" i="22"/>
  <c r="E37" i="22"/>
  <c r="N52" i="2"/>
  <c r="T52" i="2" s="1"/>
  <c r="AD52" i="2" s="1"/>
  <c r="AH52" i="2" s="1"/>
  <c r="AN52" i="2" s="1"/>
  <c r="AR52" i="2" s="1"/>
  <c r="AX52" i="2" s="1"/>
  <c r="BB52" i="2" s="1"/>
  <c r="BH52" i="2" s="1"/>
  <c r="BL52" i="2" s="1"/>
  <c r="BP52" i="2" s="1"/>
  <c r="BS52" i="2" s="1"/>
  <c r="N53" i="2"/>
  <c r="N54" i="2"/>
  <c r="N55" i="2"/>
  <c r="T55" i="2" s="1"/>
  <c r="X55" i="2" s="1"/>
  <c r="AD55" i="2" s="1"/>
  <c r="AH55" i="2" s="1"/>
  <c r="AN55" i="2" s="1"/>
  <c r="AR55" i="2" s="1"/>
  <c r="AX55" i="2" s="1"/>
  <c r="BB55" i="2" s="1"/>
  <c r="BH55" i="2" s="1"/>
  <c r="BL55" i="2" s="1"/>
  <c r="BP55" i="2" s="1"/>
  <c r="BS55" i="2" s="1"/>
  <c r="N56" i="2"/>
  <c r="T56" i="2" s="1"/>
  <c r="X56" i="2" s="1"/>
  <c r="AD56" i="2" s="1"/>
  <c r="AH56" i="2" s="1"/>
  <c r="AN56" i="2" s="1"/>
  <c r="AR56" i="2" s="1"/>
  <c r="AX56" i="2" s="1"/>
  <c r="BB56" i="2" s="1"/>
  <c r="BH56" i="2" s="1"/>
  <c r="BL56" i="2" s="1"/>
  <c r="BP56" i="2" s="1"/>
  <c r="BS56" i="2" s="1"/>
  <c r="N57" i="2"/>
  <c r="T57" i="2" s="1"/>
  <c r="X57" i="2" s="1"/>
  <c r="AD57" i="2" s="1"/>
  <c r="AH57" i="2" s="1"/>
  <c r="AN57" i="2" s="1"/>
  <c r="AR57" i="2" s="1"/>
  <c r="AX57" i="2" s="1"/>
  <c r="BB57" i="2" s="1"/>
  <c r="BH57" i="2" s="1"/>
  <c r="BL57" i="2" s="1"/>
  <c r="BP57" i="2" s="1"/>
  <c r="BS57" i="2" s="1"/>
  <c r="N58" i="2"/>
  <c r="T58" i="2" s="1"/>
  <c r="X58" i="2" s="1"/>
  <c r="AD58" i="2" s="1"/>
  <c r="AH58" i="2" s="1"/>
  <c r="AN58" i="2" s="1"/>
  <c r="AR58" i="2" s="1"/>
  <c r="AX58" i="2" s="1"/>
  <c r="BB58" i="2" s="1"/>
  <c r="BH58" i="2" s="1"/>
  <c r="BL58" i="2" s="1"/>
  <c r="BP58" i="2" s="1"/>
  <c r="BS58" i="2" s="1"/>
  <c r="N59" i="2"/>
  <c r="T59" i="2" s="1"/>
  <c r="X59" i="2" s="1"/>
  <c r="AD59" i="2" s="1"/>
  <c r="AH59" i="2" s="1"/>
  <c r="AN59" i="2" s="1"/>
  <c r="AR59" i="2" s="1"/>
  <c r="AX59" i="2" s="1"/>
  <c r="BB59" i="2" s="1"/>
  <c r="BH59" i="2" s="1"/>
  <c r="BL59" i="2" s="1"/>
  <c r="BP59" i="2" s="1"/>
  <c r="BS59" i="2" s="1"/>
  <c r="N60" i="2"/>
  <c r="T60" i="2" s="1"/>
  <c r="X60" i="2" s="1"/>
  <c r="AD60" i="2" s="1"/>
  <c r="AH60" i="2" s="1"/>
  <c r="AN60" i="2" s="1"/>
  <c r="AR60" i="2" s="1"/>
  <c r="AX60" i="2" s="1"/>
  <c r="BB60" i="2" s="1"/>
  <c r="BH60" i="2" s="1"/>
  <c r="BL60" i="2" s="1"/>
  <c r="BP60" i="2" s="1"/>
  <c r="BS60" i="2" s="1"/>
  <c r="N61" i="2"/>
  <c r="T61" i="2" s="1"/>
  <c r="X61" i="2" s="1"/>
  <c r="AD61" i="2" s="1"/>
  <c r="AH61" i="2" s="1"/>
  <c r="AN61" i="2" s="1"/>
  <c r="AR61" i="2" s="1"/>
  <c r="AX61" i="2" s="1"/>
  <c r="BB61" i="2" s="1"/>
  <c r="BH61" i="2" s="1"/>
  <c r="BL61" i="2" s="1"/>
  <c r="BP61" i="2" s="1"/>
  <c r="BS61" i="2" s="1"/>
  <c r="N62" i="2"/>
  <c r="T62" i="2" s="1"/>
  <c r="X62" i="2" s="1"/>
  <c r="AD62" i="2" s="1"/>
  <c r="AH62" i="2" s="1"/>
  <c r="AN62" i="2" s="1"/>
  <c r="AR62" i="2" s="1"/>
  <c r="AX62" i="2" s="1"/>
  <c r="BB62" i="2" s="1"/>
  <c r="BH62" i="2" s="1"/>
  <c r="BL62" i="2" s="1"/>
  <c r="BP62" i="2" s="1"/>
  <c r="BS62" i="2" s="1"/>
  <c r="N63" i="2"/>
  <c r="T63" i="2" s="1"/>
  <c r="X63" i="2" s="1"/>
  <c r="AD63" i="2" s="1"/>
  <c r="AH63" i="2" s="1"/>
  <c r="AN63" i="2" s="1"/>
  <c r="AR63" i="2" s="1"/>
  <c r="AX63" i="2" s="1"/>
  <c r="BB63" i="2" s="1"/>
  <c r="BH63" i="2" s="1"/>
  <c r="BL63" i="2" s="1"/>
  <c r="BP63" i="2" s="1"/>
  <c r="BS63" i="2" s="1"/>
  <c r="N64" i="2"/>
  <c r="T64" i="2" s="1"/>
  <c r="X64" i="2" s="1"/>
  <c r="AD64" i="2" s="1"/>
  <c r="AH64" i="2" s="1"/>
  <c r="AN64" i="2" s="1"/>
  <c r="AR64" i="2" s="1"/>
  <c r="AX64" i="2" s="1"/>
  <c r="BB64" i="2" s="1"/>
  <c r="BH64" i="2" s="1"/>
  <c r="BL64" i="2" s="1"/>
  <c r="BP64" i="2" s="1"/>
  <c r="BS64" i="2" s="1"/>
  <c r="N65" i="2"/>
  <c r="T65" i="2" s="1"/>
  <c r="X65" i="2" s="1"/>
  <c r="AD65" i="2" s="1"/>
  <c r="AH65" i="2" s="1"/>
  <c r="AN65" i="2" s="1"/>
  <c r="AR65" i="2" s="1"/>
  <c r="AX65" i="2" s="1"/>
  <c r="BB65" i="2" s="1"/>
  <c r="BH65" i="2" s="1"/>
  <c r="BL65" i="2" s="1"/>
  <c r="BP65" i="2" s="1"/>
  <c r="BS65" i="2" s="1"/>
  <c r="N66" i="2"/>
  <c r="T66" i="2" s="1"/>
  <c r="X66" i="2" s="1"/>
  <c r="AD66" i="2" s="1"/>
  <c r="AH66" i="2" s="1"/>
  <c r="AN66" i="2" s="1"/>
  <c r="AR66" i="2" s="1"/>
  <c r="AX66" i="2" s="1"/>
  <c r="BB66" i="2" s="1"/>
  <c r="BH66" i="2" s="1"/>
  <c r="BL66" i="2" s="1"/>
  <c r="BP66" i="2" s="1"/>
  <c r="BS66" i="2" s="1"/>
  <c r="N67" i="2"/>
  <c r="T67" i="2" s="1"/>
  <c r="X67" i="2" s="1"/>
  <c r="AD67" i="2" s="1"/>
  <c r="AH67" i="2" s="1"/>
  <c r="AN67" i="2" s="1"/>
  <c r="AR67" i="2" s="1"/>
  <c r="AX67" i="2" s="1"/>
  <c r="BB67" i="2" s="1"/>
  <c r="BH67" i="2" s="1"/>
  <c r="BL67" i="2" s="1"/>
  <c r="BP67" i="2" s="1"/>
  <c r="BS67" i="2" s="1"/>
  <c r="N68" i="2"/>
  <c r="T68" i="2" s="1"/>
  <c r="X68" i="2" s="1"/>
  <c r="AD68" i="2" s="1"/>
  <c r="AH68" i="2" s="1"/>
  <c r="AN68" i="2" s="1"/>
  <c r="AR68" i="2" s="1"/>
  <c r="AX68" i="2" s="1"/>
  <c r="BB68" i="2" s="1"/>
  <c r="BH68" i="2" s="1"/>
  <c r="BL68" i="2" s="1"/>
  <c r="BP68" i="2" s="1"/>
  <c r="BS68" i="2" s="1"/>
  <c r="N69" i="2"/>
  <c r="T69" i="2" s="1"/>
  <c r="X69" i="2" s="1"/>
  <c r="AD69" i="2" s="1"/>
  <c r="AH69" i="2" s="1"/>
  <c r="AN69" i="2" s="1"/>
  <c r="AR69" i="2" s="1"/>
  <c r="AX69" i="2" s="1"/>
  <c r="BB69" i="2" s="1"/>
  <c r="BH69" i="2" s="1"/>
  <c r="BL69" i="2" s="1"/>
  <c r="BP69" i="2" s="1"/>
  <c r="BS69" i="2" s="1"/>
  <c r="N70" i="2"/>
  <c r="T70" i="2" s="1"/>
  <c r="X70" i="2" s="1"/>
  <c r="AD70" i="2" s="1"/>
  <c r="AH70" i="2" s="1"/>
  <c r="AN70" i="2" s="1"/>
  <c r="AR70" i="2" s="1"/>
  <c r="AX70" i="2" s="1"/>
  <c r="BB70" i="2" s="1"/>
  <c r="BH70" i="2" s="1"/>
  <c r="BL70" i="2" s="1"/>
  <c r="BP70" i="2" s="1"/>
  <c r="BS70" i="2" s="1"/>
  <c r="I65" i="2"/>
  <c r="O65" i="2" s="1"/>
  <c r="I66" i="2"/>
  <c r="O66" i="2" s="1"/>
  <c r="I67" i="2"/>
  <c r="O67" i="2" s="1"/>
  <c r="I68" i="2"/>
  <c r="O68" i="2" s="1"/>
  <c r="I69" i="2"/>
  <c r="O69" i="2" s="1"/>
  <c r="I70" i="2"/>
  <c r="O70" i="2" s="1"/>
  <c r="I52" i="2"/>
  <c r="O52" i="2" s="1"/>
  <c r="I53" i="2"/>
  <c r="I54" i="2"/>
  <c r="O54" i="2" s="1"/>
  <c r="I55" i="2"/>
  <c r="O55" i="2" s="1"/>
  <c r="I56" i="2"/>
  <c r="O56" i="2" s="1"/>
  <c r="I57" i="2"/>
  <c r="O57" i="2" s="1"/>
  <c r="I58" i="2"/>
  <c r="O58" i="2" s="1"/>
  <c r="I59" i="2"/>
  <c r="O59" i="2" s="1"/>
  <c r="I60" i="2"/>
  <c r="O60" i="2" s="1"/>
  <c r="I61" i="2"/>
  <c r="O61" i="2" s="1"/>
  <c r="I62" i="2"/>
  <c r="O62" i="2" s="1"/>
  <c r="I63" i="2"/>
  <c r="O63" i="2" s="1"/>
  <c r="I64" i="2"/>
  <c r="O64" i="2" s="1"/>
  <c r="AJ43" i="2"/>
  <c r="AK43" i="2"/>
  <c r="AL43" i="2"/>
  <c r="AO43" i="2"/>
  <c r="AP43" i="2"/>
  <c r="AQ43" i="2"/>
  <c r="AT43" i="2"/>
  <c r="AU43" i="2"/>
  <c r="AV43" i="2"/>
  <c r="AY43" i="2"/>
  <c r="AZ43" i="2"/>
  <c r="BA43" i="2"/>
  <c r="BD43" i="2"/>
  <c r="BE43" i="2"/>
  <c r="BF43" i="2"/>
  <c r="BI43" i="2"/>
  <c r="BJ43" i="2"/>
  <c r="BK43" i="2"/>
  <c r="BM43" i="2"/>
  <c r="BN43" i="2"/>
  <c r="BQ43" i="2"/>
  <c r="BR43" i="2"/>
  <c r="I40" i="2"/>
  <c r="O40" i="2" s="1"/>
  <c r="N40" i="2"/>
  <c r="T40" i="2" s="1"/>
  <c r="X40" i="2" s="1"/>
  <c r="AD40" i="2" s="1"/>
  <c r="AH40" i="2" s="1"/>
  <c r="AN40" i="2" s="1"/>
  <c r="AR40" i="2" s="1"/>
  <c r="AX40" i="2" s="1"/>
  <c r="BB40" i="2" s="1"/>
  <c r="BH40" i="2" s="1"/>
  <c r="BL40" i="2" s="1"/>
  <c r="BP40" i="2" s="1"/>
  <c r="BS40" i="2" s="1"/>
  <c r="T54" i="2" l="1"/>
  <c r="X54" i="2" s="1"/>
  <c r="AD54" i="2" s="1"/>
  <c r="AH54" i="2" s="1"/>
  <c r="AN54" i="2" s="1"/>
  <c r="AR54" i="2" s="1"/>
  <c r="AX54" i="2" s="1"/>
  <c r="BB54" i="2" s="1"/>
  <c r="BH54" i="2" s="1"/>
  <c r="BL54" i="2" s="1"/>
  <c r="BP54" i="2" s="1"/>
  <c r="BS54" i="2" s="1"/>
  <c r="N86" i="2"/>
  <c r="N91" i="2" s="1"/>
  <c r="T53" i="2"/>
  <c r="O53" i="2"/>
  <c r="S53" i="2" s="1"/>
  <c r="S40" i="2"/>
  <c r="Y40" i="2" s="1"/>
  <c r="AC40" i="2" s="1"/>
  <c r="AI40" i="2" s="1"/>
  <c r="AM40" i="2" s="1"/>
  <c r="AS40" i="2" s="1"/>
  <c r="S58" i="2"/>
  <c r="Y58" i="2" s="1"/>
  <c r="AC58" i="2" s="1"/>
  <c r="AI58" i="2" s="1"/>
  <c r="AM58" i="2" s="1"/>
  <c r="AS58" i="2" s="1"/>
  <c r="S56" i="2"/>
  <c r="Y56" i="2" s="1"/>
  <c r="AC56" i="2" s="1"/>
  <c r="AI56" i="2" s="1"/>
  <c r="AM56" i="2" s="1"/>
  <c r="AS56" i="2" s="1"/>
  <c r="S62" i="2"/>
  <c r="Y62" i="2" s="1"/>
  <c r="AC62" i="2" s="1"/>
  <c r="AI62" i="2" s="1"/>
  <c r="AM62" i="2" s="1"/>
  <c r="AS62" i="2" s="1"/>
  <c r="S54" i="2"/>
  <c r="Y54" i="2" s="1"/>
  <c r="AC54" i="2" s="1"/>
  <c r="AI54" i="2" s="1"/>
  <c r="AM54" i="2" s="1"/>
  <c r="AS54" i="2" s="1"/>
  <c r="S65" i="2"/>
  <c r="Y65" i="2" s="1"/>
  <c r="AC65" i="2" s="1"/>
  <c r="AI65" i="2" s="1"/>
  <c r="AM65" i="2" s="1"/>
  <c r="AS65" i="2" s="1"/>
  <c r="S57" i="2"/>
  <c r="Y57" i="2" s="1"/>
  <c r="AC57" i="2" s="1"/>
  <c r="AI57" i="2" s="1"/>
  <c r="AM57" i="2" s="1"/>
  <c r="AS57" i="2" s="1"/>
  <c r="S66" i="2"/>
  <c r="Y66" i="2" s="1"/>
  <c r="AC66" i="2" s="1"/>
  <c r="AI66" i="2" s="1"/>
  <c r="AM66" i="2" s="1"/>
  <c r="AS66" i="2" s="1"/>
  <c r="S61" i="2"/>
  <c r="Y61" i="2" s="1"/>
  <c r="AC61" i="2" s="1"/>
  <c r="AI61" i="2" s="1"/>
  <c r="AM61" i="2" s="1"/>
  <c r="AS61" i="2" s="1"/>
  <c r="S69" i="2"/>
  <c r="Y69" i="2" s="1"/>
  <c r="AC69" i="2" s="1"/>
  <c r="AI69" i="2" s="1"/>
  <c r="AM69" i="2" s="1"/>
  <c r="AS69" i="2" s="1"/>
  <c r="S64" i="2"/>
  <c r="Y64" i="2" s="1"/>
  <c r="AC64" i="2" s="1"/>
  <c r="AI64" i="2" s="1"/>
  <c r="AM64" i="2" s="1"/>
  <c r="AS64" i="2" s="1"/>
  <c r="S67" i="2"/>
  <c r="Y67" i="2" s="1"/>
  <c r="AC67" i="2" s="1"/>
  <c r="AI67" i="2" s="1"/>
  <c r="AM67" i="2" s="1"/>
  <c r="AS67" i="2" s="1"/>
  <c r="S60" i="2"/>
  <c r="Y60" i="2" s="1"/>
  <c r="AC60" i="2" s="1"/>
  <c r="AI60" i="2" s="1"/>
  <c r="AM60" i="2" s="1"/>
  <c r="AS60" i="2" s="1"/>
  <c r="Y52" i="2"/>
  <c r="AC52" i="2" s="1"/>
  <c r="AI52" i="2" s="1"/>
  <c r="AM52" i="2" s="1"/>
  <c r="AS52" i="2" s="1"/>
  <c r="S68" i="2"/>
  <c r="Y68" i="2" s="1"/>
  <c r="AC68" i="2" s="1"/>
  <c r="AI68" i="2" s="1"/>
  <c r="AM68" i="2" s="1"/>
  <c r="AS68" i="2" s="1"/>
  <c r="S63" i="2"/>
  <c r="Y63" i="2" s="1"/>
  <c r="AC63" i="2" s="1"/>
  <c r="AI63" i="2" s="1"/>
  <c r="AM63" i="2" s="1"/>
  <c r="AS63" i="2" s="1"/>
  <c r="S55" i="2"/>
  <c r="Y55" i="2" s="1"/>
  <c r="AC55" i="2" s="1"/>
  <c r="AI55" i="2" s="1"/>
  <c r="AM55" i="2" s="1"/>
  <c r="AS55" i="2" s="1"/>
  <c r="S59" i="2"/>
  <c r="Y59" i="2" s="1"/>
  <c r="AC59" i="2" s="1"/>
  <c r="AI59" i="2" s="1"/>
  <c r="AM59" i="2" s="1"/>
  <c r="AS59" i="2" s="1"/>
  <c r="S70" i="2"/>
  <c r="Y70" i="2" s="1"/>
  <c r="AC70" i="2" s="1"/>
  <c r="AI70" i="2" s="1"/>
  <c r="AM70" i="2" s="1"/>
  <c r="AS70" i="2" s="1"/>
  <c r="X53" i="2" l="1"/>
  <c r="Y53" i="2"/>
  <c r="AW61" i="2"/>
  <c r="BC61" i="2" s="1"/>
  <c r="BG61" i="2" s="1"/>
  <c r="AW63" i="2"/>
  <c r="BC63" i="2" s="1"/>
  <c r="BG63" i="2" s="1"/>
  <c r="AW65" i="2"/>
  <c r="BC65" i="2" s="1"/>
  <c r="BG65" i="2" s="1"/>
  <c r="AW62" i="2"/>
  <c r="BC62" i="2" s="1"/>
  <c r="BG62" i="2" s="1"/>
  <c r="AW69" i="2"/>
  <c r="BC69" i="2" s="1"/>
  <c r="BG69" i="2" s="1"/>
  <c r="AW56" i="2"/>
  <c r="BC56" i="2" s="1"/>
  <c r="BG56" i="2" s="1"/>
  <c r="AW54" i="2"/>
  <c r="BC54" i="2" s="1"/>
  <c r="BG54" i="2" s="1"/>
  <c r="AW64" i="2"/>
  <c r="BC64" i="2" s="1"/>
  <c r="BG64" i="2" s="1"/>
  <c r="AW52" i="2"/>
  <c r="BC52" i="2" s="1"/>
  <c r="BG52" i="2" s="1"/>
  <c r="AW60" i="2"/>
  <c r="BC60" i="2" s="1"/>
  <c r="BG60" i="2" s="1"/>
  <c r="AW70" i="2"/>
  <c r="BC70" i="2" s="1"/>
  <c r="BG70" i="2" s="1"/>
  <c r="AW68" i="2"/>
  <c r="BC68" i="2" s="1"/>
  <c r="BG68" i="2" s="1"/>
  <c r="AW66" i="2"/>
  <c r="BC66" i="2" s="1"/>
  <c r="BG66" i="2" s="1"/>
  <c r="AW67" i="2"/>
  <c r="BC67" i="2" s="1"/>
  <c r="BG67" i="2" s="1"/>
  <c r="AW55" i="2"/>
  <c r="BC55" i="2" s="1"/>
  <c r="BG55" i="2" s="1"/>
  <c r="AW57" i="2"/>
  <c r="BC57" i="2" s="1"/>
  <c r="BG57" i="2" s="1"/>
  <c r="AW59" i="2"/>
  <c r="BC59" i="2" s="1"/>
  <c r="BG59" i="2" s="1"/>
  <c r="AW58" i="2"/>
  <c r="BC58" i="2" s="1"/>
  <c r="BG58" i="2" s="1"/>
  <c r="AW40" i="2"/>
  <c r="BC40" i="2" s="1"/>
  <c r="BG40" i="2" s="1"/>
  <c r="Y108" i="2"/>
  <c r="AC108" i="2" s="1"/>
  <c r="I107" i="2"/>
  <c r="O107" i="2" s="1"/>
  <c r="S107" i="2" s="1"/>
  <c r="AD53" i="2" l="1"/>
  <c r="AC53" i="2"/>
  <c r="BO40" i="2"/>
  <c r="BT40" i="2" s="1"/>
  <c r="BW40" i="2"/>
  <c r="BW56" i="2"/>
  <c r="BO56" i="2"/>
  <c r="D30" i="13" s="1"/>
  <c r="BO57" i="2"/>
  <c r="D31" i="13" s="1"/>
  <c r="BW57" i="2"/>
  <c r="BW55" i="2"/>
  <c r="BO55" i="2"/>
  <c r="D29" i="13" s="1"/>
  <c r="BW66" i="2"/>
  <c r="BO66" i="2"/>
  <c r="D40" i="13" s="1"/>
  <c r="BO58" i="2"/>
  <c r="D32" i="13" s="1"/>
  <c r="BW58" i="2"/>
  <c r="BO65" i="2"/>
  <c r="D39" i="13" s="1"/>
  <c r="BW65" i="2"/>
  <c r="BO64" i="2"/>
  <c r="D38" i="13" s="1"/>
  <c r="BW64" i="2"/>
  <c r="BW67" i="2"/>
  <c r="BO67" i="2"/>
  <c r="D41" i="13" s="1"/>
  <c r="BO68" i="2"/>
  <c r="D42" i="13" s="1"/>
  <c r="BW68" i="2"/>
  <c r="BO70" i="2"/>
  <c r="D44" i="13" s="1"/>
  <c r="BW70" i="2"/>
  <c r="BW60" i="2"/>
  <c r="BO60" i="2"/>
  <c r="D34" i="13" s="1"/>
  <c r="BO63" i="2"/>
  <c r="D37" i="13" s="1"/>
  <c r="BW63" i="2"/>
  <c r="BO54" i="2"/>
  <c r="D28" i="13" s="1"/>
  <c r="BW54" i="2"/>
  <c r="BO69" i="2"/>
  <c r="D43" i="13" s="1"/>
  <c r="BW69" i="2"/>
  <c r="BW62" i="2"/>
  <c r="BO62" i="2"/>
  <c r="D36" i="13" s="1"/>
  <c r="BW59" i="2"/>
  <c r="BO59" i="2"/>
  <c r="D33" i="13" s="1"/>
  <c r="BW52" i="2"/>
  <c r="BO52" i="2"/>
  <c r="BO61" i="2"/>
  <c r="D35" i="13" s="1"/>
  <c r="BW61" i="2"/>
  <c r="M20" i="2"/>
  <c r="BT52" i="2" l="1"/>
  <c r="D26" i="13" s="1"/>
  <c r="AH53" i="2"/>
  <c r="AI53" i="2"/>
  <c r="O19" i="2"/>
  <c r="N20" i="2"/>
  <c r="L20" i="2"/>
  <c r="K20" i="2"/>
  <c r="J20" i="2"/>
  <c r="I20" i="2"/>
  <c r="G20" i="2"/>
  <c r="E20" i="2"/>
  <c r="AN53" i="2" l="1"/>
  <c r="AM53" i="2"/>
  <c r="T20" i="2"/>
  <c r="P20" i="2"/>
  <c r="R20" i="2"/>
  <c r="W20" i="2"/>
  <c r="Y19" i="2"/>
  <c r="O20" i="2"/>
  <c r="Q20" i="2"/>
  <c r="S20" i="2"/>
  <c r="U20" i="2"/>
  <c r="V20" i="2"/>
  <c r="X20" i="2"/>
  <c r="AR53" i="2" l="1"/>
  <c r="AS53" i="2"/>
  <c r="AG20" i="2"/>
  <c r="AB20" i="2"/>
  <c r="AC20" i="2"/>
  <c r="AA20" i="2"/>
  <c r="Y20" i="2"/>
  <c r="AH20" i="2"/>
  <c r="AF20" i="2"/>
  <c r="AE20" i="2"/>
  <c r="AD20" i="2"/>
  <c r="Z20" i="2"/>
  <c r="AI19" i="2"/>
  <c r="AX53" i="2" l="1"/>
  <c r="AW53" i="2"/>
  <c r="AL20" i="2"/>
  <c r="AQ20" i="2"/>
  <c r="AK20" i="2"/>
  <c r="AR20" i="2"/>
  <c r="AJ20" i="2"/>
  <c r="AI20" i="2"/>
  <c r="AO20" i="2"/>
  <c r="AN20" i="2"/>
  <c r="AM20" i="2"/>
  <c r="AP20" i="2"/>
  <c r="AS19" i="2"/>
  <c r="BB53" i="2" l="1"/>
  <c r="BC53" i="2"/>
  <c r="AV20" i="2"/>
  <c r="AT20" i="2"/>
  <c r="BA20" i="2"/>
  <c r="AS20" i="2"/>
  <c r="AZ20" i="2"/>
  <c r="AX20" i="2"/>
  <c r="AW20" i="2"/>
  <c r="AU20" i="2"/>
  <c r="BB20" i="2"/>
  <c r="AY20" i="2"/>
  <c r="BC19" i="2"/>
  <c r="BH53" i="2" l="1"/>
  <c r="BG53" i="2"/>
  <c r="BK20" i="2"/>
  <c r="BF20" i="2"/>
  <c r="BD20" i="2"/>
  <c r="E20" i="11"/>
  <c r="BI20" i="2"/>
  <c r="BH20" i="2"/>
  <c r="BE20" i="2"/>
  <c r="BL20" i="2"/>
  <c r="BC20" i="2"/>
  <c r="BJ20" i="2"/>
  <c r="BG20" i="2"/>
  <c r="BV20" i="2"/>
  <c r="BQ19" i="2"/>
  <c r="BM19" i="2"/>
  <c r="BW20" i="2"/>
  <c r="BL53" i="2" l="1"/>
  <c r="BW53" i="2" s="1"/>
  <c r="BO53" i="2"/>
  <c r="BQ20" i="2"/>
  <c r="BR20" i="2"/>
  <c r="E31" i="11"/>
  <c r="E39" i="11"/>
  <c r="E34" i="11"/>
  <c r="E30" i="11"/>
  <c r="E27" i="11"/>
  <c r="E38" i="11"/>
  <c r="E26" i="11"/>
  <c r="E32" i="11"/>
  <c r="E24" i="11"/>
  <c r="E40" i="11"/>
  <c r="E37" i="11"/>
  <c r="E25" i="11"/>
  <c r="E28" i="11"/>
  <c r="E33" i="11"/>
  <c r="E35" i="11"/>
  <c r="E29" i="11"/>
  <c r="E36" i="11"/>
  <c r="BP20" i="2"/>
  <c r="BN20" i="2"/>
  <c r="BM20" i="2"/>
  <c r="BO20" i="2"/>
  <c r="Y59" i="13"/>
  <c r="X59" i="13"/>
  <c r="W59" i="13"/>
  <c r="V59" i="13"/>
  <c r="U59" i="13"/>
  <c r="T59" i="13"/>
  <c r="S59" i="13"/>
  <c r="R59" i="13"/>
  <c r="Q59" i="13"/>
  <c r="P59" i="13"/>
  <c r="O59" i="13"/>
  <c r="N59" i="13"/>
  <c r="M59" i="13"/>
  <c r="L59" i="13"/>
  <c r="K59" i="13"/>
  <c r="J59" i="13"/>
  <c r="I59" i="13"/>
  <c r="H59" i="13"/>
  <c r="G59" i="13"/>
  <c r="F59" i="13"/>
  <c r="BP53" i="2" l="1"/>
  <c r="BT53" i="2" s="1"/>
  <c r="D27" i="13" s="1"/>
  <c r="D100" i="14"/>
  <c r="D101" i="14"/>
  <c r="D102" i="14"/>
  <c r="D103" i="14"/>
  <c r="D104" i="14"/>
  <c r="D105" i="14"/>
  <c r="D106" i="14"/>
  <c r="D107" i="14"/>
  <c r="D108" i="14"/>
  <c r="D99" i="14"/>
  <c r="BS53" i="2" l="1"/>
  <c r="AC41" i="12"/>
  <c r="AA41" i="12"/>
  <c r="Y41" i="12"/>
  <c r="X41" i="12"/>
  <c r="W41" i="12"/>
  <c r="V41" i="12"/>
  <c r="U41" i="12"/>
  <c r="BH105" i="2" l="1"/>
  <c r="BL105" i="2" s="1"/>
  <c r="BP105" i="2" s="1"/>
  <c r="BS105" i="2" s="1"/>
  <c r="BC105" i="2" l="1"/>
  <c r="BG105" i="2" s="1"/>
  <c r="BR80" i="2"/>
  <c r="BW105" i="2" l="1"/>
  <c r="BX105" i="2" s="1"/>
  <c r="BO105" i="2"/>
  <c r="BT105" i="2" s="1"/>
  <c r="D209" i="14"/>
  <c r="D208" i="14"/>
  <c r="I24" i="2" l="1"/>
  <c r="E45" i="2"/>
  <c r="N39" i="2"/>
  <c r="N38" i="2"/>
  <c r="N37" i="2"/>
  <c r="N36" i="2"/>
  <c r="N35" i="2"/>
  <c r="N34" i="2"/>
  <c r="N33" i="2"/>
  <c r="N32" i="2"/>
  <c r="N31" i="2"/>
  <c r="N30" i="2"/>
  <c r="N29" i="2"/>
  <c r="N26" i="2"/>
  <c r="N24" i="2"/>
  <c r="I39" i="2"/>
  <c r="I38" i="2"/>
  <c r="I37" i="2"/>
  <c r="I36" i="2"/>
  <c r="I35" i="2"/>
  <c r="I34" i="2"/>
  <c r="I33" i="2"/>
  <c r="I32" i="2"/>
  <c r="I31" i="2"/>
  <c r="I30" i="2"/>
  <c r="I29" i="2"/>
  <c r="N43" i="2" l="1"/>
  <c r="E44" i="2"/>
  <c r="E85" i="2"/>
  <c r="D69" i="11" l="1"/>
  <c r="BL27" i="2" l="1"/>
  <c r="BL28" i="2"/>
  <c r="BG27" i="2"/>
  <c r="BO27" i="2" s="1"/>
  <c r="BG28" i="2"/>
  <c r="BW27" i="2" l="1"/>
  <c r="BW28" i="2"/>
  <c r="BP28" i="2"/>
  <c r="BP27" i="2"/>
  <c r="BO28" i="2"/>
  <c r="BQ80" i="2" l="1"/>
  <c r="BT28" i="2" l="1"/>
  <c r="BS27" i="2"/>
  <c r="BR45" i="2"/>
  <c r="BS28" i="2"/>
  <c r="AI108" i="2"/>
  <c r="BR44" i="2" l="1"/>
  <c r="Y107" i="2"/>
  <c r="AC107" i="2" s="1"/>
  <c r="AI107" i="2" s="1"/>
  <c r="N88" i="2"/>
  <c r="T88" i="2" s="1"/>
  <c r="I88" i="2"/>
  <c r="O88" i="2" s="1"/>
  <c r="S88" i="2" s="1"/>
  <c r="N74" i="2"/>
  <c r="I74" i="2"/>
  <c r="O74" i="2" s="1"/>
  <c r="S74" i="2" s="1"/>
  <c r="T50" i="2"/>
  <c r="X50" i="2" s="1"/>
  <c r="O50" i="2"/>
  <c r="S50" i="2" l="1"/>
  <c r="Y50" i="2" s="1"/>
  <c r="AC50" i="2" s="1"/>
  <c r="I95" i="2"/>
  <c r="I96" i="2"/>
  <c r="I97" i="2"/>
  <c r="I98" i="2"/>
  <c r="I99" i="2"/>
  <c r="I100" i="2"/>
  <c r="I73" i="2"/>
  <c r="I101" i="2"/>
  <c r="I102" i="2"/>
  <c r="I103" i="2"/>
  <c r="I104" i="2"/>
  <c r="D180" i="14" l="1"/>
  <c r="D53" i="11" l="1"/>
  <c r="D54" i="11"/>
  <c r="D55" i="11"/>
  <c r="D56" i="11"/>
  <c r="D57" i="11"/>
  <c r="D58" i="11"/>
  <c r="D59" i="11"/>
  <c r="D60" i="11"/>
  <c r="D61" i="11"/>
  <c r="D62" i="11"/>
  <c r="D63" i="11"/>
  <c r="D64" i="11"/>
  <c r="D65" i="11"/>
  <c r="D66" i="11"/>
  <c r="D67" i="11"/>
  <c r="D68" i="11"/>
  <c r="D43" i="11"/>
  <c r="D44" i="11"/>
  <c r="D45" i="11"/>
  <c r="D46" i="11"/>
  <c r="D47" i="11"/>
  <c r="D48" i="11"/>
  <c r="D49" i="11"/>
  <c r="D50" i="11"/>
  <c r="D51" i="11"/>
  <c r="D52" i="11"/>
  <c r="D42" i="11"/>
  <c r="C43" i="11"/>
  <c r="C44" i="11"/>
  <c r="C45" i="11"/>
  <c r="C46" i="11"/>
  <c r="AM108" i="2" l="1"/>
  <c r="AS108" i="2" s="1"/>
  <c r="AM107" i="2"/>
  <c r="AS107" i="2" s="1"/>
  <c r="AW107" i="2" l="1"/>
  <c r="BC107" i="2" s="1"/>
  <c r="BG107" i="2" s="1"/>
  <c r="BW107" i="2" s="1"/>
  <c r="BX107" i="2" s="1"/>
  <c r="AW108" i="2"/>
  <c r="BC108" i="2" s="1"/>
  <c r="BG108" i="2" s="1"/>
  <c r="E87" i="11" l="1"/>
  <c r="BO107" i="2"/>
  <c r="D75" i="13" s="1"/>
  <c r="BW108" i="2"/>
  <c r="BO108" i="2"/>
  <c r="Y4" i="13"/>
  <c r="X4" i="13"/>
  <c r="W4" i="13"/>
  <c r="V4" i="13"/>
  <c r="U4" i="13"/>
  <c r="T4" i="13"/>
  <c r="S4" i="13"/>
  <c r="R4" i="13"/>
  <c r="Q4" i="13"/>
  <c r="P4" i="13"/>
  <c r="O4" i="13"/>
  <c r="N4" i="13"/>
  <c r="M4" i="13"/>
  <c r="L4" i="13"/>
  <c r="K4" i="13"/>
  <c r="J4" i="13"/>
  <c r="I4" i="13"/>
  <c r="H4" i="13"/>
  <c r="G4" i="13"/>
  <c r="F4" i="13"/>
  <c r="Y64" i="13" l="1"/>
  <c r="Y84" i="13"/>
  <c r="X64" i="13"/>
  <c r="X84" i="13"/>
  <c r="W64" i="13"/>
  <c r="W84" i="13"/>
  <c r="V64" i="13"/>
  <c r="V84" i="13"/>
  <c r="U64" i="13"/>
  <c r="U84" i="13"/>
  <c r="T64" i="13"/>
  <c r="T84" i="13"/>
  <c r="S64" i="13"/>
  <c r="S84" i="13"/>
  <c r="R64" i="13"/>
  <c r="R84" i="13"/>
  <c r="Q64" i="13"/>
  <c r="Q84" i="13"/>
  <c r="P64" i="13"/>
  <c r="P84" i="13"/>
  <c r="O64" i="13"/>
  <c r="O84" i="13"/>
  <c r="N64" i="13"/>
  <c r="N84" i="13"/>
  <c r="BX108" i="2"/>
  <c r="E88" i="11"/>
  <c r="E89" i="11"/>
  <c r="H19" i="13"/>
  <c r="M19" i="13"/>
  <c r="F19" i="13"/>
  <c r="J19" i="13"/>
  <c r="N19" i="13"/>
  <c r="R19" i="13"/>
  <c r="V19" i="13"/>
  <c r="G19" i="13"/>
  <c r="K19" i="13"/>
  <c r="O19" i="13"/>
  <c r="S19" i="13"/>
  <c r="W19" i="13"/>
  <c r="L19" i="13"/>
  <c r="P19" i="13"/>
  <c r="T19" i="13"/>
  <c r="X19" i="13"/>
  <c r="I19" i="13"/>
  <c r="Q19" i="13"/>
  <c r="U19" i="13"/>
  <c r="Y19" i="13"/>
  <c r="N18" i="13"/>
  <c r="N26" i="13"/>
  <c r="N27" i="13"/>
  <c r="N28" i="13"/>
  <c r="N29" i="13"/>
  <c r="N30" i="13"/>
  <c r="N31" i="13"/>
  <c r="N32" i="13"/>
  <c r="N33" i="13"/>
  <c r="N34" i="13"/>
  <c r="N35" i="13"/>
  <c r="N36" i="13"/>
  <c r="N37" i="13"/>
  <c r="N38" i="13"/>
  <c r="N39" i="13"/>
  <c r="N40" i="13"/>
  <c r="N41" i="13"/>
  <c r="N42" i="13"/>
  <c r="N43" i="13"/>
  <c r="N44" i="13"/>
  <c r="N45" i="13"/>
  <c r="R26" i="13"/>
  <c r="R27" i="13"/>
  <c r="R28" i="13"/>
  <c r="R29" i="13"/>
  <c r="R30" i="13"/>
  <c r="R31" i="13"/>
  <c r="R32" i="13"/>
  <c r="R33" i="13"/>
  <c r="R34" i="13"/>
  <c r="R35" i="13"/>
  <c r="R36" i="13"/>
  <c r="R37" i="13"/>
  <c r="R38" i="13"/>
  <c r="R39" i="13"/>
  <c r="R40" i="13"/>
  <c r="R41" i="13"/>
  <c r="R42" i="13"/>
  <c r="R43" i="13"/>
  <c r="R44" i="13"/>
  <c r="R45" i="13"/>
  <c r="V26" i="13"/>
  <c r="V27" i="13"/>
  <c r="V28" i="13"/>
  <c r="V29" i="13"/>
  <c r="V30" i="13"/>
  <c r="V31" i="13"/>
  <c r="V32" i="13"/>
  <c r="V33" i="13"/>
  <c r="V34" i="13"/>
  <c r="V35" i="13"/>
  <c r="V36" i="13"/>
  <c r="V37" i="13"/>
  <c r="V38" i="13"/>
  <c r="V39" i="13"/>
  <c r="V40" i="13"/>
  <c r="V41" i="13"/>
  <c r="V42" i="13"/>
  <c r="V43" i="13"/>
  <c r="V44" i="13"/>
  <c r="V45" i="13"/>
  <c r="O26" i="13"/>
  <c r="O27" i="13"/>
  <c r="O28" i="13"/>
  <c r="O29" i="13"/>
  <c r="O30" i="13"/>
  <c r="O31" i="13"/>
  <c r="O32" i="13"/>
  <c r="O33" i="13"/>
  <c r="O34" i="13"/>
  <c r="O35" i="13"/>
  <c r="O36" i="13"/>
  <c r="O37" i="13"/>
  <c r="O38" i="13"/>
  <c r="O39" i="13"/>
  <c r="O40" i="13"/>
  <c r="O41" i="13"/>
  <c r="O42" i="13"/>
  <c r="O43" i="13"/>
  <c r="O44" i="13"/>
  <c r="O45" i="13"/>
  <c r="S26" i="13"/>
  <c r="S27" i="13"/>
  <c r="S28" i="13"/>
  <c r="S29" i="13"/>
  <c r="S30" i="13"/>
  <c r="S31" i="13"/>
  <c r="S32" i="13"/>
  <c r="S33" i="13"/>
  <c r="S34" i="13"/>
  <c r="S35" i="13"/>
  <c r="S36" i="13"/>
  <c r="S37" i="13"/>
  <c r="S38" i="13"/>
  <c r="S39" i="13"/>
  <c r="S40" i="13"/>
  <c r="S41" i="13"/>
  <c r="S42" i="13"/>
  <c r="S43" i="13"/>
  <c r="S44" i="13"/>
  <c r="S45" i="13"/>
  <c r="W26" i="13"/>
  <c r="W27" i="13"/>
  <c r="W28" i="13"/>
  <c r="W29" i="13"/>
  <c r="W30" i="13"/>
  <c r="W31" i="13"/>
  <c r="W32" i="13"/>
  <c r="W33" i="13"/>
  <c r="W34" i="13"/>
  <c r="W35" i="13"/>
  <c r="W36" i="13"/>
  <c r="W37" i="13"/>
  <c r="W38" i="13"/>
  <c r="W39" i="13"/>
  <c r="W40" i="13"/>
  <c r="W41" i="13"/>
  <c r="W42" i="13"/>
  <c r="W43" i="13"/>
  <c r="W44" i="13"/>
  <c r="W45" i="13"/>
  <c r="P26" i="13"/>
  <c r="P27" i="13"/>
  <c r="P28" i="13"/>
  <c r="P29" i="13"/>
  <c r="P30" i="13"/>
  <c r="P31" i="13"/>
  <c r="P32" i="13"/>
  <c r="P33" i="13"/>
  <c r="P34" i="13"/>
  <c r="P35" i="13"/>
  <c r="P36" i="13"/>
  <c r="P37" i="13"/>
  <c r="P38" i="13"/>
  <c r="P39" i="13"/>
  <c r="P40" i="13"/>
  <c r="P41" i="13"/>
  <c r="P42" i="13"/>
  <c r="P43" i="13"/>
  <c r="P44" i="13"/>
  <c r="P45" i="13"/>
  <c r="T26" i="13"/>
  <c r="T27" i="13"/>
  <c r="T28" i="13"/>
  <c r="T29" i="13"/>
  <c r="T30" i="13"/>
  <c r="T31" i="13"/>
  <c r="T32" i="13"/>
  <c r="T33" i="13"/>
  <c r="T34" i="13"/>
  <c r="T35" i="13"/>
  <c r="T36" i="13"/>
  <c r="T37" i="13"/>
  <c r="T38" i="13"/>
  <c r="T39" i="13"/>
  <c r="T40" i="13"/>
  <c r="T41" i="13"/>
  <c r="T42" i="13"/>
  <c r="T43" i="13"/>
  <c r="T44" i="13"/>
  <c r="T45" i="13"/>
  <c r="X26" i="13"/>
  <c r="X27" i="13"/>
  <c r="X28" i="13"/>
  <c r="X29" i="13"/>
  <c r="X30" i="13"/>
  <c r="X31" i="13"/>
  <c r="X32" i="13"/>
  <c r="X33" i="13"/>
  <c r="X34" i="13"/>
  <c r="X35" i="13"/>
  <c r="X36" i="13"/>
  <c r="X37" i="13"/>
  <c r="X38" i="13"/>
  <c r="X39" i="13"/>
  <c r="X40" i="13"/>
  <c r="X41" i="13"/>
  <c r="X42" i="13"/>
  <c r="X43" i="13"/>
  <c r="X44" i="13"/>
  <c r="X45" i="13"/>
  <c r="Q26" i="13"/>
  <c r="Q27" i="13"/>
  <c r="Q28" i="13"/>
  <c r="Q29" i="13"/>
  <c r="Q30" i="13"/>
  <c r="Q31" i="13"/>
  <c r="Q32" i="13"/>
  <c r="Q33" i="13"/>
  <c r="Q34" i="13"/>
  <c r="Q35" i="13"/>
  <c r="Q36" i="13"/>
  <c r="Q37" i="13"/>
  <c r="Q38" i="13"/>
  <c r="Q39" i="13"/>
  <c r="Q40" i="13"/>
  <c r="Q41" i="13"/>
  <c r="Q42" i="13"/>
  <c r="Q44" i="13"/>
  <c r="Q43" i="13"/>
  <c r="Q45" i="13"/>
  <c r="U26" i="13"/>
  <c r="U27" i="13"/>
  <c r="U28" i="13"/>
  <c r="U29" i="13"/>
  <c r="U30" i="13"/>
  <c r="U31" i="13"/>
  <c r="U32" i="13"/>
  <c r="U33" i="13"/>
  <c r="U34" i="13"/>
  <c r="U35" i="13"/>
  <c r="U36" i="13"/>
  <c r="U37" i="13"/>
  <c r="U38" i="13"/>
  <c r="U39" i="13"/>
  <c r="U40" i="13"/>
  <c r="U41" i="13"/>
  <c r="U42" i="13"/>
  <c r="U43" i="13"/>
  <c r="U45" i="13"/>
  <c r="U44" i="13"/>
  <c r="Y26" i="13"/>
  <c r="Y27" i="13"/>
  <c r="Y28" i="13"/>
  <c r="Y29" i="13"/>
  <c r="Y30" i="13"/>
  <c r="Y31" i="13"/>
  <c r="Y32" i="13"/>
  <c r="Y33" i="13"/>
  <c r="Y34" i="13"/>
  <c r="Y35" i="13"/>
  <c r="Y36" i="13"/>
  <c r="Y37" i="13"/>
  <c r="Y38" i="13"/>
  <c r="Y39" i="13"/>
  <c r="Y40" i="13"/>
  <c r="Y41" i="13"/>
  <c r="Y42" i="13"/>
  <c r="Y45" i="13"/>
  <c r="Y43" i="13"/>
  <c r="Y44" i="13"/>
  <c r="J14" i="13"/>
  <c r="J18" i="13"/>
  <c r="J12" i="13"/>
  <c r="J13" i="13"/>
  <c r="J17" i="13"/>
  <c r="J16" i="13"/>
  <c r="J15" i="13"/>
  <c r="V14" i="13"/>
  <c r="V18" i="13"/>
  <c r="V15" i="13"/>
  <c r="V13" i="13"/>
  <c r="V17" i="13"/>
  <c r="V12" i="13"/>
  <c r="V16" i="13"/>
  <c r="V11" i="13"/>
  <c r="G15" i="13"/>
  <c r="G13" i="13"/>
  <c r="G17" i="13"/>
  <c r="G16" i="13"/>
  <c r="G14" i="13"/>
  <c r="G18" i="13"/>
  <c r="G12" i="13"/>
  <c r="K15" i="13"/>
  <c r="K13" i="13"/>
  <c r="K14" i="13"/>
  <c r="K18" i="13"/>
  <c r="K17" i="13"/>
  <c r="K12" i="13"/>
  <c r="K16" i="13"/>
  <c r="O15" i="13"/>
  <c r="O17" i="13"/>
  <c r="O12" i="13"/>
  <c r="O14" i="13"/>
  <c r="O18" i="13"/>
  <c r="O13" i="13"/>
  <c r="O16" i="13"/>
  <c r="O11" i="13"/>
  <c r="S15" i="13"/>
  <c r="S13" i="13"/>
  <c r="S16" i="13"/>
  <c r="S14" i="13"/>
  <c r="S18" i="13"/>
  <c r="S17" i="13"/>
  <c r="S12" i="13"/>
  <c r="S11" i="13"/>
  <c r="W15" i="13"/>
  <c r="W17" i="13"/>
  <c r="W12" i="13"/>
  <c r="W14" i="13"/>
  <c r="W18" i="13"/>
  <c r="W13" i="13"/>
  <c r="W16" i="13"/>
  <c r="W11" i="13"/>
  <c r="N14" i="13"/>
  <c r="N16" i="13"/>
  <c r="N15" i="13"/>
  <c r="N13" i="13"/>
  <c r="N17" i="13"/>
  <c r="N12" i="13"/>
  <c r="N11" i="13"/>
  <c r="H12" i="13"/>
  <c r="H16" i="13"/>
  <c r="H14" i="13"/>
  <c r="H17" i="13"/>
  <c r="H15" i="13"/>
  <c r="H18" i="13"/>
  <c r="H13" i="13"/>
  <c r="L12" i="13"/>
  <c r="L16" i="13"/>
  <c r="L14" i="13"/>
  <c r="L18" i="13"/>
  <c r="L13" i="13"/>
  <c r="L15" i="13"/>
  <c r="L17" i="13"/>
  <c r="P12" i="13"/>
  <c r="P16" i="13"/>
  <c r="P17" i="13"/>
  <c r="P15" i="13"/>
  <c r="P14" i="13"/>
  <c r="P18" i="13"/>
  <c r="P13" i="13"/>
  <c r="P11" i="13"/>
  <c r="T12" i="13"/>
  <c r="T16" i="13"/>
  <c r="T14" i="13"/>
  <c r="T18" i="13"/>
  <c r="T13" i="13"/>
  <c r="T15" i="13"/>
  <c r="T17" i="13"/>
  <c r="T11" i="13"/>
  <c r="X12" i="13"/>
  <c r="X16" i="13"/>
  <c r="X17" i="13"/>
  <c r="X15" i="13"/>
  <c r="X14" i="13"/>
  <c r="X18" i="13"/>
  <c r="X13" i="13"/>
  <c r="X11" i="13"/>
  <c r="F13" i="13"/>
  <c r="F14" i="13"/>
  <c r="F18" i="13"/>
  <c r="F12" i="13"/>
  <c r="F16" i="13"/>
  <c r="F17" i="13"/>
  <c r="F15" i="13"/>
  <c r="R14" i="13"/>
  <c r="R18" i="13"/>
  <c r="R12" i="13"/>
  <c r="R16" i="13"/>
  <c r="R13" i="13"/>
  <c r="R17" i="13"/>
  <c r="R15" i="13"/>
  <c r="R11" i="13"/>
  <c r="I13" i="13"/>
  <c r="I17" i="13"/>
  <c r="I15" i="13"/>
  <c r="I14" i="13"/>
  <c r="I18" i="13"/>
  <c r="I12" i="13"/>
  <c r="I16" i="13"/>
  <c r="M13" i="13"/>
  <c r="M17" i="13"/>
  <c r="M12" i="13"/>
  <c r="M16" i="13"/>
  <c r="M15" i="13"/>
  <c r="M14" i="13"/>
  <c r="M18" i="13"/>
  <c r="Q13" i="13"/>
  <c r="Q17" i="13"/>
  <c r="Q15" i="13"/>
  <c r="Q14" i="13"/>
  <c r="Q12" i="13"/>
  <c r="Q16" i="13"/>
  <c r="Q18" i="13"/>
  <c r="Q11" i="13"/>
  <c r="U13" i="13"/>
  <c r="U17" i="13"/>
  <c r="U18" i="13"/>
  <c r="U12" i="13"/>
  <c r="U16" i="13"/>
  <c r="U15" i="13"/>
  <c r="U14" i="13"/>
  <c r="U11" i="13"/>
  <c r="Y13" i="13"/>
  <c r="Y17" i="13"/>
  <c r="Y15" i="13"/>
  <c r="Y14" i="13"/>
  <c r="Y12" i="13"/>
  <c r="Y16" i="13"/>
  <c r="Y18" i="13"/>
  <c r="Y11" i="13"/>
  <c r="Y63" i="13"/>
  <c r="X63" i="13"/>
  <c r="W63" i="13"/>
  <c r="V63" i="13"/>
  <c r="U63" i="13"/>
  <c r="T63" i="13"/>
  <c r="S63" i="13"/>
  <c r="R63" i="13"/>
  <c r="Y47" i="13"/>
  <c r="X47" i="13"/>
  <c r="W47" i="13"/>
  <c r="V47" i="13"/>
  <c r="U47" i="13"/>
  <c r="T47" i="13"/>
  <c r="S47" i="13"/>
  <c r="R47" i="13"/>
  <c r="D171" i="14"/>
  <c r="D170" i="14"/>
  <c r="D169" i="14"/>
  <c r="D168" i="14"/>
  <c r="D167" i="14"/>
  <c r="D166" i="14"/>
  <c r="D165" i="14"/>
  <c r="D164" i="14"/>
  <c r="D163" i="14"/>
  <c r="D162" i="14"/>
  <c r="D161" i="14"/>
  <c r="D160" i="14"/>
  <c r="D109" i="14" l="1"/>
  <c r="D110" i="14"/>
  <c r="D111" i="14"/>
  <c r="D112" i="14"/>
  <c r="D113" i="14"/>
  <c r="D114" i="14"/>
  <c r="D115" i="14"/>
  <c r="D116" i="14"/>
  <c r="D117" i="14"/>
  <c r="D118" i="14"/>
  <c r="L27" i="12"/>
  <c r="M27" i="12"/>
  <c r="M22" i="12"/>
  <c r="D18" i="22" s="1"/>
  <c r="J18" i="22" s="1"/>
  <c r="M23" i="12"/>
  <c r="D19" i="22" s="1"/>
  <c r="J19" i="22" s="1"/>
  <c r="M24" i="12"/>
  <c r="M25" i="12"/>
  <c r="M26" i="12"/>
  <c r="M28" i="12"/>
  <c r="D24" i="22" s="1"/>
  <c r="J24" i="22" s="1"/>
  <c r="M29" i="12"/>
  <c r="D25" i="22" s="1"/>
  <c r="J25" i="22" s="1"/>
  <c r="M30" i="12"/>
  <c r="D26" i="22" s="1"/>
  <c r="J26" i="22" s="1"/>
  <c r="M31" i="12"/>
  <c r="D27" i="22" s="1"/>
  <c r="J27" i="22" s="1"/>
  <c r="M32" i="12"/>
  <c r="D28" i="22" s="1"/>
  <c r="J28" i="22" s="1"/>
  <c r="M33" i="12"/>
  <c r="D29" i="22" s="1"/>
  <c r="J29" i="22" s="1"/>
  <c r="M34" i="12"/>
  <c r="D30" i="22" s="1"/>
  <c r="J30" i="22" s="1"/>
  <c r="M35" i="12"/>
  <c r="D31" i="22" s="1"/>
  <c r="J31" i="22" s="1"/>
  <c r="M36" i="12"/>
  <c r="D32" i="22" s="1"/>
  <c r="J32" i="22" s="1"/>
  <c r="M37" i="12"/>
  <c r="D33" i="22" s="1"/>
  <c r="J33" i="22" s="1"/>
  <c r="M38" i="12"/>
  <c r="D34" i="22" s="1"/>
  <c r="J34" i="22" s="1"/>
  <c r="M39" i="12"/>
  <c r="D35" i="22" s="1"/>
  <c r="J35" i="22" s="1"/>
  <c r="M40" i="12"/>
  <c r="D36" i="22" s="1"/>
  <c r="J36" i="22" s="1"/>
  <c r="L22" i="12"/>
  <c r="L23" i="12"/>
  <c r="L24" i="12"/>
  <c r="L25" i="12"/>
  <c r="L26" i="12"/>
  <c r="L28" i="12"/>
  <c r="L29" i="12"/>
  <c r="L30" i="12"/>
  <c r="L31" i="12"/>
  <c r="L32" i="12"/>
  <c r="L33" i="12"/>
  <c r="L34" i="12"/>
  <c r="L35" i="12"/>
  <c r="L36" i="12"/>
  <c r="L37" i="12"/>
  <c r="L38" i="12"/>
  <c r="L39" i="12"/>
  <c r="L40" i="12"/>
  <c r="D22" i="22" l="1"/>
  <c r="J22" i="22" s="1"/>
  <c r="D77" i="14" s="1"/>
  <c r="D51" i="14"/>
  <c r="D21" i="22"/>
  <c r="J21" i="22" s="1"/>
  <c r="D76" i="14" s="1"/>
  <c r="D50" i="14"/>
  <c r="D20" i="22"/>
  <c r="J20" i="22" s="1"/>
  <c r="D75" i="14" s="1"/>
  <c r="D49" i="14"/>
  <c r="D23" i="22"/>
  <c r="J23" i="22" s="1"/>
  <c r="D78" i="14" s="1"/>
  <c r="D52" i="14"/>
  <c r="C35" i="22"/>
  <c r="I35" i="22" s="1"/>
  <c r="Q39" i="12"/>
  <c r="C31" i="22"/>
  <c r="I31" i="22" s="1"/>
  <c r="Q35" i="12"/>
  <c r="C27" i="22"/>
  <c r="I27" i="22" s="1"/>
  <c r="Q31" i="12"/>
  <c r="C22" i="22"/>
  <c r="I22" i="22" s="1"/>
  <c r="Q26" i="12"/>
  <c r="C18" i="22"/>
  <c r="I18" i="22" s="1"/>
  <c r="Q22" i="12"/>
  <c r="C23" i="22"/>
  <c r="I23" i="22" s="1"/>
  <c r="Q27" i="12"/>
  <c r="C34" i="22"/>
  <c r="I34" i="22" s="1"/>
  <c r="Q38" i="12"/>
  <c r="C30" i="22"/>
  <c r="I30" i="22" s="1"/>
  <c r="Q34" i="12"/>
  <c r="C26" i="22"/>
  <c r="I26" i="22" s="1"/>
  <c r="Q30" i="12"/>
  <c r="C21" i="22"/>
  <c r="I21" i="22" s="1"/>
  <c r="Q25" i="12"/>
  <c r="C33" i="22"/>
  <c r="I33" i="22" s="1"/>
  <c r="Q37" i="12"/>
  <c r="C29" i="22"/>
  <c r="I29" i="22" s="1"/>
  <c r="Q33" i="12"/>
  <c r="C25" i="22"/>
  <c r="I25" i="22" s="1"/>
  <c r="Q29" i="12"/>
  <c r="C20" i="22"/>
  <c r="I20" i="22" s="1"/>
  <c r="Q24" i="12"/>
  <c r="C36" i="22"/>
  <c r="I36" i="22" s="1"/>
  <c r="Q40" i="12"/>
  <c r="C32" i="22"/>
  <c r="I32" i="22" s="1"/>
  <c r="Q36" i="12"/>
  <c r="C28" i="22"/>
  <c r="I28" i="22" s="1"/>
  <c r="Q32" i="12"/>
  <c r="C24" i="22"/>
  <c r="I24" i="22" s="1"/>
  <c r="D79" i="14" s="1"/>
  <c r="Q28" i="12"/>
  <c r="C19" i="22"/>
  <c r="I19" i="22" s="1"/>
  <c r="D74" i="14" s="1"/>
  <c r="Q23" i="12"/>
  <c r="T22" i="12"/>
  <c r="T23" i="12"/>
  <c r="T28" i="12"/>
  <c r="T29" i="12"/>
  <c r="T30" i="12"/>
  <c r="T31" i="12"/>
  <c r="T32" i="12"/>
  <c r="T33" i="12"/>
  <c r="T34" i="12"/>
  <c r="T35" i="12"/>
  <c r="T36" i="12"/>
  <c r="T37" i="12"/>
  <c r="T38" i="12"/>
  <c r="T39" i="12"/>
  <c r="T40" i="12"/>
  <c r="T21" i="12"/>
  <c r="D80" i="14" l="1"/>
  <c r="D73" i="14"/>
  <c r="T41" i="12"/>
  <c r="D210" i="14"/>
  <c r="D211" i="14"/>
  <c r="D212" i="14"/>
  <c r="D213" i="14"/>
  <c r="D214" i="14"/>
  <c r="D215" i="14"/>
  <c r="D216" i="14"/>
  <c r="D217" i="14"/>
  <c r="D218" i="14"/>
  <c r="D219" i="14"/>
  <c r="D220" i="14"/>
  <c r="D221" i="14"/>
  <c r="D222" i="14"/>
  <c r="D223" i="14"/>
  <c r="D224" i="14"/>
  <c r="D225" i="14"/>
  <c r="D226" i="14"/>
  <c r="D227" i="14"/>
  <c r="C136" i="14"/>
  <c r="C137" i="14"/>
  <c r="C138" i="14"/>
  <c r="C139" i="14"/>
  <c r="C140" i="14"/>
  <c r="C141" i="14"/>
  <c r="C142" i="14"/>
  <c r="C143" i="14"/>
  <c r="C144" i="14"/>
  <c r="D193" i="14" l="1"/>
  <c r="D192" i="14"/>
  <c r="D199" i="14"/>
  <c r="D198" i="14"/>
  <c r="D197" i="14"/>
  <c r="D196" i="14"/>
  <c r="D195" i="14"/>
  <c r="D194" i="14"/>
  <c r="D191" i="14"/>
  <c r="H227" i="14"/>
  <c r="H226" i="14"/>
  <c r="H225" i="14"/>
  <c r="H224" i="14"/>
  <c r="H223" i="14"/>
  <c r="H222" i="14"/>
  <c r="H221" i="14"/>
  <c r="H220" i="14"/>
  <c r="H219" i="14"/>
  <c r="H218" i="14"/>
  <c r="H217" i="14"/>
  <c r="H216" i="14"/>
  <c r="H215" i="14"/>
  <c r="H214" i="14"/>
  <c r="H213" i="14"/>
  <c r="H212" i="14"/>
  <c r="H211" i="14"/>
  <c r="H210" i="14"/>
  <c r="H209" i="14"/>
  <c r="H208" i="14"/>
  <c r="H118" i="14"/>
  <c r="H117" i="14"/>
  <c r="H116" i="14"/>
  <c r="H115" i="14"/>
  <c r="H114" i="14"/>
  <c r="H113" i="14"/>
  <c r="H112" i="14"/>
  <c r="H111" i="14"/>
  <c r="H110" i="14"/>
  <c r="H109" i="14"/>
  <c r="H108" i="14"/>
  <c r="H107" i="14"/>
  <c r="H106" i="14"/>
  <c r="H105" i="14"/>
  <c r="H104" i="14"/>
  <c r="H103" i="14"/>
  <c r="H102" i="14"/>
  <c r="H101" i="14"/>
  <c r="H100" i="14"/>
  <c r="H99" i="14"/>
  <c r="H65" i="14"/>
  <c r="H64" i="14"/>
  <c r="H63" i="14"/>
  <c r="H62" i="14"/>
  <c r="H61" i="14"/>
  <c r="H60" i="14"/>
  <c r="H59" i="14"/>
  <c r="H58" i="14"/>
  <c r="H57" i="14"/>
  <c r="H56" i="14"/>
  <c r="H55" i="14"/>
  <c r="H54" i="14"/>
  <c r="H53" i="14"/>
  <c r="H52" i="14"/>
  <c r="H51" i="14"/>
  <c r="H50" i="14"/>
  <c r="H49" i="14"/>
  <c r="H48" i="14"/>
  <c r="H47" i="14"/>
  <c r="H46" i="14"/>
  <c r="B21" i="14"/>
  <c r="B22" i="14"/>
  <c r="B23" i="14"/>
  <c r="B24" i="14"/>
  <c r="B25" i="14"/>
  <c r="B26" i="14"/>
  <c r="B27" i="14"/>
  <c r="B28" i="14"/>
  <c r="B29" i="14"/>
  <c r="B30" i="14"/>
  <c r="B31" i="14"/>
  <c r="B32" i="14"/>
  <c r="B33" i="14"/>
  <c r="B34" i="14"/>
  <c r="B35" i="14"/>
  <c r="B36" i="14"/>
  <c r="B37" i="14"/>
  <c r="B38" i="14"/>
  <c r="B39" i="14"/>
  <c r="B20" i="14"/>
  <c r="H170" i="14"/>
  <c r="H169" i="14"/>
  <c r="H167" i="14"/>
  <c r="H166" i="14"/>
  <c r="H165" i="14"/>
  <c r="H163" i="14"/>
  <c r="H162" i="14"/>
  <c r="H161" i="14"/>
  <c r="H159" i="14"/>
  <c r="H158" i="14"/>
  <c r="H157" i="14"/>
  <c r="H156" i="14"/>
  <c r="H155" i="14"/>
  <c r="H154" i="14"/>
  <c r="H153" i="14"/>
  <c r="G144" i="14"/>
  <c r="G143" i="14"/>
  <c r="G140" i="14"/>
  <c r="G137" i="14"/>
  <c r="G136" i="14"/>
  <c r="G135" i="14"/>
  <c r="G134" i="14"/>
  <c r="G132" i="14"/>
  <c r="G131" i="14"/>
  <c r="G130" i="14"/>
  <c r="G129" i="14"/>
  <c r="G128" i="14"/>
  <c r="G127" i="14"/>
  <c r="G126" i="14"/>
  <c r="G125" i="14"/>
  <c r="D59" i="14"/>
  <c r="B255" i="14" l="1"/>
  <c r="E39" i="14"/>
  <c r="B254" i="14"/>
  <c r="E38" i="14"/>
  <c r="B253" i="14"/>
  <c r="E37" i="14"/>
  <c r="B252" i="14"/>
  <c r="E36" i="14"/>
  <c r="B251" i="14"/>
  <c r="E35" i="14"/>
  <c r="B250" i="14"/>
  <c r="E34" i="14"/>
  <c r="B249" i="14"/>
  <c r="E33" i="14"/>
  <c r="B248" i="14"/>
  <c r="E32" i="14"/>
  <c r="B247" i="14"/>
  <c r="E31" i="14"/>
  <c r="B246" i="14"/>
  <c r="E30" i="14"/>
  <c r="B245" i="14"/>
  <c r="E29" i="14"/>
  <c r="B244" i="14"/>
  <c r="E28" i="14"/>
  <c r="B243" i="14"/>
  <c r="B242" i="14"/>
  <c r="B241" i="14"/>
  <c r="B240" i="14"/>
  <c r="B239" i="14"/>
  <c r="B238" i="14"/>
  <c r="B237" i="14"/>
  <c r="B236" i="14"/>
  <c r="B167" i="14"/>
  <c r="B159" i="14"/>
  <c r="B170" i="14"/>
  <c r="B166" i="14"/>
  <c r="B162" i="14"/>
  <c r="B158" i="14"/>
  <c r="D158" i="14" s="1"/>
  <c r="B171" i="14"/>
  <c r="B163" i="14"/>
  <c r="B169" i="14"/>
  <c r="B165" i="14"/>
  <c r="B161" i="14"/>
  <c r="B157" i="14"/>
  <c r="D157" i="14" s="1"/>
  <c r="B168" i="14"/>
  <c r="B164" i="14"/>
  <c r="B160" i="14"/>
  <c r="D159" i="14"/>
  <c r="B154" i="14"/>
  <c r="B153" i="14"/>
  <c r="B152" i="14"/>
  <c r="B144" i="14"/>
  <c r="B143" i="14"/>
  <c r="B142" i="14"/>
  <c r="B139" i="14"/>
  <c r="B138" i="14"/>
  <c r="B137" i="14"/>
  <c r="B136" i="14"/>
  <c r="B135" i="14"/>
  <c r="B134" i="14"/>
  <c r="B156" i="14"/>
  <c r="B155" i="14"/>
  <c r="B141" i="14"/>
  <c r="B140" i="14"/>
  <c r="H168" i="14"/>
  <c r="H164" i="14"/>
  <c r="H160" i="14"/>
  <c r="H171" i="14"/>
  <c r="G141" i="14"/>
  <c r="G142" i="14"/>
  <c r="G133" i="14"/>
  <c r="G139" i="14"/>
  <c r="G138" i="14"/>
  <c r="B47" i="14"/>
  <c r="E47" i="14" s="1"/>
  <c r="B48" i="14"/>
  <c r="E48" i="14" s="1"/>
  <c r="B49" i="14"/>
  <c r="B50" i="14"/>
  <c r="B51" i="14"/>
  <c r="B52" i="14"/>
  <c r="E52" i="14" s="1"/>
  <c r="B53" i="14"/>
  <c r="E53" i="14" s="1"/>
  <c r="B54" i="14"/>
  <c r="B55" i="14"/>
  <c r="B56" i="14"/>
  <c r="B57" i="14"/>
  <c r="E57" i="14" s="1"/>
  <c r="B58" i="14"/>
  <c r="E58" i="14" s="1"/>
  <c r="B59" i="14"/>
  <c r="B60" i="14"/>
  <c r="B61" i="14"/>
  <c r="E61" i="14" s="1"/>
  <c r="B62" i="14"/>
  <c r="B63" i="14"/>
  <c r="B64" i="14"/>
  <c r="B65" i="14"/>
  <c r="E65" i="14" s="1"/>
  <c r="B46" i="14"/>
  <c r="E46" i="14" s="1"/>
  <c r="E254" i="14" l="1"/>
  <c r="F254" i="14" s="1"/>
  <c r="E64" i="14"/>
  <c r="E253" i="14"/>
  <c r="F253" i="14" s="1"/>
  <c r="E63" i="14"/>
  <c r="E252" i="14"/>
  <c r="F252" i="14" s="1"/>
  <c r="E62" i="14"/>
  <c r="E250" i="14"/>
  <c r="F250" i="14" s="1"/>
  <c r="E60" i="14"/>
  <c r="E249" i="14"/>
  <c r="F249" i="14" s="1"/>
  <c r="E59" i="14"/>
  <c r="F59" i="14" s="1"/>
  <c r="E246" i="14"/>
  <c r="F246" i="14" s="1"/>
  <c r="E56" i="14"/>
  <c r="E245" i="14"/>
  <c r="F245" i="14" s="1"/>
  <c r="E55" i="14"/>
  <c r="E244" i="14"/>
  <c r="F244" i="14" s="1"/>
  <c r="E54" i="14"/>
  <c r="E248" i="14"/>
  <c r="F248" i="14" s="1"/>
  <c r="E255" i="14"/>
  <c r="F255" i="14" s="1"/>
  <c r="E247" i="14"/>
  <c r="F247" i="14" s="1"/>
  <c r="E251" i="14"/>
  <c r="F251" i="14" s="1"/>
  <c r="F52" i="14"/>
  <c r="D156" i="14"/>
  <c r="D155" i="14"/>
  <c r="D154" i="14"/>
  <c r="D153" i="14"/>
  <c r="D152" i="14"/>
  <c r="D65" i="14" l="1"/>
  <c r="F65" i="14" s="1"/>
  <c r="D63" i="14"/>
  <c r="F63" i="14" s="1"/>
  <c r="D61" i="14"/>
  <c r="F61" i="14" s="1"/>
  <c r="K41" i="12"/>
  <c r="J41" i="12"/>
  <c r="D47" i="14"/>
  <c r="F47" i="14" s="1"/>
  <c r="D48" i="14"/>
  <c r="F48" i="14" s="1"/>
  <c r="M21" i="12"/>
  <c r="D17" i="22" s="1"/>
  <c r="L21" i="12"/>
  <c r="D46" i="14" l="1"/>
  <c r="F46" i="14" s="1"/>
  <c r="C17" i="22"/>
  <c r="Q21" i="12"/>
  <c r="D37" i="22"/>
  <c r="J17" i="22"/>
  <c r="J37" i="22" s="1"/>
  <c r="D53" i="14"/>
  <c r="F53" i="14" s="1"/>
  <c r="D55" i="14"/>
  <c r="F55" i="14" s="1"/>
  <c r="D57" i="14"/>
  <c r="F57" i="14" s="1"/>
  <c r="D60" i="14"/>
  <c r="F60" i="14" s="1"/>
  <c r="D62" i="14"/>
  <c r="F62" i="14" s="1"/>
  <c r="D64" i="14"/>
  <c r="F64" i="14" s="1"/>
  <c r="D54" i="14"/>
  <c r="F54" i="14" s="1"/>
  <c r="D56" i="14"/>
  <c r="F56" i="14" s="1"/>
  <c r="D58" i="14"/>
  <c r="F58" i="14" s="1"/>
  <c r="M41" i="12"/>
  <c r="L41" i="12"/>
  <c r="M10" i="41" l="1"/>
  <c r="F7" i="41"/>
  <c r="L10" i="41"/>
  <c r="L7" i="41"/>
  <c r="M7" i="41"/>
  <c r="G10" i="41"/>
  <c r="H7" i="41"/>
  <c r="G7" i="41"/>
  <c r="F10" i="41"/>
  <c r="H10" i="41"/>
  <c r="K7" i="41"/>
  <c r="K10" i="41"/>
  <c r="J7" i="41"/>
  <c r="J10" i="41"/>
  <c r="I10" i="41"/>
  <c r="I7" i="41"/>
  <c r="Q41" i="12"/>
  <c r="G10" i="13"/>
  <c r="C37" i="22"/>
  <c r="I17" i="22"/>
  <c r="BK80" i="2"/>
  <c r="BJ80" i="2"/>
  <c r="BI80" i="2"/>
  <c r="BF80" i="2"/>
  <c r="BE80" i="2"/>
  <c r="BD80" i="2"/>
  <c r="BK45" i="2"/>
  <c r="BJ45" i="2"/>
  <c r="BI45" i="2"/>
  <c r="BF45" i="2"/>
  <c r="BE45" i="2"/>
  <c r="BD45" i="2"/>
  <c r="T39" i="2"/>
  <c r="X39" i="2" s="1"/>
  <c r="AD39" i="2" s="1"/>
  <c r="AH39" i="2" s="1"/>
  <c r="AN39" i="2" s="1"/>
  <c r="AR39" i="2" s="1"/>
  <c r="AX39" i="2" s="1"/>
  <c r="BB39" i="2" s="1"/>
  <c r="O39" i="2"/>
  <c r="T38" i="2"/>
  <c r="X38" i="2" s="1"/>
  <c r="AD38" i="2" s="1"/>
  <c r="AH38" i="2" s="1"/>
  <c r="AN38" i="2" s="1"/>
  <c r="AR38" i="2" s="1"/>
  <c r="AX38" i="2" s="1"/>
  <c r="BB38" i="2" s="1"/>
  <c r="O38" i="2"/>
  <c r="H68" i="41" l="1"/>
  <c r="L68" i="41"/>
  <c r="I68" i="41"/>
  <c r="E49" i="14" s="1"/>
  <c r="F49" i="14" s="1"/>
  <c r="G68" i="41"/>
  <c r="J68" i="41"/>
  <c r="E50" i="14" s="1"/>
  <c r="M68" i="41"/>
  <c r="K68" i="41"/>
  <c r="E51" i="14" s="1"/>
  <c r="F68" i="41"/>
  <c r="S39" i="2"/>
  <c r="Y39" i="2" s="1"/>
  <c r="AC39" i="2" s="1"/>
  <c r="AI39" i="2" s="1"/>
  <c r="AM39" i="2" s="1"/>
  <c r="AS39" i="2" s="1"/>
  <c r="S38" i="2"/>
  <c r="Y38" i="2" s="1"/>
  <c r="AC38" i="2" s="1"/>
  <c r="AI38" i="2" s="1"/>
  <c r="AM38" i="2" s="1"/>
  <c r="AS38" i="2" s="1"/>
  <c r="AW38" i="2" s="1"/>
  <c r="BC38" i="2" s="1"/>
  <c r="BG38" i="2" s="1"/>
  <c r="D72" i="14"/>
  <c r="I37" i="22"/>
  <c r="BJ44" i="2"/>
  <c r="BI44" i="2"/>
  <c r="BF44" i="2"/>
  <c r="BE44" i="2"/>
  <c r="BD85" i="2"/>
  <c r="BJ85" i="2"/>
  <c r="BH38" i="2"/>
  <c r="BL38" i="2" s="1"/>
  <c r="BP38" i="2" s="1"/>
  <c r="BS38" i="2" s="1"/>
  <c r="BH39" i="2"/>
  <c r="BL39" i="2" s="1"/>
  <c r="BP39" i="2" s="1"/>
  <c r="BE85" i="2"/>
  <c r="BK85" i="2"/>
  <c r="BI85" i="2"/>
  <c r="BF85" i="2"/>
  <c r="BK44" i="2"/>
  <c r="BD44" i="2"/>
  <c r="T36" i="2"/>
  <c r="X36" i="2" s="1"/>
  <c r="AD36" i="2" s="1"/>
  <c r="AH36" i="2" s="1"/>
  <c r="AN36" i="2" s="1"/>
  <c r="AR36" i="2" s="1"/>
  <c r="AX36" i="2" s="1"/>
  <c r="BB36" i="2" s="1"/>
  <c r="BH36" i="2" s="1"/>
  <c r="BL36" i="2" s="1"/>
  <c r="BP36" i="2" s="1"/>
  <c r="BS36" i="2" s="1"/>
  <c r="O36" i="2"/>
  <c r="D68" i="41" l="1"/>
  <c r="S36" i="2"/>
  <c r="Y36" i="2" s="1"/>
  <c r="AC36" i="2" s="1"/>
  <c r="AI36" i="2" s="1"/>
  <c r="AM36" i="2" s="1"/>
  <c r="AS36" i="2" s="1"/>
  <c r="AW36" i="2" s="1"/>
  <c r="BC36" i="2" s="1"/>
  <c r="BG36" i="2" s="1"/>
  <c r="K17" i="22"/>
  <c r="F65" i="41" s="1"/>
  <c r="E72" i="14" s="1"/>
  <c r="K28" i="22"/>
  <c r="K29" i="22"/>
  <c r="K36" i="22"/>
  <c r="K26" i="22"/>
  <c r="K27" i="22"/>
  <c r="K24" i="22"/>
  <c r="M65" i="41" s="1"/>
  <c r="E79" i="14" s="1"/>
  <c r="K21" i="22"/>
  <c r="J65" i="41" s="1"/>
  <c r="E76" i="14" s="1"/>
  <c r="F76" i="14" s="1"/>
  <c r="K22" i="22"/>
  <c r="K65" i="41" s="1"/>
  <c r="E77" i="14" s="1"/>
  <c r="F77" i="14" s="1"/>
  <c r="K34" i="22"/>
  <c r="K35" i="22"/>
  <c r="K32" i="22"/>
  <c r="K30" i="22"/>
  <c r="K31" i="22"/>
  <c r="K25" i="22"/>
  <c r="K20" i="22"/>
  <c r="I65" i="41" s="1"/>
  <c r="E75" i="14" s="1"/>
  <c r="F75" i="14" s="1"/>
  <c r="K23" i="22"/>
  <c r="L65" i="41" s="1"/>
  <c r="E78" i="14" s="1"/>
  <c r="F78" i="14" s="1"/>
  <c r="K19" i="22"/>
  <c r="H65" i="41" s="1"/>
  <c r="E74" i="14" s="1"/>
  <c r="K33" i="22"/>
  <c r="K18" i="22"/>
  <c r="G65" i="41" s="1"/>
  <c r="E73" i="14" s="1"/>
  <c r="AW39" i="2"/>
  <c r="BC39" i="2" s="1"/>
  <c r="BG39" i="2" s="1"/>
  <c r="BS39" i="2"/>
  <c r="BO38" i="2"/>
  <c r="BT38" i="2" s="1"/>
  <c r="BW38" i="2"/>
  <c r="D41" i="12"/>
  <c r="O104" i="2"/>
  <c r="N104" i="2"/>
  <c r="T104" i="2" s="1"/>
  <c r="X104" i="2" s="1"/>
  <c r="AD104" i="2" s="1"/>
  <c r="AH104" i="2" s="1"/>
  <c r="AN104" i="2" s="1"/>
  <c r="AR104" i="2" s="1"/>
  <c r="AX104" i="2" s="1"/>
  <c r="BB104" i="2" s="1"/>
  <c r="O103" i="2"/>
  <c r="N103" i="2"/>
  <c r="T103" i="2" s="1"/>
  <c r="X103" i="2" s="1"/>
  <c r="AD103" i="2" s="1"/>
  <c r="AH103" i="2" s="1"/>
  <c r="AN103" i="2" s="1"/>
  <c r="AR103" i="2" s="1"/>
  <c r="AX103" i="2" s="1"/>
  <c r="BB103" i="2" s="1"/>
  <c r="O102" i="2"/>
  <c r="N102" i="2"/>
  <c r="T102" i="2" s="1"/>
  <c r="X102" i="2" s="1"/>
  <c r="AD102" i="2" s="1"/>
  <c r="AH102" i="2" s="1"/>
  <c r="AN102" i="2" s="1"/>
  <c r="AR102" i="2" s="1"/>
  <c r="AX102" i="2" s="1"/>
  <c r="BB102" i="2" s="1"/>
  <c r="BH102" i="2" s="1"/>
  <c r="BL102" i="2" s="1"/>
  <c r="BP102" i="2" s="1"/>
  <c r="BS102" i="2" s="1"/>
  <c r="O101" i="2"/>
  <c r="N101" i="2"/>
  <c r="T101" i="2" s="1"/>
  <c r="X101" i="2" s="1"/>
  <c r="AD101" i="2" s="1"/>
  <c r="AH101" i="2" s="1"/>
  <c r="AN101" i="2" s="1"/>
  <c r="AR101" i="2" s="1"/>
  <c r="AX101" i="2" s="1"/>
  <c r="BB101" i="2" s="1"/>
  <c r="I48" i="2"/>
  <c r="I49" i="2"/>
  <c r="O49" i="2" s="1"/>
  <c r="AI50" i="2"/>
  <c r="AM50" i="2" s="1"/>
  <c r="AS50" i="2" s="1"/>
  <c r="I51" i="2"/>
  <c r="O51" i="2" s="1"/>
  <c r="I71" i="2"/>
  <c r="I72" i="2"/>
  <c r="O72" i="2" s="1"/>
  <c r="O95" i="2"/>
  <c r="O96" i="2"/>
  <c r="O97" i="2"/>
  <c r="O98" i="2"/>
  <c r="O99" i="2"/>
  <c r="O100" i="2"/>
  <c r="O73" i="2"/>
  <c r="Y74" i="2"/>
  <c r="I75" i="2"/>
  <c r="O75" i="2" s="1"/>
  <c r="I76" i="2"/>
  <c r="O76" i="2" s="1"/>
  <c r="I77" i="2"/>
  <c r="O77" i="2" s="1"/>
  <c r="I78" i="2"/>
  <c r="O78" i="2" s="1"/>
  <c r="AM25" i="2"/>
  <c r="AS25" i="2" s="1"/>
  <c r="I26" i="2"/>
  <c r="I43" i="2" s="1"/>
  <c r="O29" i="2"/>
  <c r="O30" i="2"/>
  <c r="O31" i="2"/>
  <c r="O32" i="2"/>
  <c r="O33" i="2"/>
  <c r="O34" i="2"/>
  <c r="S34" i="2" s="1"/>
  <c r="O35" i="2"/>
  <c r="O37" i="2"/>
  <c r="I82" i="2"/>
  <c r="I83" i="2"/>
  <c r="O83" i="2" s="1"/>
  <c r="S83" i="2" s="1"/>
  <c r="Y88" i="2"/>
  <c r="N48" i="2"/>
  <c r="N49" i="2"/>
  <c r="T49" i="2" s="1"/>
  <c r="X49" i="2" s="1"/>
  <c r="AD49" i="2" s="1"/>
  <c r="AH49" i="2" s="1"/>
  <c r="AN49" i="2" s="1"/>
  <c r="AR49" i="2" s="1"/>
  <c r="AX49" i="2" s="1"/>
  <c r="BB49" i="2" s="1"/>
  <c r="BH49" i="2" s="1"/>
  <c r="BL49" i="2" s="1"/>
  <c r="BP49" i="2" s="1"/>
  <c r="BS49" i="2" s="1"/>
  <c r="AD50" i="2"/>
  <c r="AH50" i="2" s="1"/>
  <c r="AN50" i="2" s="1"/>
  <c r="AR50" i="2" s="1"/>
  <c r="AX50" i="2" s="1"/>
  <c r="BB50" i="2" s="1"/>
  <c r="N51" i="2"/>
  <c r="T51" i="2" s="1"/>
  <c r="X51" i="2" s="1"/>
  <c r="AD51" i="2" s="1"/>
  <c r="AH51" i="2" s="1"/>
  <c r="AN51" i="2" s="1"/>
  <c r="AR51" i="2" s="1"/>
  <c r="AX51" i="2" s="1"/>
  <c r="BB51" i="2" s="1"/>
  <c r="BH51" i="2" s="1"/>
  <c r="BL51" i="2" s="1"/>
  <c r="BP51" i="2" s="1"/>
  <c r="BS51" i="2" s="1"/>
  <c r="N71" i="2"/>
  <c r="N72" i="2"/>
  <c r="T72" i="2" s="1"/>
  <c r="X72" i="2" s="1"/>
  <c r="AD72" i="2" s="1"/>
  <c r="AH72" i="2" s="1"/>
  <c r="AN72" i="2" s="1"/>
  <c r="AR72" i="2" s="1"/>
  <c r="AX72" i="2" s="1"/>
  <c r="BB72" i="2" s="1"/>
  <c r="N95" i="2"/>
  <c r="T95" i="2" s="1"/>
  <c r="X95" i="2" s="1"/>
  <c r="AD95" i="2" s="1"/>
  <c r="AH95" i="2" s="1"/>
  <c r="AN95" i="2" s="1"/>
  <c r="AR95" i="2" s="1"/>
  <c r="AX95" i="2" s="1"/>
  <c r="BB95" i="2" s="1"/>
  <c r="N96" i="2"/>
  <c r="T96" i="2" s="1"/>
  <c r="X96" i="2" s="1"/>
  <c r="AD96" i="2" s="1"/>
  <c r="AH96" i="2" s="1"/>
  <c r="AN96" i="2" s="1"/>
  <c r="AR96" i="2" s="1"/>
  <c r="AX96" i="2" s="1"/>
  <c r="BB96" i="2" s="1"/>
  <c r="N97" i="2"/>
  <c r="T97" i="2" s="1"/>
  <c r="X97" i="2" s="1"/>
  <c r="AD97" i="2" s="1"/>
  <c r="AH97" i="2" s="1"/>
  <c r="AN97" i="2" s="1"/>
  <c r="AR97" i="2" s="1"/>
  <c r="AX97" i="2" s="1"/>
  <c r="BB97" i="2" s="1"/>
  <c r="BH97" i="2" s="1"/>
  <c r="BL97" i="2" s="1"/>
  <c r="BP97" i="2" s="1"/>
  <c r="BS97" i="2" s="1"/>
  <c r="N98" i="2"/>
  <c r="T98" i="2" s="1"/>
  <c r="X98" i="2" s="1"/>
  <c r="AD98" i="2" s="1"/>
  <c r="AH98" i="2" s="1"/>
  <c r="AN98" i="2" s="1"/>
  <c r="AR98" i="2" s="1"/>
  <c r="AX98" i="2" s="1"/>
  <c r="BB98" i="2" s="1"/>
  <c r="BH98" i="2" s="1"/>
  <c r="BL98" i="2" s="1"/>
  <c r="BP98" i="2" s="1"/>
  <c r="BS98" i="2" s="1"/>
  <c r="N99" i="2"/>
  <c r="T99" i="2" s="1"/>
  <c r="X99" i="2" s="1"/>
  <c r="N100" i="2"/>
  <c r="T100" i="2" s="1"/>
  <c r="X100" i="2" s="1"/>
  <c r="AD100" i="2" s="1"/>
  <c r="AH100" i="2" s="1"/>
  <c r="AN100" i="2" s="1"/>
  <c r="AR100" i="2" s="1"/>
  <c r="AX100" i="2" s="1"/>
  <c r="BB100" i="2" s="1"/>
  <c r="BH100" i="2" s="1"/>
  <c r="BL100" i="2" s="1"/>
  <c r="BP100" i="2" s="1"/>
  <c r="BS100" i="2" s="1"/>
  <c r="N73" i="2"/>
  <c r="T73" i="2" s="1"/>
  <c r="X73" i="2" s="1"/>
  <c r="AD73" i="2" s="1"/>
  <c r="AH73" i="2" s="1"/>
  <c r="AN73" i="2" s="1"/>
  <c r="AR73" i="2" s="1"/>
  <c r="AX73" i="2" s="1"/>
  <c r="BB73" i="2" s="1"/>
  <c r="BH73" i="2" s="1"/>
  <c r="BL73" i="2" s="1"/>
  <c r="BP73" i="2" s="1"/>
  <c r="BS73" i="2" s="1"/>
  <c r="T74" i="2"/>
  <c r="X74" i="2" s="1"/>
  <c r="AD74" i="2" s="1"/>
  <c r="AH74" i="2" s="1"/>
  <c r="AN74" i="2" s="1"/>
  <c r="AR74" i="2" s="1"/>
  <c r="AX74" i="2" s="1"/>
  <c r="BB74" i="2" s="1"/>
  <c r="BH74" i="2" s="1"/>
  <c r="BL74" i="2" s="1"/>
  <c r="BP74" i="2" s="1"/>
  <c r="BS74" i="2" s="1"/>
  <c r="N75" i="2"/>
  <c r="T75" i="2" s="1"/>
  <c r="X75" i="2" s="1"/>
  <c r="AD75" i="2" s="1"/>
  <c r="AH75" i="2" s="1"/>
  <c r="AN75" i="2" s="1"/>
  <c r="AR75" i="2" s="1"/>
  <c r="AX75" i="2" s="1"/>
  <c r="BB75" i="2" s="1"/>
  <c r="BH75" i="2" s="1"/>
  <c r="BL75" i="2" s="1"/>
  <c r="BP75" i="2" s="1"/>
  <c r="BS75" i="2" s="1"/>
  <c r="N76" i="2"/>
  <c r="T76" i="2" s="1"/>
  <c r="X76" i="2" s="1"/>
  <c r="AD76" i="2" s="1"/>
  <c r="AH76" i="2" s="1"/>
  <c r="AN76" i="2" s="1"/>
  <c r="AR76" i="2" s="1"/>
  <c r="AX76" i="2" s="1"/>
  <c r="BB76" i="2" s="1"/>
  <c r="BH76" i="2" s="1"/>
  <c r="BL76" i="2" s="1"/>
  <c r="BP76" i="2" s="1"/>
  <c r="BS76" i="2" s="1"/>
  <c r="N77" i="2"/>
  <c r="T77" i="2" s="1"/>
  <c r="N78" i="2"/>
  <c r="T78" i="2" s="1"/>
  <c r="X78" i="2" s="1"/>
  <c r="AD78" i="2" s="1"/>
  <c r="AH78" i="2" s="1"/>
  <c r="AN78" i="2" s="1"/>
  <c r="AR78" i="2" s="1"/>
  <c r="AX78" i="2" s="1"/>
  <c r="BB78" i="2" s="1"/>
  <c r="BH78" i="2" s="1"/>
  <c r="BL78" i="2" s="1"/>
  <c r="BP78" i="2" s="1"/>
  <c r="BS78" i="2" s="1"/>
  <c r="T29" i="2"/>
  <c r="X29" i="2" s="1"/>
  <c r="T30" i="2"/>
  <c r="X30" i="2" s="1"/>
  <c r="AD30" i="2" s="1"/>
  <c r="AH30" i="2" s="1"/>
  <c r="AN30" i="2" s="1"/>
  <c r="AR30" i="2" s="1"/>
  <c r="AX30" i="2" s="1"/>
  <c r="BB30" i="2" s="1"/>
  <c r="BH30" i="2" s="1"/>
  <c r="BL30" i="2" s="1"/>
  <c r="BP30" i="2" s="1"/>
  <c r="BS30" i="2" s="1"/>
  <c r="T31" i="2"/>
  <c r="X31" i="2" s="1"/>
  <c r="AD31" i="2" s="1"/>
  <c r="AH31" i="2" s="1"/>
  <c r="AN31" i="2" s="1"/>
  <c r="AR31" i="2" s="1"/>
  <c r="AX31" i="2" s="1"/>
  <c r="BB31" i="2" s="1"/>
  <c r="BH31" i="2" s="1"/>
  <c r="BL31" i="2" s="1"/>
  <c r="BP31" i="2" s="1"/>
  <c r="BS31" i="2" s="1"/>
  <c r="T32" i="2"/>
  <c r="T33" i="2"/>
  <c r="X33" i="2" s="1"/>
  <c r="AD33" i="2" s="1"/>
  <c r="AH33" i="2" s="1"/>
  <c r="AN33" i="2" s="1"/>
  <c r="AR33" i="2" s="1"/>
  <c r="AX33" i="2" s="1"/>
  <c r="BB33" i="2" s="1"/>
  <c r="BH33" i="2" s="1"/>
  <c r="BL33" i="2" s="1"/>
  <c r="BP33" i="2" s="1"/>
  <c r="BS33" i="2" s="1"/>
  <c r="T34" i="2"/>
  <c r="T35" i="2"/>
  <c r="X35" i="2" s="1"/>
  <c r="AD35" i="2" s="1"/>
  <c r="AH35" i="2" s="1"/>
  <c r="AN35" i="2" s="1"/>
  <c r="AR35" i="2" s="1"/>
  <c r="AX35" i="2" s="1"/>
  <c r="BB35" i="2" s="1"/>
  <c r="BH35" i="2" s="1"/>
  <c r="BL35" i="2" s="1"/>
  <c r="BP35" i="2" s="1"/>
  <c r="BS35" i="2" s="1"/>
  <c r="T37" i="2"/>
  <c r="X37" i="2" s="1"/>
  <c r="AD37" i="2" s="1"/>
  <c r="AH37" i="2" s="1"/>
  <c r="AN37" i="2" s="1"/>
  <c r="AR37" i="2" s="1"/>
  <c r="N82" i="2"/>
  <c r="N83" i="2"/>
  <c r="T83" i="2" s="1"/>
  <c r="X88" i="2"/>
  <c r="AD88" i="2" s="1"/>
  <c r="AH88" i="2" s="1"/>
  <c r="AN88" i="2" s="1"/>
  <c r="AR88" i="2" s="1"/>
  <c r="AX88" i="2" s="1"/>
  <c r="BB88" i="2" s="1"/>
  <c r="BH88" i="2" s="1"/>
  <c r="BL88" i="2" s="1"/>
  <c r="BP88" i="2" s="1"/>
  <c r="BV45" i="2"/>
  <c r="I31" i="16"/>
  <c r="I18" i="16"/>
  <c r="I19" i="16"/>
  <c r="I33" i="16"/>
  <c r="I34" i="16"/>
  <c r="BA80" i="2"/>
  <c r="BA85" i="2" s="1"/>
  <c r="AZ80" i="2"/>
  <c r="AZ85" i="2" s="1"/>
  <c r="AY80" i="2"/>
  <c r="AY85" i="2" s="1"/>
  <c r="AV80" i="2"/>
  <c r="AV85" i="2" s="1"/>
  <c r="AU80" i="2"/>
  <c r="AT80" i="2"/>
  <c r="AT85" i="2" s="1"/>
  <c r="BA45" i="2"/>
  <c r="AZ45" i="2"/>
  <c r="AY45" i="2"/>
  <c r="AV45" i="2"/>
  <c r="AU45" i="2"/>
  <c r="AU44" i="2" s="1"/>
  <c r="AT45" i="2"/>
  <c r="H181" i="14"/>
  <c r="H182" i="14"/>
  <c r="H183" i="14"/>
  <c r="H184" i="14"/>
  <c r="H185" i="14"/>
  <c r="H186" i="14"/>
  <c r="H187" i="14"/>
  <c r="H188" i="14"/>
  <c r="H189" i="14"/>
  <c r="H190" i="14"/>
  <c r="H191" i="14"/>
  <c r="H192" i="14"/>
  <c r="H193" i="14"/>
  <c r="H194" i="14"/>
  <c r="H195" i="14"/>
  <c r="H196" i="14"/>
  <c r="H197" i="14"/>
  <c r="H198" i="14"/>
  <c r="H199" i="14"/>
  <c r="H180" i="14"/>
  <c r="AJ45" i="2"/>
  <c r="AQ80" i="2"/>
  <c r="AQ85" i="2" s="1"/>
  <c r="AP80" i="2"/>
  <c r="AO80" i="2"/>
  <c r="AO85" i="2" s="1"/>
  <c r="AL80" i="2"/>
  <c r="AL85" i="2" s="1"/>
  <c r="AK80" i="2"/>
  <c r="AJ80" i="2"/>
  <c r="AJ85" i="2" s="1"/>
  <c r="AQ45" i="2"/>
  <c r="AP45" i="2"/>
  <c r="AO45" i="2"/>
  <c r="AL45" i="2"/>
  <c r="AL44" i="2" s="1"/>
  <c r="AK45" i="2"/>
  <c r="H20" i="14"/>
  <c r="D20" i="14"/>
  <c r="H25" i="14"/>
  <c r="H26" i="14"/>
  <c r="D27" i="14"/>
  <c r="H28" i="14"/>
  <c r="D29" i="14"/>
  <c r="F29" i="14" s="1"/>
  <c r="D30" i="14"/>
  <c r="F30" i="14" s="1"/>
  <c r="D31" i="14"/>
  <c r="F31" i="14" s="1"/>
  <c r="H32" i="14"/>
  <c r="D34" i="14"/>
  <c r="F34" i="14" s="1"/>
  <c r="D35" i="14"/>
  <c r="F35" i="14" s="1"/>
  <c r="H36" i="14"/>
  <c r="H38" i="14"/>
  <c r="D39" i="14"/>
  <c r="F39" i="14" s="1"/>
  <c r="B212" i="14"/>
  <c r="E212" i="14" s="1"/>
  <c r="F212" i="14" s="1"/>
  <c r="B213" i="14"/>
  <c r="E213" i="14" s="1"/>
  <c r="F213" i="14" s="1"/>
  <c r="B105" i="14"/>
  <c r="B215" i="14"/>
  <c r="E215" i="14" s="1"/>
  <c r="F215" i="14" s="1"/>
  <c r="B216" i="14"/>
  <c r="E216" i="14" s="1"/>
  <c r="F216" i="14" s="1"/>
  <c r="B189" i="14"/>
  <c r="B190" i="14"/>
  <c r="B219" i="14"/>
  <c r="E219" i="14" s="1"/>
  <c r="F219" i="14" s="1"/>
  <c r="B220" i="14"/>
  <c r="E220" i="14" s="1"/>
  <c r="F220" i="14" s="1"/>
  <c r="B221" i="14"/>
  <c r="E221" i="14" s="1"/>
  <c r="F221" i="14" s="1"/>
  <c r="B222" i="14"/>
  <c r="E222" i="14" s="1"/>
  <c r="F222" i="14" s="1"/>
  <c r="B223" i="14"/>
  <c r="E223" i="14" s="1"/>
  <c r="F223" i="14" s="1"/>
  <c r="B224" i="14"/>
  <c r="E224" i="14" s="1"/>
  <c r="F224" i="14" s="1"/>
  <c r="B198" i="14"/>
  <c r="B227" i="14"/>
  <c r="E227" i="14" s="1"/>
  <c r="F227" i="14" s="1"/>
  <c r="D60" i="13"/>
  <c r="H24" i="14"/>
  <c r="H22" i="14"/>
  <c r="D22" i="14"/>
  <c r="H39" i="14"/>
  <c r="D37" i="14"/>
  <c r="F37" i="14" s="1"/>
  <c r="H37" i="14"/>
  <c r="D33" i="14"/>
  <c r="F33" i="14" s="1"/>
  <c r="H33" i="14"/>
  <c r="D21" i="14"/>
  <c r="H21" i="14"/>
  <c r="F41" i="12"/>
  <c r="G41" i="12"/>
  <c r="S41" i="12" s="1"/>
  <c r="I41" i="12"/>
  <c r="E41" i="12"/>
  <c r="BN80" i="2"/>
  <c r="BN85" i="2" s="1"/>
  <c r="BM80" i="2"/>
  <c r="AG80" i="2"/>
  <c r="AG85" i="2" s="1"/>
  <c r="AF80" i="2"/>
  <c r="AA80" i="2"/>
  <c r="AA85" i="2" s="1"/>
  <c r="Z80" i="2"/>
  <c r="W80" i="2"/>
  <c r="W85" i="2" s="1"/>
  <c r="V80" i="2"/>
  <c r="V85" i="2" s="1"/>
  <c r="P80" i="2"/>
  <c r="P85" i="2" s="1"/>
  <c r="F80" i="2"/>
  <c r="AE80" i="2"/>
  <c r="AE85" i="2" s="1"/>
  <c r="AB80" i="2"/>
  <c r="AB85" i="2" s="1"/>
  <c r="AG45" i="2"/>
  <c r="AF45" i="2"/>
  <c r="AF44" i="2" s="1"/>
  <c r="AE45" i="2"/>
  <c r="AE44" i="2" s="1"/>
  <c r="AB45" i="2"/>
  <c r="AB44" i="2" s="1"/>
  <c r="AA45" i="2"/>
  <c r="AA44" i="2" s="1"/>
  <c r="Z45" i="2"/>
  <c r="Z44" i="2" s="1"/>
  <c r="BM45" i="2"/>
  <c r="BM44" i="2" s="1"/>
  <c r="BN45" i="2"/>
  <c r="BN44" i="2" s="1"/>
  <c r="G80" i="2"/>
  <c r="H80" i="2"/>
  <c r="H85" i="2" s="1"/>
  <c r="K80" i="2"/>
  <c r="L80" i="2"/>
  <c r="M80" i="2"/>
  <c r="Q80" i="2"/>
  <c r="R80" i="2"/>
  <c r="U80" i="2"/>
  <c r="U85" i="2" s="1"/>
  <c r="F45" i="2"/>
  <c r="F44" i="2" s="1"/>
  <c r="G45" i="2"/>
  <c r="G44" i="2" s="1"/>
  <c r="H45" i="2"/>
  <c r="K45" i="2"/>
  <c r="K44" i="2" s="1"/>
  <c r="L45" i="2"/>
  <c r="L44" i="2" s="1"/>
  <c r="M45" i="2"/>
  <c r="M44" i="2" s="1"/>
  <c r="P45" i="2"/>
  <c r="P44" i="2" s="1"/>
  <c r="Q45" i="2"/>
  <c r="Q44" i="2" s="1"/>
  <c r="R45" i="2"/>
  <c r="R44" i="2" s="1"/>
  <c r="U45" i="2"/>
  <c r="V45" i="2"/>
  <c r="W45" i="2"/>
  <c r="J80" i="2"/>
  <c r="J85" i="2" s="1"/>
  <c r="J45" i="2"/>
  <c r="G32" i="41" l="1"/>
  <c r="C81" i="41"/>
  <c r="G28" i="41"/>
  <c r="M32" i="41"/>
  <c r="F8" i="41"/>
  <c r="L22" i="41"/>
  <c r="K35" i="41"/>
  <c r="K56" i="41"/>
  <c r="K33" i="41"/>
  <c r="G5" i="41"/>
  <c r="L9" i="41"/>
  <c r="L75" i="41"/>
  <c r="L50" i="41"/>
  <c r="L32" i="41"/>
  <c r="L25" i="41"/>
  <c r="F40" i="41"/>
  <c r="F33" i="41"/>
  <c r="F30" i="41"/>
  <c r="H28" i="41"/>
  <c r="K5" i="41"/>
  <c r="M36" i="41"/>
  <c r="M64" i="41"/>
  <c r="M29" i="41"/>
  <c r="G50" i="41"/>
  <c r="G38" i="41"/>
  <c r="G30" i="41"/>
  <c r="G43" i="41"/>
  <c r="H75" i="41"/>
  <c r="H47" i="41"/>
  <c r="L5" i="41"/>
  <c r="I39" i="41"/>
  <c r="I32" i="41"/>
  <c r="J76" i="41"/>
  <c r="J49" i="41"/>
  <c r="J41" i="41"/>
  <c r="J38" i="41"/>
  <c r="M39" i="41"/>
  <c r="J42" i="41"/>
  <c r="L42" i="41"/>
  <c r="F55" i="41"/>
  <c r="F9" i="41"/>
  <c r="M50" i="41"/>
  <c r="G52" i="41"/>
  <c r="H55" i="41"/>
  <c r="H49" i="41"/>
  <c r="J44" i="41"/>
  <c r="G42" i="41"/>
  <c r="H39" i="41"/>
  <c r="K30" i="41"/>
  <c r="G29" i="41"/>
  <c r="L36" i="41"/>
  <c r="K49" i="41"/>
  <c r="K47" i="41"/>
  <c r="K38" i="41"/>
  <c r="K29" i="41"/>
  <c r="L63" i="41"/>
  <c r="L41" i="41"/>
  <c r="L28" i="41"/>
  <c r="F56" i="41"/>
  <c r="F29" i="41"/>
  <c r="F26" i="41"/>
  <c r="M55" i="41"/>
  <c r="M56" i="41"/>
  <c r="M25" i="41"/>
  <c r="M9" i="41"/>
  <c r="G41" i="41"/>
  <c r="G51" i="41"/>
  <c r="G26" i="41"/>
  <c r="G44" i="41"/>
  <c r="H63" i="41"/>
  <c r="H9" i="41"/>
  <c r="H38" i="41"/>
  <c r="I49" i="41"/>
  <c r="I52" i="41"/>
  <c r="I28" i="41"/>
  <c r="G25" i="41"/>
  <c r="L30" i="41"/>
  <c r="J64" i="41"/>
  <c r="J75" i="41"/>
  <c r="J77" i="41" s="1"/>
  <c r="J39" i="41"/>
  <c r="J32" i="41"/>
  <c r="K8" i="41"/>
  <c r="H25" i="41"/>
  <c r="K31" i="41"/>
  <c r="J52" i="41"/>
  <c r="K9" i="41"/>
  <c r="J33" i="41"/>
  <c r="K52" i="41"/>
  <c r="F50" i="41"/>
  <c r="M38" i="41"/>
  <c r="G46" i="41"/>
  <c r="H40" i="41"/>
  <c r="I51" i="41"/>
  <c r="K27" i="41"/>
  <c r="M76" i="41"/>
  <c r="I43" i="41"/>
  <c r="J43" i="41"/>
  <c r="H8" i="41"/>
  <c r="M31" i="41"/>
  <c r="K75" i="41"/>
  <c r="K76" i="41"/>
  <c r="K32" i="41"/>
  <c r="K25" i="41"/>
  <c r="I25" i="41"/>
  <c r="L31" i="41"/>
  <c r="L51" i="41"/>
  <c r="L52" i="41"/>
  <c r="L37" i="41"/>
  <c r="L34" i="41"/>
  <c r="F47" i="41"/>
  <c r="F42" i="41"/>
  <c r="F25" i="41"/>
  <c r="F36" i="41"/>
  <c r="G8" i="41"/>
  <c r="M49" i="41"/>
  <c r="M47" i="41"/>
  <c r="M51" i="41"/>
  <c r="M22" i="41"/>
  <c r="G75" i="41"/>
  <c r="G37" i="41"/>
  <c r="G49" i="41"/>
  <c r="H56" i="41"/>
  <c r="H42" i="41"/>
  <c r="H52" i="41"/>
  <c r="H37" i="41"/>
  <c r="H35" i="41"/>
  <c r="G33" i="41"/>
  <c r="I42" i="41"/>
  <c r="I56" i="41"/>
  <c r="I41" i="41"/>
  <c r="F31" i="41"/>
  <c r="J63" i="41"/>
  <c r="J31" i="41"/>
  <c r="J28" i="41"/>
  <c r="L26" i="41"/>
  <c r="J27" i="41"/>
  <c r="F5" i="41"/>
  <c r="L76" i="41"/>
  <c r="L46" i="41"/>
  <c r="M43" i="41"/>
  <c r="H50" i="41"/>
  <c r="K26" i="41"/>
  <c r="I27" i="41"/>
  <c r="F27" i="41"/>
  <c r="M26" i="41"/>
  <c r="H26" i="41"/>
  <c r="I35" i="41"/>
  <c r="J50" i="41"/>
  <c r="M27" i="41"/>
  <c r="I5" i="41"/>
  <c r="K51" i="41"/>
  <c r="K63" i="41"/>
  <c r="K64" i="41"/>
  <c r="K28" i="41"/>
  <c r="K22" i="41"/>
  <c r="L55" i="41"/>
  <c r="L44" i="41"/>
  <c r="F49" i="41"/>
  <c r="F38" i="41"/>
  <c r="F22" i="41"/>
  <c r="I30" i="41"/>
  <c r="J26" i="41"/>
  <c r="M75" i="41"/>
  <c r="M46" i="41"/>
  <c r="G63" i="41"/>
  <c r="G76" i="41"/>
  <c r="G36" i="41"/>
  <c r="H51" i="41"/>
  <c r="H44" i="41"/>
  <c r="H36" i="41"/>
  <c r="J37" i="41"/>
  <c r="I38" i="41"/>
  <c r="I47" i="41"/>
  <c r="I31" i="41"/>
  <c r="M63" i="41"/>
  <c r="G55" i="41"/>
  <c r="I8" i="41"/>
  <c r="I40" i="41"/>
  <c r="J51" i="41"/>
  <c r="I22" i="41"/>
  <c r="J30" i="41"/>
  <c r="H27" i="41"/>
  <c r="M5" i="41"/>
  <c r="M8" i="41"/>
  <c r="K55" i="41"/>
  <c r="L40" i="41"/>
  <c r="F75" i="41"/>
  <c r="G64" i="41"/>
  <c r="J8" i="41"/>
  <c r="I34" i="41"/>
  <c r="M33" i="41"/>
  <c r="H64" i="41"/>
  <c r="I64" i="41"/>
  <c r="J25" i="41"/>
  <c r="F28" i="41"/>
  <c r="K46" i="41"/>
  <c r="K44" i="41"/>
  <c r="K50" i="41"/>
  <c r="K34" i="41"/>
  <c r="J22" i="41"/>
  <c r="L27" i="41"/>
  <c r="J34" i="41"/>
  <c r="L43" i="41"/>
  <c r="L56" i="41"/>
  <c r="L38" i="41"/>
  <c r="F63" i="41"/>
  <c r="F41" i="41"/>
  <c r="F46" i="41"/>
  <c r="F51" i="41"/>
  <c r="I26" i="41"/>
  <c r="G9" i="41"/>
  <c r="M28" i="41"/>
  <c r="M52" i="41"/>
  <c r="M41" i="41"/>
  <c r="M34" i="41"/>
  <c r="G56" i="41"/>
  <c r="G40" i="41"/>
  <c r="G31" i="41"/>
  <c r="H41" i="41"/>
  <c r="H46" i="41"/>
  <c r="H34" i="41"/>
  <c r="I50" i="41"/>
  <c r="I55" i="41"/>
  <c r="I57" i="41" s="1"/>
  <c r="I37" i="41"/>
  <c r="I63" i="41"/>
  <c r="H22" i="41"/>
  <c r="H33" i="41"/>
  <c r="J55" i="41"/>
  <c r="J40" i="41"/>
  <c r="J35" i="41"/>
  <c r="G35" i="41"/>
  <c r="J9" i="41"/>
  <c r="K37" i="41"/>
  <c r="J46" i="41"/>
  <c r="H29" i="41"/>
  <c r="J36" i="41"/>
  <c r="J56" i="41"/>
  <c r="F32" i="41"/>
  <c r="K36" i="41"/>
  <c r="K42" i="41"/>
  <c r="I29" i="41"/>
  <c r="L29" i="41"/>
  <c r="F39" i="41"/>
  <c r="J29" i="41"/>
  <c r="K43" i="41"/>
  <c r="K40" i="41"/>
  <c r="K41" i="41"/>
  <c r="L8" i="41"/>
  <c r="M35" i="41"/>
  <c r="L39" i="41"/>
  <c r="L47" i="41"/>
  <c r="L64" i="41"/>
  <c r="L33" i="41"/>
  <c r="F52" i="41"/>
  <c r="F76" i="41"/>
  <c r="F43" i="41"/>
  <c r="F37" i="41"/>
  <c r="F35" i="41"/>
  <c r="J5" i="41"/>
  <c r="H32" i="41"/>
  <c r="M44" i="41"/>
  <c r="M37" i="41"/>
  <c r="M42" i="41"/>
  <c r="M30" i="41"/>
  <c r="G47" i="41"/>
  <c r="G39" i="41"/>
  <c r="G27" i="41"/>
  <c r="H76" i="41"/>
  <c r="H43" i="41"/>
  <c r="H30" i="41"/>
  <c r="H31" i="41"/>
  <c r="I9" i="41"/>
  <c r="G22" i="41"/>
  <c r="I76" i="41"/>
  <c r="I46" i="41"/>
  <c r="I36" i="41"/>
  <c r="I75" i="41"/>
  <c r="I44" i="41"/>
  <c r="H5" i="41"/>
  <c r="H67" i="41" s="1"/>
  <c r="E22" i="14" s="1"/>
  <c r="K39" i="41"/>
  <c r="L49" i="41"/>
  <c r="L35" i="41"/>
  <c r="F44" i="41"/>
  <c r="F64" i="41"/>
  <c r="F34" i="41"/>
  <c r="M40" i="41"/>
  <c r="G34" i="41"/>
  <c r="J47" i="41"/>
  <c r="I33" i="41"/>
  <c r="R65" i="41"/>
  <c r="O65" i="41"/>
  <c r="U65" i="41"/>
  <c r="V65" i="41"/>
  <c r="T65" i="41"/>
  <c r="W65" i="41"/>
  <c r="P65" i="41"/>
  <c r="X65" i="41"/>
  <c r="Q65" i="41"/>
  <c r="Y65" i="41"/>
  <c r="S65" i="41"/>
  <c r="N65" i="41"/>
  <c r="H11" i="13"/>
  <c r="K11" i="41"/>
  <c r="J11" i="41"/>
  <c r="M11" i="41"/>
  <c r="I11" i="41"/>
  <c r="G11" i="41"/>
  <c r="L11" i="41"/>
  <c r="H11" i="41"/>
  <c r="F11" i="41"/>
  <c r="G84" i="13"/>
  <c r="E237" i="14" s="1"/>
  <c r="F237" i="14" s="1"/>
  <c r="F84" i="13"/>
  <c r="E236" i="14" s="1"/>
  <c r="J84" i="13"/>
  <c r="E240" i="14" s="1"/>
  <c r="F240" i="14" s="1"/>
  <c r="M84" i="13"/>
  <c r="E243" i="14" s="1"/>
  <c r="F243" i="14" s="1"/>
  <c r="I84" i="13"/>
  <c r="E239" i="14" s="1"/>
  <c r="F239" i="14" s="1"/>
  <c r="L84" i="13"/>
  <c r="E242" i="14" s="1"/>
  <c r="F242" i="14" s="1"/>
  <c r="H84" i="13"/>
  <c r="E238" i="14" s="1"/>
  <c r="F238" i="14" s="1"/>
  <c r="K84" i="13"/>
  <c r="E241" i="14" s="1"/>
  <c r="F241" i="14" s="1"/>
  <c r="C81" i="13"/>
  <c r="J64" i="13"/>
  <c r="F46" i="13"/>
  <c r="F32" i="13"/>
  <c r="F40" i="13"/>
  <c r="J28" i="13"/>
  <c r="J36" i="13"/>
  <c r="J44" i="13"/>
  <c r="K28" i="13"/>
  <c r="K36" i="13"/>
  <c r="K44" i="13"/>
  <c r="G28" i="13"/>
  <c r="G36" i="13"/>
  <c r="G44" i="13"/>
  <c r="H32" i="13"/>
  <c r="H40" i="13"/>
  <c r="L28" i="13"/>
  <c r="L36" i="13"/>
  <c r="L44" i="13"/>
  <c r="I28" i="13"/>
  <c r="I36" i="13"/>
  <c r="M32" i="13"/>
  <c r="M40" i="13"/>
  <c r="F30" i="13"/>
  <c r="K26" i="13"/>
  <c r="H38" i="13"/>
  <c r="M30" i="13"/>
  <c r="F64" i="13"/>
  <c r="F33" i="13"/>
  <c r="F41" i="13"/>
  <c r="J29" i="13"/>
  <c r="J37" i="13"/>
  <c r="K29" i="13"/>
  <c r="K37" i="13"/>
  <c r="G29" i="13"/>
  <c r="G37" i="13"/>
  <c r="H33" i="13"/>
  <c r="H41" i="13"/>
  <c r="L29" i="13"/>
  <c r="L37" i="13"/>
  <c r="I29" i="13"/>
  <c r="I37" i="13"/>
  <c r="I44" i="13"/>
  <c r="M33" i="13"/>
  <c r="M41" i="13"/>
  <c r="K42" i="13"/>
  <c r="H30" i="13"/>
  <c r="M64" i="13"/>
  <c r="I64" i="13"/>
  <c r="G46" i="13"/>
  <c r="F26" i="13"/>
  <c r="F34" i="13"/>
  <c r="F42" i="13"/>
  <c r="J30" i="13"/>
  <c r="J38" i="13"/>
  <c r="K30" i="13"/>
  <c r="K38" i="13"/>
  <c r="G30" i="13"/>
  <c r="G38" i="13"/>
  <c r="H26" i="13"/>
  <c r="H34" i="13"/>
  <c r="H42" i="13"/>
  <c r="L30" i="13"/>
  <c r="L38" i="13"/>
  <c r="I30" i="13"/>
  <c r="I38" i="13"/>
  <c r="M26" i="13"/>
  <c r="M34" i="13"/>
  <c r="M42" i="13"/>
  <c r="J34" i="13"/>
  <c r="G34" i="13"/>
  <c r="L42" i="13"/>
  <c r="G64" i="13"/>
  <c r="F27" i="13"/>
  <c r="F35" i="13"/>
  <c r="F43" i="13"/>
  <c r="J31" i="13"/>
  <c r="J39" i="13"/>
  <c r="K31" i="13"/>
  <c r="K39" i="13"/>
  <c r="G31" i="13"/>
  <c r="G39" i="13"/>
  <c r="H27" i="13"/>
  <c r="H35" i="13"/>
  <c r="H43" i="13"/>
  <c r="L31" i="13"/>
  <c r="L39" i="13"/>
  <c r="I31" i="13"/>
  <c r="I39" i="13"/>
  <c r="M27" i="13"/>
  <c r="M35" i="13"/>
  <c r="M43" i="13"/>
  <c r="K64" i="13"/>
  <c r="K34" i="13"/>
  <c r="L26" i="13"/>
  <c r="I26" i="13"/>
  <c r="L64" i="13"/>
  <c r="H64" i="13"/>
  <c r="F28" i="13"/>
  <c r="F36" i="13"/>
  <c r="F44" i="13"/>
  <c r="J32" i="13"/>
  <c r="J40" i="13"/>
  <c r="K32" i="13"/>
  <c r="K40" i="13"/>
  <c r="G32" i="13"/>
  <c r="G40" i="13"/>
  <c r="H28" i="13"/>
  <c r="H36" i="13"/>
  <c r="H44" i="13"/>
  <c r="L32" i="13"/>
  <c r="L40" i="13"/>
  <c r="I32" i="13"/>
  <c r="I40" i="13"/>
  <c r="M28" i="13"/>
  <c r="M36" i="13"/>
  <c r="F38" i="13"/>
  <c r="G26" i="13"/>
  <c r="M38" i="13"/>
  <c r="F29" i="13"/>
  <c r="F37" i="13"/>
  <c r="J33" i="13"/>
  <c r="J41" i="13"/>
  <c r="K33" i="13"/>
  <c r="K41" i="13"/>
  <c r="G33" i="13"/>
  <c r="G41" i="13"/>
  <c r="H29" i="13"/>
  <c r="H37" i="13"/>
  <c r="L33" i="13"/>
  <c r="L41" i="13"/>
  <c r="I33" i="13"/>
  <c r="I41" i="13"/>
  <c r="M29" i="13"/>
  <c r="M37" i="13"/>
  <c r="M44" i="13"/>
  <c r="J42" i="13"/>
  <c r="L34" i="13"/>
  <c r="I42" i="13"/>
  <c r="F31" i="13"/>
  <c r="F39" i="13"/>
  <c r="J27" i="13"/>
  <c r="J35" i="13"/>
  <c r="J43" i="13"/>
  <c r="K27" i="13"/>
  <c r="K35" i="13"/>
  <c r="K43" i="13"/>
  <c r="G27" i="13"/>
  <c r="G35" i="13"/>
  <c r="G43" i="13"/>
  <c r="H31" i="13"/>
  <c r="H39" i="13"/>
  <c r="L27" i="13"/>
  <c r="L35" i="13"/>
  <c r="L43" i="13"/>
  <c r="I27" i="13"/>
  <c r="I35" i="13"/>
  <c r="I43" i="13"/>
  <c r="M31" i="13"/>
  <c r="M39" i="13"/>
  <c r="J26" i="13"/>
  <c r="G42" i="13"/>
  <c r="I34" i="13"/>
  <c r="C80" i="13"/>
  <c r="I45" i="13"/>
  <c r="J45" i="13"/>
  <c r="K45" i="13"/>
  <c r="G45" i="13"/>
  <c r="L45" i="13"/>
  <c r="M45" i="13"/>
  <c r="F45" i="13"/>
  <c r="H45" i="13"/>
  <c r="L11" i="13"/>
  <c r="M11" i="13"/>
  <c r="J11" i="13"/>
  <c r="K11" i="13"/>
  <c r="I11" i="13"/>
  <c r="O71" i="2"/>
  <c r="S71" i="2" s="1"/>
  <c r="Y71" i="2" s="1"/>
  <c r="AC71" i="2" s="1"/>
  <c r="AI71" i="2" s="1"/>
  <c r="AM71" i="2" s="1"/>
  <c r="AS71" i="2" s="1"/>
  <c r="I86" i="2"/>
  <c r="I91" i="2" s="1"/>
  <c r="T71" i="2"/>
  <c r="X71" i="2" s="1"/>
  <c r="AD71" i="2" s="1"/>
  <c r="AH71" i="2" s="1"/>
  <c r="AN71" i="2" s="1"/>
  <c r="AR71" i="2" s="1"/>
  <c r="AX71" i="2" s="1"/>
  <c r="BB71" i="2" s="1"/>
  <c r="O48" i="2"/>
  <c r="F11" i="13"/>
  <c r="G11" i="13"/>
  <c r="N21" i="14"/>
  <c r="N37" i="14"/>
  <c r="N34" i="14"/>
  <c r="N32" i="14"/>
  <c r="N27" i="14"/>
  <c r="N25" i="14"/>
  <c r="N22" i="14"/>
  <c r="N38" i="14"/>
  <c r="N36" i="14"/>
  <c r="N31" i="14"/>
  <c r="N29" i="14"/>
  <c r="N26" i="14"/>
  <c r="N24" i="14"/>
  <c r="N20" i="14"/>
  <c r="N35" i="14"/>
  <c r="N33" i="14"/>
  <c r="N30" i="14"/>
  <c r="N28" i="14"/>
  <c r="N23" i="14"/>
  <c r="N39" i="14"/>
  <c r="J65" i="13"/>
  <c r="G65" i="13"/>
  <c r="K65" i="13"/>
  <c r="O65" i="13"/>
  <c r="S65" i="13"/>
  <c r="W65" i="13"/>
  <c r="H65" i="13"/>
  <c r="L65" i="13"/>
  <c r="P65" i="13"/>
  <c r="T65" i="13"/>
  <c r="X65" i="13"/>
  <c r="I65" i="13"/>
  <c r="M65" i="13"/>
  <c r="F79" i="14" s="1"/>
  <c r="Q65" i="13"/>
  <c r="U65" i="13"/>
  <c r="Y65" i="13"/>
  <c r="N65" i="13"/>
  <c r="R65" i="13"/>
  <c r="V65" i="13"/>
  <c r="F65" i="13"/>
  <c r="S35" i="2"/>
  <c r="Y35" i="2" s="1"/>
  <c r="AC35" i="2" s="1"/>
  <c r="AI35" i="2" s="1"/>
  <c r="AM35" i="2" s="1"/>
  <c r="AS35" i="2" s="1"/>
  <c r="AW35" i="2" s="1"/>
  <c r="BC35" i="2" s="1"/>
  <c r="BG35" i="2" s="1"/>
  <c r="S31" i="2"/>
  <c r="Y31" i="2" s="1"/>
  <c r="AC31" i="2" s="1"/>
  <c r="AI31" i="2" s="1"/>
  <c r="AM31" i="2" s="1"/>
  <c r="AS31" i="2" s="1"/>
  <c r="AW31" i="2" s="1"/>
  <c r="BC31" i="2" s="1"/>
  <c r="BG31" i="2" s="1"/>
  <c r="S75" i="2"/>
  <c r="Y75" i="2" s="1"/>
  <c r="AC75" i="2" s="1"/>
  <c r="AI75" i="2" s="1"/>
  <c r="AM75" i="2" s="1"/>
  <c r="AS75" i="2" s="1"/>
  <c r="S99" i="2"/>
  <c r="Y99" i="2" s="1"/>
  <c r="AC99" i="2" s="1"/>
  <c r="AI99" i="2" s="1"/>
  <c r="AM99" i="2" s="1"/>
  <c r="AS99" i="2" s="1"/>
  <c r="AW99" i="2" s="1"/>
  <c r="BC99" i="2" s="1"/>
  <c r="BG99" i="2" s="1"/>
  <c r="S95" i="2"/>
  <c r="Y95" i="2" s="1"/>
  <c r="AC95" i="2" s="1"/>
  <c r="AI95" i="2" s="1"/>
  <c r="AM95" i="2" s="1"/>
  <c r="AS95" i="2" s="1"/>
  <c r="Y83" i="2"/>
  <c r="AC83" i="2" s="1"/>
  <c r="AI83" i="2" s="1"/>
  <c r="AM83" i="2" s="1"/>
  <c r="AS83" i="2" s="1"/>
  <c r="AW83" i="2" s="1"/>
  <c r="BC83" i="2" s="1"/>
  <c r="BG83" i="2" s="1"/>
  <c r="S30" i="2"/>
  <c r="Y30" i="2" s="1"/>
  <c r="AC30" i="2" s="1"/>
  <c r="AI30" i="2" s="1"/>
  <c r="AM30" i="2" s="1"/>
  <c r="AS30" i="2" s="1"/>
  <c r="AW30" i="2" s="1"/>
  <c r="BC30" i="2" s="1"/>
  <c r="BG30" i="2" s="1"/>
  <c r="S78" i="2"/>
  <c r="Y78" i="2" s="1"/>
  <c r="AC78" i="2" s="1"/>
  <c r="AI78" i="2" s="1"/>
  <c r="AM78" i="2" s="1"/>
  <c r="AS78" i="2" s="1"/>
  <c r="AW78" i="2" s="1"/>
  <c r="BC78" i="2" s="1"/>
  <c r="BG78" i="2" s="1"/>
  <c r="S98" i="2"/>
  <c r="Y98" i="2" s="1"/>
  <c r="AC98" i="2" s="1"/>
  <c r="AI98" i="2" s="1"/>
  <c r="AM98" i="2" s="1"/>
  <c r="AS98" i="2" s="1"/>
  <c r="Y49" i="2"/>
  <c r="AC49" i="2" s="1"/>
  <c r="AI49" i="2" s="1"/>
  <c r="AM49" i="2" s="1"/>
  <c r="AS49" i="2" s="1"/>
  <c r="S101" i="2"/>
  <c r="Y101" i="2" s="1"/>
  <c r="AC101" i="2" s="1"/>
  <c r="AI101" i="2" s="1"/>
  <c r="AM101" i="2" s="1"/>
  <c r="AS101" i="2" s="1"/>
  <c r="AW101" i="2" s="1"/>
  <c r="BC101" i="2" s="1"/>
  <c r="BG101" i="2" s="1"/>
  <c r="S103" i="2"/>
  <c r="Y103" i="2" s="1"/>
  <c r="AC103" i="2" s="1"/>
  <c r="AI103" i="2" s="1"/>
  <c r="AM103" i="2" s="1"/>
  <c r="AS103" i="2" s="1"/>
  <c r="AW103" i="2" s="1"/>
  <c r="BC103" i="2" s="1"/>
  <c r="BG103" i="2" s="1"/>
  <c r="K37" i="22"/>
  <c r="S33" i="2"/>
  <c r="Y33" i="2" s="1"/>
  <c r="AC33" i="2" s="1"/>
  <c r="AI33" i="2" s="1"/>
  <c r="AM33" i="2" s="1"/>
  <c r="AS33" i="2" s="1"/>
  <c r="AW33" i="2" s="1"/>
  <c r="BC33" i="2" s="1"/>
  <c r="BG33" i="2" s="1"/>
  <c r="S29" i="2"/>
  <c r="Y29" i="2" s="1"/>
  <c r="AC29" i="2" s="1"/>
  <c r="AI29" i="2" s="1"/>
  <c r="AM29" i="2" s="1"/>
  <c r="AS29" i="2" s="1"/>
  <c r="AW29" i="2" s="1"/>
  <c r="BC29" i="2" s="1"/>
  <c r="BG29" i="2" s="1"/>
  <c r="S77" i="2"/>
  <c r="Y77" i="2" s="1"/>
  <c r="AC77" i="2" s="1"/>
  <c r="AI77" i="2" s="1"/>
  <c r="AM77" i="2" s="1"/>
  <c r="AS77" i="2" s="1"/>
  <c r="S73" i="2"/>
  <c r="Y73" i="2" s="1"/>
  <c r="AC73" i="2" s="1"/>
  <c r="AI73" i="2" s="1"/>
  <c r="AM73" i="2" s="1"/>
  <c r="AS73" i="2" s="1"/>
  <c r="S97" i="2"/>
  <c r="Y97" i="2" s="1"/>
  <c r="AC97" i="2" s="1"/>
  <c r="AI97" i="2" s="1"/>
  <c r="AM97" i="2" s="1"/>
  <c r="AS97" i="2" s="1"/>
  <c r="S37" i="2"/>
  <c r="Y37" i="2" s="1"/>
  <c r="AC37" i="2" s="1"/>
  <c r="AI37" i="2" s="1"/>
  <c r="AM37" i="2" s="1"/>
  <c r="AS37" i="2" s="1"/>
  <c r="AW37" i="2" s="1"/>
  <c r="BC37" i="2" s="1"/>
  <c r="BG37" i="2" s="1"/>
  <c r="S32" i="2"/>
  <c r="Y32" i="2" s="1"/>
  <c r="S76" i="2"/>
  <c r="Y76" i="2" s="1"/>
  <c r="AC76" i="2" s="1"/>
  <c r="AI76" i="2" s="1"/>
  <c r="AM76" i="2" s="1"/>
  <c r="AS76" i="2" s="1"/>
  <c r="AW76" i="2" s="1"/>
  <c r="BC76" i="2" s="1"/>
  <c r="BG76" i="2" s="1"/>
  <c r="S100" i="2"/>
  <c r="Y100" i="2" s="1"/>
  <c r="AC100" i="2" s="1"/>
  <c r="AI100" i="2" s="1"/>
  <c r="AM100" i="2" s="1"/>
  <c r="AS100" i="2" s="1"/>
  <c r="AW100" i="2" s="1"/>
  <c r="BC100" i="2" s="1"/>
  <c r="BG100" i="2" s="1"/>
  <c r="S96" i="2"/>
  <c r="Y96" i="2" s="1"/>
  <c r="AC96" i="2" s="1"/>
  <c r="AI96" i="2" s="1"/>
  <c r="AM96" i="2" s="1"/>
  <c r="AS96" i="2" s="1"/>
  <c r="S102" i="2"/>
  <c r="Y102" i="2" s="1"/>
  <c r="AC102" i="2" s="1"/>
  <c r="AI102" i="2" s="1"/>
  <c r="AM102" i="2" s="1"/>
  <c r="AS102" i="2" s="1"/>
  <c r="AW102" i="2" s="1"/>
  <c r="BC102" i="2" s="1"/>
  <c r="BG102" i="2" s="1"/>
  <c r="S104" i="2"/>
  <c r="Y104" i="2" s="1"/>
  <c r="AC104" i="2" s="1"/>
  <c r="AI104" i="2" s="1"/>
  <c r="AM104" i="2" s="1"/>
  <c r="AS104" i="2" s="1"/>
  <c r="AW104" i="2" s="1"/>
  <c r="BC104" i="2" s="1"/>
  <c r="BG104" i="2" s="1"/>
  <c r="I36" i="16"/>
  <c r="I35" i="16"/>
  <c r="S51" i="2"/>
  <c r="Y51" i="2" s="1"/>
  <c r="AC51" i="2" s="1"/>
  <c r="AI51" i="2" s="1"/>
  <c r="AM51" i="2" s="1"/>
  <c r="AS51" i="2" s="1"/>
  <c r="AW51" i="2" s="1"/>
  <c r="BC51" i="2" s="1"/>
  <c r="BG51" i="2" s="1"/>
  <c r="S72" i="2"/>
  <c r="Y72" i="2" s="1"/>
  <c r="AC72" i="2" s="1"/>
  <c r="AI72" i="2" s="1"/>
  <c r="AM72" i="2" s="1"/>
  <c r="AS72" i="2" s="1"/>
  <c r="AC88" i="2"/>
  <c r="AI88" i="2" s="1"/>
  <c r="AM88" i="2" s="1"/>
  <c r="AS88" i="2" s="1"/>
  <c r="AW88" i="2" s="1"/>
  <c r="BC88" i="2" s="1"/>
  <c r="BG88" i="2" s="1"/>
  <c r="AC74" i="2"/>
  <c r="AI74" i="2" s="1"/>
  <c r="AM74" i="2" s="1"/>
  <c r="AS74" i="2" s="1"/>
  <c r="AW50" i="2"/>
  <c r="BC50" i="2" s="1"/>
  <c r="BG50" i="2" s="1"/>
  <c r="BO50" i="2" s="1"/>
  <c r="BO39" i="2"/>
  <c r="BT39" i="2" s="1"/>
  <c r="BW39" i="2"/>
  <c r="AW25" i="2"/>
  <c r="BC25" i="2" s="1"/>
  <c r="BG25" i="2" s="1"/>
  <c r="T82" i="2"/>
  <c r="X82" i="2" s="1"/>
  <c r="AD82" i="2" s="1"/>
  <c r="AH82" i="2" s="1"/>
  <c r="AN82" i="2" s="1"/>
  <c r="AR82" i="2" s="1"/>
  <c r="AX82" i="2" s="1"/>
  <c r="BB82" i="2" s="1"/>
  <c r="BH82" i="2" s="1"/>
  <c r="BL82" i="2" s="1"/>
  <c r="BP82" i="2" s="1"/>
  <c r="BS82" i="2" s="1"/>
  <c r="T48" i="2"/>
  <c r="T86" i="2" s="1"/>
  <c r="T91" i="2" s="1"/>
  <c r="N80" i="2"/>
  <c r="Y34" i="2"/>
  <c r="Q63" i="13"/>
  <c r="P63" i="13"/>
  <c r="O63" i="13"/>
  <c r="N63" i="13"/>
  <c r="I5" i="16"/>
  <c r="C42" i="11"/>
  <c r="N45" i="2"/>
  <c r="F32" i="16"/>
  <c r="G41" i="16"/>
  <c r="G23" i="16"/>
  <c r="D40" i="16"/>
  <c r="D190" i="14"/>
  <c r="D189" i="14"/>
  <c r="G28" i="16"/>
  <c r="G13" i="16"/>
  <c r="D42" i="16"/>
  <c r="G39" i="16"/>
  <c r="F27" i="16"/>
  <c r="F22" i="16"/>
  <c r="F17" i="16"/>
  <c r="F12" i="16"/>
  <c r="I38" i="16"/>
  <c r="I30" i="16"/>
  <c r="D21" i="16"/>
  <c r="I15" i="16"/>
  <c r="G10" i="16"/>
  <c r="F44" i="16"/>
  <c r="G37" i="16"/>
  <c r="G29" i="16"/>
  <c r="I24" i="16"/>
  <c r="G14" i="16"/>
  <c r="G8" i="16"/>
  <c r="I43" i="16"/>
  <c r="I42" i="16"/>
  <c r="F41" i="16"/>
  <c r="I40" i="16"/>
  <c r="F39" i="16"/>
  <c r="G38" i="16"/>
  <c r="F37" i="16"/>
  <c r="G30" i="16"/>
  <c r="F29" i="16"/>
  <c r="F28" i="16"/>
  <c r="I25" i="16"/>
  <c r="G24" i="16"/>
  <c r="F23" i="16"/>
  <c r="I21" i="16"/>
  <c r="I20" i="16"/>
  <c r="I16" i="16"/>
  <c r="G15" i="16"/>
  <c r="F14" i="16"/>
  <c r="F13" i="16"/>
  <c r="I11" i="16"/>
  <c r="F10" i="16"/>
  <c r="G7" i="16"/>
  <c r="I44" i="16"/>
  <c r="G43" i="16"/>
  <c r="G42" i="16"/>
  <c r="G40" i="16"/>
  <c r="J39" i="16"/>
  <c r="D39" i="16"/>
  <c r="F38" i="16"/>
  <c r="I32" i="16"/>
  <c r="F30" i="16"/>
  <c r="D29" i="16"/>
  <c r="I27" i="16"/>
  <c r="I26" i="16"/>
  <c r="G25" i="16"/>
  <c r="F24" i="16"/>
  <c r="I22" i="16"/>
  <c r="G21" i="16"/>
  <c r="G20" i="16"/>
  <c r="I17" i="16"/>
  <c r="G16" i="16"/>
  <c r="F15" i="16"/>
  <c r="G11" i="16"/>
  <c r="G9" i="16"/>
  <c r="F7" i="16"/>
  <c r="I4" i="16"/>
  <c r="G44" i="16"/>
  <c r="F43" i="16"/>
  <c r="F42" i="16"/>
  <c r="I41" i="16"/>
  <c r="F40" i="16"/>
  <c r="I39" i="16"/>
  <c r="C39" i="16"/>
  <c r="E39" i="16" s="1"/>
  <c r="H39" i="16" s="1"/>
  <c r="I37" i="16"/>
  <c r="G32" i="16"/>
  <c r="I29" i="16"/>
  <c r="I28" i="16"/>
  <c r="G27" i="16"/>
  <c r="G26" i="16"/>
  <c r="F25" i="16"/>
  <c r="I23" i="16"/>
  <c r="G22" i="16"/>
  <c r="F21" i="16"/>
  <c r="F20" i="16"/>
  <c r="G17" i="16"/>
  <c r="F16" i="16"/>
  <c r="I14" i="16"/>
  <c r="I13" i="16"/>
  <c r="I12" i="16"/>
  <c r="I10" i="16"/>
  <c r="F9" i="16"/>
  <c r="F6" i="16"/>
  <c r="BV44" i="2"/>
  <c r="BO36" i="2"/>
  <c r="BW36" i="2"/>
  <c r="I80" i="2"/>
  <c r="D7" i="16"/>
  <c r="C30" i="16"/>
  <c r="C29" i="16"/>
  <c r="E29" i="16" s="1"/>
  <c r="H29" i="16" s="1"/>
  <c r="L85" i="2"/>
  <c r="T24" i="2"/>
  <c r="I45" i="2"/>
  <c r="K85" i="2"/>
  <c r="BH95" i="2"/>
  <c r="BL95" i="2" s="1"/>
  <c r="BP95" i="2" s="1"/>
  <c r="BH104" i="2"/>
  <c r="BL104" i="2" s="1"/>
  <c r="BP104" i="2" s="1"/>
  <c r="BS104" i="2" s="1"/>
  <c r="O24" i="2"/>
  <c r="BH96" i="2"/>
  <c r="BL96" i="2" s="1"/>
  <c r="BP96" i="2" s="1"/>
  <c r="F85" i="2"/>
  <c r="Z85" i="2"/>
  <c r="AP85" i="2"/>
  <c r="AU85" i="2"/>
  <c r="BH72" i="2"/>
  <c r="BL72" i="2" s="1"/>
  <c r="BP72" i="2" s="1"/>
  <c r="BH50" i="2"/>
  <c r="BL50" i="2" s="1"/>
  <c r="BP50" i="2" s="1"/>
  <c r="C23" i="16"/>
  <c r="AF85" i="2"/>
  <c r="R85" i="2"/>
  <c r="O45" i="2"/>
  <c r="Q85" i="2"/>
  <c r="M85" i="2"/>
  <c r="G85" i="2"/>
  <c r="AK85" i="2"/>
  <c r="BH71" i="2"/>
  <c r="BL71" i="2" s="1"/>
  <c r="BP71" i="2" s="1"/>
  <c r="O82" i="2"/>
  <c r="S82" i="2" s="1"/>
  <c r="D20" i="16"/>
  <c r="BH101" i="2"/>
  <c r="BL101" i="2" s="1"/>
  <c r="BP101" i="2" s="1"/>
  <c r="BS101" i="2" s="1"/>
  <c r="BH103" i="2"/>
  <c r="BL103" i="2" s="1"/>
  <c r="BP103" i="2" s="1"/>
  <c r="BS103" i="2" s="1"/>
  <c r="J29" i="16"/>
  <c r="M75" i="13"/>
  <c r="H35" i="14"/>
  <c r="D28" i="14"/>
  <c r="F28" i="14" s="1"/>
  <c r="H30" i="14"/>
  <c r="D32" i="14"/>
  <c r="F32" i="14" s="1"/>
  <c r="H34" i="14"/>
  <c r="Y7" i="13"/>
  <c r="Y10" i="13"/>
  <c r="X10" i="13"/>
  <c r="X7" i="13"/>
  <c r="W7" i="13"/>
  <c r="W10" i="13"/>
  <c r="V7" i="13"/>
  <c r="V10" i="13"/>
  <c r="U10" i="13"/>
  <c r="U7" i="13"/>
  <c r="T10" i="13"/>
  <c r="T7" i="13"/>
  <c r="S10" i="13"/>
  <c r="S7" i="13"/>
  <c r="R10" i="13"/>
  <c r="R7" i="13"/>
  <c r="B211" i="14"/>
  <c r="E211" i="14" s="1"/>
  <c r="F211" i="14" s="1"/>
  <c r="B210" i="14"/>
  <c r="E210" i="14" s="1"/>
  <c r="F210" i="14" s="1"/>
  <c r="B209" i="14"/>
  <c r="E209" i="14" s="1"/>
  <c r="F209" i="14" s="1"/>
  <c r="B208" i="14"/>
  <c r="E208" i="14" s="1"/>
  <c r="F208" i="14" s="1"/>
  <c r="Y76" i="13"/>
  <c r="Y22" i="13"/>
  <c r="Y25" i="13"/>
  <c r="Y49" i="13"/>
  <c r="Y69" i="13"/>
  <c r="Y5" i="13"/>
  <c r="Y23" i="13"/>
  <c r="Y50" i="13"/>
  <c r="Y8" i="13"/>
  <c r="Y48" i="13"/>
  <c r="Y24" i="13"/>
  <c r="Y46" i="13"/>
  <c r="Y51" i="13"/>
  <c r="Y9" i="13"/>
  <c r="Y52" i="13"/>
  <c r="X76" i="13"/>
  <c r="X22" i="13"/>
  <c r="X24" i="13"/>
  <c r="X25" i="13"/>
  <c r="X46" i="13"/>
  <c r="X49" i="13"/>
  <c r="X51" i="13"/>
  <c r="X9" i="13"/>
  <c r="X69" i="13"/>
  <c r="X5" i="13"/>
  <c r="X23" i="13"/>
  <c r="X48" i="13"/>
  <c r="X50" i="13"/>
  <c r="X52" i="13"/>
  <c r="X8" i="13"/>
  <c r="W75" i="13"/>
  <c r="W22" i="13"/>
  <c r="W25" i="13"/>
  <c r="W49" i="13"/>
  <c r="W69" i="13"/>
  <c r="W5" i="13"/>
  <c r="W48" i="13"/>
  <c r="W52" i="13"/>
  <c r="W24" i="13"/>
  <c r="W46" i="13"/>
  <c r="W51" i="13"/>
  <c r="W9" i="13"/>
  <c r="W23" i="13"/>
  <c r="W50" i="13"/>
  <c r="W8" i="13"/>
  <c r="V75" i="13"/>
  <c r="V22" i="13"/>
  <c r="V23" i="13"/>
  <c r="V24" i="13"/>
  <c r="V25" i="13"/>
  <c r="V46" i="13"/>
  <c r="V48" i="13"/>
  <c r="V49" i="13"/>
  <c r="V50" i="13"/>
  <c r="V51" i="13"/>
  <c r="V52" i="13"/>
  <c r="V8" i="13"/>
  <c r="V9" i="13"/>
  <c r="V69" i="13"/>
  <c r="V5" i="13"/>
  <c r="U76" i="13"/>
  <c r="U22" i="13"/>
  <c r="U25" i="13"/>
  <c r="U49" i="13"/>
  <c r="U69" i="13"/>
  <c r="U5" i="13"/>
  <c r="U23" i="13"/>
  <c r="U50" i="13"/>
  <c r="U8" i="13"/>
  <c r="U24" i="13"/>
  <c r="U46" i="13"/>
  <c r="U51" i="13"/>
  <c r="U9" i="13"/>
  <c r="U48" i="13"/>
  <c r="U52" i="13"/>
  <c r="T76" i="13"/>
  <c r="T22" i="13"/>
  <c r="T24" i="13"/>
  <c r="T25" i="13"/>
  <c r="T46" i="13"/>
  <c r="T49" i="13"/>
  <c r="T51" i="13"/>
  <c r="T9" i="13"/>
  <c r="T69" i="13"/>
  <c r="T5" i="13"/>
  <c r="T23" i="13"/>
  <c r="T48" i="13"/>
  <c r="T50" i="13"/>
  <c r="T52" i="13"/>
  <c r="T8" i="13"/>
  <c r="S75" i="13"/>
  <c r="S22" i="13"/>
  <c r="S25" i="13"/>
  <c r="S49" i="13"/>
  <c r="S69" i="13"/>
  <c r="S5" i="13"/>
  <c r="S48" i="13"/>
  <c r="S52" i="13"/>
  <c r="S24" i="13"/>
  <c r="S46" i="13"/>
  <c r="S51" i="13"/>
  <c r="S9" i="13"/>
  <c r="S23" i="13"/>
  <c r="S50" i="13"/>
  <c r="S8" i="13"/>
  <c r="R76" i="13"/>
  <c r="R22" i="13"/>
  <c r="R23" i="13"/>
  <c r="R24" i="13"/>
  <c r="R25" i="13"/>
  <c r="R46" i="13"/>
  <c r="R48" i="13"/>
  <c r="R49" i="13"/>
  <c r="R50" i="13"/>
  <c r="R51" i="13"/>
  <c r="R52" i="13"/>
  <c r="R8" i="13"/>
  <c r="R9" i="13"/>
  <c r="R69" i="13"/>
  <c r="R5" i="13"/>
  <c r="Q76" i="13"/>
  <c r="Q23" i="13"/>
  <c r="P76" i="13"/>
  <c r="P23" i="13"/>
  <c r="N75" i="13"/>
  <c r="R75" i="13"/>
  <c r="B99" i="14"/>
  <c r="V76" i="13"/>
  <c r="Q75" i="13"/>
  <c r="P75" i="13"/>
  <c r="Y75" i="13"/>
  <c r="T75" i="13"/>
  <c r="B117" i="14"/>
  <c r="E117" i="14" s="1"/>
  <c r="X75" i="13"/>
  <c r="U75" i="13"/>
  <c r="B114" i="14"/>
  <c r="E114" i="14" s="1"/>
  <c r="B194" i="14"/>
  <c r="B113" i="14"/>
  <c r="E113" i="14" s="1"/>
  <c r="B112" i="14"/>
  <c r="E112" i="14" s="1"/>
  <c r="B109" i="14"/>
  <c r="E109" i="14" s="1"/>
  <c r="B107" i="14"/>
  <c r="E107" i="14" s="1"/>
  <c r="B106" i="14"/>
  <c r="B104" i="14"/>
  <c r="B184" i="14"/>
  <c r="BM85" i="2"/>
  <c r="H41" i="12"/>
  <c r="B101" i="14"/>
  <c r="B182" i="14"/>
  <c r="B100" i="14"/>
  <c r="B186" i="14"/>
  <c r="Y55" i="13"/>
  <c r="W55" i="13"/>
  <c r="S76" i="13"/>
  <c r="O75" i="13"/>
  <c r="B180" i="14"/>
  <c r="H29" i="14"/>
  <c r="D38" i="14"/>
  <c r="F38" i="14" s="1"/>
  <c r="B183" i="14"/>
  <c r="B191" i="14"/>
  <c r="B199" i="14"/>
  <c r="B192" i="14"/>
  <c r="B102" i="14"/>
  <c r="B110" i="14"/>
  <c r="E110" i="14" s="1"/>
  <c r="B118" i="14"/>
  <c r="E118" i="14" s="1"/>
  <c r="B115" i="14"/>
  <c r="E115" i="14" s="1"/>
  <c r="W76" i="13"/>
  <c r="B187" i="14"/>
  <c r="B195" i="14"/>
  <c r="H27" i="14"/>
  <c r="H31" i="14"/>
  <c r="D36" i="14"/>
  <c r="F36" i="14" s="1"/>
  <c r="B108" i="14"/>
  <c r="E108" i="14" s="1"/>
  <c r="B116" i="14"/>
  <c r="E116" i="14" s="1"/>
  <c r="B103" i="14"/>
  <c r="B111" i="14"/>
  <c r="E111" i="14" s="1"/>
  <c r="T55" i="13"/>
  <c r="T56" i="13"/>
  <c r="B226" i="14"/>
  <c r="E226" i="14" s="1"/>
  <c r="F226" i="14" s="1"/>
  <c r="B218" i="14"/>
  <c r="E218" i="14" s="1"/>
  <c r="F218" i="14" s="1"/>
  <c r="B214" i="14"/>
  <c r="E214" i="14" s="1"/>
  <c r="F214" i="14" s="1"/>
  <c r="X56" i="13"/>
  <c r="V56" i="13"/>
  <c r="B181" i="14"/>
  <c r="B185" i="14"/>
  <c r="B193" i="14"/>
  <c r="B188" i="14"/>
  <c r="B196" i="14"/>
  <c r="S55" i="13"/>
  <c r="S56" i="13"/>
  <c r="B225" i="14"/>
  <c r="E225" i="14" s="1"/>
  <c r="F225" i="14" s="1"/>
  <c r="B217" i="14"/>
  <c r="E217" i="14" s="1"/>
  <c r="F217" i="14" s="1"/>
  <c r="X55" i="13"/>
  <c r="V55" i="13"/>
  <c r="R55" i="13"/>
  <c r="R56" i="13"/>
  <c r="Y56" i="13"/>
  <c r="W56" i="13"/>
  <c r="B197" i="14"/>
  <c r="U55" i="13"/>
  <c r="U56" i="13"/>
  <c r="G12" i="16"/>
  <c r="F11" i="16"/>
  <c r="I9" i="16"/>
  <c r="F8" i="16"/>
  <c r="G6" i="16"/>
  <c r="O26" i="2"/>
  <c r="S26" i="2" s="1"/>
  <c r="T26" i="2"/>
  <c r="X32" i="2"/>
  <c r="AD32" i="2" s="1"/>
  <c r="T45" i="2"/>
  <c r="AO44" i="2"/>
  <c r="AQ44" i="2"/>
  <c r="G5" i="16"/>
  <c r="C24" i="16"/>
  <c r="D23" i="16"/>
  <c r="V44" i="2"/>
  <c r="I8" i="16"/>
  <c r="I7" i="16"/>
  <c r="I6" i="16"/>
  <c r="C20" i="16"/>
  <c r="O80" i="2"/>
  <c r="C21" i="16"/>
  <c r="E21" i="16" s="1"/>
  <c r="H21" i="16" s="1"/>
  <c r="C22" i="16"/>
  <c r="H44" i="2"/>
  <c r="AK44" i="2"/>
  <c r="F5" i="16"/>
  <c r="AP44" i="2"/>
  <c r="J44" i="2"/>
  <c r="AJ44" i="2"/>
  <c r="BA44" i="2"/>
  <c r="AV44" i="2"/>
  <c r="D5" i="16"/>
  <c r="AT44" i="2"/>
  <c r="AD29" i="2"/>
  <c r="AH29" i="2" s="1"/>
  <c r="AN29" i="2" s="1"/>
  <c r="AR29" i="2" s="1"/>
  <c r="AX29" i="2" s="1"/>
  <c r="BB29" i="2" s="1"/>
  <c r="X77" i="2"/>
  <c r="AD77" i="2" s="1"/>
  <c r="AH77" i="2" s="1"/>
  <c r="AN77" i="2" s="1"/>
  <c r="AR77" i="2" s="1"/>
  <c r="AX77" i="2" s="1"/>
  <c r="BB77" i="2" s="1"/>
  <c r="BH77" i="2" s="1"/>
  <c r="BL77" i="2" s="1"/>
  <c r="BP77" i="2" s="1"/>
  <c r="BS77" i="2" s="1"/>
  <c r="X34" i="2"/>
  <c r="AD34" i="2" s="1"/>
  <c r="AH34" i="2" s="1"/>
  <c r="AN34" i="2" s="1"/>
  <c r="AR34" i="2" s="1"/>
  <c r="AX34" i="2" s="1"/>
  <c r="BB34" i="2" s="1"/>
  <c r="BH34" i="2" s="1"/>
  <c r="BL34" i="2" s="1"/>
  <c r="BP34" i="2" s="1"/>
  <c r="BS34" i="2" s="1"/>
  <c r="AD99" i="2"/>
  <c r="AN25" i="2"/>
  <c r="AG44" i="2"/>
  <c r="AZ44" i="2"/>
  <c r="AY44" i="2"/>
  <c r="W44" i="2"/>
  <c r="AX37" i="2"/>
  <c r="U44" i="2"/>
  <c r="I77" i="41" l="1"/>
  <c r="I73" i="41"/>
  <c r="M67" i="41"/>
  <c r="E27" i="14" s="1"/>
  <c r="G77" i="41"/>
  <c r="K57" i="41"/>
  <c r="F67" i="41"/>
  <c r="E20" i="14" s="1"/>
  <c r="J53" i="41"/>
  <c r="G57" i="41"/>
  <c r="G73" i="41" s="1"/>
  <c r="F53" i="41"/>
  <c r="F57" i="41"/>
  <c r="F73" i="41" s="1"/>
  <c r="I67" i="41"/>
  <c r="E23" i="14" s="1"/>
  <c r="M53" i="41"/>
  <c r="M57" i="41"/>
  <c r="M73" i="41" s="1"/>
  <c r="L67" i="41"/>
  <c r="E26" i="14" s="1"/>
  <c r="L53" i="41"/>
  <c r="J57" i="41"/>
  <c r="J73" i="41" s="1"/>
  <c r="I53" i="41"/>
  <c r="L57" i="41"/>
  <c r="L73" i="41" s="1"/>
  <c r="K77" i="41"/>
  <c r="H57" i="41"/>
  <c r="H73" i="41" s="1"/>
  <c r="H77" i="41"/>
  <c r="K67" i="41"/>
  <c r="E25" i="14" s="1"/>
  <c r="L77" i="41"/>
  <c r="J67" i="41"/>
  <c r="E24" i="14" s="1"/>
  <c r="F77" i="41"/>
  <c r="M77" i="41"/>
  <c r="K53" i="41"/>
  <c r="H53" i="41"/>
  <c r="G67" i="41"/>
  <c r="E21" i="14" s="1"/>
  <c r="G53" i="41"/>
  <c r="K73" i="41"/>
  <c r="M20" i="41"/>
  <c r="M69" i="41"/>
  <c r="E106" i="14" s="1"/>
  <c r="J20" i="41"/>
  <c r="J69" i="41"/>
  <c r="E103" i="14" s="1"/>
  <c r="K69" i="41"/>
  <c r="E104" i="14" s="1"/>
  <c r="K20" i="41"/>
  <c r="F20" i="41"/>
  <c r="F69" i="41"/>
  <c r="E99" i="14" s="1"/>
  <c r="H20" i="41"/>
  <c r="H69" i="41"/>
  <c r="E101" i="14" s="1"/>
  <c r="E86" i="14"/>
  <c r="F86" i="14" s="1"/>
  <c r="E85" i="14"/>
  <c r="F85" i="14" s="1"/>
  <c r="E87" i="14"/>
  <c r="F87" i="14" s="1"/>
  <c r="E90" i="14"/>
  <c r="F90" i="14" s="1"/>
  <c r="E88" i="14"/>
  <c r="F88" i="14" s="1"/>
  <c r="E82" i="14"/>
  <c r="F82" i="14" s="1"/>
  <c r="E80" i="14"/>
  <c r="F80" i="14" s="1"/>
  <c r="E89" i="14"/>
  <c r="F89" i="14" s="1"/>
  <c r="E91" i="14"/>
  <c r="F91" i="14" s="1"/>
  <c r="E81" i="14"/>
  <c r="F81" i="14" s="1"/>
  <c r="E84" i="14"/>
  <c r="F84" i="14" s="1"/>
  <c r="E83" i="14"/>
  <c r="F83" i="14" s="1"/>
  <c r="L69" i="41"/>
  <c r="E105" i="14" s="1"/>
  <c r="L20" i="41"/>
  <c r="G69" i="41"/>
  <c r="E100" i="14" s="1"/>
  <c r="G20" i="41"/>
  <c r="I20" i="41"/>
  <c r="I69" i="41"/>
  <c r="E102" i="14" s="1"/>
  <c r="F236" i="14"/>
  <c r="E256" i="14"/>
  <c r="O86" i="2"/>
  <c r="O91" i="2" s="1"/>
  <c r="X48" i="2"/>
  <c r="S48" i="2"/>
  <c r="S86" i="2" s="1"/>
  <c r="S91" i="2" s="1"/>
  <c r="S45" i="2"/>
  <c r="F72" i="14"/>
  <c r="F73" i="14"/>
  <c r="F74" i="14"/>
  <c r="Y45" i="2"/>
  <c r="AC32" i="2"/>
  <c r="AC45" i="2" s="1"/>
  <c r="O43" i="2"/>
  <c r="X24" i="2"/>
  <c r="T43" i="2"/>
  <c r="BH29" i="2"/>
  <c r="BL29" i="2" s="1"/>
  <c r="D41" i="16"/>
  <c r="U20" i="13"/>
  <c r="X20" i="13"/>
  <c r="R20" i="13"/>
  <c r="S20" i="13"/>
  <c r="Y20" i="13"/>
  <c r="T20" i="13"/>
  <c r="V20" i="13"/>
  <c r="W20" i="13"/>
  <c r="T80" i="2"/>
  <c r="T67" i="13"/>
  <c r="V67" i="13"/>
  <c r="U67" i="13"/>
  <c r="W67" i="13"/>
  <c r="X67" i="13"/>
  <c r="R67" i="13"/>
  <c r="S67" i="13"/>
  <c r="Y67" i="13"/>
  <c r="AW96" i="2"/>
  <c r="BC96" i="2" s="1"/>
  <c r="BG96" i="2" s="1"/>
  <c r="AW97" i="2"/>
  <c r="BC97" i="2" s="1"/>
  <c r="BG97" i="2" s="1"/>
  <c r="AW98" i="2"/>
  <c r="BC98" i="2" s="1"/>
  <c r="BG98" i="2" s="1"/>
  <c r="AW95" i="2"/>
  <c r="BC95" i="2" s="1"/>
  <c r="BG95" i="2" s="1"/>
  <c r="AW74" i="2"/>
  <c r="BC74" i="2" s="1"/>
  <c r="BG74" i="2" s="1"/>
  <c r="AW71" i="2"/>
  <c r="BC71" i="2" s="1"/>
  <c r="BG71" i="2" s="1"/>
  <c r="AW75" i="2"/>
  <c r="BC75" i="2" s="1"/>
  <c r="BG75" i="2" s="1"/>
  <c r="AW77" i="2"/>
  <c r="BC77" i="2" s="1"/>
  <c r="BG77" i="2" s="1"/>
  <c r="AW49" i="2"/>
  <c r="BC49" i="2" s="1"/>
  <c r="BG49" i="2" s="1"/>
  <c r="AW73" i="2"/>
  <c r="BC73" i="2" s="1"/>
  <c r="BG73" i="2" s="1"/>
  <c r="AW72" i="2"/>
  <c r="AC34" i="2"/>
  <c r="AI34" i="2" s="1"/>
  <c r="AM34" i="2" s="1"/>
  <c r="AS34" i="2" s="1"/>
  <c r="AI32" i="2"/>
  <c r="E228" i="14"/>
  <c r="N85" i="2"/>
  <c r="L75" i="13"/>
  <c r="D6" i="16"/>
  <c r="BS50" i="2"/>
  <c r="D12" i="16"/>
  <c r="BS96" i="2"/>
  <c r="D10" i="16"/>
  <c r="BS72" i="2"/>
  <c r="D9" i="16"/>
  <c r="BS71" i="2"/>
  <c r="D11" i="16"/>
  <c r="BS95" i="2"/>
  <c r="BT36" i="2"/>
  <c r="I85" i="2"/>
  <c r="I44" i="2"/>
  <c r="D188" i="14"/>
  <c r="D187" i="14"/>
  <c r="G34" i="16"/>
  <c r="F34" i="16"/>
  <c r="G33" i="16"/>
  <c r="F33" i="16"/>
  <c r="G19" i="16"/>
  <c r="F19" i="16"/>
  <c r="G35" i="16"/>
  <c r="F35" i="16"/>
  <c r="D186" i="14"/>
  <c r="D185" i="14"/>
  <c r="D184" i="14"/>
  <c r="D183" i="14"/>
  <c r="D182" i="14"/>
  <c r="D181" i="14"/>
  <c r="O23" i="13"/>
  <c r="I23" i="13"/>
  <c r="BO104" i="2"/>
  <c r="BT104" i="2" s="1"/>
  <c r="BW104" i="2"/>
  <c r="E86" i="11" s="1"/>
  <c r="BO37" i="2"/>
  <c r="BO31" i="2"/>
  <c r="C35" i="16" s="1"/>
  <c r="BW31" i="2"/>
  <c r="BO101" i="2"/>
  <c r="BT101" i="2" s="1"/>
  <c r="BW101" i="2"/>
  <c r="BO29" i="2"/>
  <c r="C33" i="16" s="1"/>
  <c r="BO103" i="2"/>
  <c r="BW103" i="2"/>
  <c r="BO30" i="2"/>
  <c r="C34" i="16" s="1"/>
  <c r="BW30" i="2"/>
  <c r="J34" i="16" s="1"/>
  <c r="BO51" i="2"/>
  <c r="BT51" i="2" s="1"/>
  <c r="BW51" i="2"/>
  <c r="BO35" i="2"/>
  <c r="C42" i="16" s="1"/>
  <c r="E42" i="16" s="1"/>
  <c r="H42" i="16" s="1"/>
  <c r="BW35" i="2"/>
  <c r="J42" i="16" s="1"/>
  <c r="BO76" i="2"/>
  <c r="C28" i="16" s="1"/>
  <c r="BW76" i="2"/>
  <c r="BX76" i="2" s="1"/>
  <c r="BO33" i="2"/>
  <c r="C40" i="16" s="1"/>
  <c r="E40" i="16" s="1"/>
  <c r="H40" i="16" s="1"/>
  <c r="BW33" i="2"/>
  <c r="BO102" i="2"/>
  <c r="BT102" i="2" s="1"/>
  <c r="BW102" i="2"/>
  <c r="BO99" i="2"/>
  <c r="C15" i="16" s="1"/>
  <c r="BO88" i="2"/>
  <c r="BT88" i="2" s="1"/>
  <c r="BW88" i="2"/>
  <c r="BX88" i="2" s="1"/>
  <c r="BW50" i="2"/>
  <c r="BO78" i="2"/>
  <c r="BW78" i="2"/>
  <c r="BX78" i="2" s="1"/>
  <c r="BT50" i="2"/>
  <c r="D24" i="13" s="1"/>
  <c r="I24" i="13" s="1"/>
  <c r="BO83" i="2"/>
  <c r="C38" i="16" s="1"/>
  <c r="BO100" i="2"/>
  <c r="C16" i="16" s="1"/>
  <c r="BW100" i="2"/>
  <c r="BX100" i="2" s="1"/>
  <c r="BO25" i="2"/>
  <c r="C19" i="16" s="1"/>
  <c r="G75" i="13"/>
  <c r="J75" i="13"/>
  <c r="K75" i="13"/>
  <c r="H75" i="13"/>
  <c r="F75" i="13"/>
  <c r="I75" i="13"/>
  <c r="O85" i="2"/>
  <c r="E20" i="16"/>
  <c r="H20" i="16" s="1"/>
  <c r="N23" i="13"/>
  <c r="D22" i="16"/>
  <c r="E22" i="16" s="1"/>
  <c r="H22" i="16" s="1"/>
  <c r="K23" i="13"/>
  <c r="L23" i="13"/>
  <c r="M23" i="13"/>
  <c r="S24" i="2"/>
  <c r="J23" i="13"/>
  <c r="K24" i="13"/>
  <c r="P77" i="13"/>
  <c r="W77" i="13"/>
  <c r="Y77" i="13"/>
  <c r="U77" i="13"/>
  <c r="S77" i="13"/>
  <c r="X77" i="13"/>
  <c r="V77" i="13"/>
  <c r="R68" i="13"/>
  <c r="V68" i="13"/>
  <c r="Q77" i="13"/>
  <c r="T68" i="13"/>
  <c r="X68" i="13"/>
  <c r="S68" i="13"/>
  <c r="U68" i="13"/>
  <c r="W68" i="13"/>
  <c r="Y68" i="13"/>
  <c r="F23" i="13"/>
  <c r="H23" i="13"/>
  <c r="G23" i="13"/>
  <c r="H24" i="13"/>
  <c r="R77" i="13"/>
  <c r="T77" i="13"/>
  <c r="W57" i="13"/>
  <c r="W73" i="13" s="1"/>
  <c r="T57" i="13"/>
  <c r="T73" i="13" s="1"/>
  <c r="Y57" i="13"/>
  <c r="Y73" i="13" s="1"/>
  <c r="X57" i="13"/>
  <c r="X73" i="13" s="1"/>
  <c r="V57" i="13"/>
  <c r="V73" i="13" s="1"/>
  <c r="S53" i="13"/>
  <c r="S57" i="13"/>
  <c r="S73" i="13" s="1"/>
  <c r="T53" i="13"/>
  <c r="U57" i="13"/>
  <c r="U73" i="13" s="1"/>
  <c r="R57" i="13"/>
  <c r="R73" i="13" s="1"/>
  <c r="X53" i="13"/>
  <c r="V53" i="13"/>
  <c r="Y53" i="13"/>
  <c r="U53" i="13"/>
  <c r="W53" i="13"/>
  <c r="R53" i="13"/>
  <c r="X83" i="2"/>
  <c r="E23" i="16"/>
  <c r="H23" i="16" s="1"/>
  <c r="C6" i="16"/>
  <c r="E6" i="16" s="1"/>
  <c r="H6" i="16" s="1"/>
  <c r="X45" i="2"/>
  <c r="N44" i="2"/>
  <c r="X26" i="2"/>
  <c r="AH32" i="2"/>
  <c r="AN32" i="2" s="1"/>
  <c r="AD45" i="2"/>
  <c r="X80" i="2"/>
  <c r="C7" i="16"/>
  <c r="E7" i="16" s="1"/>
  <c r="H7" i="16" s="1"/>
  <c r="J7" i="16"/>
  <c r="D30" i="16"/>
  <c r="E30" i="16" s="1"/>
  <c r="H30" i="16" s="1"/>
  <c r="D76" i="13"/>
  <c r="J20" i="16"/>
  <c r="D14" i="16"/>
  <c r="J30" i="16"/>
  <c r="E49" i="11"/>
  <c r="D8" i="16"/>
  <c r="E50" i="11"/>
  <c r="J22" i="16"/>
  <c r="D16" i="16"/>
  <c r="E60" i="11"/>
  <c r="D27" i="16"/>
  <c r="D24" i="16"/>
  <c r="E24" i="16" s="1"/>
  <c r="H24" i="16" s="1"/>
  <c r="D13" i="16"/>
  <c r="D17" i="16"/>
  <c r="D35" i="16"/>
  <c r="AR25" i="2"/>
  <c r="J24" i="16"/>
  <c r="D28" i="16"/>
  <c r="D34" i="16"/>
  <c r="D37" i="16"/>
  <c r="J23" i="16"/>
  <c r="J21" i="16"/>
  <c r="D44" i="16"/>
  <c r="D25" i="16"/>
  <c r="D26" i="16"/>
  <c r="AH99" i="2"/>
  <c r="C43" i="16"/>
  <c r="BB37" i="2"/>
  <c r="BH37" i="2" s="1"/>
  <c r="BL37" i="2" s="1"/>
  <c r="BP37" i="2" s="1"/>
  <c r="BS37" i="2" s="1"/>
  <c r="D73" i="41" l="1"/>
  <c r="D67" i="41"/>
  <c r="D69" i="41"/>
  <c r="BC72" i="2"/>
  <c r="BG72" i="2" s="1"/>
  <c r="X86" i="2"/>
  <c r="X91" i="2" s="1"/>
  <c r="S80" i="2"/>
  <c r="Y48" i="2"/>
  <c r="Y86" i="2" s="1"/>
  <c r="Y91" i="2" s="1"/>
  <c r="AC42" i="12"/>
  <c r="AC43" i="12" s="1"/>
  <c r="D82" i="13"/>
  <c r="AD48" i="2"/>
  <c r="E84" i="11"/>
  <c r="E85" i="11"/>
  <c r="BX103" i="2"/>
  <c r="T85" i="2"/>
  <c r="J6" i="16"/>
  <c r="N77" i="14"/>
  <c r="N87" i="14"/>
  <c r="P87" i="14" s="1"/>
  <c r="N91" i="14"/>
  <c r="P91" i="14" s="1"/>
  <c r="N79" i="14"/>
  <c r="N86" i="14"/>
  <c r="P86" i="14" s="1"/>
  <c r="N85" i="14"/>
  <c r="P85" i="14" s="1"/>
  <c r="N89" i="14"/>
  <c r="P89" i="14" s="1"/>
  <c r="N80" i="14"/>
  <c r="P80" i="14" s="1"/>
  <c r="N76" i="14"/>
  <c r="N75" i="14"/>
  <c r="N78" i="14"/>
  <c r="N88" i="14"/>
  <c r="P88" i="14" s="1"/>
  <c r="N73" i="14"/>
  <c r="N90" i="14"/>
  <c r="P90" i="14" s="1"/>
  <c r="N82" i="14"/>
  <c r="P82" i="14" s="1"/>
  <c r="N84" i="14"/>
  <c r="P84" i="14" s="1"/>
  <c r="N81" i="14"/>
  <c r="P81" i="14" s="1"/>
  <c r="N72" i="14"/>
  <c r="N83" i="14"/>
  <c r="P83" i="14" s="1"/>
  <c r="N74" i="14"/>
  <c r="BP29" i="2"/>
  <c r="BS29" i="2" s="1"/>
  <c r="BW29" i="2"/>
  <c r="J33" i="16" s="1"/>
  <c r="E83" i="11"/>
  <c r="X43" i="2"/>
  <c r="J40" i="16"/>
  <c r="Y24" i="2"/>
  <c r="AC24" i="2" s="1"/>
  <c r="S43" i="2"/>
  <c r="BO98" i="2"/>
  <c r="BW98" i="2"/>
  <c r="BX98" i="2" s="1"/>
  <c r="BO96" i="2"/>
  <c r="BW96" i="2"/>
  <c r="BX96" i="2" s="1"/>
  <c r="BW97" i="2"/>
  <c r="BX97" i="2" s="1"/>
  <c r="BO97" i="2"/>
  <c r="BO95" i="2"/>
  <c r="BW95" i="2"/>
  <c r="J11" i="16" s="1"/>
  <c r="BO77" i="2"/>
  <c r="C32" i="16" s="1"/>
  <c r="BW77" i="2"/>
  <c r="BX77" i="2" s="1"/>
  <c r="BW75" i="2"/>
  <c r="BX75" i="2" s="1"/>
  <c r="BO75" i="2"/>
  <c r="BO49" i="2"/>
  <c r="BW49" i="2"/>
  <c r="BO71" i="2"/>
  <c r="BW71" i="2"/>
  <c r="BX71" i="2" s="1"/>
  <c r="BO73" i="2"/>
  <c r="BW73" i="2"/>
  <c r="BX73" i="2" s="1"/>
  <c r="BW74" i="2"/>
  <c r="BX74" i="2" s="1"/>
  <c r="BO74" i="2"/>
  <c r="AW34" i="2"/>
  <c r="BC34" i="2" s="1"/>
  <c r="BG34" i="2" s="1"/>
  <c r="AM32" i="2"/>
  <c r="AI45" i="2"/>
  <c r="E58" i="11"/>
  <c r="J16" i="16"/>
  <c r="E82" i="11"/>
  <c r="J26" i="16"/>
  <c r="J44" i="16"/>
  <c r="E52" i="11"/>
  <c r="E72" i="11"/>
  <c r="E64" i="11"/>
  <c r="E63" i="11"/>
  <c r="E46" i="11"/>
  <c r="M63" i="13"/>
  <c r="K63" i="13"/>
  <c r="I63" i="13"/>
  <c r="G63" i="13"/>
  <c r="L63" i="13"/>
  <c r="H63" i="13"/>
  <c r="J63" i="13"/>
  <c r="F63" i="13"/>
  <c r="C44" i="16"/>
  <c r="E44" i="16" s="1"/>
  <c r="H44" i="16" s="1"/>
  <c r="D52" i="13"/>
  <c r="C8" i="16"/>
  <c r="E8" i="16" s="1"/>
  <c r="H8" i="16" s="1"/>
  <c r="D25" i="13"/>
  <c r="L25" i="13" s="1"/>
  <c r="M24" i="13"/>
  <c r="G24" i="13"/>
  <c r="L24" i="13"/>
  <c r="J24" i="13"/>
  <c r="E48" i="11"/>
  <c r="F24" i="13"/>
  <c r="O44" i="2"/>
  <c r="BT35" i="2"/>
  <c r="E51" i="11"/>
  <c r="BT37" i="2"/>
  <c r="BT33" i="2"/>
  <c r="BT100" i="2"/>
  <c r="T44" i="2"/>
  <c r="C26" i="16"/>
  <c r="E26" i="16" s="1"/>
  <c r="Q47" i="13"/>
  <c r="N47" i="13"/>
  <c r="O47" i="13"/>
  <c r="M47" i="13"/>
  <c r="P47" i="13"/>
  <c r="Q51" i="13"/>
  <c r="P51" i="13"/>
  <c r="Q48" i="13"/>
  <c r="P48" i="13"/>
  <c r="P49" i="13"/>
  <c r="Q49" i="13"/>
  <c r="P50" i="13"/>
  <c r="Q50" i="13"/>
  <c r="Q46" i="13"/>
  <c r="P46" i="13"/>
  <c r="O24" i="13"/>
  <c r="P24" i="13"/>
  <c r="N24" i="13"/>
  <c r="Q24" i="13"/>
  <c r="P25" i="13"/>
  <c r="Q25" i="13"/>
  <c r="L47" i="13"/>
  <c r="G47" i="13"/>
  <c r="I47" i="13"/>
  <c r="K47" i="13"/>
  <c r="J47" i="13"/>
  <c r="H47" i="13"/>
  <c r="F47" i="13"/>
  <c r="BT30" i="2"/>
  <c r="I9" i="13" s="1"/>
  <c r="BT31" i="2"/>
  <c r="F10" i="13" s="1"/>
  <c r="J28" i="16"/>
  <c r="J8" i="16"/>
  <c r="BT76" i="2"/>
  <c r="D50" i="13" s="1"/>
  <c r="I50" i="13" s="1"/>
  <c r="E47" i="11"/>
  <c r="E34" i="16"/>
  <c r="H34" i="16" s="1"/>
  <c r="E35" i="16"/>
  <c r="H35" i="16" s="1"/>
  <c r="E16" i="16"/>
  <c r="H16" i="16" s="1"/>
  <c r="E28" i="16"/>
  <c r="H28" i="16" s="1"/>
  <c r="J35" i="16"/>
  <c r="BW37" i="2"/>
  <c r="O9" i="13"/>
  <c r="N51" i="13"/>
  <c r="O51" i="13"/>
  <c r="L76" i="13"/>
  <c r="L77" i="13" s="1"/>
  <c r="M76" i="13"/>
  <c r="M77" i="13" s="1"/>
  <c r="N76" i="13"/>
  <c r="N77" i="13" s="1"/>
  <c r="O76" i="13"/>
  <c r="O77" i="13" s="1"/>
  <c r="J76" i="13"/>
  <c r="J77" i="13" s="1"/>
  <c r="K76" i="13"/>
  <c r="K77" i="13" s="1"/>
  <c r="I76" i="13"/>
  <c r="I77" i="13" s="1"/>
  <c r="M49" i="13"/>
  <c r="N49" i="13"/>
  <c r="K49" i="13"/>
  <c r="O49" i="13"/>
  <c r="J49" i="13"/>
  <c r="I49" i="13"/>
  <c r="L49" i="13"/>
  <c r="N48" i="13"/>
  <c r="M48" i="13"/>
  <c r="L48" i="13"/>
  <c r="O48" i="13"/>
  <c r="J48" i="13"/>
  <c r="I48" i="13"/>
  <c r="K48" i="13"/>
  <c r="O10" i="13"/>
  <c r="J50" i="13"/>
  <c r="O50" i="13"/>
  <c r="N50" i="13"/>
  <c r="N25" i="13"/>
  <c r="O25" i="13"/>
  <c r="AD24" i="2"/>
  <c r="X85" i="2"/>
  <c r="Y82" i="2"/>
  <c r="AC82" i="2" s="1"/>
  <c r="O46" i="13"/>
  <c r="M46" i="13"/>
  <c r="K46" i="13"/>
  <c r="J46" i="13"/>
  <c r="I46" i="13"/>
  <c r="L46" i="13"/>
  <c r="N46" i="13"/>
  <c r="N9" i="13"/>
  <c r="N10" i="13"/>
  <c r="H46" i="13"/>
  <c r="G48" i="13"/>
  <c r="H48" i="13"/>
  <c r="G51" i="13"/>
  <c r="G49" i="13"/>
  <c r="H49" i="13"/>
  <c r="F48" i="13"/>
  <c r="D77" i="13"/>
  <c r="H76" i="13"/>
  <c r="H77" i="13" s="1"/>
  <c r="F76" i="13"/>
  <c r="F77" i="13" s="1"/>
  <c r="G76" i="13"/>
  <c r="G77" i="13" s="1"/>
  <c r="F49" i="13"/>
  <c r="AD83" i="2"/>
  <c r="AH45" i="2"/>
  <c r="Y26" i="2"/>
  <c r="AD26" i="2"/>
  <c r="Y80" i="2"/>
  <c r="D32" i="16"/>
  <c r="D33" i="16"/>
  <c r="E33" i="16" s="1"/>
  <c r="H33" i="16" s="1"/>
  <c r="BT29" i="2"/>
  <c r="AN45" i="2"/>
  <c r="AR32" i="2"/>
  <c r="AX25" i="2"/>
  <c r="AN99" i="2"/>
  <c r="BO72" i="2" l="1"/>
  <c r="BT72" i="2" s="1"/>
  <c r="BW72" i="2"/>
  <c r="BX72" i="2" s="1"/>
  <c r="AD86" i="2"/>
  <c r="AD91" i="2" s="1"/>
  <c r="AC48" i="2"/>
  <c r="AC86" i="2" s="1"/>
  <c r="AC91" i="2" s="1"/>
  <c r="BT77" i="2"/>
  <c r="D51" i="13" s="1"/>
  <c r="I51" i="13" s="1"/>
  <c r="S85" i="2"/>
  <c r="AH48" i="2"/>
  <c r="AD80" i="2"/>
  <c r="BT95" i="2"/>
  <c r="C11" i="16"/>
  <c r="E11" i="16" s="1"/>
  <c r="H11" i="16" s="1"/>
  <c r="D63" i="13"/>
  <c r="C12" i="16"/>
  <c r="E12" i="16" s="1"/>
  <c r="H12" i="16" s="1"/>
  <c r="J12" i="16"/>
  <c r="E77" i="11"/>
  <c r="BX95" i="2"/>
  <c r="E78" i="11"/>
  <c r="J32" i="16"/>
  <c r="E181" i="14"/>
  <c r="F181" i="14" s="1"/>
  <c r="E185" i="14"/>
  <c r="F185" i="14" s="1"/>
  <c r="E189" i="14"/>
  <c r="F189" i="14" s="1"/>
  <c r="E193" i="14"/>
  <c r="F193" i="14" s="1"/>
  <c r="E197" i="14"/>
  <c r="F197" i="14" s="1"/>
  <c r="E195" i="14"/>
  <c r="F195" i="14" s="1"/>
  <c r="E184" i="14"/>
  <c r="F184" i="14" s="1"/>
  <c r="E192" i="14"/>
  <c r="F192" i="14" s="1"/>
  <c r="E180" i="14"/>
  <c r="F180" i="14" s="1"/>
  <c r="E182" i="14"/>
  <c r="F182" i="14" s="1"/>
  <c r="E186" i="14"/>
  <c r="F186" i="14" s="1"/>
  <c r="E190" i="14"/>
  <c r="F190" i="14" s="1"/>
  <c r="E194" i="14"/>
  <c r="F194" i="14" s="1"/>
  <c r="E198" i="14"/>
  <c r="F198" i="14" s="1"/>
  <c r="E187" i="14"/>
  <c r="F187" i="14" s="1"/>
  <c r="E191" i="14"/>
  <c r="F191" i="14" s="1"/>
  <c r="E199" i="14"/>
  <c r="F199" i="14" s="1"/>
  <c r="E188" i="14"/>
  <c r="F188" i="14" s="1"/>
  <c r="E196" i="14"/>
  <c r="F196" i="14" s="1"/>
  <c r="E183" i="14"/>
  <c r="F183" i="14" s="1"/>
  <c r="J5" i="16"/>
  <c r="J10" i="16"/>
  <c r="E71" i="11"/>
  <c r="E76" i="11"/>
  <c r="AD43" i="2"/>
  <c r="E32" i="16"/>
  <c r="H32" i="16" s="1"/>
  <c r="C13" i="16"/>
  <c r="E13" i="16" s="1"/>
  <c r="H13" i="16" s="1"/>
  <c r="BT97" i="2"/>
  <c r="E79" i="11"/>
  <c r="J13" i="16"/>
  <c r="J14" i="16"/>
  <c r="C14" i="16"/>
  <c r="E14" i="16" s="1"/>
  <c r="H14" i="16" s="1"/>
  <c r="BT98" i="2"/>
  <c r="BT49" i="2"/>
  <c r="D23" i="13" s="1"/>
  <c r="C5" i="16"/>
  <c r="E5" i="16" s="1"/>
  <c r="H5" i="16" s="1"/>
  <c r="C25" i="16"/>
  <c r="E25" i="16" s="1"/>
  <c r="H25" i="16" s="1"/>
  <c r="BT74" i="2"/>
  <c r="D48" i="13" s="1"/>
  <c r="E68" i="11"/>
  <c r="J17" i="16"/>
  <c r="C27" i="16"/>
  <c r="E27" i="16" s="1"/>
  <c r="H27" i="16" s="1"/>
  <c r="BT75" i="2"/>
  <c r="D49" i="13" s="1"/>
  <c r="E69" i="11"/>
  <c r="J25" i="16"/>
  <c r="C17" i="16"/>
  <c r="E17" i="16" s="1"/>
  <c r="H17" i="16" s="1"/>
  <c r="D47" i="13"/>
  <c r="E70" i="11"/>
  <c r="J27" i="16"/>
  <c r="E67" i="11"/>
  <c r="D46" i="13"/>
  <c r="C10" i="16"/>
  <c r="E10" i="16" s="1"/>
  <c r="H10" i="16" s="1"/>
  <c r="J9" i="16"/>
  <c r="E66" i="11"/>
  <c r="E44" i="11"/>
  <c r="BT71" i="2"/>
  <c r="D45" i="13" s="1"/>
  <c r="C9" i="16"/>
  <c r="E9" i="16" s="1"/>
  <c r="H9" i="16" s="1"/>
  <c r="BO34" i="2"/>
  <c r="BW34" i="2"/>
  <c r="J41" i="16" s="1"/>
  <c r="AS32" i="2"/>
  <c r="AM45" i="2"/>
  <c r="AC26" i="2"/>
  <c r="AC43" i="2" s="1"/>
  <c r="Y43" i="2"/>
  <c r="Y44" i="2" s="1"/>
  <c r="AH24" i="2"/>
  <c r="K50" i="13"/>
  <c r="G50" i="13"/>
  <c r="K51" i="13"/>
  <c r="H50" i="13"/>
  <c r="F51" i="13"/>
  <c r="F50" i="13"/>
  <c r="L50" i="13"/>
  <c r="L51" i="13"/>
  <c r="M51" i="13"/>
  <c r="M50" i="13"/>
  <c r="J51" i="13"/>
  <c r="J25" i="13"/>
  <c r="H51" i="13"/>
  <c r="K25" i="13"/>
  <c r="F25" i="13"/>
  <c r="M25" i="13"/>
  <c r="H25" i="13"/>
  <c r="I25" i="13"/>
  <c r="H10" i="13"/>
  <c r="I10" i="13"/>
  <c r="L10" i="13"/>
  <c r="K10" i="13"/>
  <c r="M10" i="13"/>
  <c r="G25" i="13"/>
  <c r="M9" i="13"/>
  <c r="K9" i="13"/>
  <c r="F9" i="13"/>
  <c r="H9" i="13"/>
  <c r="J9" i="13"/>
  <c r="L9" i="13"/>
  <c r="D4" i="16"/>
  <c r="F26" i="16"/>
  <c r="H26" i="16" s="1"/>
  <c r="BS88" i="2"/>
  <c r="H8" i="13"/>
  <c r="X44" i="2"/>
  <c r="J10" i="13"/>
  <c r="Q10" i="13"/>
  <c r="P10" i="13"/>
  <c r="Q8" i="13"/>
  <c r="P8" i="13"/>
  <c r="G9" i="13"/>
  <c r="Q9" i="13"/>
  <c r="P9" i="13"/>
  <c r="F36" i="16"/>
  <c r="BQ45" i="2"/>
  <c r="G36" i="16"/>
  <c r="S44" i="2"/>
  <c r="O8" i="13"/>
  <c r="AD85" i="2"/>
  <c r="N8" i="13"/>
  <c r="AH83" i="2"/>
  <c r="AI26" i="2"/>
  <c r="AM26" i="2" s="1"/>
  <c r="AS26" i="2" s="1"/>
  <c r="AW26" i="2" s="1"/>
  <c r="AH26" i="2"/>
  <c r="AI24" i="2"/>
  <c r="AI48" i="2"/>
  <c r="AI86" i="2" s="1"/>
  <c r="AI91" i="2" s="1"/>
  <c r="AC80" i="2"/>
  <c r="BB25" i="2"/>
  <c r="AR99" i="2"/>
  <c r="AX32" i="2"/>
  <c r="AR45" i="2"/>
  <c r="D43" i="16"/>
  <c r="E43" i="16" s="1"/>
  <c r="H43" i="16" s="1"/>
  <c r="J43" i="16"/>
  <c r="AH86" i="2" l="1"/>
  <c r="AH91" i="2" s="1"/>
  <c r="AN48" i="2"/>
  <c r="AN86" i="2" s="1"/>
  <c r="AN91" i="2" s="1"/>
  <c r="AH80" i="2"/>
  <c r="BT34" i="2"/>
  <c r="C41" i="16"/>
  <c r="E41" i="16" s="1"/>
  <c r="H41" i="16" s="1"/>
  <c r="Y85" i="2"/>
  <c r="AW32" i="2"/>
  <c r="AS45" i="2"/>
  <c r="BH25" i="2"/>
  <c r="BL25" i="2" s="1"/>
  <c r="AM24" i="2"/>
  <c r="AM43" i="2" s="1"/>
  <c r="AI43" i="2"/>
  <c r="AI44" i="2" s="1"/>
  <c r="AH43" i="2"/>
  <c r="D59" i="13"/>
  <c r="D61" i="13" s="1"/>
  <c r="M8" i="13"/>
  <c r="J8" i="13"/>
  <c r="G8" i="13"/>
  <c r="I8" i="13"/>
  <c r="K8" i="13"/>
  <c r="L8" i="13"/>
  <c r="F8" i="13"/>
  <c r="AC85" i="2"/>
  <c r="BC26" i="2"/>
  <c r="BG26" i="2" s="1"/>
  <c r="AI82" i="2"/>
  <c r="AN24" i="2"/>
  <c r="AN83" i="2"/>
  <c r="AD44" i="2"/>
  <c r="AN26" i="2"/>
  <c r="AM48" i="2"/>
  <c r="AM86" i="2" s="1"/>
  <c r="AM91" i="2" s="1"/>
  <c r="AI80" i="2"/>
  <c r="AX99" i="2"/>
  <c r="BB32" i="2"/>
  <c r="BH32" i="2" s="1"/>
  <c r="AX45" i="2"/>
  <c r="AH85" i="2" l="1"/>
  <c r="AR48" i="2"/>
  <c r="AN80" i="2"/>
  <c r="AN85" i="2" s="1"/>
  <c r="AW45" i="2"/>
  <c r="BC32" i="2"/>
  <c r="BP25" i="2"/>
  <c r="BS25" i="2" s="1"/>
  <c r="BW25" i="2"/>
  <c r="J19" i="16" s="1"/>
  <c r="AN43" i="2"/>
  <c r="G31" i="16"/>
  <c r="F31" i="16"/>
  <c r="BO26" i="2"/>
  <c r="AC44" i="2"/>
  <c r="BL32" i="2"/>
  <c r="BH45" i="2"/>
  <c r="AM82" i="2"/>
  <c r="AI85" i="2"/>
  <c r="AR24" i="2"/>
  <c r="AR83" i="2"/>
  <c r="AH44" i="2"/>
  <c r="AR26" i="2"/>
  <c r="AM80" i="2"/>
  <c r="AS48" i="2"/>
  <c r="AS86" i="2" s="1"/>
  <c r="AS91" i="2" s="1"/>
  <c r="AS24" i="2"/>
  <c r="AM44" i="2"/>
  <c r="BB99" i="2"/>
  <c r="BH99" i="2" s="1"/>
  <c r="BL99" i="2" s="1"/>
  <c r="BB45" i="2"/>
  <c r="BT25" i="2"/>
  <c r="D19" i="16"/>
  <c r="E19" i="16" s="1"/>
  <c r="H19" i="16" s="1"/>
  <c r="AR86" i="2" l="1"/>
  <c r="AR91" i="2" s="1"/>
  <c r="AW48" i="2"/>
  <c r="AW86" i="2" s="1"/>
  <c r="AW91" i="2" s="1"/>
  <c r="AX48" i="2"/>
  <c r="AR80" i="2"/>
  <c r="AS43" i="2"/>
  <c r="AW24" i="2"/>
  <c r="AW43" i="2" s="1"/>
  <c r="AR43" i="2"/>
  <c r="BC45" i="2"/>
  <c r="BG32" i="2"/>
  <c r="BW32" i="2" s="1"/>
  <c r="C31" i="16"/>
  <c r="BP99" i="2"/>
  <c r="BS99" i="2" s="1"/>
  <c r="BW99" i="2"/>
  <c r="BL45" i="2"/>
  <c r="BP32" i="2"/>
  <c r="AX24" i="2"/>
  <c r="BB24" i="2" s="1"/>
  <c r="BH24" i="2" s="1"/>
  <c r="AS82" i="2"/>
  <c r="AW82" i="2" s="1"/>
  <c r="AM85" i="2"/>
  <c r="AX83" i="2"/>
  <c r="AN44" i="2"/>
  <c r="AX26" i="2"/>
  <c r="AS44" i="2"/>
  <c r="AS80" i="2"/>
  <c r="J36" i="16"/>
  <c r="AX86" i="2" l="1"/>
  <c r="AX91" i="2" s="1"/>
  <c r="BC48" i="2"/>
  <c r="BC86" i="2" s="1"/>
  <c r="BC91" i="2" s="1"/>
  <c r="AR85" i="2"/>
  <c r="BB48" i="2"/>
  <c r="AX80" i="2"/>
  <c r="E80" i="11"/>
  <c r="BX99" i="2"/>
  <c r="BG45" i="2"/>
  <c r="BW45" i="2" s="1"/>
  <c r="BO32" i="2"/>
  <c r="BT32" i="2" s="1"/>
  <c r="E62" i="11"/>
  <c r="E81" i="11"/>
  <c r="AX43" i="2"/>
  <c r="E61" i="11"/>
  <c r="E65" i="11"/>
  <c r="BP45" i="2"/>
  <c r="BS32" i="2"/>
  <c r="BS45" i="2" s="1"/>
  <c r="D36" i="16"/>
  <c r="BC24" i="2"/>
  <c r="AS85" i="2"/>
  <c r="BG48" i="2"/>
  <c r="BG86" i="2" s="1"/>
  <c r="BG91" i="2" s="1"/>
  <c r="AX85" i="2"/>
  <c r="BB83" i="2"/>
  <c r="AR44" i="2"/>
  <c r="BB26" i="2"/>
  <c r="BH26" i="2" s="1"/>
  <c r="AW80" i="2"/>
  <c r="J15" i="16"/>
  <c r="E53" i="11"/>
  <c r="D15" i="16"/>
  <c r="E15" i="16" s="1"/>
  <c r="H15" i="16" s="1"/>
  <c r="BT99" i="2"/>
  <c r="BB86" i="2" l="1"/>
  <c r="BB91" i="2" s="1"/>
  <c r="BC80" i="2"/>
  <c r="BH48" i="2"/>
  <c r="BH86" i="2" s="1"/>
  <c r="BH91" i="2" s="1"/>
  <c r="BB80" i="2"/>
  <c r="C36" i="16"/>
  <c r="E36" i="16" s="1"/>
  <c r="H36" i="16" s="1"/>
  <c r="BO45" i="2"/>
  <c r="BT45" i="2" s="1"/>
  <c r="P71" i="13" s="1"/>
  <c r="BG24" i="2"/>
  <c r="BG43" i="2" s="1"/>
  <c r="BC43" i="2"/>
  <c r="BC44" i="2" s="1"/>
  <c r="BB43" i="2"/>
  <c r="P52" i="13"/>
  <c r="Q52" i="13"/>
  <c r="BG80" i="2"/>
  <c r="BO48" i="2"/>
  <c r="BO86" i="2" s="1"/>
  <c r="BO91" i="2" s="1"/>
  <c r="N52" i="13"/>
  <c r="K52" i="13"/>
  <c r="O52" i="13"/>
  <c r="M52" i="13"/>
  <c r="L52" i="13"/>
  <c r="J52" i="13"/>
  <c r="I52" i="13"/>
  <c r="AW85" i="2"/>
  <c r="BC82" i="2"/>
  <c r="H52" i="13"/>
  <c r="G52" i="13"/>
  <c r="F52" i="13"/>
  <c r="BH83" i="2"/>
  <c r="AX44" i="2"/>
  <c r="AW44" i="2"/>
  <c r="BB85" i="2" l="1"/>
  <c r="BH80" i="2"/>
  <c r="BL48" i="2"/>
  <c r="E43" i="11"/>
  <c r="M72" i="14"/>
  <c r="P72" i="14" s="1"/>
  <c r="M81" i="14"/>
  <c r="M84" i="14"/>
  <c r="M73" i="14"/>
  <c r="P73" i="14" s="1"/>
  <c r="M78" i="14"/>
  <c r="P78" i="14" s="1"/>
  <c r="M83" i="14"/>
  <c r="M77" i="14"/>
  <c r="P77" i="14" s="1"/>
  <c r="M82" i="14"/>
  <c r="M75" i="14"/>
  <c r="P75" i="14" s="1"/>
  <c r="M79" i="14"/>
  <c r="P79" i="14" s="1"/>
  <c r="M88" i="14"/>
  <c r="M89" i="14"/>
  <c r="M90" i="14"/>
  <c r="M85" i="14"/>
  <c r="M76" i="14"/>
  <c r="P76" i="14" s="1"/>
  <c r="M80" i="14"/>
  <c r="M91" i="14"/>
  <c r="M74" i="14"/>
  <c r="P74" i="14" s="1"/>
  <c r="M87" i="14"/>
  <c r="M86" i="14"/>
  <c r="BH43" i="2"/>
  <c r="BH44" i="2" s="1"/>
  <c r="J71" i="13"/>
  <c r="W71" i="13"/>
  <c r="K71" i="13"/>
  <c r="N71" i="13"/>
  <c r="R71" i="13"/>
  <c r="F71" i="13"/>
  <c r="I71" i="13"/>
  <c r="M71" i="13"/>
  <c r="X71" i="13"/>
  <c r="V71" i="13"/>
  <c r="Y71" i="13"/>
  <c r="T71" i="13"/>
  <c r="S71" i="13"/>
  <c r="H71" i="13"/>
  <c r="BL24" i="2"/>
  <c r="G71" i="13"/>
  <c r="Q71" i="13"/>
  <c r="U71" i="13"/>
  <c r="L71" i="13"/>
  <c r="O71" i="13"/>
  <c r="BO80" i="2"/>
  <c r="J69" i="13"/>
  <c r="J4" i="16"/>
  <c r="E45" i="11"/>
  <c r="N69" i="13"/>
  <c r="O69" i="13"/>
  <c r="F4" i="16"/>
  <c r="G4" i="16"/>
  <c r="C4" i="16"/>
  <c r="E4" i="16" s="1"/>
  <c r="BO24" i="2"/>
  <c r="O22" i="13"/>
  <c r="N22" i="13"/>
  <c r="BC85" i="2"/>
  <c r="BG82" i="2"/>
  <c r="BL26" i="2"/>
  <c r="BW26" i="2" s="1"/>
  <c r="J31" i="16" s="1"/>
  <c r="E57" i="11"/>
  <c r="BL83" i="2"/>
  <c r="BB44" i="2"/>
  <c r="BL86" i="2" l="1"/>
  <c r="BL91" i="2" s="1"/>
  <c r="BL80" i="2"/>
  <c r="BW80" i="2" s="1"/>
  <c r="BP48" i="2"/>
  <c r="BP86" i="2" s="1"/>
  <c r="BP91" i="2" s="1"/>
  <c r="BW48" i="2"/>
  <c r="E92" i="14"/>
  <c r="BO43" i="2"/>
  <c r="BO44" i="2" s="1"/>
  <c r="BW24" i="2"/>
  <c r="J18" i="16" s="1"/>
  <c r="BL43" i="2"/>
  <c r="I69" i="13"/>
  <c r="G69" i="13"/>
  <c r="K69" i="13"/>
  <c r="L69" i="13"/>
  <c r="F69" i="13"/>
  <c r="M69" i="13"/>
  <c r="D71" i="13"/>
  <c r="BP24" i="2"/>
  <c r="H69" i="13"/>
  <c r="Q69" i="13"/>
  <c r="P69" i="13"/>
  <c r="Q22" i="13"/>
  <c r="P22" i="13"/>
  <c r="H4" i="16"/>
  <c r="BQ44" i="2"/>
  <c r="F18" i="16"/>
  <c r="G18" i="16"/>
  <c r="BH85" i="2"/>
  <c r="BP83" i="2"/>
  <c r="D38" i="16" s="1"/>
  <c r="E38" i="16" s="1"/>
  <c r="H38" i="16" s="1"/>
  <c r="BW83" i="2"/>
  <c r="BG44" i="2"/>
  <c r="BO82" i="2"/>
  <c r="BW82" i="2"/>
  <c r="BX82" i="2" s="1"/>
  <c r="C18" i="16"/>
  <c r="BL44" i="2"/>
  <c r="BP26" i="2"/>
  <c r="BG85" i="2"/>
  <c r="N53" i="13"/>
  <c r="O53" i="13"/>
  <c r="BX48" i="2" l="1"/>
  <c r="E42" i="11"/>
  <c r="BS48" i="2"/>
  <c r="BP80" i="2"/>
  <c r="BT48" i="2"/>
  <c r="F103" i="14"/>
  <c r="F99" i="14"/>
  <c r="F100" i="14"/>
  <c r="F104" i="14"/>
  <c r="F101" i="14"/>
  <c r="F105" i="14"/>
  <c r="F102" i="14"/>
  <c r="F106" i="14"/>
  <c r="E74" i="11"/>
  <c r="E73" i="11"/>
  <c r="E56" i="11"/>
  <c r="E75" i="11"/>
  <c r="BP43" i="2"/>
  <c r="I22" i="13"/>
  <c r="G22" i="13"/>
  <c r="J22" i="13"/>
  <c r="L22" i="13"/>
  <c r="H22" i="13"/>
  <c r="K22" i="13"/>
  <c r="F22" i="13"/>
  <c r="BS24" i="2"/>
  <c r="D18" i="16"/>
  <c r="E18" i="16" s="1"/>
  <c r="H18" i="16" s="1"/>
  <c r="BT24" i="2"/>
  <c r="D69" i="13"/>
  <c r="BT83" i="2"/>
  <c r="D56" i="13" s="1"/>
  <c r="F56" i="13" s="1"/>
  <c r="BS83" i="2"/>
  <c r="BS26" i="2"/>
  <c r="BT26" i="2"/>
  <c r="P5" i="13"/>
  <c r="Q5" i="13"/>
  <c r="N5" i="13"/>
  <c r="O5" i="13"/>
  <c r="Q56" i="13"/>
  <c r="P56" i="13"/>
  <c r="P53" i="13"/>
  <c r="Q53" i="13"/>
  <c r="BR85" i="2"/>
  <c r="BQ85" i="2"/>
  <c r="BW43" i="2"/>
  <c r="BL85" i="2"/>
  <c r="J37" i="16"/>
  <c r="E54" i="11"/>
  <c r="BW44" i="2"/>
  <c r="BO85" i="2"/>
  <c r="C37" i="16"/>
  <c r="E37" i="16" s="1"/>
  <c r="H37" i="16" s="1"/>
  <c r="BT82" i="2"/>
  <c r="D55" i="13" s="1"/>
  <c r="E55" i="11"/>
  <c r="J38" i="16"/>
  <c r="D31" i="16"/>
  <c r="E31" i="16" s="1"/>
  <c r="H31" i="16" s="1"/>
  <c r="O56" i="13"/>
  <c r="N56" i="13"/>
  <c r="BS86" i="2" l="1"/>
  <c r="BS91" i="2" s="1"/>
  <c r="BT86" i="2"/>
  <c r="BT91" i="2" s="1"/>
  <c r="BT80" i="2"/>
  <c r="D22" i="13"/>
  <c r="BS80" i="2"/>
  <c r="F53" i="13"/>
  <c r="J53" i="13"/>
  <c r="K53" i="13"/>
  <c r="G53" i="13"/>
  <c r="H53" i="13"/>
  <c r="I53" i="13"/>
  <c r="L53" i="13"/>
  <c r="P67" i="13"/>
  <c r="Q67" i="13"/>
  <c r="O67" i="13"/>
  <c r="N67" i="13"/>
  <c r="BS43" i="2"/>
  <c r="BS44" i="2" s="1"/>
  <c r="G5" i="13"/>
  <c r="BT43" i="2"/>
  <c r="BT44" i="2" s="1"/>
  <c r="BW85" i="2"/>
  <c r="BX85" i="2" s="1"/>
  <c r="L56" i="13"/>
  <c r="I56" i="13"/>
  <c r="J56" i="13"/>
  <c r="H56" i="13"/>
  <c r="M56" i="13"/>
  <c r="G56" i="13"/>
  <c r="K56" i="13"/>
  <c r="L5" i="13"/>
  <c r="K5" i="13"/>
  <c r="F5" i="13"/>
  <c r="M5" i="13"/>
  <c r="J5" i="13"/>
  <c r="I5" i="13"/>
  <c r="H5" i="13"/>
  <c r="L55" i="13"/>
  <c r="P55" i="13"/>
  <c r="P57" i="13" s="1"/>
  <c r="P73" i="13" s="1"/>
  <c r="Q55" i="13"/>
  <c r="Q57" i="13" s="1"/>
  <c r="Q73" i="13" s="1"/>
  <c r="N55" i="13"/>
  <c r="N57" i="13" s="1"/>
  <c r="N73" i="13" s="1"/>
  <c r="O55" i="13"/>
  <c r="O57" i="13" s="1"/>
  <c r="O73" i="13" s="1"/>
  <c r="M55" i="13"/>
  <c r="BW91" i="2"/>
  <c r="E59" i="11" s="1"/>
  <c r="K55" i="13"/>
  <c r="F55" i="13"/>
  <c r="F57" i="13" s="1"/>
  <c r="F73" i="13" s="1"/>
  <c r="G55" i="13"/>
  <c r="J55" i="13"/>
  <c r="H55" i="13"/>
  <c r="I55" i="13"/>
  <c r="D57" i="13"/>
  <c r="BP85" i="2"/>
  <c r="BP44" i="2"/>
  <c r="M22" i="13" l="1"/>
  <c r="M53" i="13" s="1"/>
  <c r="D53" i="13"/>
  <c r="E152" i="14"/>
  <c r="F152" i="14" s="1"/>
  <c r="D20" i="13"/>
  <c r="I67" i="13"/>
  <c r="M67" i="13"/>
  <c r="L67" i="13"/>
  <c r="J67" i="13"/>
  <c r="F67" i="13"/>
  <c r="K67" i="13"/>
  <c r="H67" i="13"/>
  <c r="G67" i="13"/>
  <c r="BT85" i="2"/>
  <c r="BS85" i="2"/>
  <c r="J57" i="13"/>
  <c r="J73" i="13" s="1"/>
  <c r="L57" i="13"/>
  <c r="L73" i="13" s="1"/>
  <c r="I57" i="13"/>
  <c r="I73" i="13" s="1"/>
  <c r="H57" i="13"/>
  <c r="H73" i="13" s="1"/>
  <c r="M57" i="13"/>
  <c r="G57" i="13"/>
  <c r="G73" i="13" s="1"/>
  <c r="K57" i="13"/>
  <c r="K73" i="13" s="1"/>
  <c r="L7" i="13"/>
  <c r="L20" i="13" s="1"/>
  <c r="Q7" i="13"/>
  <c r="Q20" i="13" s="1"/>
  <c r="P7" i="13"/>
  <c r="P20" i="13" s="1"/>
  <c r="M7" i="13"/>
  <c r="M20" i="13" s="1"/>
  <c r="N7" i="13"/>
  <c r="N20" i="13" s="1"/>
  <c r="O7" i="13"/>
  <c r="O20" i="13" s="1"/>
  <c r="F7" i="13"/>
  <c r="F20" i="13" s="1"/>
  <c r="I7" i="13"/>
  <c r="I20" i="13" s="1"/>
  <c r="J7" i="13"/>
  <c r="J20" i="13" s="1"/>
  <c r="G7" i="13"/>
  <c r="G20" i="13" s="1"/>
  <c r="K7" i="13"/>
  <c r="H7" i="13"/>
  <c r="H20" i="13" s="1"/>
  <c r="K20" i="13" l="1"/>
  <c r="K68" i="13"/>
  <c r="D67" i="13"/>
  <c r="M73" i="13"/>
  <c r="E159" i="14" s="1"/>
  <c r="F159" i="14" s="1"/>
  <c r="E155" i="14"/>
  <c r="F155" i="14" s="1"/>
  <c r="E167" i="14"/>
  <c r="F167" i="14" s="1"/>
  <c r="E164" i="14"/>
  <c r="F164" i="14" s="1"/>
  <c r="E170" i="14"/>
  <c r="F170" i="14" s="1"/>
  <c r="E154" i="14"/>
  <c r="F154" i="14" s="1"/>
  <c r="E161" i="14"/>
  <c r="F161" i="14" s="1"/>
  <c r="E166" i="14"/>
  <c r="F166" i="14" s="1"/>
  <c r="E157" i="14"/>
  <c r="F157" i="14" s="1"/>
  <c r="E160" i="14"/>
  <c r="F160" i="14" s="1"/>
  <c r="E165" i="14"/>
  <c r="F165" i="14" s="1"/>
  <c r="E163" i="14"/>
  <c r="F163" i="14" s="1"/>
  <c r="E158" i="14"/>
  <c r="F158" i="14" s="1"/>
  <c r="E156" i="14"/>
  <c r="F156" i="14" s="1"/>
  <c r="E153" i="14"/>
  <c r="F153" i="14" s="1"/>
  <c r="E169" i="14"/>
  <c r="F169" i="14" s="1"/>
  <c r="E168" i="14"/>
  <c r="F168" i="14" s="1"/>
  <c r="E162" i="14"/>
  <c r="F162" i="14" s="1"/>
  <c r="E171" i="14"/>
  <c r="F171" i="14" s="1"/>
  <c r="E200" i="14"/>
  <c r="L68" i="13"/>
  <c r="F26" i="14" s="1"/>
  <c r="M68" i="13"/>
  <c r="F27" i="14" s="1"/>
  <c r="P68" i="13"/>
  <c r="O68" i="13"/>
  <c r="Q68" i="13"/>
  <c r="N68" i="13"/>
  <c r="J68" i="13"/>
  <c r="H68" i="13"/>
  <c r="F22" i="14" s="1"/>
  <c r="I68" i="13"/>
  <c r="F68" i="13"/>
  <c r="F20" i="14" s="1"/>
  <c r="G68" i="13"/>
  <c r="F21" i="14" s="1"/>
  <c r="D68" i="13" l="1"/>
  <c r="F51" i="14"/>
  <c r="F24" i="14"/>
  <c r="F50" i="14"/>
  <c r="F25" i="14"/>
  <c r="F23" i="14"/>
  <c r="F116" i="14"/>
  <c r="F108" i="14"/>
  <c r="F111" i="14"/>
  <c r="F107" i="14"/>
  <c r="F113" i="14"/>
  <c r="F110" i="14"/>
  <c r="F115" i="14"/>
  <c r="F114" i="14"/>
  <c r="F109" i="14"/>
  <c r="F118" i="14"/>
  <c r="F112" i="14"/>
  <c r="F117" i="14"/>
  <c r="D73" i="13"/>
  <c r="E172" i="14" l="1"/>
  <c r="E40" i="14"/>
  <c r="E119" i="14"/>
  <c r="E66"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Jp Musaazi</author>
  </authors>
  <commentList>
    <comment ref="T24" authorId="0" shapeId="0" xr:uid="{E3697E95-C489-4DB3-8F94-88BBA0E51477}">
      <text>
        <r>
          <rPr>
            <sz val="9"/>
            <color indexed="81"/>
            <rFont val="Tahoma"/>
            <family val="2"/>
          </rPr>
          <t>It was taking Column E, which is wrong as Column P is kWh. Manually changed it to kW on Tab 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abramoma</author>
    <author>Donna Kwan</author>
  </authors>
  <commentList>
    <comment ref="C6" authorId="0" shapeId="0" xr:uid="{00000000-0006-0000-0800-000001000000}">
      <text>
        <r>
          <rPr>
            <b/>
            <sz val="9"/>
            <color indexed="81"/>
            <rFont val="Tahoma"/>
            <family val="2"/>
          </rPr>
          <t>OEB Staff:</t>
        </r>
        <r>
          <rPr>
            <sz val="9"/>
            <color indexed="81"/>
            <rFont val="Tahoma"/>
            <family val="2"/>
          </rPr>
          <t xml:space="preserve">
1551 balance is allocated to the residential and Gs&lt;50 class only.  A macro that runs in the background generates the formula based on inputs on sheet 4.</t>
        </r>
      </text>
    </comment>
    <comment ref="C12" authorId="1" shapeId="0" xr:uid="{00000000-0006-0000-0800-000002000000}">
      <text>
        <r>
          <rPr>
            <b/>
            <sz val="9"/>
            <color indexed="81"/>
            <rFont val="Tahoma"/>
            <family val="2"/>
          </rPr>
          <t xml:space="preserve">OEB Staff: 
</t>
        </r>
        <r>
          <rPr>
            <sz val="9"/>
            <color indexed="81"/>
            <rFont val="Tahoma"/>
            <family val="2"/>
          </rPr>
          <t xml:space="preserve">For each proposed 1595 vintage year disposition, ensure that the appropriate billing determinant is inputted in Sheet 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abramoma</author>
    <author>Jp Musaazi</author>
    <author>Donna Kwan</author>
  </authors>
  <commentList>
    <comment ref="C6" authorId="0" shapeId="0" xr:uid="{C05DBD40-D79F-4A07-BB84-8E00FA6670BA}">
      <text>
        <r>
          <rPr>
            <b/>
            <sz val="9"/>
            <color indexed="81"/>
            <rFont val="Tahoma"/>
            <family val="2"/>
          </rPr>
          <t>OEB Staff:</t>
        </r>
        <r>
          <rPr>
            <sz val="9"/>
            <color indexed="81"/>
            <rFont val="Tahoma"/>
            <family val="2"/>
          </rPr>
          <t xml:space="preserve">
1551 balance is allocated to the residential and Gs&lt;50 class only.  A macro that runs in the background generates the formula based on inputs on sheet 4.</t>
        </r>
      </text>
    </comment>
    <comment ref="F6" authorId="1" shapeId="0" xr:uid="{20B013FE-AFCC-4D20-8C8E-6E5D0FAF1BF8}">
      <text>
        <r>
          <rPr>
            <b/>
            <sz val="9"/>
            <color indexed="81"/>
            <rFont val="Tahoma"/>
            <family val="2"/>
          </rPr>
          <t>Formula manually changed as macro was not capturing CSMUR info</t>
        </r>
        <r>
          <rPr>
            <sz val="9"/>
            <color indexed="81"/>
            <rFont val="Tahoma"/>
            <family val="2"/>
          </rPr>
          <t xml:space="preserve">
</t>
        </r>
      </text>
    </comment>
    <comment ref="G6" authorId="1" shapeId="0" xr:uid="{5470678C-0D04-4559-814D-C458A681A8BD}">
      <text>
        <r>
          <rPr>
            <b/>
            <sz val="9"/>
            <color indexed="81"/>
            <rFont val="Tahoma"/>
            <family val="2"/>
          </rPr>
          <t>Formula manually changed as macro was not capturing CSMUR info</t>
        </r>
      </text>
    </comment>
    <comment ref="H6" authorId="1" shapeId="0" xr:uid="{B77984A1-C4A2-410A-9D58-1225A28A5DB2}">
      <text>
        <r>
          <rPr>
            <b/>
            <sz val="9"/>
            <color indexed="81"/>
            <rFont val="Tahoma"/>
            <family val="2"/>
          </rPr>
          <t>Formula manually changed as macro was not capturing CSMUR info</t>
        </r>
        <r>
          <rPr>
            <sz val="9"/>
            <color indexed="81"/>
            <rFont val="Tahoma"/>
            <family val="2"/>
          </rPr>
          <t xml:space="preserve">
</t>
        </r>
      </text>
    </comment>
    <comment ref="C12" authorId="2" shapeId="0" xr:uid="{1F02405C-B15A-4A7A-838C-E90BDF6BD902}">
      <text>
        <r>
          <rPr>
            <b/>
            <sz val="9"/>
            <color indexed="81"/>
            <rFont val="Tahoma"/>
            <family val="2"/>
          </rPr>
          <t xml:space="preserve">OEB Staff: 
</t>
        </r>
        <r>
          <rPr>
            <sz val="9"/>
            <color indexed="81"/>
            <rFont val="Tahoma"/>
            <family val="2"/>
          </rPr>
          <t xml:space="preserve">For each proposed 1595 vintage year disposition, ensure that the appropriate billing determinant is inputted in Sheet 4.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<sst xmlns="http://schemas.openxmlformats.org/spreadsheetml/2006/main" count="28000" uniqueCount="4006">
  <si>
    <t>Account Number</t>
  </si>
  <si>
    <t>RSVA - Wholesale Market Service Charge</t>
  </si>
  <si>
    <t>RSVA - Retail Transmission Network Charge</t>
  </si>
  <si>
    <t>RSVA - Retail Transmission Connection Charge</t>
  </si>
  <si>
    <t>Retail Cost Variance Account - Retail</t>
  </si>
  <si>
    <t>Retail Cost Variance Account - STR</t>
  </si>
  <si>
    <t>Deferred Rate Impact Amounts</t>
  </si>
  <si>
    <t>Other Deferred Credits</t>
  </si>
  <si>
    <t>Deferred Payments in Lieu of Taxes</t>
  </si>
  <si>
    <t>Misc. Deferred Debits</t>
  </si>
  <si>
    <t>Extra-Ordinary Event Costs</t>
  </si>
  <si>
    <t>Claim before Forecasted Transactions</t>
  </si>
  <si>
    <t>Smart Grid Capital Deferral Account</t>
  </si>
  <si>
    <t>Smart Grid OM&amp;A Deferral Account</t>
  </si>
  <si>
    <t>Group 2 Sub-Total</t>
  </si>
  <si>
    <t>Smart Grid Funding Adder Deferral Account</t>
  </si>
  <si>
    <t>Account Descriptions</t>
  </si>
  <si>
    <t xml:space="preserve">Renewable Generation Connection Funding Adder Deferral Account </t>
  </si>
  <si>
    <t>Total Claim</t>
  </si>
  <si>
    <t>2.1.7 RRR</t>
  </si>
  <si>
    <t>Explanation</t>
  </si>
  <si>
    <t>Group 1 Accounts</t>
  </si>
  <si>
    <t>Group 2 Accounts</t>
  </si>
  <si>
    <t>LV Variance Account</t>
  </si>
  <si>
    <t>RSVA - One-time</t>
  </si>
  <si>
    <t>Renewable Generation Connection Capital Deferral Account</t>
  </si>
  <si>
    <t>Renewable Generation Connection OM&amp;A Deferral Account</t>
  </si>
  <si>
    <t>Board-Approved CDM Variance Account</t>
  </si>
  <si>
    <t>Other Regulatory Assets - Sub-Account - Deferred IFRS Transition Costs</t>
  </si>
  <si>
    <t>Other Regulatory Assets - Sub-Account - Incremental Capital Charges</t>
  </si>
  <si>
    <t>PILs and Tax Variance for 2006 and Subsequent Years - Sub-Account HST/OVAT                          Input Tax Credits (ITCs)</t>
  </si>
  <si>
    <t>PILs and Tax Variance for 2006 and Subsequent Years                                                                          (excludes sub-account and contra account below)</t>
  </si>
  <si>
    <t>Other Regulatory Assets - Sub-Account - Financial Assistance Payment and Recovery Carrying Charges</t>
  </si>
  <si>
    <r>
      <t xml:space="preserve">Other Regulatory Assets - Sub-Account - Other </t>
    </r>
    <r>
      <rPr>
        <vertAlign val="superscript"/>
        <sz val="11"/>
        <rFont val="Arial"/>
        <family val="2"/>
      </rPr>
      <t>4</t>
    </r>
  </si>
  <si>
    <r>
      <t>Other Regulatory Assets - Sub-Account - Financial Assistance Payment and Recovery Variance - Ontario Clean Energy Benefit Act</t>
    </r>
    <r>
      <rPr>
        <vertAlign val="superscript"/>
        <sz val="11"/>
        <rFont val="Arial"/>
        <family val="2"/>
      </rPr>
      <t>8</t>
    </r>
  </si>
  <si>
    <r>
      <t>Disposition and Recovery/Refund of Regulatory Balances (2008)</t>
    </r>
    <r>
      <rPr>
        <vertAlign val="superscript"/>
        <sz val="11"/>
        <rFont val="Arial"/>
        <family val="2"/>
      </rPr>
      <t>7</t>
    </r>
  </si>
  <si>
    <r>
      <t>Disposition and Recovery/Refund of Regulatory Balances (2009)</t>
    </r>
    <r>
      <rPr>
        <vertAlign val="superscript"/>
        <sz val="11"/>
        <rFont val="Arial"/>
        <family val="2"/>
      </rPr>
      <t>7</t>
    </r>
  </si>
  <si>
    <r>
      <t>Disposition and Recovery/Refund of Regulatory Balances (2010)</t>
    </r>
    <r>
      <rPr>
        <vertAlign val="superscript"/>
        <sz val="11"/>
        <rFont val="Arial"/>
        <family val="2"/>
      </rPr>
      <t>7</t>
    </r>
  </si>
  <si>
    <t>RSVA - Power (excluding Global Adjustment)</t>
  </si>
  <si>
    <t xml:space="preserve">Utility Name   </t>
  </si>
  <si>
    <t>Service Territory</t>
  </si>
  <si>
    <t>Assigned EB Number</t>
  </si>
  <si>
    <t>Name of Contact and Title</t>
  </si>
  <si>
    <t xml:space="preserve">Phone Number   </t>
  </si>
  <si>
    <t xml:space="preserve">Email Address   </t>
  </si>
  <si>
    <t>Notes</t>
  </si>
  <si>
    <t>Pale green cells represent input cells.</t>
  </si>
  <si>
    <t>Pale blue cells represent drop-down lists.  The applicant should select the appropriate item from the drop-down list.</t>
  </si>
  <si>
    <t xml:space="preserve">White cells contain fixed values, automatically generated values or formulae. </t>
  </si>
  <si>
    <r>
      <rPr>
        <b/>
        <u/>
        <sz val="11"/>
        <color theme="1"/>
        <rFont val="Calibri"/>
        <family val="2"/>
        <scheme val="minor"/>
      </rPr>
      <t>General Notes</t>
    </r>
    <r>
      <rPr>
        <sz val="11"/>
        <color theme="1"/>
        <rFont val="Calibri"/>
        <family val="2"/>
        <scheme val="minor"/>
      </rPr>
      <t xml:space="preserve">
1.  Please ensure that your macros have been enabled.  (Tools -&gt; Macro -&gt; Security)
2.  Due to the time lag of deferral/variance account dispositions, this model assumes that all opening balances include previously disposed of amounts.  Accordingly, all "Board Approved Dispositions" are deducted from the opening balance.
3.  Please provide information in this model since the last time your balances were disposed.
4.  For all Board-Approved dispositions, please ensure that the disposition amount has the same sign (e.g: debit balances are to have a positive figure and credit balance are to have a negative figure) as per the related Board decision.
</t>
    </r>
  </si>
  <si>
    <t>LRAM Variance Account</t>
  </si>
  <si>
    <t>Units</t>
  </si>
  <si>
    <t>Total</t>
  </si>
  <si>
    <t>Balance as per Sheet 2</t>
  </si>
  <si>
    <t>Variance</t>
  </si>
  <si>
    <t>Disposition and Recovery/Refund of Regulatory Balances (2009)</t>
  </si>
  <si>
    <t>Disposition and Recovery/Refund of Regulatory Balances (2010)</t>
  </si>
  <si>
    <t>Allocator</t>
  </si>
  <si>
    <t>Total of Group 2 Accounts</t>
  </si>
  <si>
    <t># of Customers</t>
  </si>
  <si>
    <r>
      <t xml:space="preserve">Rate Class 
</t>
    </r>
    <r>
      <rPr>
        <b/>
        <sz val="8"/>
        <rFont val="Arial"/>
        <family val="2"/>
      </rPr>
      <t>(Enter Rate Classes in cells below)</t>
    </r>
  </si>
  <si>
    <t>PILs and Tax Variance for 2006 and Subsequent Years 
      (excludes sub-account and contra account)</t>
  </si>
  <si>
    <t>Amounts from Sheet 2</t>
  </si>
  <si>
    <t>(Account 1568 - total amount allocated to classes)</t>
  </si>
  <si>
    <t>Rate Rider for Deferral/Variance Accounts</t>
  </si>
  <si>
    <t>kW / kWh / # of Customers</t>
  </si>
  <si>
    <t>RSVA - Global Adjustment</t>
  </si>
  <si>
    <t>Group 1 Sub-Total (including Account 1589 - Global Adjustment)</t>
  </si>
  <si>
    <t>Group 1 Sub-Total (excluding Account 1589 - Global Adjustment)</t>
  </si>
  <si>
    <r>
      <t>Disposition and Recovery/Refund of Regulatory Balances (2011)</t>
    </r>
    <r>
      <rPr>
        <vertAlign val="superscript"/>
        <sz val="11"/>
        <rFont val="Arial"/>
        <family val="2"/>
      </rPr>
      <t>7</t>
    </r>
  </si>
  <si>
    <r>
      <t>Smart Meter Capital and Recovery Offset Variance - Sub-Account - Capital</t>
    </r>
    <r>
      <rPr>
        <vertAlign val="superscript"/>
        <sz val="11"/>
        <rFont val="Arial"/>
        <family val="2"/>
      </rPr>
      <t>10</t>
    </r>
  </si>
  <si>
    <r>
      <t>Smart Meter Capital and Recovery Offset Variance - Sub-Account - Recoveries</t>
    </r>
    <r>
      <rPr>
        <vertAlign val="superscript"/>
        <sz val="11"/>
        <rFont val="Arial"/>
        <family val="2"/>
      </rPr>
      <t>10</t>
    </r>
  </si>
  <si>
    <r>
      <t>Smart Meter Capital and Recovery Offset Variance - Sub-Account - Stranded Meter Costs</t>
    </r>
    <r>
      <rPr>
        <vertAlign val="superscript"/>
        <sz val="11"/>
        <rFont val="Arial"/>
        <family val="2"/>
      </rPr>
      <t>10</t>
    </r>
  </si>
  <si>
    <r>
      <t>Smart Meter OM&amp;A Variance</t>
    </r>
    <r>
      <rPr>
        <vertAlign val="superscript"/>
        <sz val="11"/>
        <rFont val="Arial"/>
        <family val="2"/>
      </rPr>
      <t>10</t>
    </r>
  </si>
  <si>
    <t>Total including Account 1568</t>
  </si>
  <si>
    <t>Rate Rider Calculation for Accounts 1575 and 1576</t>
  </si>
  <si>
    <t>Rate Rider for Accounts 1575 and 1576</t>
  </si>
  <si>
    <t>Algoma Power Inc.</t>
  </si>
  <si>
    <t>Atikokan Hydro Inc.</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</si>
  <si>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</si>
  <si>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</si>
  <si>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</si>
  <si>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</si>
  <si>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</si>
  <si>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</si>
  <si>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</si>
  <si>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</si>
  <si>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Entegrus Powerlines Inc.</t>
  </si>
  <si>
    <t>Espanola Regional Hydro Distribution Corporation</t>
  </si>
  <si>
    <t>Essex Powerlines Corporation</t>
  </si>
  <si>
    <t>Festival Hydro Inc.</t>
  </si>
  <si>
    <t>Fort Frances Power Corporation</t>
  </si>
  <si>
    <t>Greater Sudbury Hydro Inc.</t>
  </si>
  <si>
    <t>Halton Hills Hydro Inc.</t>
  </si>
  <si>
    <t>Hydro 2000 Inc.</t>
  </si>
  <si>
    <t>Hydro Hawkesbury Inc.</t>
  </si>
  <si>
    <t>Hydro One Networks Inc.</t>
  </si>
  <si>
    <t>Hydro Ottawa Limited</t>
  </si>
  <si>
    <t>Kingston Hydro Corporation</t>
  </si>
  <si>
    <t>Kitchener-Wilmot Hydro Inc.</t>
  </si>
  <si>
    <t>Lakefront Utilities Inc.</t>
  </si>
  <si>
    <t>Lakeland Power Distribution Ltd.</t>
  </si>
  <si>
    <t>London Hydro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</si>
  <si>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</si>
  <si>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</si>
  <si>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</si>
  <si>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</si>
  <si>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</si>
  <si>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</si>
  <si>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</si>
  <si>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</si>
  <si>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</si>
  <si>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</si>
  <si>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</si>
  <si>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</si>
  <si>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Sioux Lookout Hydro Inc.</t>
  </si>
  <si>
    <t>Tillsonburg Hydro Inc.</t>
  </si>
  <si>
    <t>Toronto Hydro-Electric System Limited</t>
  </si>
  <si>
    <t>Wasaga Distribution Inc.</t>
  </si>
  <si>
    <t>Waterloo North Hydro Inc.</t>
  </si>
  <si>
    <t>Wellington North Power Inc.</t>
  </si>
  <si>
    <t>Westario Power Inc.</t>
  </si>
  <si>
    <r>
      <t>IFRS-CGAAP Transition PP&amp;E Amounts Balance + Return Component</t>
    </r>
    <r>
      <rPr>
        <vertAlign val="superscript"/>
        <sz val="11"/>
        <rFont val="Arial"/>
        <family val="2"/>
      </rPr>
      <t>9</t>
    </r>
  </si>
  <si>
    <r>
      <t>Accounting Changes Under CGAAP Balance + Return Component</t>
    </r>
    <r>
      <rPr>
        <vertAlign val="superscript"/>
        <sz val="11"/>
        <rFont val="Arial"/>
        <family val="2"/>
      </rPr>
      <t>9</t>
    </r>
  </si>
  <si>
    <t>IFRS-CGAAP Transition PP&amp;E Amounts Balance + Return Component</t>
  </si>
  <si>
    <t>Accounting Changes Under CGAAP Balance + Return Component</t>
  </si>
  <si>
    <t>Balance of RSVA - Power - Global Adjustment</t>
  </si>
  <si>
    <t>Rate Rider for RSVA - Power - Global Adjustment</t>
  </si>
  <si>
    <t>Non-RPP kW / kWh / # of Customers</t>
  </si>
  <si>
    <t>Milton Hydro Distribution Inc.</t>
  </si>
  <si>
    <r>
      <t>Disposition and Recovery/Refund of Regulatory Balances (2012)</t>
    </r>
    <r>
      <rPr>
        <vertAlign val="superscript"/>
        <sz val="11"/>
        <rFont val="Arial"/>
        <family val="2"/>
      </rPr>
      <t>7</t>
    </r>
  </si>
  <si>
    <t>Smart Metering Entity Charge Variance Account</t>
  </si>
  <si>
    <t>Closing Principal Balances as of Dec 31-13 Adjusted for Dispositions during 2014</t>
  </si>
  <si>
    <t>Closing Interest Balances as of Dec 31-13 Adjusted for Dispositions during 2014</t>
  </si>
  <si>
    <r>
      <t xml:space="preserve">Projected Interest from Jan 1, 2014 to December 31, 2014 on                        Dec 31 -13 balance adjusted for disposition during 2014 </t>
    </r>
    <r>
      <rPr>
        <b/>
        <vertAlign val="superscript"/>
        <sz val="10"/>
        <rFont val="Book Antiqua"/>
        <family val="1"/>
      </rPr>
      <t>6</t>
    </r>
  </si>
  <si>
    <r>
      <t xml:space="preserve">Variance                           RRR vs. 2013 Balance                        </t>
    </r>
    <r>
      <rPr>
        <b/>
        <i/>
        <sz val="10"/>
        <rFont val="Book Antiqua"/>
        <family val="1"/>
      </rPr>
      <t>(Principal + Interest)</t>
    </r>
  </si>
  <si>
    <r>
      <t xml:space="preserve">Projected Interest from January 1, 2015 to April 30, 2015 on Dec 31 -13 balance adjusted for disposition during 2014  </t>
    </r>
    <r>
      <rPr>
        <b/>
        <vertAlign val="superscript"/>
        <sz val="10"/>
        <rFont val="Book Antiqua"/>
        <family val="1"/>
      </rPr>
      <t>6</t>
    </r>
  </si>
  <si>
    <t>December 31, 2013 Audited Balances</t>
  </si>
  <si>
    <t>2.1.7
As of Dec 31-13</t>
  </si>
  <si>
    <t>kWh</t>
  </si>
  <si>
    <t>Rate Rider Calculation for Accounts 1568</t>
  </si>
  <si>
    <t>Rate Rider for Account 1568</t>
  </si>
  <si>
    <t>Disposition and Recovery/Refund of Regulatory Balances (2013)</t>
  </si>
  <si>
    <t>Disposition and Recovery/Refund of Regulatory Balances (2014)</t>
  </si>
  <si>
    <r>
      <t xml:space="preserve">Rate Class 
</t>
    </r>
    <r>
      <rPr>
        <b/>
        <sz val="8"/>
        <color rgb="FFFF0000"/>
        <rFont val="Arial"/>
        <family val="2"/>
      </rPr>
      <t>(Enter Rate Classes in cells below as they appear on your current tariff of rates and charges)</t>
    </r>
  </si>
  <si>
    <r>
      <t xml:space="preserve">Total Metered </t>
    </r>
    <r>
      <rPr>
        <b/>
        <sz val="10"/>
        <color rgb="FFFF0000"/>
        <rFont val="Arial"/>
        <family val="2"/>
      </rPr>
      <t xml:space="preserve">kWh </t>
    </r>
    <r>
      <rPr>
        <b/>
        <u/>
        <sz val="10"/>
        <rFont val="Arial"/>
        <family val="2"/>
      </rPr>
      <t>less</t>
    </r>
    <r>
      <rPr>
        <b/>
        <sz val="10"/>
        <rFont val="Arial"/>
        <family val="2"/>
      </rPr>
      <t xml:space="preserve"> WMP consumption 
</t>
    </r>
    <r>
      <rPr>
        <b/>
        <i/>
        <sz val="10"/>
        <rFont val="Arial"/>
        <family val="2"/>
      </rPr>
      <t>(if applicable)</t>
    </r>
    <r>
      <rPr>
        <b/>
        <sz val="10"/>
        <rFont val="Arial"/>
        <family val="2"/>
      </rPr>
      <t xml:space="preserve"> </t>
    </r>
  </si>
  <si>
    <t>%</t>
  </si>
  <si>
    <t>Total of Group 1 Accounts (1550, 1551, 1584, 1586 and 1595)</t>
  </si>
  <si>
    <t>1580 and 1588</t>
  </si>
  <si>
    <t>Total of Account 1580 and 1588 (not allocated to WMPs)</t>
  </si>
  <si>
    <t>1589/total kwh</t>
  </si>
  <si>
    <t>Account 1589 reference calculation by customer and consumption</t>
  </si>
  <si>
    <t>Balance of Account 1589 allocated to Class A Non-WMP Customers</t>
  </si>
  <si>
    <t>Account 1589 / Number of Customers</t>
  </si>
  <si>
    <t>Balance of Account 1589 Allocated to Non-WMPs</t>
  </si>
  <si>
    <t>Rate Rider Calculation for RSVA - Power - Global Adjustment - Class A Non-WMP Customers</t>
  </si>
  <si>
    <t>Rate Rider Calculation for Group 2 Accounts</t>
  </si>
  <si>
    <t>Non-RPP kWh</t>
  </si>
  <si>
    <r>
      <t xml:space="preserve">In the green shaded cells, enter the data related to the </t>
    </r>
    <r>
      <rPr>
        <b/>
        <sz val="10"/>
        <rFont val="Arial"/>
        <family val="2"/>
      </rPr>
      <t>proposed</t>
    </r>
    <r>
      <rPr>
        <sz val="10"/>
        <rFont val="Arial"/>
        <family val="2"/>
      </rPr>
      <t xml:space="preserve"> load forecast.  Do not enter data for the MicroFit class.</t>
    </r>
  </si>
  <si>
    <t>Total Interest</t>
  </si>
  <si>
    <t>For all OEB-Approved dispositions, please ensure that the disposition amount has the same sign (e.g: debit balances are to have a positive figure and credit balance are to have a negative figure) as per the related OEB decision.</t>
  </si>
  <si>
    <t>1580 CBDR A</t>
  </si>
  <si>
    <t>1580 CBDR B</t>
  </si>
  <si>
    <t>1595 (2009)</t>
  </si>
  <si>
    <t>1595 (2010)</t>
  </si>
  <si>
    <t>1595 (2011)</t>
  </si>
  <si>
    <t>1595 (2012)</t>
  </si>
  <si>
    <t>1595 (2013)</t>
  </si>
  <si>
    <t>1595 (2015)</t>
  </si>
  <si>
    <t>1595 (2014)</t>
  </si>
  <si>
    <t>kW</t>
  </si>
  <si>
    <t xml:space="preserve">Distribution Revenue </t>
  </si>
  <si>
    <r>
      <t xml:space="preserve">1595 Recovery Share Proportion (2009) </t>
    </r>
    <r>
      <rPr>
        <b/>
        <vertAlign val="superscript"/>
        <sz val="10"/>
        <rFont val="Arial"/>
        <family val="2"/>
      </rPr>
      <t>1</t>
    </r>
  </si>
  <si>
    <r>
      <t>Number of Customers for Residential and GS&lt;50 classes</t>
    </r>
    <r>
      <rPr>
        <b/>
        <vertAlign val="superscript"/>
        <sz val="11"/>
        <color theme="1"/>
        <rFont val="Calibri"/>
        <family val="2"/>
        <scheme val="minor"/>
      </rPr>
      <t>2</t>
    </r>
  </si>
  <si>
    <r>
      <t>2</t>
    </r>
    <r>
      <rPr>
        <sz val="10"/>
        <rFont val="Arial"/>
        <family val="2"/>
      </rPr>
      <t xml:space="preserve"> The proportion of customers for the Residential and GS&lt;50 Classes will be used to allocate Account 1551.</t>
    </r>
  </si>
  <si>
    <r>
      <t>GA Allocator for Class A, 
Non-WMP Customers 
(if applicable)</t>
    </r>
    <r>
      <rPr>
        <b/>
        <vertAlign val="superscript"/>
        <sz val="10"/>
        <rFont val="Arial"/>
        <family val="2"/>
      </rPr>
      <t>2</t>
    </r>
  </si>
  <si>
    <t>Allocation of Total GA Balance $</t>
  </si>
  <si>
    <t>Total GA Balance</t>
  </si>
  <si>
    <t>Total of Group 1 and Group 2 Accounts (including 1592)</t>
  </si>
  <si>
    <r>
      <t xml:space="preserve">Total Metered </t>
    </r>
    <r>
      <rPr>
        <b/>
        <sz val="10"/>
        <color rgb="FFFF0000"/>
        <rFont val="Arial"/>
        <family val="2"/>
      </rPr>
      <t xml:space="preserve">kW </t>
    </r>
    <r>
      <rPr>
        <b/>
        <u/>
        <sz val="10"/>
        <rFont val="Arial"/>
        <family val="2"/>
      </rPr>
      <t>less</t>
    </r>
    <r>
      <rPr>
        <b/>
        <sz val="10"/>
        <rFont val="Arial"/>
        <family val="2"/>
      </rPr>
      <t xml:space="preserve"> WMP consumption  
</t>
    </r>
    <r>
      <rPr>
        <b/>
        <i/>
        <sz val="10"/>
        <rFont val="Arial"/>
        <family val="2"/>
      </rPr>
      <t>(if applicable)</t>
    </r>
  </si>
  <si>
    <r>
      <t xml:space="preserve">Total Metered </t>
    </r>
    <r>
      <rPr>
        <b/>
        <sz val="10"/>
        <color rgb="FFFF0000"/>
        <rFont val="Arial"/>
        <family val="2"/>
      </rPr>
      <t>kW</t>
    </r>
    <r>
      <rPr>
        <b/>
        <sz val="10"/>
        <rFont val="Arial"/>
        <family val="2"/>
      </rPr>
      <t xml:space="preserve"> for
Non-RPP Customers </t>
    </r>
    <r>
      <rPr>
        <b/>
        <u/>
        <sz val="10"/>
        <rFont val="Arial"/>
        <family val="2"/>
      </rPr>
      <t>less</t>
    </r>
    <r>
      <rPr>
        <b/>
        <sz val="10"/>
        <rFont val="Arial"/>
        <family val="2"/>
      </rPr>
      <t xml:space="preserve"> WMP and 
Class A Consumption</t>
    </r>
  </si>
  <si>
    <t>Total of Account 1592</t>
  </si>
  <si>
    <t>Disposition and Recovery/Refund of Regulatory Balances (2015)</t>
  </si>
  <si>
    <r>
      <t>1568 LRAM Variance Account Class Allocation</t>
    </r>
    <r>
      <rPr>
        <b/>
        <vertAlign val="superscript"/>
        <sz val="10"/>
        <rFont val="Arial"/>
        <family val="2"/>
      </rPr>
      <t>3</t>
    </r>
    <r>
      <rPr>
        <b/>
        <sz val="10"/>
        <rFont val="Arial"/>
        <family val="2"/>
      </rPr>
      <t xml:space="preserve">
</t>
    </r>
    <r>
      <rPr>
        <b/>
        <sz val="10"/>
        <color rgb="FFFF0000"/>
        <rFont val="Arial"/>
        <family val="2"/>
      </rPr>
      <t>($ amounts)</t>
    </r>
  </si>
  <si>
    <r>
      <t>3</t>
    </r>
    <r>
      <rPr>
        <sz val="10"/>
        <rFont val="Arial"/>
        <family val="2"/>
      </rPr>
      <t xml:space="preserve"> Input the allocation as determined in the LRAMVA model.  The associated rate riders will be calculated in the EDDVAR model.</t>
    </r>
  </si>
  <si>
    <t xml:space="preserve">Accounts that produced a variance on the  continuity schedule are listed below.  
Please provide a detailed explanation for each variance below.
</t>
  </si>
  <si>
    <t>A</t>
  </si>
  <si>
    <t>B</t>
  </si>
  <si>
    <t>Customer</t>
  </si>
  <si>
    <t>% of kWh</t>
  </si>
  <si>
    <t>Monthly Equal Payments</t>
  </si>
  <si>
    <r>
      <t xml:space="preserve"> Metered </t>
    </r>
    <r>
      <rPr>
        <b/>
        <sz val="10"/>
        <color rgb="FFFF0000"/>
        <rFont val="Arial"/>
        <family val="2"/>
      </rPr>
      <t>kW</t>
    </r>
    <r>
      <rPr>
        <b/>
        <sz val="10"/>
        <rFont val="Arial"/>
        <family val="2"/>
      </rPr>
      <t xml:space="preserve"> Consumption for New Class A customer(s) in the period prior to becoming Class A (i.e. Jan. 1 - June 30, 2015) </t>
    </r>
  </si>
  <si>
    <t>C</t>
  </si>
  <si>
    <t>D=A-C</t>
  </si>
  <si>
    <t>E</t>
  </si>
  <si>
    <t>Customer 1</t>
  </si>
  <si>
    <t>Customer 2</t>
  </si>
  <si>
    <t>Alectra Utilities Corporation</t>
  </si>
  <si>
    <t>Energy+ Inc.</t>
  </si>
  <si>
    <t>Grimsby Power Incorporated</t>
  </si>
  <si>
    <t>InnPower Corporation</t>
  </si>
  <si>
    <t>Welland Hydro-Electric System Corp.</t>
  </si>
  <si>
    <t>Non-RPP Metered Consumption for Current Class B Customers (Non-RPP Consumption excluding WMP, Class A and Transition Customers' Consumption</t>
  </si>
  <si>
    <t>Years since Account 1589 GA  balance was last disposed (up to 2016)</t>
  </si>
  <si>
    <t>2a</t>
  </si>
  <si>
    <t>2b</t>
  </si>
  <si>
    <t>3a</t>
  </si>
  <si>
    <t>Rate Class</t>
  </si>
  <si>
    <t>January to June</t>
  </si>
  <si>
    <t>July to December</t>
  </si>
  <si>
    <t>Class A/B</t>
  </si>
  <si>
    <t>Customer 3</t>
  </si>
  <si>
    <t>Customer 4</t>
  </si>
  <si>
    <t>Customer 5</t>
  </si>
  <si>
    <t>Customer 6</t>
  </si>
  <si>
    <t>Customer 7</t>
  </si>
  <si>
    <t>Customer 8</t>
  </si>
  <si>
    <t>Customer 9</t>
  </si>
  <si>
    <t>Customer 10</t>
  </si>
  <si>
    <t>Customer 11</t>
  </si>
  <si>
    <t>Customer 12</t>
  </si>
  <si>
    <t>Customer 13</t>
  </si>
  <si>
    <t>Customer 14</t>
  </si>
  <si>
    <t>Customer 15</t>
  </si>
  <si>
    <t>Customer 16</t>
  </si>
  <si>
    <t>Customer 17</t>
  </si>
  <si>
    <t>Customer 18</t>
  </si>
  <si>
    <t>Customer 19</t>
  </si>
  <si>
    <t>Customer 20</t>
  </si>
  <si>
    <t>Customer 21</t>
  </si>
  <si>
    <t>Customer 22</t>
  </si>
  <si>
    <t>Customer 23</t>
  </si>
  <si>
    <t>Customer 24</t>
  </si>
  <si>
    <t>Customer 25</t>
  </si>
  <si>
    <t>Customer 26</t>
  </si>
  <si>
    <t>Customer 27</t>
  </si>
  <si>
    <t>Customer 28</t>
  </si>
  <si>
    <t>Customer 29</t>
  </si>
  <si>
    <t>Customer 30</t>
  </si>
  <si>
    <t>Customer 31</t>
  </si>
  <si>
    <t>Customer 32</t>
  </si>
  <si>
    <t>Customer 33</t>
  </si>
  <si>
    <t>Customer 34</t>
  </si>
  <si>
    <t>Customer 35</t>
  </si>
  <si>
    <t>Customer 36</t>
  </si>
  <si>
    <t>Customer 37</t>
  </si>
  <si>
    <t>Customer 38</t>
  </si>
  <si>
    <t>Customer 39</t>
  </si>
  <si>
    <t>Customer 40</t>
  </si>
  <si>
    <t>Customer 41</t>
  </si>
  <si>
    <t>Customer 42</t>
  </si>
  <si>
    <t>Customer 43</t>
  </si>
  <si>
    <t>Customer 44</t>
  </si>
  <si>
    <t>Customer 45</t>
  </si>
  <si>
    <t>Customer 46</t>
  </si>
  <si>
    <t>Customer 47</t>
  </si>
  <si>
    <t>Customer 48</t>
  </si>
  <si>
    <t>Customer 49</t>
  </si>
  <si>
    <t>Customer 50</t>
  </si>
  <si>
    <t>Customer 51</t>
  </si>
  <si>
    <t>Customer 52</t>
  </si>
  <si>
    <t>Customer 53</t>
  </si>
  <si>
    <t>Customer 54</t>
  </si>
  <si>
    <t>Customer 55</t>
  </si>
  <si>
    <t>Customer 56</t>
  </si>
  <si>
    <t>Customer 57</t>
  </si>
  <si>
    <t>Customer 58</t>
  </si>
  <si>
    <t>Customer 59</t>
  </si>
  <si>
    <t>Customer 60</t>
  </si>
  <si>
    <t>Customer 61</t>
  </si>
  <si>
    <t>Customer 62</t>
  </si>
  <si>
    <t>Customer 63</t>
  </si>
  <si>
    <t>Customer 64</t>
  </si>
  <si>
    <t>Customer 65</t>
  </si>
  <si>
    <t>Customer 66</t>
  </si>
  <si>
    <t>Customer 67</t>
  </si>
  <si>
    <t>Customer 68</t>
  </si>
  <si>
    <t>Customer 69</t>
  </si>
  <si>
    <t>Customer 70</t>
  </si>
  <si>
    <t>Customer 71</t>
  </si>
  <si>
    <t>Customer 72</t>
  </si>
  <si>
    <t>Customer 73</t>
  </si>
  <si>
    <t>Customer 74</t>
  </si>
  <si>
    <t>Customer 75</t>
  </si>
  <si>
    <t>Customer 76</t>
  </si>
  <si>
    <t>Customer 77</t>
  </si>
  <si>
    <t>Customer 78</t>
  </si>
  <si>
    <t>Customer 79</t>
  </si>
  <si>
    <t>Customer 80</t>
  </si>
  <si>
    <t>Customer 81</t>
  </si>
  <si>
    <t>Customer 82</t>
  </si>
  <si>
    <t>Customer 83</t>
  </si>
  <si>
    <t>Customer 84</t>
  </si>
  <si>
    <t>Customer 85</t>
  </si>
  <si>
    <t>Customer 86</t>
  </si>
  <si>
    <t>Customer 87</t>
  </si>
  <si>
    <t>Customer 88</t>
  </si>
  <si>
    <t>Customer 89</t>
  </si>
  <si>
    <t>Customer 90</t>
  </si>
  <si>
    <t>Customer 91</t>
  </si>
  <si>
    <t>Customer 92</t>
  </si>
  <si>
    <t>Customer 93</t>
  </si>
  <si>
    <t>Customer 94</t>
  </si>
  <si>
    <t>Customer 95</t>
  </si>
  <si>
    <t>Customer 96</t>
  </si>
  <si>
    <t>Customer 97</t>
  </si>
  <si>
    <t>Customer 98</t>
  </si>
  <si>
    <t>Customer 99</t>
  </si>
  <si>
    <t>Customer 100</t>
  </si>
  <si>
    <t>Customer 101</t>
  </si>
  <si>
    <t>Customer 102</t>
  </si>
  <si>
    <t>Customer 103</t>
  </si>
  <si>
    <t>Customer 104</t>
  </si>
  <si>
    <t>Customer 105</t>
  </si>
  <si>
    <t>Customer 106</t>
  </si>
  <si>
    <t>Customer 107</t>
  </si>
  <si>
    <t>Customer 108</t>
  </si>
  <si>
    <t>Customer 109</t>
  </si>
  <si>
    <t>Customer 110</t>
  </si>
  <si>
    <t>Customer 111</t>
  </si>
  <si>
    <t>Customer 112</t>
  </si>
  <si>
    <t>Customer 113</t>
  </si>
  <si>
    <t>Customer 114</t>
  </si>
  <si>
    <t>Customer 115</t>
  </si>
  <si>
    <t>Customer 116</t>
  </si>
  <si>
    <t>Customer 117</t>
  </si>
  <si>
    <t>Customer 118</t>
  </si>
  <si>
    <t>Customer 119</t>
  </si>
  <si>
    <t>Customer 120</t>
  </si>
  <si>
    <t>Customer 121</t>
  </si>
  <si>
    <t>Customer 122</t>
  </si>
  <si>
    <t>Customer 123</t>
  </si>
  <si>
    <t>Customer 124</t>
  </si>
  <si>
    <t>Customer 125</t>
  </si>
  <si>
    <t>Customer 126</t>
  </si>
  <si>
    <t>Customer 127</t>
  </si>
  <si>
    <t>Customer 128</t>
  </si>
  <si>
    <t>Customer 129</t>
  </si>
  <si>
    <t>Customer 130</t>
  </si>
  <si>
    <t>Customer 131</t>
  </si>
  <si>
    <t>Customer 132</t>
  </si>
  <si>
    <t>Customer 133</t>
  </si>
  <si>
    <t>Customer 134</t>
  </si>
  <si>
    <t>Customer 135</t>
  </si>
  <si>
    <t>Customer 136</t>
  </si>
  <si>
    <t>Customer 137</t>
  </si>
  <si>
    <t>Customer 138</t>
  </si>
  <si>
    <t>Customer 139</t>
  </si>
  <si>
    <t>Customer 140</t>
  </si>
  <si>
    <t>Customer 141</t>
  </si>
  <si>
    <t>Customer 142</t>
  </si>
  <si>
    <t>Customer 143</t>
  </si>
  <si>
    <t>Customer 144</t>
  </si>
  <si>
    <t>Customer 145</t>
  </si>
  <si>
    <t>Customer 146</t>
  </si>
  <si>
    <t>Customer 147</t>
  </si>
  <si>
    <t>Customer 148</t>
  </si>
  <si>
    <t>Customer 149</t>
  </si>
  <si>
    <t>Customer 150</t>
  </si>
  <si>
    <t>3b</t>
  </si>
  <si>
    <t>Allocation of total Non-RPP Consumption (kWh) between Current Class B and Class A/B Transition Customers</t>
  </si>
  <si>
    <t xml:space="preserve">Transition Customers' Portion of Total Consumption </t>
  </si>
  <si>
    <t>Transition Customers Portion of GA Balance</t>
  </si>
  <si>
    <t>GA Balance to be disposed to Current Class B Customers through Rate Rider</t>
  </si>
  <si>
    <t>Allocation of GA Balances to Class A/B Transition Customers</t>
  </si>
  <si>
    <t># of Class A/B Transition Customers</t>
  </si>
  <si>
    <t>Unit</t>
  </si>
  <si>
    <t>CBR Class B Rate Rider</t>
  </si>
  <si>
    <t>Total CBR Class B $ allocated to Current Class B Customers</t>
  </si>
  <si>
    <t>% of total kWh</t>
  </si>
  <si>
    <t>Metered Consumption for Current Class B Customers (Total Consumption LESS WMP, Class A and Transition Customers' Consumption)</t>
  </si>
  <si>
    <t>Rate Rider for Group 2 Accounts</t>
  </si>
  <si>
    <t/>
  </si>
  <si>
    <t>If the allocated Account 1580 sub-account CBR Class B amount does not produce a rate rider in one or more rate class (except for the Standby rate class), a distributor is to transfer the entire OEB-approved CBR Class B amount into account 1595 for disposition at a later date (see Accounting Guidance, Capacity Based Recovery July 25, 2016)</t>
  </si>
  <si>
    <t xml:space="preserve">Customer </t>
  </si>
  <si>
    <t>Allocation of CBR Class B Balances to Transition Customers</t>
  </si>
  <si>
    <t>CBR Class B Balance to be disposed to Current Class B Customers through Rate Rider</t>
  </si>
  <si>
    <t>Transition Customers Portion of CBR Class B Balance</t>
  </si>
  <si>
    <t xml:space="preserve">Total CBR Class B Balance </t>
  </si>
  <si>
    <t>Allocation of Total CBR Class B Balance $</t>
  </si>
  <si>
    <t>1580, Sub-account CBR Class B</t>
  </si>
  <si>
    <t>Rate Rider Calculation for Account 1580, sub-account CBR Class B</t>
  </si>
  <si>
    <t>Rate rider calculated separately only if Class A customers exist during the period the balance accumulated</t>
  </si>
  <si>
    <t>Tab</t>
  </si>
  <si>
    <t>Tab Details</t>
  </si>
  <si>
    <t xml:space="preserve">Step </t>
  </si>
  <si>
    <t>Complete the DVA continuity schedule.</t>
  </si>
  <si>
    <t>3. Appendix A</t>
  </si>
  <si>
    <t>This tab shows the year end balance variances between the continuity schedule and that reported in the RRR.</t>
  </si>
  <si>
    <t>Provide an explanation for the variances identified.</t>
  </si>
  <si>
    <t>4 - Billing Determinant</t>
  </si>
  <si>
    <t>This tab shows the billing determinants that will be used to allocate account balances and calculate rate riders.</t>
  </si>
  <si>
    <t>5 - Allocating Def-Var Balances</t>
  </si>
  <si>
    <r>
      <t>1</t>
    </r>
    <r>
      <rPr>
        <sz val="10"/>
        <rFont val="Arial"/>
        <family val="2"/>
      </rPr>
      <t xml:space="preserve"> Account 1595 sub-accounts are to be allocated to rate classes in proportion to the recovery share as established when rate riders were implemented.</t>
    </r>
  </si>
  <si>
    <t>Disposition and Recovery/Refund of Regulatory Balances (2016)</t>
  </si>
  <si>
    <t>F =B-C-E (deduct E if applicable)</t>
  </si>
  <si>
    <r>
      <t>Smart Meter Capital and Recovery Offset Variance - Sub-Account - Capital</t>
    </r>
    <r>
      <rPr>
        <vertAlign val="superscript"/>
        <sz val="11"/>
        <rFont val="Arial"/>
        <family val="2"/>
      </rPr>
      <t>4</t>
    </r>
  </si>
  <si>
    <r>
      <t>Smart Meter Capital and Recovery Offset Variance - Sub-Account - Recoveries</t>
    </r>
    <r>
      <rPr>
        <vertAlign val="superscript"/>
        <sz val="11"/>
        <rFont val="Arial"/>
        <family val="2"/>
      </rPr>
      <t>4</t>
    </r>
  </si>
  <si>
    <r>
      <t>Smart Meter OM&amp;A Variance</t>
    </r>
    <r>
      <rPr>
        <vertAlign val="superscript"/>
        <sz val="11"/>
        <rFont val="Arial"/>
        <family val="2"/>
      </rPr>
      <t>4</t>
    </r>
  </si>
  <si>
    <r>
      <t>Disposition and Recovery/Refund of Regulatory Balances (2013)</t>
    </r>
    <r>
      <rPr>
        <vertAlign val="superscript"/>
        <sz val="11"/>
        <rFont val="Arial"/>
        <family val="2"/>
      </rPr>
      <t>7</t>
    </r>
  </si>
  <si>
    <r>
      <t>Disposition and Recovery/Refund of Regulatory Balances (2014)</t>
    </r>
    <r>
      <rPr>
        <vertAlign val="superscript"/>
        <sz val="11"/>
        <rFont val="Arial"/>
        <family val="2"/>
      </rPr>
      <t>7</t>
    </r>
  </si>
  <si>
    <r>
      <t>Disposition and Recovery/Refund of Regulatory Balances (2015)</t>
    </r>
    <r>
      <rPr>
        <vertAlign val="superscript"/>
        <sz val="11"/>
        <rFont val="Arial"/>
        <family val="2"/>
      </rPr>
      <t>7</t>
    </r>
  </si>
  <si>
    <r>
      <t>Disposition and Recovery/Refund of Regulatory Balances (2016)</t>
    </r>
    <r>
      <rPr>
        <vertAlign val="superscript"/>
        <sz val="11"/>
        <rFont val="Arial"/>
        <family val="2"/>
      </rPr>
      <t>7</t>
    </r>
  </si>
  <si>
    <r>
      <t>RSVA - Wholesale Market Service Charge</t>
    </r>
    <r>
      <rPr>
        <vertAlign val="superscript"/>
        <sz val="11"/>
        <rFont val="Arial"/>
        <family val="2"/>
      </rPr>
      <t>9</t>
    </r>
  </si>
  <si>
    <r>
      <t>Variance WMS – Sub-account CBR Class A</t>
    </r>
    <r>
      <rPr>
        <vertAlign val="superscript"/>
        <sz val="11"/>
        <rFont val="Arial"/>
        <family val="2"/>
      </rPr>
      <t>9</t>
    </r>
  </si>
  <si>
    <r>
      <t>Variance WMS – Sub-account CBR Class B</t>
    </r>
    <r>
      <rPr>
        <vertAlign val="superscript"/>
        <sz val="11"/>
        <rFont val="Arial"/>
        <family val="2"/>
      </rPr>
      <t>9</t>
    </r>
  </si>
  <si>
    <t>Rate Rider Calculation for Group 1 Deferral / Variance Accounts Balances (excluding Global Adj.)</t>
  </si>
  <si>
    <t>Rate Rider Calculation for Group 1 Deferral / Variance Accounts Balances (excluding Global Adj.) - NON-WMP</t>
  </si>
  <si>
    <t>Allocated Group 1 Balance (excluding 1589)</t>
  </si>
  <si>
    <t>Allocated Group 1 Balance - Non-WMP</t>
  </si>
  <si>
    <t>Allocated Global Adjustment Balance</t>
  </si>
  <si>
    <t>Allocated Group 2 Balance</t>
  </si>
  <si>
    <t>Allocated Accounts 1575 and 1576 Balances</t>
  </si>
  <si>
    <t>Allocated
Account 1568 Balance</t>
  </si>
  <si>
    <t xml:space="preserve">Allocated Sub-account 1580 CBR Class B Balance </t>
  </si>
  <si>
    <r>
      <t>RSVA - Power (excluding Global Adjustment)</t>
    </r>
    <r>
      <rPr>
        <vertAlign val="superscript"/>
        <sz val="11"/>
        <rFont val="Arial"/>
        <family val="2"/>
      </rPr>
      <t>12</t>
    </r>
  </si>
  <si>
    <r>
      <t xml:space="preserve">RSVA - Global Adjustment </t>
    </r>
    <r>
      <rPr>
        <vertAlign val="superscript"/>
        <sz val="11"/>
        <rFont val="Arial"/>
        <family val="2"/>
      </rPr>
      <t>12</t>
    </r>
  </si>
  <si>
    <t>Transition Customers - Non-loss Adjusted Billing Determinants by Customer</t>
  </si>
  <si>
    <t>Instructions</t>
  </si>
  <si>
    <t>Only for rate classes with WMP customers are the Deferral/Variance Account Rate Riders for Non-WMP calculated separately in the table above. For all rate classes without WMP customers, balances in Accounts 1580 and 1588 are included in Deferral/Variance Account Rate Riders calculated in the first table above and disposed through a combined Deferral/Variance Account and Rate Rider.</t>
  </si>
  <si>
    <t>Not to be disposed of until a year after rate rider has expired and that balance has been audited</t>
  </si>
  <si>
    <t>The Year the Account 1580 CBR Class B was Last Disposed.</t>
  </si>
  <si>
    <t>version 1.0</t>
  </si>
  <si>
    <t>Disposition and Recovery/Refund of Regulatory Balances (2017)</t>
  </si>
  <si>
    <t xml:space="preserve"> Please indicate the Rate Rider Recovery Period (in months)</t>
  </si>
  <si>
    <t>6 - Class A Data Consumption</t>
  </si>
  <si>
    <t>6.1a. - GA Allocation</t>
  </si>
  <si>
    <t xml:space="preserve">6.2 - CBR </t>
  </si>
  <si>
    <t>6.2a - CBR_B Allocation</t>
  </si>
  <si>
    <t>7 - Calculation of Def-Var RR</t>
  </si>
  <si>
    <t>This tab calculates all the applicable DVA rate riders.</t>
  </si>
  <si>
    <t>Enter the proposed rate rider recovery period if different than the default 12 month period. For each rate class of each rate rider, select whether the rate rider is to be calculated on a kWh, kW or number of customers basis. The rest of the information in the tab is auto-populated and the rate riders are calculated accordingly .</t>
  </si>
  <si>
    <t>Rate Rider for Sub-account 1580 CBR Class B</t>
  </si>
  <si>
    <t>ENWIN Utilities Ltd.</t>
  </si>
  <si>
    <t>EPCOR Electricity Distribution Ontario Inc.</t>
  </si>
  <si>
    <t>ERTH Power Corporation - ERTH Power Main Rate Zone</t>
  </si>
  <si>
    <t>ERTH POWER CORPORATION – GODERICH RATE ZONE</t>
  </si>
  <si>
    <t>Hearst Power Distribution Co. Ltd.</t>
  </si>
  <si>
    <t>Rideau St. Lawrence Distribution Inc.</t>
  </si>
  <si>
    <t>Pale grey cell represent auto-populated RRR data</t>
  </si>
  <si>
    <t>To determine the first year the continuity schedules in tabs 2a and 2b will be generated for input, answer the following questions:</t>
  </si>
  <si>
    <t>Disposition and Recovery/Refund of Regulatory Balances (2018)</t>
  </si>
  <si>
    <t>Pole Attachment Revenue Variance</t>
  </si>
  <si>
    <t>Retail Service Charge Incremental Revenue</t>
  </si>
  <si>
    <t>Pension &amp; OPEB Forecast Accrual versus Actual Cash Payment Differential Carrying Charges</t>
  </si>
  <si>
    <t>Pension &amp; OPEB Forecast Accrual versus Actual Cash Payment Differential</t>
  </si>
  <si>
    <r>
      <t xml:space="preserve">Total 
Metered </t>
    </r>
    <r>
      <rPr>
        <b/>
        <sz val="10"/>
        <color rgb="FFFF0000"/>
        <rFont val="Arial"/>
        <family val="2"/>
      </rPr>
      <t>kWh</t>
    </r>
  </si>
  <si>
    <r>
      <t xml:space="preserve">Total 
Metered </t>
    </r>
    <r>
      <rPr>
        <b/>
        <sz val="10"/>
        <color rgb="FFFF0000"/>
        <rFont val="Arial"/>
        <family val="2"/>
      </rPr>
      <t>kW</t>
    </r>
  </si>
  <si>
    <r>
      <t xml:space="preserve">Metered </t>
    </r>
    <r>
      <rPr>
        <b/>
        <sz val="11"/>
        <color rgb="FFFF0000"/>
        <rFont val="Arial"/>
        <family val="2"/>
      </rPr>
      <t>kWh</t>
    </r>
    <r>
      <rPr>
        <b/>
        <sz val="10"/>
        <rFont val="Arial"/>
        <family val="2"/>
      </rPr>
      <t xml:space="preserve"> for Wholesale Market Participants (WMP)</t>
    </r>
  </si>
  <si>
    <r>
      <t xml:space="preserve">Metered </t>
    </r>
    <r>
      <rPr>
        <b/>
        <sz val="11"/>
        <color rgb="FFFF0000"/>
        <rFont val="Arial"/>
        <family val="2"/>
      </rPr>
      <t>kW</t>
    </r>
    <r>
      <rPr>
        <b/>
        <sz val="10"/>
        <rFont val="Arial"/>
        <family val="2"/>
      </rPr>
      <t xml:space="preserve"> for Wholesale Market Participants (WMP)</t>
    </r>
  </si>
  <si>
    <t>Variance WMS - Sub-account CBR Class B (separate rate rider if Class A Customers)</t>
  </si>
  <si>
    <t>Smart Meter Capital and Recovery Offset Variance - Sub-Account - Stranded Meter Costs</t>
  </si>
  <si>
    <t>Total of Accounts 1575 and 1576</t>
  </si>
  <si>
    <t xml:space="preserve">No Input Required in this tab. The purpose of this tab is to calculate the billing determinants for CBR rate riders for all current Class B customers who did not transition between Class A and B in the period since the Account 1580, sub-account CBR Class B balance accumulated.
</t>
  </si>
  <si>
    <t>This tab allocates the GA balance to transition customers (i.e Class A customers who were former Class B customers and Class B customers who were former Class A customers) who contributed to the current GA balance. The tables below calculate specific amounts for each customer who made the change. The general GA rate rider to non-RPP customers is not to be charged to the transition customers that are allocated amounts in the table below. Consistent with prior decisions, distributors are generally expected to settle the amount through 12 equal adjustments to bills.</t>
  </si>
  <si>
    <t>Non-RPP Consumption Less WMP Consumption</t>
  </si>
  <si>
    <t xml:space="preserve">   Less Class A Consumption for Partial Year Class A Customers</t>
  </si>
  <si>
    <t xml:space="preserve">   Less Consumption for Full Year Class A Customers</t>
  </si>
  <si>
    <t xml:space="preserve">Total Class B Consumption for Years During Balance Accumulation </t>
  </si>
  <si>
    <t>D = A-B-C</t>
  </si>
  <si>
    <t>All Class B Consumption for Transition Customers</t>
  </si>
  <si>
    <t>F = E/D</t>
  </si>
  <si>
    <t>Total Metered Consumption (kWh) for Transition Customers During the Period When They Were Class B Customers</t>
  </si>
  <si>
    <t>Metered Consumption (kWh) for Transition Customers During the Period When They Were Class B Customers in 2018</t>
  </si>
  <si>
    <t>Customer Specific GA Allocation for the Period When They Were a Class B customer</t>
  </si>
  <si>
    <t>This tab allocates the CBR Class B balance to transition customers (i.e Class A customers who were former Class B customers and Class B customers who were former Class A customers) who contributed to the current CBR Class B balance. The tables below calculate specific amounts for each customer who made the change. The general CBR Class B rate rider is not to be charged to the transition customers that are allocated amounts in the table below. Consistent with prior decisions, distributors are generally expected to settle the amount through 12 equal adjustments to bills.</t>
  </si>
  <si>
    <t>Year Account 1580 CBR Class B was Last Disposed</t>
  </si>
  <si>
    <t>Allocation of Total Consumption (kWh) between Current Class B and Class A/B Transition Customers</t>
  </si>
  <si>
    <t>Total Consumption Less WMP Consumption</t>
  </si>
  <si>
    <t>Total Metered Class B Consumption (kWh)  for Transition Customers During the Period When They were Class B Customers</t>
  </si>
  <si>
    <t>Metered Class B Consumption (kWh)  for Transition Customers During the Period When They were Class B Customers in 2018</t>
  </si>
  <si>
    <t>Customer Specific CBR Class B Allocation for the Period When They Were a Class B Customer</t>
  </si>
  <si>
    <t>1a</t>
  </si>
  <si>
    <t>The year Account 1589 GA was last disposed</t>
  </si>
  <si>
    <t>1b</t>
  </si>
  <si>
    <t>The year Account 1580 CBR Class B was last disposed</t>
  </si>
  <si>
    <t>Note that the sub-account was established in 2015.</t>
  </si>
  <si>
    <t>Enter the number of transition customer you had during the period the Account 1589 GA or Account 1580 CBR B balance accumulated</t>
  </si>
  <si>
    <t>Rate Classes with Class A Customers - Billing Determinants by Rate Class</t>
  </si>
  <si>
    <t>Rate Class 1</t>
  </si>
  <si>
    <t>Rate Class 2</t>
  </si>
  <si>
    <t>Rate Class 3</t>
  </si>
  <si>
    <t>Rate Class 4</t>
  </si>
  <si>
    <t>Rate Class 5</t>
  </si>
  <si>
    <t>Rate Class 6</t>
  </si>
  <si>
    <t>Rate Class 7</t>
  </si>
  <si>
    <t>Rate Class 8</t>
  </si>
  <si>
    <t>Rate Class 9</t>
  </si>
  <si>
    <t>Rate Class 10</t>
  </si>
  <si>
    <t>Rate Class 11</t>
  </si>
  <si>
    <t>Rate Class 12</t>
  </si>
  <si>
    <t>Rate Class 13</t>
  </si>
  <si>
    <t>Rate Class 14</t>
  </si>
  <si>
    <t>Rate Class 15</t>
  </si>
  <si>
    <t>Rate Class 16</t>
  </si>
  <si>
    <t>Rate Class 17</t>
  </si>
  <si>
    <t>Rate Class 18</t>
  </si>
  <si>
    <t>Rate Class 19</t>
  </si>
  <si>
    <t>Rate Class 20</t>
  </si>
  <si>
    <t>Rate Class 21</t>
  </si>
  <si>
    <t>Rate Class 22</t>
  </si>
  <si>
    <t>Rate Class 23</t>
  </si>
  <si>
    <t>Rate Class 24</t>
  </si>
  <si>
    <t>Rate Class 25</t>
  </si>
  <si>
    <t>Rate Class 26</t>
  </si>
  <si>
    <t>Rate Class 27</t>
  </si>
  <si>
    <t>Rate Class 28</t>
  </si>
  <si>
    <t>Rate Class 29</t>
  </si>
  <si>
    <t>Rate Class 30</t>
  </si>
  <si>
    <t>Rate Class 31</t>
  </si>
  <si>
    <t>Rate Class 32</t>
  </si>
  <si>
    <t>Rate Class 33</t>
  </si>
  <si>
    <t>Rate Class 34</t>
  </si>
  <si>
    <t>Rate Class 35</t>
  </si>
  <si>
    <t>Rate Class 36</t>
  </si>
  <si>
    <t>Rate Class 37</t>
  </si>
  <si>
    <t>Rate Class 38</t>
  </si>
  <si>
    <t>Rate Class 39</t>
  </si>
  <si>
    <t>Rate Class 40</t>
  </si>
  <si>
    <t>Rate Class 41</t>
  </si>
  <si>
    <t>Rate Class 42</t>
  </si>
  <si>
    <t>Rate Class 43</t>
  </si>
  <si>
    <t>Rate Class 44</t>
  </si>
  <si>
    <t>Rate Class 45</t>
  </si>
  <si>
    <t>Rate Class 46</t>
  </si>
  <si>
    <t>Rate Class 47</t>
  </si>
  <si>
    <t>Rate Class 48</t>
  </si>
  <si>
    <t>Rate Class 49</t>
  </si>
  <si>
    <t>Rate Class 50</t>
  </si>
  <si>
    <t>Rate Class 51</t>
  </si>
  <si>
    <t>Rate Class 52</t>
  </si>
  <si>
    <t>Rate Class 53</t>
  </si>
  <si>
    <t>Rate Class 54</t>
  </si>
  <si>
    <t>Rate Class 55</t>
  </si>
  <si>
    <t>Rate Class 56</t>
  </si>
  <si>
    <t>Rate Class 57</t>
  </si>
  <si>
    <t>Rate Class 58</t>
  </si>
  <si>
    <t>Rate Class 59</t>
  </si>
  <si>
    <t>Rate Class 60</t>
  </si>
  <si>
    <t>Rate Class 61</t>
  </si>
  <si>
    <t>Rate Class 62</t>
  </si>
  <si>
    <t>Rate Class 63</t>
  </si>
  <si>
    <t>Rate Class 64</t>
  </si>
  <si>
    <t>Rate Class 65</t>
  </si>
  <si>
    <t>Rate Class 66</t>
  </si>
  <si>
    <t>Rate Class 67</t>
  </si>
  <si>
    <t>Rate Class 68</t>
  </si>
  <si>
    <t>Rate Class 69</t>
  </si>
  <si>
    <t>Rate Class 70</t>
  </si>
  <si>
    <t>Rate Class 71</t>
  </si>
  <si>
    <t>Rate Class 72</t>
  </si>
  <si>
    <t>Rate Class 73</t>
  </si>
  <si>
    <t>Rate Class 74</t>
  </si>
  <si>
    <t>Rate Class 75</t>
  </si>
  <si>
    <t>Rate Class 76</t>
  </si>
  <si>
    <t>Rate Class 77</t>
  </si>
  <si>
    <t>Rate Class 78</t>
  </si>
  <si>
    <t>Rate Class 79</t>
  </si>
  <si>
    <t>Rate Class 80</t>
  </si>
  <si>
    <t>Rate Class 81</t>
  </si>
  <si>
    <t>Rate Class 82</t>
  </si>
  <si>
    <t>Rate Class 83</t>
  </si>
  <si>
    <t>Rate Class 84</t>
  </si>
  <si>
    <t>Rate Class 85</t>
  </si>
  <si>
    <t>Rate Class 86</t>
  </si>
  <si>
    <t>Rate Class 87</t>
  </si>
  <si>
    <t>Rate Class 88</t>
  </si>
  <si>
    <t>Rate Class 89</t>
  </si>
  <si>
    <t>Rate Class 90</t>
  </si>
  <si>
    <t>Rate Class 91</t>
  </si>
  <si>
    <t>Rate Class 92</t>
  </si>
  <si>
    <t>Rate Class 93</t>
  </si>
  <si>
    <t>Rate Class 94</t>
  </si>
  <si>
    <t>Rate Class 95</t>
  </si>
  <si>
    <t>Rate Class 96</t>
  </si>
  <si>
    <t>Rate Class 97</t>
  </si>
  <si>
    <t>Rate Class 98</t>
  </si>
  <si>
    <t>Rate Class 99</t>
  </si>
  <si>
    <t>Rate Class 100</t>
  </si>
  <si>
    <t>Rate Class 101</t>
  </si>
  <si>
    <t>Rate Class 102</t>
  </si>
  <si>
    <t>Rate Class 103</t>
  </si>
  <si>
    <t>Rate Class 104</t>
  </si>
  <si>
    <t>Rate Class 105</t>
  </si>
  <si>
    <t>Rate Class 106</t>
  </si>
  <si>
    <t>Rate Class 107</t>
  </si>
  <si>
    <t>Rate Class 108</t>
  </si>
  <si>
    <t>Rate Class 109</t>
  </si>
  <si>
    <t>Rate Class 110</t>
  </si>
  <si>
    <t>Rate Class 111</t>
  </si>
  <si>
    <t>Rate Class 112</t>
  </si>
  <si>
    <t>Rate Class 113</t>
  </si>
  <si>
    <t>Rate Class 114</t>
  </si>
  <si>
    <t>Rate Class 115</t>
  </si>
  <si>
    <t>Rate Class 116</t>
  </si>
  <si>
    <t>Rate Class 117</t>
  </si>
  <si>
    <t>Rate Class 118</t>
  </si>
  <si>
    <t>Rate Class 119</t>
  </si>
  <si>
    <t>Rate Class 120</t>
  </si>
  <si>
    <t>Rate Class 121</t>
  </si>
  <si>
    <t>Rate Class 122</t>
  </si>
  <si>
    <t>Rate Class 123</t>
  </si>
  <si>
    <t>Rate Class 124</t>
  </si>
  <si>
    <t>Rate Class 125</t>
  </si>
  <si>
    <t>Rate Class 126</t>
  </si>
  <si>
    <t>Rate Class 127</t>
  </si>
  <si>
    <t>Rate Class 128</t>
  </si>
  <si>
    <t>Rate Class 129</t>
  </si>
  <si>
    <t>Rate Class 130</t>
  </si>
  <si>
    <t>Rate Class 131</t>
  </si>
  <si>
    <t>Rate Class 132</t>
  </si>
  <si>
    <t>Rate Class 133</t>
  </si>
  <si>
    <t>Rate Class 134</t>
  </si>
  <si>
    <t>Rate Class 135</t>
  </si>
  <si>
    <t>Rate Class 136</t>
  </si>
  <si>
    <t>Rate Class 137</t>
  </si>
  <si>
    <t>Rate Class 138</t>
  </si>
  <si>
    <t>Rate Class 139</t>
  </si>
  <si>
    <t>Rate Class 140</t>
  </si>
  <si>
    <t>Rate Class 141</t>
  </si>
  <si>
    <t>Rate Class 142</t>
  </si>
  <si>
    <t>Rate Class 143</t>
  </si>
  <si>
    <t>Rate Class 144</t>
  </si>
  <si>
    <t>Rate Class 145</t>
  </si>
  <si>
    <t>Rate Class 146</t>
  </si>
  <si>
    <t>Rate Class 147</t>
  </si>
  <si>
    <t>Rate Class 148</t>
  </si>
  <si>
    <t>Rate Class 149</t>
  </si>
  <si>
    <t>Rate Class 150</t>
  </si>
  <si>
    <t>Test Year Forecast</t>
  </si>
  <si>
    <t>Transition Customers  (Total Class A and B Consumption)</t>
  </si>
  <si>
    <t>Class A Customer for Full Year (Total Class A Consumption)</t>
  </si>
  <si>
    <t>Accounts To Dispose
Yes/No</t>
  </si>
  <si>
    <t>No</t>
  </si>
  <si>
    <t>Accounts to Dispose
Yes/No</t>
  </si>
  <si>
    <t>Company_Name</t>
  </si>
  <si>
    <t>Due Year</t>
  </si>
  <si>
    <t>Account_No</t>
  </si>
  <si>
    <t>Company and Account_No</t>
  </si>
  <si>
    <t>Account_Description</t>
  </si>
  <si>
    <t>value</t>
  </si>
  <si>
    <t>Group1</t>
  </si>
  <si>
    <t>Group2</t>
  </si>
  <si>
    <t>Principal</t>
  </si>
  <si>
    <t>Interest</t>
  </si>
  <si>
    <t>Total_Balance</t>
  </si>
  <si>
    <t>Rate Model Total Value</t>
  </si>
  <si>
    <t>1508</t>
  </si>
  <si>
    <t>Alectra Utilities Corporation1508</t>
  </si>
  <si>
    <t>Other Regulatory Assets</t>
  </si>
  <si>
    <t>YES</t>
  </si>
  <si>
    <t>1518</t>
  </si>
  <si>
    <t>Alectra Utilities Corporation1518</t>
  </si>
  <si>
    <t>RCVARetail</t>
  </si>
  <si>
    <t>1522</t>
  </si>
  <si>
    <t>Alectra Utilities Corporation1522</t>
  </si>
  <si>
    <t>1525</t>
  </si>
  <si>
    <t>Alectra Utilities Corporation1525</t>
  </si>
  <si>
    <t>Miscellaneous Deferred Debits</t>
  </si>
  <si>
    <t>1531</t>
  </si>
  <si>
    <t>Alectra Utilities Corporation1531</t>
  </si>
  <si>
    <t>Renewable Connection Capital Deferral Account</t>
  </si>
  <si>
    <t>1532</t>
  </si>
  <si>
    <t>Alectra Utilities Corporation1532</t>
  </si>
  <si>
    <t>Renewable Connection OM&amp;A Deferral Account</t>
  </si>
  <si>
    <t>1533</t>
  </si>
  <si>
    <t>Alectra Utilities Corporation1533</t>
  </si>
  <si>
    <t>Renewable Generation Connection Funding Adder Deferral Account</t>
  </si>
  <si>
    <t>1534</t>
  </si>
  <si>
    <t>Alectra Utilities Corporation1534</t>
  </si>
  <si>
    <t>1535</t>
  </si>
  <si>
    <t>Alectra Utilities Corporation1535</t>
  </si>
  <si>
    <t>1536</t>
  </si>
  <si>
    <t>Alectra Utilities Corporation1536</t>
  </si>
  <si>
    <t>1548</t>
  </si>
  <si>
    <t>Alectra Utilities Corporation1548</t>
  </si>
  <si>
    <t>RCVASTR</t>
  </si>
  <si>
    <t>1550</t>
  </si>
  <si>
    <t>Alectra Utilities Corporation1550</t>
  </si>
  <si>
    <t>1551</t>
  </si>
  <si>
    <t>Alectra Utilities Corporation1551</t>
  </si>
  <si>
    <t>1555</t>
  </si>
  <si>
    <t>Alectra Utilities Corporation1555</t>
  </si>
  <si>
    <t>Smart Meter Capital and Recovery Offset Variance Account</t>
  </si>
  <si>
    <t>Sub-account Stranded Meter Costs</t>
  </si>
  <si>
    <t>1557</t>
  </si>
  <si>
    <t>Alectra Utilities Corporation1557</t>
  </si>
  <si>
    <t>Meter Cost Deferral Account</t>
  </si>
  <si>
    <t>1568</t>
  </si>
  <si>
    <t>Alectra Utilities Corporation1568</t>
  </si>
  <si>
    <t>1572</t>
  </si>
  <si>
    <t>Alectra Utilities Corporation1572</t>
  </si>
  <si>
    <t>Extraordinary Event Costs</t>
  </si>
  <si>
    <t>1574</t>
  </si>
  <si>
    <t>Alectra Utilities Corporation1574</t>
  </si>
  <si>
    <t>1575</t>
  </si>
  <si>
    <t>Alectra Utilities Corporation1575</t>
  </si>
  <si>
    <t>IFRS-CGAAP Transitional PP&amp;E Amounts</t>
  </si>
  <si>
    <t>1576</t>
  </si>
  <si>
    <t>Alectra Utilities Corporation1576</t>
  </si>
  <si>
    <t>CGAAP Accounting Changes</t>
  </si>
  <si>
    <t>1580</t>
  </si>
  <si>
    <t>Alectra Utilities Corporation1580</t>
  </si>
  <si>
    <t>Sub-account CBR class A - Interest</t>
  </si>
  <si>
    <t>Sub-account CBR class A - Principal</t>
  </si>
  <si>
    <t>Sub-account CBR class B - Interest</t>
  </si>
  <si>
    <t>Sub-account CBR class B - Principal</t>
  </si>
  <si>
    <t>1582</t>
  </si>
  <si>
    <t>Alectra Utilities Corporation1582</t>
  </si>
  <si>
    <t>RSVAONE-TIME</t>
  </si>
  <si>
    <t>1584</t>
  </si>
  <si>
    <t>Alectra Utilities Corporation1584</t>
  </si>
  <si>
    <t>1586</t>
  </si>
  <si>
    <t>Alectra Utilities Corporation1586</t>
  </si>
  <si>
    <t>1588</t>
  </si>
  <si>
    <t>Alectra Utilities Corporation1588</t>
  </si>
  <si>
    <t>1589</t>
  </si>
  <si>
    <t>Alectra Utilities Corporation1589</t>
  </si>
  <si>
    <t>1592</t>
  </si>
  <si>
    <t>Alectra Utilities Corporation1592</t>
  </si>
  <si>
    <t>PILs and Tax Variance for 2006 and Subsequent Years</t>
  </si>
  <si>
    <t>1595</t>
  </si>
  <si>
    <t>Alectra Utilities Corporation1595</t>
  </si>
  <si>
    <t>Alectra Utilities Corporation1595_(2008)</t>
  </si>
  <si>
    <t>Disposition and Recovery/Refund of Regulatory Balances (2008)</t>
  </si>
  <si>
    <t>Alectra Utilities Corporation1595_(2009)</t>
  </si>
  <si>
    <t>Alectra Utilities Corporation1595_(2010)</t>
  </si>
  <si>
    <t>Alectra Utilities Corporation1595_(2011)</t>
  </si>
  <si>
    <t>Disposition and Recovery/Refund of Regulatory Balances (2011)</t>
  </si>
  <si>
    <t>Alectra Utilities Corporation1595_(2012)</t>
  </si>
  <si>
    <t>Disposition and Recovery/Refund of Regulatory Balances (2012)</t>
  </si>
  <si>
    <t>Alectra Utilities Corporation1595_(2013)</t>
  </si>
  <si>
    <t>Alectra Utilities Corporation1595_(2014)</t>
  </si>
  <si>
    <t>Alectra Utilities Corporation1595_(2015)</t>
  </si>
  <si>
    <t>Alectra Utilities Corporation1595_(2016)</t>
  </si>
  <si>
    <t>Alectra Utilities Corporation1595_(2017)</t>
  </si>
  <si>
    <t>Alectra Utilities Corporation1595_ControlAccount</t>
  </si>
  <si>
    <t>Disposition and Recovery/Refund of Regulatory Balances Control Account</t>
  </si>
  <si>
    <t>2425</t>
  </si>
  <si>
    <t>Alectra Utilities Corporation2425</t>
  </si>
  <si>
    <t>Algoma Power Inc.1508</t>
  </si>
  <si>
    <t>Algoma Power Inc.1518</t>
  </si>
  <si>
    <t>Algoma Power Inc.1522</t>
  </si>
  <si>
    <t>Algoma Power Inc.1525</t>
  </si>
  <si>
    <t>Algoma Power Inc.1531</t>
  </si>
  <si>
    <t>Algoma Power Inc.1532</t>
  </si>
  <si>
    <t>Algoma Power Inc.1533</t>
  </si>
  <si>
    <t>Algoma Power Inc.1534</t>
  </si>
  <si>
    <t>Algoma Power Inc.1535</t>
  </si>
  <si>
    <t>Smart Grid Capital OM&amp;A Account</t>
  </si>
  <si>
    <t>Algoma Power Inc.1536</t>
  </si>
  <si>
    <t>Algoma Power Inc.1548</t>
  </si>
  <si>
    <t>Algoma Power Inc.1550</t>
  </si>
  <si>
    <t>Algoma Power Inc.1551</t>
  </si>
  <si>
    <t>Algoma Power Inc.1555</t>
  </si>
  <si>
    <t>Algoma Power Inc.1557</t>
  </si>
  <si>
    <t>Algoma Power Inc.1568</t>
  </si>
  <si>
    <t>Algoma Power Inc.1572</t>
  </si>
  <si>
    <t>Algoma Power Inc.1574</t>
  </si>
  <si>
    <t>Algoma Power Inc.1575</t>
  </si>
  <si>
    <t>Algoma Power Inc.1576</t>
  </si>
  <si>
    <t>Algoma Power Inc.1580</t>
  </si>
  <si>
    <t>Algoma Power Inc.1582</t>
  </si>
  <si>
    <t>Algoma Power Inc.1584</t>
  </si>
  <si>
    <t>Algoma Power Inc.1586</t>
  </si>
  <si>
    <t>Algoma Power Inc.1588</t>
  </si>
  <si>
    <t>Algoma Power Inc.1589</t>
  </si>
  <si>
    <t>Algoma Power Inc.1592</t>
  </si>
  <si>
    <t>2006 PILs &amp; Taxes Variance</t>
  </si>
  <si>
    <t>Algoma Power Inc.1595</t>
  </si>
  <si>
    <t>Algoma Power Inc.1595_(2008)</t>
  </si>
  <si>
    <t>Algoma Power Inc.1595_(2009)</t>
  </si>
  <si>
    <t>Algoma Power Inc.1595_(2010)</t>
  </si>
  <si>
    <t>Algoma Power Inc.1595_(2011)</t>
  </si>
  <si>
    <t>Algoma Power Inc.1595_(2012)</t>
  </si>
  <si>
    <t>Algoma Power Inc.1595_(2013)</t>
  </si>
  <si>
    <t>Algoma Power Inc.1595_(2014)</t>
  </si>
  <si>
    <t>Algoma Power Inc.1595_(2015)</t>
  </si>
  <si>
    <t>Algoma Power Inc.1595_(2016)</t>
  </si>
  <si>
    <t>Algoma Power Inc.1595_(2017)</t>
  </si>
  <si>
    <t>Algoma Power Inc.1595_ControlAccount</t>
  </si>
  <si>
    <t>Algoma Power Inc.2425</t>
  </si>
  <si>
    <t>Atikokan Hydro Inc.1508</t>
  </si>
  <si>
    <t>Atikokan Hydro Inc.1518</t>
  </si>
  <si>
    <t>Atikokan Hydro Inc.1522</t>
  </si>
  <si>
    <t>Atikokan Hydro Inc.1525</t>
  </si>
  <si>
    <t>Atikokan Hydro Inc.1531</t>
  </si>
  <si>
    <t>Atikokan Hydro Inc.1532</t>
  </si>
  <si>
    <t>Atikokan Hydro Inc.1533</t>
  </si>
  <si>
    <t>Atikokan Hydro Inc.1534</t>
  </si>
  <si>
    <t>Atikokan Hydro Inc.1535</t>
  </si>
  <si>
    <t>Atikokan Hydro Inc.1536</t>
  </si>
  <si>
    <t>Atikokan Hydro Inc.1548</t>
  </si>
  <si>
    <t>Atikokan Hydro Inc.1550</t>
  </si>
  <si>
    <t>Atikokan Hydro Inc.1551</t>
  </si>
  <si>
    <t>Atikokan Hydro Inc.1555</t>
  </si>
  <si>
    <t>Atikokan Hydro Inc.1557</t>
  </si>
  <si>
    <t>Atikokan Hydro Inc.1568</t>
  </si>
  <si>
    <t>Atikokan Hydro Inc.1572</t>
  </si>
  <si>
    <t>Atikokan Hydro Inc.1574</t>
  </si>
  <si>
    <t>Atikokan Hydro Inc.1575</t>
  </si>
  <si>
    <t>Atikokan Hydro Inc.1576</t>
  </si>
  <si>
    <t>Atikokan Hydro Inc.1580</t>
  </si>
  <si>
    <t>Atikokan Hydro Inc.1582</t>
  </si>
  <si>
    <t>Atikokan Hydro Inc.1584</t>
  </si>
  <si>
    <t>Atikokan Hydro Inc.1586</t>
  </si>
  <si>
    <t>Atikokan Hydro Inc.1588</t>
  </si>
  <si>
    <t>Atikokan Hydro Inc.1589</t>
  </si>
  <si>
    <t>Atikokan Hydro Inc.1592</t>
  </si>
  <si>
    <t>Atikokan Hydro Inc.1595</t>
  </si>
  <si>
    <t>Atikokan Hydro Inc.1595_(2008)</t>
  </si>
  <si>
    <t>Atikokan Hydro Inc.1595_(2009)</t>
  </si>
  <si>
    <t>Atikokan Hydro Inc.1595_(2010)</t>
  </si>
  <si>
    <t>Atikokan Hydro Inc.1595_(2011)</t>
  </si>
  <si>
    <t>Atikokan Hydro Inc.1595_(2012)</t>
  </si>
  <si>
    <t>Atikokan Hydro Inc.1595_(2013)</t>
  </si>
  <si>
    <t>Atikokan Hydro Inc.1595_(2014)</t>
  </si>
  <si>
    <t>Atikokan Hydro Inc.1595_(2015)</t>
  </si>
  <si>
    <t>Atikokan Hydro Inc.1595_(2016)</t>
  </si>
  <si>
    <t>Atikokan Hydro Inc.1595_(2017)</t>
  </si>
  <si>
    <t>Atikokan Hydro Inc.1595_ControlAccount</t>
  </si>
  <si>
    <t>Atikokan Hydro Inc.2425</t>
  </si>
  <si>
    <t>Bluewater Power Distribution Corporation1508</t>
  </si>
  <si>
    <t>Bluewater Power Distribution Corporation1518</t>
  </si>
  <si>
    <t>Bluewater Power Distribution Corporation1522</t>
  </si>
  <si>
    <t>Bluewater Power Distribution Corporation1525</t>
  </si>
  <si>
    <t>Bluewater Power Distribution Corporation1531</t>
  </si>
  <si>
    <t>Bluewater Power Distribution Corporation1532</t>
  </si>
  <si>
    <t>Bluewater Power Distribution Corporation1533</t>
  </si>
  <si>
    <t>Bluewater Power Distribution Corporation1534</t>
  </si>
  <si>
    <t>Bluewater Power Distribution Corporation1535</t>
  </si>
  <si>
    <t>Bluewater Power Distribution Corporation1536</t>
  </si>
  <si>
    <t>Bluewater Power Distribution Corporation1548</t>
  </si>
  <si>
    <t>Bluewater Power Distribution Corporation1550</t>
  </si>
  <si>
    <t>Bluewater Power Distribution Corporation1551</t>
  </si>
  <si>
    <t>Bluewater Power Distribution Corporation1555</t>
  </si>
  <si>
    <t>Bluewater Power Distribution Corporation1557</t>
  </si>
  <si>
    <t>Bluewater Power Distribution Corporation1568</t>
  </si>
  <si>
    <t>Bluewater Power Distribution Corporation1572</t>
  </si>
  <si>
    <t>Bluewater Power Distribution Corporation1574</t>
  </si>
  <si>
    <t>Bluewater Power Distribution Corporation1575</t>
  </si>
  <si>
    <t>Bluewater Power Distribution Corporation1576</t>
  </si>
  <si>
    <t>Bluewater Power Distribution Corporation1580</t>
  </si>
  <si>
    <t>Bluewater Power Distribution Corporation1582</t>
  </si>
  <si>
    <t>Bluewater Power Distribution Corporation1584</t>
  </si>
  <si>
    <t>Bluewater Power Distribution Corporation1586</t>
  </si>
  <si>
    <t>Bluewater Power Distribution Corporation1588</t>
  </si>
  <si>
    <t>Bluewater Power Distribution Corporation1589</t>
  </si>
  <si>
    <t>Bluewater Power Distribution Corporation1592</t>
  </si>
  <si>
    <t>Bluewater Power Distribution Corporation1595</t>
  </si>
  <si>
    <t>Bluewater Power Distribution Corporation1595_(2008)</t>
  </si>
  <si>
    <t>Bluewater Power Distribution Corporation1595_(2009)</t>
  </si>
  <si>
    <t>Bluewater Power Distribution Corporation1595_(2010)</t>
  </si>
  <si>
    <t>Bluewater Power Distribution Corporation1595_(2011)</t>
  </si>
  <si>
    <t>Bluewater Power Distribution Corporation1595_(2012)</t>
  </si>
  <si>
    <t>Bluewater Power Distribution Corporation1595_(2013)</t>
  </si>
  <si>
    <t>Bluewater Power Distribution Corporation1595_(2014)</t>
  </si>
  <si>
    <t>Bluewater Power Distribution Corporation1595_(2015)</t>
  </si>
  <si>
    <t>Bluewater Power Distribution Corporation1595_(2016)</t>
  </si>
  <si>
    <t>Bluewater Power Distribution Corporation1595_(2017)</t>
  </si>
  <si>
    <t>Bluewater Power Distribution Corporation1595_ControlAccount</t>
  </si>
  <si>
    <t>Bluewater Power Distribution Corporation2425</t>
  </si>
  <si>
    <t>Brantford Power Inc.1508</t>
  </si>
  <si>
    <t>Brantford Power Inc.1518</t>
  </si>
  <si>
    <t>Brantford Power Inc.1522</t>
  </si>
  <si>
    <t>Brantford Power Inc.1525</t>
  </si>
  <si>
    <t>Brantford Power Inc.1531</t>
  </si>
  <si>
    <t>Brantford Power Inc.1532</t>
  </si>
  <si>
    <t>Brantford Power Inc.1533</t>
  </si>
  <si>
    <t>Brantford Power Inc.1534</t>
  </si>
  <si>
    <t>Brantford Power Inc.1535</t>
  </si>
  <si>
    <t>Brantford Power Inc.1536</t>
  </si>
  <si>
    <t>Brantford Power Inc.1548</t>
  </si>
  <si>
    <t>Brantford Power Inc.1550</t>
  </si>
  <si>
    <t>Brantford Power Inc.1551</t>
  </si>
  <si>
    <t>Brantford Power Inc.1555</t>
  </si>
  <si>
    <t>Brantford Power Inc.1557</t>
  </si>
  <si>
    <t>Brantford Power Inc.1568</t>
  </si>
  <si>
    <t>Brantford Power Inc.1572</t>
  </si>
  <si>
    <t>Brantford Power Inc.1574</t>
  </si>
  <si>
    <t>Brantford Power Inc.1575</t>
  </si>
  <si>
    <t>Brantford Power Inc.1576</t>
  </si>
  <si>
    <t>Brantford Power Inc.1580</t>
  </si>
  <si>
    <t>Brantford Power Inc.1582</t>
  </si>
  <si>
    <t>Brantford Power Inc.1584</t>
  </si>
  <si>
    <t>Brantford Power Inc.1586</t>
  </si>
  <si>
    <t>Brantford Power Inc.1588</t>
  </si>
  <si>
    <t>Brantford Power Inc.1589</t>
  </si>
  <si>
    <t>Brantford Power Inc.1592</t>
  </si>
  <si>
    <t>Brantford Power Inc.1595</t>
  </si>
  <si>
    <t>Brantford Power Inc.1595_(2008)</t>
  </si>
  <si>
    <t>Brantford Power Inc.1595_(2009)</t>
  </si>
  <si>
    <t>Brantford Power Inc.1595_(2010)</t>
  </si>
  <si>
    <t>Brantford Power Inc.1595_(2011)</t>
  </si>
  <si>
    <t>Brantford Power Inc.1595_(2012)</t>
  </si>
  <si>
    <t>Brantford Power Inc.1595_(2013)</t>
  </si>
  <si>
    <t>Brantford Power Inc.1595_(2014)</t>
  </si>
  <si>
    <t>Brantford Power Inc.1595_(2015)</t>
  </si>
  <si>
    <t>Brantford Power Inc.1595_(2016)</t>
  </si>
  <si>
    <t>Brantford Power Inc.1595_(2017)</t>
  </si>
  <si>
    <t>Brantford Power Inc.1595_ControlAccount</t>
  </si>
  <si>
    <t>Brantford Power Inc.2425</t>
  </si>
  <si>
    <t>Burlington Hydro Inc.1508</t>
  </si>
  <si>
    <t>Burlington Hydro Inc.1518</t>
  </si>
  <si>
    <t>Burlington Hydro Inc.1522</t>
  </si>
  <si>
    <t>Burlington Hydro Inc.1525</t>
  </si>
  <si>
    <t>Burlington Hydro Inc.1531</t>
  </si>
  <si>
    <t>Burlington Hydro Inc.1532</t>
  </si>
  <si>
    <t>Burlington Hydro Inc.1533</t>
  </si>
  <si>
    <t>Burlington Hydro Inc.1534</t>
  </si>
  <si>
    <t>Burlington Hydro Inc.1535</t>
  </si>
  <si>
    <t>Burlington Hydro Inc.1536</t>
  </si>
  <si>
    <t>Burlington Hydro Inc.1548</t>
  </si>
  <si>
    <t>Burlington Hydro Inc.1550</t>
  </si>
  <si>
    <t>Burlington Hydro Inc.1551</t>
  </si>
  <si>
    <t>Burlington Hydro Inc.1555</t>
  </si>
  <si>
    <t>Burlington Hydro Inc.1557</t>
  </si>
  <si>
    <t>Burlington Hydro Inc.1568</t>
  </si>
  <si>
    <t>Burlington Hydro Inc.1572</t>
  </si>
  <si>
    <t>Burlington Hydro Inc.1574</t>
  </si>
  <si>
    <t>Burlington Hydro Inc.1575</t>
  </si>
  <si>
    <t>Burlington Hydro Inc.1576</t>
  </si>
  <si>
    <t>Burlington Hydro Inc.1580</t>
  </si>
  <si>
    <t>Burlington Hydro Inc.1582</t>
  </si>
  <si>
    <t>Burlington Hydro Inc.1584</t>
  </si>
  <si>
    <t>Burlington Hydro Inc.1586</t>
  </si>
  <si>
    <t>Burlington Hydro Inc.1588</t>
  </si>
  <si>
    <t>Burlington Hydro Inc.1589</t>
  </si>
  <si>
    <t>Burlington Hydro Inc.1592</t>
  </si>
  <si>
    <t>Burlington Hydro Inc.1595</t>
  </si>
  <si>
    <t>Burlington Hydro Inc.1595_(2008)</t>
  </si>
  <si>
    <t>Burlington Hydro Inc.1595_(2009)</t>
  </si>
  <si>
    <t>Burlington Hydro Inc.1595_(2010)</t>
  </si>
  <si>
    <t>Burlington Hydro Inc.1595_(2011)</t>
  </si>
  <si>
    <t>Burlington Hydro Inc.1595_(2012)</t>
  </si>
  <si>
    <t>Burlington Hydro Inc.1595_(2013)</t>
  </si>
  <si>
    <t>Burlington Hydro Inc.1595_(2014)</t>
  </si>
  <si>
    <t>Burlington Hydro Inc.1595_(2015)</t>
  </si>
  <si>
    <t>Burlington Hydro Inc.1595_(2016)</t>
  </si>
  <si>
    <t>Burlington Hydro Inc.1595_(2017)</t>
  </si>
  <si>
    <t>Burlington Hydro Inc.1595_ControlAccount</t>
  </si>
  <si>
    <t>Burlington Hydro Inc.2425</t>
  </si>
  <si>
    <t>Canadian Niagara Power Inc.1508</t>
  </si>
  <si>
    <t>Canadian Niagara Power Inc.1518</t>
  </si>
  <si>
    <t>Canadian Niagara Power Inc.1522</t>
  </si>
  <si>
    <t>Canadian Niagara Power Inc.1525</t>
  </si>
  <si>
    <t>Canadian Niagara Power Inc.1531</t>
  </si>
  <si>
    <t>Canadian Niagara Power Inc.1532</t>
  </si>
  <si>
    <t>Canadian Niagara Power Inc.1533</t>
  </si>
  <si>
    <t>Canadian Niagara Power Inc.1534</t>
  </si>
  <si>
    <t>Canadian Niagara Power Inc.1535</t>
  </si>
  <si>
    <t>Canadian Niagara Power Inc.1536</t>
  </si>
  <si>
    <t>Canadian Niagara Power Inc.1548</t>
  </si>
  <si>
    <t>Canadian Niagara Power Inc.1550</t>
  </si>
  <si>
    <t>Canadian Niagara Power Inc.1551</t>
  </si>
  <si>
    <t>Canadian Niagara Power Inc.1555</t>
  </si>
  <si>
    <t>Canadian Niagara Power Inc.1557</t>
  </si>
  <si>
    <t>Canadian Niagara Power Inc.1568</t>
  </si>
  <si>
    <t>Canadian Niagara Power Inc.1572</t>
  </si>
  <si>
    <t>Canadian Niagara Power Inc.1574</t>
  </si>
  <si>
    <t>Canadian Niagara Power Inc.1575</t>
  </si>
  <si>
    <t>Canadian Niagara Power Inc.1576</t>
  </si>
  <si>
    <t>Canadian Niagara Power Inc.1580</t>
  </si>
  <si>
    <t>Canadian Niagara Power Inc.1582</t>
  </si>
  <si>
    <t>Canadian Niagara Power Inc.1584</t>
  </si>
  <si>
    <t>Canadian Niagara Power Inc.1586</t>
  </si>
  <si>
    <t>Canadian Niagara Power Inc.1588</t>
  </si>
  <si>
    <t>Canadian Niagara Power Inc.1589</t>
  </si>
  <si>
    <t>Canadian Niagara Power Inc.1592</t>
  </si>
  <si>
    <t>Canadian Niagara Power Inc.1595</t>
  </si>
  <si>
    <t>Canadian Niagara Power Inc.1595_(2008)</t>
  </si>
  <si>
    <t>Canadian Niagara Power Inc.1595_(2009)</t>
  </si>
  <si>
    <t>Canadian Niagara Power Inc.1595_(2010)</t>
  </si>
  <si>
    <t>Canadian Niagara Power Inc.1595_(2011)</t>
  </si>
  <si>
    <t>Canadian Niagara Power Inc.1595_(2012)</t>
  </si>
  <si>
    <t>Canadian Niagara Power Inc.1595_(2013)</t>
  </si>
  <si>
    <t>Canadian Niagara Power Inc.1595_(2014)</t>
  </si>
  <si>
    <t>Canadian Niagara Power Inc.1595_(2015)</t>
  </si>
  <si>
    <t>Canadian Niagara Power Inc.1595_(2016)</t>
  </si>
  <si>
    <t>Canadian Niagara Power Inc.1595_(2017)</t>
  </si>
  <si>
    <t>Canadian Niagara Power Inc.1595_ControlAccount</t>
  </si>
  <si>
    <t>Canadian Niagara Power Inc.2425</t>
  </si>
  <si>
    <t>Centre Wellington Hydro Ltd.1508</t>
  </si>
  <si>
    <t>Centre Wellington Hydro Ltd.1518</t>
  </si>
  <si>
    <t>Centre Wellington Hydro Ltd.1522</t>
  </si>
  <si>
    <t>Centre Wellington Hydro Ltd.1525</t>
  </si>
  <si>
    <t>Centre Wellington Hydro Ltd.1531</t>
  </si>
  <si>
    <t>Centre Wellington Hydro Ltd.1532</t>
  </si>
  <si>
    <t>Centre Wellington Hydro Ltd.1533</t>
  </si>
  <si>
    <t>Centre Wellington Hydro Ltd.1534</t>
  </si>
  <si>
    <t>Centre Wellington Hydro Ltd.1535</t>
  </si>
  <si>
    <t>Centre Wellington Hydro Ltd.1536</t>
  </si>
  <si>
    <t>Centre Wellington Hydro Ltd.1548</t>
  </si>
  <si>
    <t>Centre Wellington Hydro Ltd.1550</t>
  </si>
  <si>
    <t>Centre Wellington Hydro Ltd.1551</t>
  </si>
  <si>
    <t>Centre Wellington Hydro Ltd.1555</t>
  </si>
  <si>
    <t>Centre Wellington Hydro Ltd.1557</t>
  </si>
  <si>
    <t>Centre Wellington Hydro Ltd.1568</t>
  </si>
  <si>
    <t>Centre Wellington Hydro Ltd.1572</t>
  </si>
  <si>
    <t>Centre Wellington Hydro Ltd.1574</t>
  </si>
  <si>
    <t>Centre Wellington Hydro Ltd.1575</t>
  </si>
  <si>
    <t>Centre Wellington Hydro Ltd.1576</t>
  </si>
  <si>
    <t>Centre Wellington Hydro Ltd.1580</t>
  </si>
  <si>
    <t>Centre Wellington Hydro Ltd.1582</t>
  </si>
  <si>
    <t>Centre Wellington Hydro Ltd.1584</t>
  </si>
  <si>
    <t>Centre Wellington Hydro Ltd.1586</t>
  </si>
  <si>
    <t>Centre Wellington Hydro Ltd.1588</t>
  </si>
  <si>
    <t>Centre Wellington Hydro Ltd.1589</t>
  </si>
  <si>
    <t>Centre Wellington Hydro Ltd.1592</t>
  </si>
  <si>
    <t>Centre Wellington Hydro Ltd.1595</t>
  </si>
  <si>
    <t>Centre Wellington Hydro Ltd.1595_(2008)</t>
  </si>
  <si>
    <t>Centre Wellington Hydro Ltd.1595_(2009)</t>
  </si>
  <si>
    <t>Centre Wellington Hydro Ltd.1595_(2010)</t>
  </si>
  <si>
    <t>Centre Wellington Hydro Ltd.1595_(2011)</t>
  </si>
  <si>
    <t>Centre Wellington Hydro Ltd.1595_(2012)</t>
  </si>
  <si>
    <t>Centre Wellington Hydro Ltd.1595_(2013)</t>
  </si>
  <si>
    <t>Centre Wellington Hydro Ltd.1595_(2014)</t>
  </si>
  <si>
    <t>Centre Wellington Hydro Ltd.1595_(2015)</t>
  </si>
  <si>
    <t>Centre Wellington Hydro Ltd.1595_(2016)</t>
  </si>
  <si>
    <t>Centre Wellington Hydro Ltd.1595_(2017)</t>
  </si>
  <si>
    <t>Centre Wellington Hydro Ltd.1595_ControlAccount</t>
  </si>
  <si>
    <t>Centre Wellington Hydro Ltd.2425</t>
  </si>
  <si>
    <t>Chapleau Public Utilities Corporation1508</t>
  </si>
  <si>
    <t>Chapleau Public Utilities Corporation1518</t>
  </si>
  <si>
    <t>Chapleau Public Utilities Corporation1522</t>
  </si>
  <si>
    <t>Chapleau Public Utilities Corporation1525</t>
  </si>
  <si>
    <t>Chapleau Public Utilities Corporation1531</t>
  </si>
  <si>
    <t>Chapleau Public Utilities Corporation1532</t>
  </si>
  <si>
    <t>Chapleau Public Utilities Corporation1533</t>
  </si>
  <si>
    <t>Chapleau Public Utilities Corporation1534</t>
  </si>
  <si>
    <t>Chapleau Public Utilities Corporation1535</t>
  </si>
  <si>
    <t>Chapleau Public Utilities Corporation1536</t>
  </si>
  <si>
    <t>Chapleau Public Utilities Corporation1548</t>
  </si>
  <si>
    <t>Chapleau Public Utilities Corporation1550</t>
  </si>
  <si>
    <t>Chapleau Public Utilities Corporation1551</t>
  </si>
  <si>
    <t>Chapleau Public Utilities Corporation1555</t>
  </si>
  <si>
    <t>Chapleau Public Utilities Corporation1557</t>
  </si>
  <si>
    <t>Chapleau Public Utilities Corporation1568</t>
  </si>
  <si>
    <t>Chapleau Public Utilities Corporation1572</t>
  </si>
  <si>
    <t>Chapleau Public Utilities Corporation1574</t>
  </si>
  <si>
    <t>Chapleau Public Utilities Corporation1575</t>
  </si>
  <si>
    <t>Chapleau Public Utilities Corporation1576</t>
  </si>
  <si>
    <t>Chapleau Public Utilities Corporation1580</t>
  </si>
  <si>
    <t>Chapleau Public Utilities Corporation1582</t>
  </si>
  <si>
    <t>Chapleau Public Utilities Corporation1584</t>
  </si>
  <si>
    <t>Chapleau Public Utilities Corporation1586</t>
  </si>
  <si>
    <t>Chapleau Public Utilities Corporation1588</t>
  </si>
  <si>
    <t>Chapleau Public Utilities Corporation1589</t>
  </si>
  <si>
    <t>Chapleau Public Utilities Corporation1592</t>
  </si>
  <si>
    <t>Chapleau Public Utilities Corporation1595</t>
  </si>
  <si>
    <t>Chapleau Public Utilities Corporation1595_(2008)</t>
  </si>
  <si>
    <t>Chapleau Public Utilities Corporation1595_(2009)</t>
  </si>
  <si>
    <t>Chapleau Public Utilities Corporation1595_(2010)</t>
  </si>
  <si>
    <t>Chapleau Public Utilities Corporation1595_(2011)</t>
  </si>
  <si>
    <t>Chapleau Public Utilities Corporation1595_(2012)</t>
  </si>
  <si>
    <t>Chapleau Public Utilities Corporation1595_(2013)</t>
  </si>
  <si>
    <t>Chapleau Public Utilities Corporation1595_(2014)</t>
  </si>
  <si>
    <t>Chapleau Public Utilities Corporation1595_(2015)</t>
  </si>
  <si>
    <t>Chapleau Public Utilities Corporation1595_(2016)</t>
  </si>
  <si>
    <t>Chapleau Public Utilities Corporation1595_(2017)</t>
  </si>
  <si>
    <t>Chapleau Public Utilities Corporation1595_ControlAccount</t>
  </si>
  <si>
    <t>Chapleau Public Utilities Corporation2425</t>
  </si>
  <si>
    <t>Cooperative Hydro Embrun Inc.1508</t>
  </si>
  <si>
    <t>Cooperative Hydro Embrun Inc.1518</t>
  </si>
  <si>
    <t>Cooperative Hydro Embrun Inc.1522</t>
  </si>
  <si>
    <t>Cooperative Hydro Embrun Inc.1525</t>
  </si>
  <si>
    <t>Cooperative Hydro Embrun Inc.1531</t>
  </si>
  <si>
    <t>Cooperative Hydro Embrun Inc.1532</t>
  </si>
  <si>
    <t>Cooperative Hydro Embrun Inc.1533</t>
  </si>
  <si>
    <t>Cooperative Hydro Embrun Inc.1534</t>
  </si>
  <si>
    <t>Cooperative Hydro Embrun Inc.1535</t>
  </si>
  <si>
    <t>Cooperative Hydro Embrun Inc.1536</t>
  </si>
  <si>
    <t>Cooperative Hydro Embrun Inc.1548</t>
  </si>
  <si>
    <t>Cooperative Hydro Embrun Inc.1550</t>
  </si>
  <si>
    <t>Cooperative Hydro Embrun Inc.1551</t>
  </si>
  <si>
    <t>Cooperative Hydro Embrun Inc.1555</t>
  </si>
  <si>
    <t>Cooperative Hydro Embrun Inc.1557</t>
  </si>
  <si>
    <t>Cooperative Hydro Embrun Inc.1568</t>
  </si>
  <si>
    <t>Cooperative Hydro Embrun Inc.1572</t>
  </si>
  <si>
    <t>Cooperative Hydro Embrun Inc.1574</t>
  </si>
  <si>
    <t>Cooperative Hydro Embrun Inc.1575</t>
  </si>
  <si>
    <t>Cooperative Hydro Embrun Inc.1576</t>
  </si>
  <si>
    <t>Cooperative Hydro Embrun Inc.1580</t>
  </si>
  <si>
    <t>Cooperative Hydro Embrun Inc.1582</t>
  </si>
  <si>
    <t>Cooperative Hydro Embrun Inc.1584</t>
  </si>
  <si>
    <t>Cooperative Hydro Embrun Inc.1586</t>
  </si>
  <si>
    <t>Cooperative Hydro Embrun Inc.1588</t>
  </si>
  <si>
    <t>Cooperative Hydro Embrun Inc.1589</t>
  </si>
  <si>
    <t>Cooperative Hydro Embrun Inc.1592</t>
  </si>
  <si>
    <t>Cooperative Hydro Embrun Inc.1595</t>
  </si>
  <si>
    <t>Cooperative Hydro Embrun Inc.1595_(2008)</t>
  </si>
  <si>
    <t>Cooperative Hydro Embrun Inc.1595_(2009)</t>
  </si>
  <si>
    <t>Cooperative Hydro Embrun Inc.1595_(2010)</t>
  </si>
  <si>
    <t>Cooperative Hydro Embrun Inc.1595_(2011)</t>
  </si>
  <si>
    <t>Cooperative Hydro Embrun Inc.1595_(2012)</t>
  </si>
  <si>
    <t>Cooperative Hydro Embrun Inc.1595_(2013)</t>
  </si>
  <si>
    <t>Cooperative Hydro Embrun Inc.1595_(2014)</t>
  </si>
  <si>
    <t>Cooperative Hydro Embrun Inc.1595_(2015)</t>
  </si>
  <si>
    <t>Cooperative Hydro Embrun Inc.1595_(2016)</t>
  </si>
  <si>
    <t>Cooperative Hydro Embrun Inc.1595_(2017)</t>
  </si>
  <si>
    <t>Cooperative Hydro Embrun Inc.1595_ControlAccount</t>
  </si>
  <si>
    <t>Cooperative Hydro Embrun Inc.2425</t>
  </si>
  <si>
    <t>E.L.K. Energy Inc.1508</t>
  </si>
  <si>
    <t>E.L.K. Energy Inc.1518</t>
  </si>
  <si>
    <t>E.L.K. Energy Inc.1522</t>
  </si>
  <si>
    <t>E.L.K. Energy Inc.1525</t>
  </si>
  <si>
    <t>E.L.K. Energy Inc.1531</t>
  </si>
  <si>
    <t>E.L.K. Energy Inc.1532</t>
  </si>
  <si>
    <t>E.L.K. Energy Inc.1533</t>
  </si>
  <si>
    <t>E.L.K. Energy Inc.1534</t>
  </si>
  <si>
    <t>E.L.K. Energy Inc.1535</t>
  </si>
  <si>
    <t>E.L.K. Energy Inc.1536</t>
  </si>
  <si>
    <t>E.L.K. Energy Inc.1548</t>
  </si>
  <si>
    <t>E.L.K. Energy Inc.1550</t>
  </si>
  <si>
    <t>E.L.K. Energy Inc.1551</t>
  </si>
  <si>
    <t>E.L.K. Energy Inc.1555</t>
  </si>
  <si>
    <t>E.L.K. Energy Inc.1557</t>
  </si>
  <si>
    <t>E.L.K. Energy Inc.1568</t>
  </si>
  <si>
    <t>E.L.K. Energy Inc.1572</t>
  </si>
  <si>
    <t>E.L.K. Energy Inc.1574</t>
  </si>
  <si>
    <t>E.L.K. Energy Inc.1575</t>
  </si>
  <si>
    <t>E.L.K. Energy Inc.1576</t>
  </si>
  <si>
    <t>E.L.K. Energy Inc.1580</t>
  </si>
  <si>
    <t>E.L.K. Energy Inc.1582</t>
  </si>
  <si>
    <t>E.L.K. Energy Inc.1584</t>
  </si>
  <si>
    <t>E.L.K. Energy Inc.1586</t>
  </si>
  <si>
    <t>E.L.K. Energy Inc.1588</t>
  </si>
  <si>
    <t>E.L.K. Energy Inc.1589</t>
  </si>
  <si>
    <t>E.L.K. Energy Inc.1592</t>
  </si>
  <si>
    <t>E.L.K. Energy Inc.1595</t>
  </si>
  <si>
    <t>E.L.K. Energy Inc.1595_(2008)</t>
  </si>
  <si>
    <t>E.L.K. Energy Inc.1595_(2009)</t>
  </si>
  <si>
    <t>E.L.K. Energy Inc.1595_(2010)</t>
  </si>
  <si>
    <t>E.L.K. Energy Inc.1595_(2011)</t>
  </si>
  <si>
    <t>E.L.K. Energy Inc.1595_(2012)</t>
  </si>
  <si>
    <t>E.L.K. Energy Inc.1595_(2013)</t>
  </si>
  <si>
    <t>E.L.K. Energy Inc.1595_(2014)</t>
  </si>
  <si>
    <t>E.L.K. Energy Inc.1595_(2015)</t>
  </si>
  <si>
    <t>E.L.K. Energy Inc.1595_(2016)</t>
  </si>
  <si>
    <t>E.L.K. Energy Inc.1595_(2017)</t>
  </si>
  <si>
    <t>E.L.K. Energy Inc.1595_ControlAccount</t>
  </si>
  <si>
    <t>E.L.K. Energy Inc.2425</t>
  </si>
  <si>
    <t>EPCOR Electricity Distribution Ontario Inc.1508</t>
  </si>
  <si>
    <t>EPCOR Electricity Distribution Ontario Inc.1518</t>
  </si>
  <si>
    <t>EPCOR Electricity Distribution Ontario Inc.1522</t>
  </si>
  <si>
    <t>EPCOR Electricity Distribution Ontario Inc.1525</t>
  </si>
  <si>
    <t>EPCOR Electricity Distribution Ontario Inc.1531</t>
  </si>
  <si>
    <t>EPCOR Electricity Distribution Ontario Inc.1532</t>
  </si>
  <si>
    <t>EPCOR Electricity Distribution Ontario Inc.1533</t>
  </si>
  <si>
    <t>EPCOR Electricity Distribution Ontario Inc.1534</t>
  </si>
  <si>
    <t>EPCOR Electricity Distribution Ontario Inc.1535</t>
  </si>
  <si>
    <t>EPCOR Electricity Distribution Ontario Inc.1536</t>
  </si>
  <si>
    <t>EPCOR Electricity Distribution Ontario Inc.1548</t>
  </si>
  <si>
    <t>EPCOR Electricity Distribution Ontario Inc.1550</t>
  </si>
  <si>
    <t>EPCOR Electricity Distribution Ontario Inc.1551</t>
  </si>
  <si>
    <t>EPCOR Electricity Distribution Ontario Inc.1555</t>
  </si>
  <si>
    <t>EPCOR Electricity Distribution Ontario Inc.1557</t>
  </si>
  <si>
    <t>EPCOR Electricity Distribution Ontario Inc.1568</t>
  </si>
  <si>
    <t>EPCOR Electricity Distribution Ontario Inc.1572</t>
  </si>
  <si>
    <t>EPCOR Electricity Distribution Ontario Inc.1574</t>
  </si>
  <si>
    <t>EPCOR Electricity Distribution Ontario Inc.1575</t>
  </si>
  <si>
    <t>EPCOR Electricity Distribution Ontario Inc.1576</t>
  </si>
  <si>
    <t>EPCOR Electricity Distribution Ontario Inc.1580</t>
  </si>
  <si>
    <t>EPCOR Electricity Distribution Ontario Inc.1582</t>
  </si>
  <si>
    <t>EPCOR Electricity Distribution Ontario Inc.1584</t>
  </si>
  <si>
    <t>EPCOR Electricity Distribution Ontario Inc.1586</t>
  </si>
  <si>
    <t>EPCOR Electricity Distribution Ontario Inc.1588</t>
  </si>
  <si>
    <t>EPCOR Electricity Distribution Ontario Inc.1589</t>
  </si>
  <si>
    <t>EPCOR Electricity Distribution Ontario Inc.1592</t>
  </si>
  <si>
    <t>EPCOR Electricity Distribution Ontario Inc.1595</t>
  </si>
  <si>
    <t>EPCOR Electricity Distribution Ontario Inc.1595_(2008)</t>
  </si>
  <si>
    <t>EPCOR Electricity Distribution Ontario Inc.1595_(2009)</t>
  </si>
  <si>
    <t>EPCOR Electricity Distribution Ontario Inc.1595_(2010)</t>
  </si>
  <si>
    <t>EPCOR Electricity Distribution Ontario Inc.1595_(2011)</t>
  </si>
  <si>
    <t>EPCOR Electricity Distribution Ontario Inc.1595_(2012)</t>
  </si>
  <si>
    <t>EPCOR Electricity Distribution Ontario Inc.1595_(2013)</t>
  </si>
  <si>
    <t>EPCOR Electricity Distribution Ontario Inc.1595_(2014)</t>
  </si>
  <si>
    <t>EPCOR Electricity Distribution Ontario Inc.1595_(2015)</t>
  </si>
  <si>
    <t>EPCOR Electricity Distribution Ontario Inc.1595_(2016)</t>
  </si>
  <si>
    <t>EPCOR Electricity Distribution Ontario Inc.1595_(2017)</t>
  </si>
  <si>
    <t>EPCOR Electricity Distribution Ontario Inc.1595_ControlAccount</t>
  </si>
  <si>
    <t>EPCOR Electricity Distribution Ontario Inc.2425</t>
  </si>
  <si>
    <t>Energy Plus Inc.1508</t>
  </si>
  <si>
    <t>Energy Plus Inc.1518</t>
  </si>
  <si>
    <t>Energy Plus Inc.1522</t>
  </si>
  <si>
    <t>Energy Plus Inc.1525</t>
  </si>
  <si>
    <t>Energy Plus Inc.1531</t>
  </si>
  <si>
    <t>Energy Plus Inc.1532</t>
  </si>
  <si>
    <t>Energy Plus Inc.1533</t>
  </si>
  <si>
    <t>Energy Plus Inc.1534</t>
  </si>
  <si>
    <t>Energy Plus Inc.1535</t>
  </si>
  <si>
    <t>Energy Plus Inc.1536</t>
  </si>
  <si>
    <t>Energy Plus Inc.1548</t>
  </si>
  <si>
    <t>Energy Plus Inc.1550</t>
  </si>
  <si>
    <t>Energy Plus Inc.1551</t>
  </si>
  <si>
    <t>Energy Plus Inc.1555</t>
  </si>
  <si>
    <t>Energy Plus Inc.1557</t>
  </si>
  <si>
    <t>Energy Plus Inc.1568</t>
  </si>
  <si>
    <t>Energy Plus Inc.1572</t>
  </si>
  <si>
    <t>Energy Plus Inc.1574</t>
  </si>
  <si>
    <t>Energy Plus Inc.1575</t>
  </si>
  <si>
    <t>Energy Plus Inc.1576</t>
  </si>
  <si>
    <t>Energy Plus Inc.1580</t>
  </si>
  <si>
    <t>Energy Plus Inc.1582</t>
  </si>
  <si>
    <t>Energy Plus Inc.1584</t>
  </si>
  <si>
    <t>Energy Plus Inc.1586</t>
  </si>
  <si>
    <t>Energy Plus Inc.1588</t>
  </si>
  <si>
    <t>Energy Plus Inc.1589</t>
  </si>
  <si>
    <t>Energy Plus Inc.1592</t>
  </si>
  <si>
    <t>Energy Plus Inc.1595</t>
  </si>
  <si>
    <t>Energy Plus Inc.1595_(2008)</t>
  </si>
  <si>
    <t>Energy Plus Inc.1595_(2009)</t>
  </si>
  <si>
    <t>Energy Plus Inc.1595_(2010)</t>
  </si>
  <si>
    <t>Energy Plus Inc.1595_(2011)</t>
  </si>
  <si>
    <t>Energy Plus Inc.1595_(2012)</t>
  </si>
  <si>
    <t>Energy Plus Inc.1595_(2013)</t>
  </si>
  <si>
    <t>Energy Plus Inc.1595_(2014)</t>
  </si>
  <si>
    <t>Energy Plus Inc.1595_(2015)</t>
  </si>
  <si>
    <t>Energy Plus Inc.1595_(2016)</t>
  </si>
  <si>
    <t>Energy Plus Inc.1595_(2017)</t>
  </si>
  <si>
    <t>Energy Plus Inc.1595_ControlAccount</t>
  </si>
  <si>
    <t>Energy Plus Inc.2425</t>
  </si>
  <si>
    <t>Entegrus Powerlines Inc.1508</t>
  </si>
  <si>
    <t>Entegrus Powerlines Inc.1518</t>
  </si>
  <si>
    <t>Entegrus Powerlines Inc.1522</t>
  </si>
  <si>
    <t>Entegrus Powerlines Inc.1525</t>
  </si>
  <si>
    <t>Entegrus Powerlines Inc.1531</t>
  </si>
  <si>
    <t>Entegrus Powerlines Inc.1532</t>
  </si>
  <si>
    <t>Entegrus Powerlines Inc.1533</t>
  </si>
  <si>
    <t>Entegrus Powerlines Inc.1534</t>
  </si>
  <si>
    <t>Entegrus Powerlines Inc.1535</t>
  </si>
  <si>
    <t>Entegrus Powerlines Inc.1536</t>
  </si>
  <si>
    <t>Entegrus Powerlines Inc.1548</t>
  </si>
  <si>
    <t>Entegrus Powerlines Inc.1550</t>
  </si>
  <si>
    <t>Entegrus Powerlines Inc.1551</t>
  </si>
  <si>
    <t>Entegrus Powerlines Inc.1555</t>
  </si>
  <si>
    <t>Entegrus Powerlines Inc.1557</t>
  </si>
  <si>
    <t>Entegrus Powerlines Inc.1568</t>
  </si>
  <si>
    <t>Entegrus Powerlines Inc.1572</t>
  </si>
  <si>
    <t>Entegrus Powerlines Inc.1574</t>
  </si>
  <si>
    <t>Entegrus Powerlines Inc.1575</t>
  </si>
  <si>
    <t>Entegrus Powerlines Inc.1576</t>
  </si>
  <si>
    <t>Entegrus Powerlines Inc.1580</t>
  </si>
  <si>
    <t>Entegrus Powerlines Inc.1582</t>
  </si>
  <si>
    <t>Entegrus Powerlines Inc.1584</t>
  </si>
  <si>
    <t>Entegrus Powerlines Inc.1586</t>
  </si>
  <si>
    <t>Entegrus Powerlines Inc.1588</t>
  </si>
  <si>
    <t>Entegrus Powerlines Inc.1589</t>
  </si>
  <si>
    <t>Entegrus Powerlines Inc.1592</t>
  </si>
  <si>
    <t>Entegrus Powerlines Inc.1595</t>
  </si>
  <si>
    <t>Entegrus Powerlines Inc.1595_(2008)</t>
  </si>
  <si>
    <t>Entegrus Powerlines Inc.1595_(2009)</t>
  </si>
  <si>
    <t>Entegrus Powerlines Inc.1595_(2010)</t>
  </si>
  <si>
    <t>Entegrus Powerlines Inc.1595_(2011)</t>
  </si>
  <si>
    <t>Entegrus Powerlines Inc.1595_(2012)</t>
  </si>
  <si>
    <t>Entegrus Powerlines Inc.1595_(2013)</t>
  </si>
  <si>
    <t>Entegrus Powerlines Inc.1595_(2014)</t>
  </si>
  <si>
    <t>Entegrus Powerlines Inc.1595_(2015)</t>
  </si>
  <si>
    <t>Entegrus Powerlines Inc.1595_(2016)</t>
  </si>
  <si>
    <t>Entegrus Powerlines Inc.1595_(2017)</t>
  </si>
  <si>
    <t>Entegrus Powerlines Inc.1595_ControlAccount</t>
  </si>
  <si>
    <t>Entegrus Powerlines Inc.2425</t>
  </si>
  <si>
    <t>Espanola Regional Hydro Distribution Corporation1508</t>
  </si>
  <si>
    <t>Espanola Regional Hydro Distribution Corporation1518</t>
  </si>
  <si>
    <t>Espanola Regional Hydro Distribution Corporation1522</t>
  </si>
  <si>
    <t>Espanola Regional Hydro Distribution Corporation1525</t>
  </si>
  <si>
    <t>Espanola Regional Hydro Distribution Corporation1531</t>
  </si>
  <si>
    <t>Espanola Regional Hydro Distribution Corporation1532</t>
  </si>
  <si>
    <t>Espanola Regional Hydro Distribution Corporation1533</t>
  </si>
  <si>
    <t>Espanola Regional Hydro Distribution Corporation1534</t>
  </si>
  <si>
    <t>Espanola Regional Hydro Distribution Corporation1535</t>
  </si>
  <si>
    <t>Espanola Regional Hydro Distribution Corporation1536</t>
  </si>
  <si>
    <t>Espanola Regional Hydro Distribution Corporation1548</t>
  </si>
  <si>
    <t>Espanola Regional Hydro Distribution Corporation1550</t>
  </si>
  <si>
    <t>Espanola Regional Hydro Distribution Corporation1551</t>
  </si>
  <si>
    <t>Espanola Regional Hydro Distribution Corporation1555</t>
  </si>
  <si>
    <t>Espanola Regional Hydro Distribution Corporation1557</t>
  </si>
  <si>
    <t>Espanola Regional Hydro Distribution Corporation1568</t>
  </si>
  <si>
    <t>Espanola Regional Hydro Distribution Corporation1572</t>
  </si>
  <si>
    <t>Espanola Regional Hydro Distribution Corporation1574</t>
  </si>
  <si>
    <t>Espanola Regional Hydro Distribution Corporation1575</t>
  </si>
  <si>
    <t>Espanola Regional Hydro Distribution Corporation1576</t>
  </si>
  <si>
    <t>Espanola Regional Hydro Distribution Corporation1580</t>
  </si>
  <si>
    <t>Espanola Regional Hydro Distribution Corporation1582</t>
  </si>
  <si>
    <t>Espanola Regional Hydro Distribution Corporation1584</t>
  </si>
  <si>
    <t>Espanola Regional Hydro Distribution Corporation1586</t>
  </si>
  <si>
    <t>Espanola Regional Hydro Distribution Corporation1588</t>
  </si>
  <si>
    <t>Espanola Regional Hydro Distribution Corporation1589</t>
  </si>
  <si>
    <t>Espanola Regional Hydro Distribution Corporation1592</t>
  </si>
  <si>
    <t>Espanola Regional Hydro Distribution Corporation1595</t>
  </si>
  <si>
    <t>Espanola Regional Hydro Distribution Corporation1595_(2008)</t>
  </si>
  <si>
    <t>Espanola Regional Hydro Distribution Corporation1595_(2009)</t>
  </si>
  <si>
    <t>Espanola Regional Hydro Distribution Corporation1595_(2010)</t>
  </si>
  <si>
    <t>Espanola Regional Hydro Distribution Corporation1595_(2011)</t>
  </si>
  <si>
    <t>Espanola Regional Hydro Distribution Corporation1595_(2012)</t>
  </si>
  <si>
    <t>Espanola Regional Hydro Distribution Corporation1595_(2013)</t>
  </si>
  <si>
    <t>Espanola Regional Hydro Distribution Corporation1595_(2014)</t>
  </si>
  <si>
    <t>Espanola Regional Hydro Distribution Corporation1595_(2015)</t>
  </si>
  <si>
    <t>Espanola Regional Hydro Distribution Corporation1595_(2016)</t>
  </si>
  <si>
    <t>Espanola Regional Hydro Distribution Corporation1595_(2017)</t>
  </si>
  <si>
    <t>Espanola Regional Hydro Distribution Corporation1595_ControlAccount</t>
  </si>
  <si>
    <t>Espanola Regional Hydro Distribution Corporation2425</t>
  </si>
  <si>
    <t>Essex Powerlines Corporation1508</t>
  </si>
  <si>
    <t>Essex Powerlines Corporation1518</t>
  </si>
  <si>
    <t>Essex Powerlines Corporation1522</t>
  </si>
  <si>
    <t>Essex Powerlines Corporation1525</t>
  </si>
  <si>
    <t>Essex Powerlines Corporation1531</t>
  </si>
  <si>
    <t>Essex Powerlines Corporation1532</t>
  </si>
  <si>
    <t>Essex Powerlines Corporation1533</t>
  </si>
  <si>
    <t>Essex Powerlines Corporation1534</t>
  </si>
  <si>
    <t>Essex Powerlines Corporation1535</t>
  </si>
  <si>
    <t>Essex Powerlines Corporation1536</t>
  </si>
  <si>
    <t>Essex Powerlines Corporation1548</t>
  </si>
  <si>
    <t>Essex Powerlines Corporation1550</t>
  </si>
  <si>
    <t>Essex Powerlines Corporation1551</t>
  </si>
  <si>
    <t>Essex Powerlines Corporation1555</t>
  </si>
  <si>
    <t>Essex Powerlines Corporation1557</t>
  </si>
  <si>
    <t>Essex Powerlines Corporation1568</t>
  </si>
  <si>
    <t>Essex Powerlines Corporation1572</t>
  </si>
  <si>
    <t>Essex Powerlines Corporation1574</t>
  </si>
  <si>
    <t>Essex Powerlines Corporation1575</t>
  </si>
  <si>
    <t>Essex Powerlines Corporation1576</t>
  </si>
  <si>
    <t>Essex Powerlines Corporation1580</t>
  </si>
  <si>
    <t>Essex Powerlines Corporation1582</t>
  </si>
  <si>
    <t>Essex Powerlines Corporation1584</t>
  </si>
  <si>
    <t>Essex Powerlines Corporation1586</t>
  </si>
  <si>
    <t>Essex Powerlines Corporation1588</t>
  </si>
  <si>
    <t>Essex Powerlines Corporation1589</t>
  </si>
  <si>
    <t>Essex Powerlines Corporation1592</t>
  </si>
  <si>
    <t>Essex Powerlines Corporation1595</t>
  </si>
  <si>
    <t>Essex Powerlines Corporation1595_(2008)</t>
  </si>
  <si>
    <t>Essex Powerlines Corporation1595_(2009)</t>
  </si>
  <si>
    <t>Essex Powerlines Corporation1595_(2010)</t>
  </si>
  <si>
    <t>Essex Powerlines Corporation1595_(2011)</t>
  </si>
  <si>
    <t>Essex Powerlines Corporation1595_(2012)</t>
  </si>
  <si>
    <t>Essex Powerlines Corporation1595_(2013)</t>
  </si>
  <si>
    <t>Essex Powerlines Corporation1595_(2014)</t>
  </si>
  <si>
    <t>Essex Powerlines Corporation1595_(2015)</t>
  </si>
  <si>
    <t>Essex Powerlines Corporation1595_(2016)</t>
  </si>
  <si>
    <t>Essex Powerlines Corporation1595_(2017)</t>
  </si>
  <si>
    <t>Essex Powerlines Corporation1595_ControlAccount</t>
  </si>
  <si>
    <t>Essex Powerlines Corporation2425</t>
  </si>
  <si>
    <t>Festival Hydro Inc.1508</t>
  </si>
  <si>
    <t>Festival Hydro Inc.1518</t>
  </si>
  <si>
    <t>Festival Hydro Inc.1522</t>
  </si>
  <si>
    <t>Festival Hydro Inc.1525</t>
  </si>
  <si>
    <t>Festival Hydro Inc.1531</t>
  </si>
  <si>
    <t>Festival Hydro Inc.1532</t>
  </si>
  <si>
    <t>Festival Hydro Inc.1533</t>
  </si>
  <si>
    <t>Festival Hydro Inc.1534</t>
  </si>
  <si>
    <t>Festival Hydro Inc.1535</t>
  </si>
  <si>
    <t>Festival Hydro Inc.1536</t>
  </si>
  <si>
    <t>Festival Hydro Inc.1548</t>
  </si>
  <si>
    <t>Festival Hydro Inc.1550</t>
  </si>
  <si>
    <t>Festival Hydro Inc.1551</t>
  </si>
  <si>
    <t>Festival Hydro Inc.1555</t>
  </si>
  <si>
    <t>Festival Hydro Inc.1557</t>
  </si>
  <si>
    <t>Festival Hydro Inc.1568</t>
  </si>
  <si>
    <t>Festival Hydro Inc.1572</t>
  </si>
  <si>
    <t>Festival Hydro Inc.1574</t>
  </si>
  <si>
    <t>Festival Hydro Inc.1575</t>
  </si>
  <si>
    <t>Festival Hydro Inc.1576</t>
  </si>
  <si>
    <t>Festival Hydro Inc.1580</t>
  </si>
  <si>
    <t>Festival Hydro Inc.1582</t>
  </si>
  <si>
    <t>Festival Hydro Inc.1584</t>
  </si>
  <si>
    <t>Festival Hydro Inc.1586</t>
  </si>
  <si>
    <t>Festival Hydro Inc.1588</t>
  </si>
  <si>
    <t>Festival Hydro Inc.1589</t>
  </si>
  <si>
    <t>Festival Hydro Inc.1592</t>
  </si>
  <si>
    <t>Festival Hydro Inc.1595</t>
  </si>
  <si>
    <t>Festival Hydro Inc.1595_(2008)</t>
  </si>
  <si>
    <t>Festival Hydro Inc.1595_(2009)</t>
  </si>
  <si>
    <t>Festival Hydro Inc.1595_(2010)</t>
  </si>
  <si>
    <t>Festival Hydro Inc.1595_(2011)</t>
  </si>
  <si>
    <t>Festival Hydro Inc.1595_(2012)</t>
  </si>
  <si>
    <t>Festival Hydro Inc.1595_(2013)</t>
  </si>
  <si>
    <t>Festival Hydro Inc.1595_(2014)</t>
  </si>
  <si>
    <t>Festival Hydro Inc.1595_(2015)</t>
  </si>
  <si>
    <t>Festival Hydro Inc.1595_(2016)</t>
  </si>
  <si>
    <t>Festival Hydro Inc.1595_(2017)</t>
  </si>
  <si>
    <t>Festival Hydro Inc.1595_ControlAccount</t>
  </si>
  <si>
    <t>Festival Hydro Inc.2425</t>
  </si>
  <si>
    <t>Fort Frances Power Corporation1508</t>
  </si>
  <si>
    <t>Fort Frances Power Corporation1518</t>
  </si>
  <si>
    <t>Fort Frances Power Corporation1522</t>
  </si>
  <si>
    <t>Fort Frances Power Corporation1525</t>
  </si>
  <si>
    <t>Fort Frances Power Corporation1531</t>
  </si>
  <si>
    <t>Fort Frances Power Corporation1532</t>
  </si>
  <si>
    <t>Fort Frances Power Corporation1533</t>
  </si>
  <si>
    <t>Fort Frances Power Corporation1534</t>
  </si>
  <si>
    <t>Fort Frances Power Corporation1535</t>
  </si>
  <si>
    <t>Fort Frances Power Corporation1536</t>
  </si>
  <si>
    <t>Fort Frances Power Corporation1548</t>
  </si>
  <si>
    <t>Fort Frances Power Corporation1550</t>
  </si>
  <si>
    <t>Fort Frances Power Corporation1551</t>
  </si>
  <si>
    <t>Fort Frances Power Corporation1555</t>
  </si>
  <si>
    <t>Fort Frances Power Corporation1557</t>
  </si>
  <si>
    <t>Fort Frances Power Corporation1568</t>
  </si>
  <si>
    <t>Fort Frances Power Corporation1572</t>
  </si>
  <si>
    <t>Fort Frances Power Corporation1574</t>
  </si>
  <si>
    <t>Fort Frances Power Corporation1575</t>
  </si>
  <si>
    <t>Fort Frances Power Corporation1576</t>
  </si>
  <si>
    <t>Fort Frances Power Corporation1580</t>
  </si>
  <si>
    <t>Fort Frances Power Corporation1582</t>
  </si>
  <si>
    <t>Fort Frances Power Corporation1584</t>
  </si>
  <si>
    <t>Fort Frances Power Corporation1586</t>
  </si>
  <si>
    <t>Fort Frances Power Corporation1588</t>
  </si>
  <si>
    <t>Fort Frances Power Corporation1589</t>
  </si>
  <si>
    <t>Fort Frances Power Corporation1592</t>
  </si>
  <si>
    <t>Fort Frances Power Corporation1595</t>
  </si>
  <si>
    <t>Fort Frances Power Corporation1595_(2008)</t>
  </si>
  <si>
    <t>Fort Frances Power Corporation1595_(2009)</t>
  </si>
  <si>
    <t>Fort Frances Power Corporation1595_(2010)</t>
  </si>
  <si>
    <t>Fort Frances Power Corporation1595_(2011)</t>
  </si>
  <si>
    <t>Fort Frances Power Corporation1595_(2012)</t>
  </si>
  <si>
    <t>Fort Frances Power Corporation1595_(2013)</t>
  </si>
  <si>
    <t>Fort Frances Power Corporation1595_(2014)</t>
  </si>
  <si>
    <t>Fort Frances Power Corporation1595_(2015)</t>
  </si>
  <si>
    <t>Fort Frances Power Corporation1595_(2016)</t>
  </si>
  <si>
    <t>Fort Frances Power Corporation1595_(2017)</t>
  </si>
  <si>
    <t>Fort Frances Power Corporation1595_ControlAccount</t>
  </si>
  <si>
    <t>Fort Frances Power Corporation2425</t>
  </si>
  <si>
    <t>Greater Sudbury Hydro Inc.1508</t>
  </si>
  <si>
    <t>Greater Sudbury Hydro Inc.1518</t>
  </si>
  <si>
    <t>Greater Sudbury Hydro Inc.1522</t>
  </si>
  <si>
    <t>Greater Sudbury Hydro Inc.1525</t>
  </si>
  <si>
    <t>Greater Sudbury Hydro Inc.1531</t>
  </si>
  <si>
    <t>Greater Sudbury Hydro Inc.1532</t>
  </si>
  <si>
    <t>Greater Sudbury Hydro Inc.1533</t>
  </si>
  <si>
    <t>Greater Sudbury Hydro Inc.1534</t>
  </si>
  <si>
    <t>Greater Sudbury Hydro Inc.1535</t>
  </si>
  <si>
    <t>Greater Sudbury Hydro Inc.1536</t>
  </si>
  <si>
    <t>Greater Sudbury Hydro Inc.1548</t>
  </si>
  <si>
    <t>Greater Sudbury Hydro Inc.1550</t>
  </si>
  <si>
    <t>Greater Sudbury Hydro Inc.1551</t>
  </si>
  <si>
    <t>Greater Sudbury Hydro Inc.1555</t>
  </si>
  <si>
    <t>Greater Sudbury Hydro Inc.1557</t>
  </si>
  <si>
    <t>Greater Sudbury Hydro Inc.1568</t>
  </si>
  <si>
    <t>Greater Sudbury Hydro Inc.1572</t>
  </si>
  <si>
    <t>Greater Sudbury Hydro Inc.1574</t>
  </si>
  <si>
    <t>Greater Sudbury Hydro Inc.1575</t>
  </si>
  <si>
    <t>Greater Sudbury Hydro Inc.1576</t>
  </si>
  <si>
    <t>Greater Sudbury Hydro Inc.1580</t>
  </si>
  <si>
    <t>Greater Sudbury Hydro Inc.1582</t>
  </si>
  <si>
    <t>Greater Sudbury Hydro Inc.1584</t>
  </si>
  <si>
    <t>Greater Sudbury Hydro Inc.1586</t>
  </si>
  <si>
    <t>Greater Sudbury Hydro Inc.1588</t>
  </si>
  <si>
    <t>Greater Sudbury Hydro Inc.1589</t>
  </si>
  <si>
    <t>Greater Sudbury Hydro Inc.1592</t>
  </si>
  <si>
    <t>Greater Sudbury Hydro Inc.1595</t>
  </si>
  <si>
    <t>Greater Sudbury Hydro Inc.1595_(2008)</t>
  </si>
  <si>
    <t>Greater Sudbury Hydro Inc.1595_(2009)</t>
  </si>
  <si>
    <t>Greater Sudbury Hydro Inc.1595_(2010)</t>
  </si>
  <si>
    <t>Greater Sudbury Hydro Inc.1595_(2011)</t>
  </si>
  <si>
    <t>Greater Sudbury Hydro Inc.1595_(2012)</t>
  </si>
  <si>
    <t>Greater Sudbury Hydro Inc.1595_(2013)</t>
  </si>
  <si>
    <t>Greater Sudbury Hydro Inc.1595_(2014)</t>
  </si>
  <si>
    <t>Greater Sudbury Hydro Inc.1595_(2015)</t>
  </si>
  <si>
    <t>Greater Sudbury Hydro Inc.1595_(2016)</t>
  </si>
  <si>
    <t>Greater Sudbury Hydro Inc.1595_(2017)</t>
  </si>
  <si>
    <t>Greater Sudbury Hydro Inc.1595_ControlAccount</t>
  </si>
  <si>
    <t>Greater Sudbury Hydro Inc.2425</t>
  </si>
  <si>
    <t>Grimsby Power Incorporated1508</t>
  </si>
  <si>
    <t>Grimsby Power Incorporated1518</t>
  </si>
  <si>
    <t>Grimsby Power Incorporated1522</t>
  </si>
  <si>
    <t>Grimsby Power Incorporated1525</t>
  </si>
  <si>
    <t>Grimsby Power Incorporated1531</t>
  </si>
  <si>
    <t>Grimsby Power Incorporated1532</t>
  </si>
  <si>
    <t>Grimsby Power Incorporated1533</t>
  </si>
  <si>
    <t>Grimsby Power Incorporated1534</t>
  </si>
  <si>
    <t>Grimsby Power Incorporated1535</t>
  </si>
  <si>
    <t>Grimsby Power Incorporated1536</t>
  </si>
  <si>
    <t>Grimsby Power Incorporated1548</t>
  </si>
  <si>
    <t>Grimsby Power Incorporated1550</t>
  </si>
  <si>
    <t>Grimsby Power Incorporated1551</t>
  </si>
  <si>
    <t>Grimsby Power Incorporated1555</t>
  </si>
  <si>
    <t>Grimsby Power Incorporated1557</t>
  </si>
  <si>
    <t>Grimsby Power Incorporated1568</t>
  </si>
  <si>
    <t>Grimsby Power Incorporated1572</t>
  </si>
  <si>
    <t>Grimsby Power Incorporated1574</t>
  </si>
  <si>
    <t>Grimsby Power Incorporated1575</t>
  </si>
  <si>
    <t>Grimsby Power Incorporated1576</t>
  </si>
  <si>
    <t>Grimsby Power Incorporated1580</t>
  </si>
  <si>
    <t>Grimsby Power Incorporated1582</t>
  </si>
  <si>
    <t>Grimsby Power Incorporated1584</t>
  </si>
  <si>
    <t>Grimsby Power Incorporated1586</t>
  </si>
  <si>
    <t>Grimsby Power Incorporated1588</t>
  </si>
  <si>
    <t>Grimsby Power Incorporated1589</t>
  </si>
  <si>
    <t>Grimsby Power Incorporated1592</t>
  </si>
  <si>
    <t>Grimsby Power Incorporated1595</t>
  </si>
  <si>
    <t>Grimsby Power Incorporated1595_(2008)</t>
  </si>
  <si>
    <t>Grimsby Power Incorporated1595_(2009)</t>
  </si>
  <si>
    <t>Grimsby Power Incorporated1595_(2010)</t>
  </si>
  <si>
    <t>Grimsby Power Incorporated1595_(2011)</t>
  </si>
  <si>
    <t>Grimsby Power Incorporated1595_(2012)</t>
  </si>
  <si>
    <t>Grimsby Power Incorporated1595_(2013)</t>
  </si>
  <si>
    <t>Grimsby Power Incorporated1595_(2014)</t>
  </si>
  <si>
    <t>Grimsby Power Incorporated1595_(2015)</t>
  </si>
  <si>
    <t>Grimsby Power Incorporated1595_(2016)</t>
  </si>
  <si>
    <t>Grimsby Power Incorporated1595_(2017)</t>
  </si>
  <si>
    <t>Grimsby Power Incorporated1595_ControlAccount</t>
  </si>
  <si>
    <t>Grimsby Power Incorporated2425</t>
  </si>
  <si>
    <t>Halton Hills Hydro Inc.1508</t>
  </si>
  <si>
    <t>Halton Hills Hydro Inc.1518</t>
  </si>
  <si>
    <t>Halton Hills Hydro Inc.1522</t>
  </si>
  <si>
    <t>Halton Hills Hydro Inc.1525</t>
  </si>
  <si>
    <t>Halton Hills Hydro Inc.1531</t>
  </si>
  <si>
    <t>Halton Hills Hydro Inc.1532</t>
  </si>
  <si>
    <t>Halton Hills Hydro Inc.1533</t>
  </si>
  <si>
    <t>Halton Hills Hydro Inc.1534</t>
  </si>
  <si>
    <t>Halton Hills Hydro Inc.1535</t>
  </si>
  <si>
    <t>Halton Hills Hydro Inc.1536</t>
  </si>
  <si>
    <t>Halton Hills Hydro Inc.1548</t>
  </si>
  <si>
    <t>Halton Hills Hydro Inc.1550</t>
  </si>
  <si>
    <t>Halton Hills Hydro Inc.1551</t>
  </si>
  <si>
    <t>Halton Hills Hydro Inc.1555</t>
  </si>
  <si>
    <t>Halton Hills Hydro Inc.1557</t>
  </si>
  <si>
    <t>Halton Hills Hydro Inc.1568</t>
  </si>
  <si>
    <t>Halton Hills Hydro Inc.1572</t>
  </si>
  <si>
    <t>Halton Hills Hydro Inc.1574</t>
  </si>
  <si>
    <t>Halton Hills Hydro Inc.1575</t>
  </si>
  <si>
    <t>Halton Hills Hydro Inc.1576</t>
  </si>
  <si>
    <t>Halton Hills Hydro Inc.1580</t>
  </si>
  <si>
    <t>Halton Hills Hydro Inc.1582</t>
  </si>
  <si>
    <t>Halton Hills Hydro Inc.1584</t>
  </si>
  <si>
    <t>Halton Hills Hydro Inc.1586</t>
  </si>
  <si>
    <t>Halton Hills Hydro Inc.1588</t>
  </si>
  <si>
    <t>Halton Hills Hydro Inc.1589</t>
  </si>
  <si>
    <t>Halton Hills Hydro Inc.1592</t>
  </si>
  <si>
    <t>Halton Hills Hydro Inc.1595</t>
  </si>
  <si>
    <t>Halton Hills Hydro Inc.1595_(2008)</t>
  </si>
  <si>
    <t>Halton Hills Hydro Inc.1595_(2009)</t>
  </si>
  <si>
    <t>Halton Hills Hydro Inc.1595_(2010)</t>
  </si>
  <si>
    <t>Halton Hills Hydro Inc.1595_(2011)</t>
  </si>
  <si>
    <t>Halton Hills Hydro Inc.1595_(2012)</t>
  </si>
  <si>
    <t>Halton Hills Hydro Inc.1595_(2013)</t>
  </si>
  <si>
    <t>Halton Hills Hydro Inc.1595_(2014)</t>
  </si>
  <si>
    <t>Halton Hills Hydro Inc.1595_(2015)</t>
  </si>
  <si>
    <t>Halton Hills Hydro Inc.1595_(2016)</t>
  </si>
  <si>
    <t>Halton Hills Hydro Inc.1595_(2017)</t>
  </si>
  <si>
    <t>Halton Hills Hydro Inc.1595_ControlAccount</t>
  </si>
  <si>
    <t>Halton Hills Hydro Inc.2425</t>
  </si>
  <si>
    <t>Hydro 2000 Inc.1508</t>
  </si>
  <si>
    <t>Hydro 2000 Inc.1518</t>
  </si>
  <si>
    <t>Hydro 2000 Inc.1522</t>
  </si>
  <si>
    <t>Hydro 2000 Inc.1525</t>
  </si>
  <si>
    <t>Hydro 2000 Inc.1531</t>
  </si>
  <si>
    <t>Hydro 2000 Inc.1532</t>
  </si>
  <si>
    <t>Hydro 2000 Inc.1533</t>
  </si>
  <si>
    <t>Hydro 2000 Inc.1534</t>
  </si>
  <si>
    <t>Hydro 2000 Inc.1535</t>
  </si>
  <si>
    <t>Hydro 2000 Inc.1536</t>
  </si>
  <si>
    <t>Hydro 2000 Inc.1548</t>
  </si>
  <si>
    <t>Hydro 2000 Inc.1550</t>
  </si>
  <si>
    <t>Hydro 2000 Inc.1551</t>
  </si>
  <si>
    <t>Hydro 2000 Inc.1555</t>
  </si>
  <si>
    <t>Hydro 2000 Inc.1557</t>
  </si>
  <si>
    <t>Hydro 2000 Inc.1568</t>
  </si>
  <si>
    <t>Hydro 2000 Inc.1572</t>
  </si>
  <si>
    <t>Hydro 2000 Inc.1574</t>
  </si>
  <si>
    <t>Hydro 2000 Inc.1575</t>
  </si>
  <si>
    <t>Hydro 2000 Inc.1576</t>
  </si>
  <si>
    <t>Hydro 2000 Inc.1580</t>
  </si>
  <si>
    <t>Hydro 2000 Inc.1582</t>
  </si>
  <si>
    <t>Hydro 2000 Inc.1584</t>
  </si>
  <si>
    <t>Hydro 2000 Inc.1586</t>
  </si>
  <si>
    <t>Hydro 2000 Inc.1588</t>
  </si>
  <si>
    <t>Hydro 2000 Inc.1589</t>
  </si>
  <si>
    <t>Hydro 2000 Inc.1592</t>
  </si>
  <si>
    <t>Hydro 2000 Inc.1595</t>
  </si>
  <si>
    <t>Hydro 2000 Inc.1595_(2008)</t>
  </si>
  <si>
    <t>Hydro 2000 Inc.1595_(2009)</t>
  </si>
  <si>
    <t>Hydro 2000 Inc.1595_(2010)</t>
  </si>
  <si>
    <t>Hydro 2000 Inc.1595_(2011)</t>
  </si>
  <si>
    <t>Hydro 2000 Inc.1595_(2012)</t>
  </si>
  <si>
    <t>Hydro 2000 Inc.1595_(2013)</t>
  </si>
  <si>
    <t>Hydro 2000 Inc.1595_(2014)</t>
  </si>
  <si>
    <t>Hydro 2000 Inc.1595_(2015)</t>
  </si>
  <si>
    <t>Hydro 2000 Inc.1595_(2016)</t>
  </si>
  <si>
    <t>Hydro 2000 Inc.1595_(2017)</t>
  </si>
  <si>
    <t>Hydro 2000 Inc.1595_ControlAccount</t>
  </si>
  <si>
    <t>Hydro 2000 Inc.2425</t>
  </si>
  <si>
    <t>Hydro Hawkesbury Inc.1508</t>
  </si>
  <si>
    <t>Hydro Hawkesbury Inc.1518</t>
  </si>
  <si>
    <t>Hydro Hawkesbury Inc.1522</t>
  </si>
  <si>
    <t>Hydro Hawkesbury Inc.1525</t>
  </si>
  <si>
    <t>Hydro Hawkesbury Inc.1531</t>
  </si>
  <si>
    <t>Hydro Hawkesbury Inc.1532</t>
  </si>
  <si>
    <t>Hydro Hawkesbury Inc.1533</t>
  </si>
  <si>
    <t>Hydro Hawkesbury Inc.1534</t>
  </si>
  <si>
    <t>Hydro Hawkesbury Inc.1535</t>
  </si>
  <si>
    <t>Hydro Hawkesbury Inc.1536</t>
  </si>
  <si>
    <t>Hydro Hawkesbury Inc.1548</t>
  </si>
  <si>
    <t>Hydro Hawkesbury Inc.1550</t>
  </si>
  <si>
    <t>Hydro Hawkesbury Inc.1551</t>
  </si>
  <si>
    <t>Hydro Hawkesbury Inc.1555</t>
  </si>
  <si>
    <t>Hydro Hawkesbury Inc.1557</t>
  </si>
  <si>
    <t>Hydro Hawkesbury Inc.1568</t>
  </si>
  <si>
    <t>Hydro Hawkesbury Inc.1572</t>
  </si>
  <si>
    <t>Hydro Hawkesbury Inc.1574</t>
  </si>
  <si>
    <t>Hydro Hawkesbury Inc.1575</t>
  </si>
  <si>
    <t>Hydro Hawkesbury Inc.1576</t>
  </si>
  <si>
    <t>Hydro Hawkesbury Inc.1580</t>
  </si>
  <si>
    <t>Hydro Hawkesbury Inc.1582</t>
  </si>
  <si>
    <t>Hydro Hawkesbury Inc.1584</t>
  </si>
  <si>
    <t>Hydro Hawkesbury Inc.1586</t>
  </si>
  <si>
    <t>Hydro Hawkesbury Inc.1588</t>
  </si>
  <si>
    <t>Hydro Hawkesbury Inc.1589</t>
  </si>
  <si>
    <t>Hydro Hawkesbury Inc.1592</t>
  </si>
  <si>
    <t>Hydro Hawkesbury Inc.1595</t>
  </si>
  <si>
    <t>Hydro Hawkesbury Inc.1595_(2008)</t>
  </si>
  <si>
    <t>Hydro Hawkesbury Inc.1595_(2009)</t>
  </si>
  <si>
    <t>Hydro Hawkesbury Inc.1595_(2010)</t>
  </si>
  <si>
    <t>Hydro Hawkesbury Inc.1595_(2011)</t>
  </si>
  <si>
    <t>Hydro Hawkesbury Inc.1595_(2012)</t>
  </si>
  <si>
    <t>Hydro Hawkesbury Inc.1595_(2013)</t>
  </si>
  <si>
    <t>Hydro Hawkesbury Inc.1595_(2014)</t>
  </si>
  <si>
    <t>Hydro Hawkesbury Inc.1595_(2015)</t>
  </si>
  <si>
    <t>Hydro Hawkesbury Inc.1595_(2016)</t>
  </si>
  <si>
    <t>Hydro Hawkesbury Inc.1595_(2017)</t>
  </si>
  <si>
    <t>Hydro Hawkesbury Inc.1595_ControlAccount</t>
  </si>
  <si>
    <t>Hydro Hawkesbury Inc.2425</t>
  </si>
  <si>
    <t>Hydro One Networks Inc.1508</t>
  </si>
  <si>
    <t>Hydro One Networks Inc.1518</t>
  </si>
  <si>
    <t>Hydro One Networks Inc.1522</t>
  </si>
  <si>
    <t>Hydro One Networks Inc.1525</t>
  </si>
  <si>
    <t>Hydro One Networks Inc.1531</t>
  </si>
  <si>
    <t>Hydro One Networks Inc.1532</t>
  </si>
  <si>
    <t>Hydro One Networks Inc.1533</t>
  </si>
  <si>
    <t>Hydro One Networks Inc.1534</t>
  </si>
  <si>
    <t>Hydro One Networks Inc.1535</t>
  </si>
  <si>
    <t>Hydro One Networks Inc.1536</t>
  </si>
  <si>
    <t>Hydro One Networks Inc.1548</t>
  </si>
  <si>
    <t>Hydro One Networks Inc.1550</t>
  </si>
  <si>
    <t>Hydro One Networks Inc.1551</t>
  </si>
  <si>
    <t>Hydro One Networks Inc.1555</t>
  </si>
  <si>
    <t>Hydro One Networks Inc.1557</t>
  </si>
  <si>
    <t>Hydro One Networks Inc.1568</t>
  </si>
  <si>
    <t>Hydro One Networks Inc.1572</t>
  </si>
  <si>
    <t>Hydro One Networks Inc.1574</t>
  </si>
  <si>
    <t>Hydro One Networks Inc.1575</t>
  </si>
  <si>
    <t>Hydro One Networks Inc.1576</t>
  </si>
  <si>
    <t>Hydro One Networks Inc.1580</t>
  </si>
  <si>
    <t>Hydro One Networks Inc.1582</t>
  </si>
  <si>
    <t>Hydro One Networks Inc.1584</t>
  </si>
  <si>
    <t>Hydro One Networks Inc.1586</t>
  </si>
  <si>
    <t>Hydro One Networks Inc.1588</t>
  </si>
  <si>
    <t>Hydro One Networks Inc.1589</t>
  </si>
  <si>
    <t>Hydro One Networks Inc.1592</t>
  </si>
  <si>
    <t>Hydro One Networks Inc.1595</t>
  </si>
  <si>
    <t>Hydro One Networks Inc.1595_(2008)</t>
  </si>
  <si>
    <t>Hydro One Networks Inc.1595_(2009)</t>
  </si>
  <si>
    <t>Hydro One Networks Inc.1595_(2010)</t>
  </si>
  <si>
    <t>Hydro One Networks Inc.1595_(2011)</t>
  </si>
  <si>
    <t>Hydro One Networks Inc.1595_(2012)</t>
  </si>
  <si>
    <t>Hydro One Networks Inc.1595_(2013)</t>
  </si>
  <si>
    <t>Hydro One Networks Inc.1595_(2014)</t>
  </si>
  <si>
    <t>Hydro One Networks Inc.1595_(2015)</t>
  </si>
  <si>
    <t>Hydro One Networks Inc.1595_(2016)</t>
  </si>
  <si>
    <t>Hydro One Networks Inc.1595_(2017)</t>
  </si>
  <si>
    <t>Hydro One Networks Inc.1595_ControlAccount</t>
  </si>
  <si>
    <t>Hydro One Networks Inc.2425</t>
  </si>
  <si>
    <t>Hydro One Remote Communities Inc.</t>
  </si>
  <si>
    <t>Hydro One Remote Communities Inc.1508</t>
  </si>
  <si>
    <t>Hydro One Remote Communities Inc.1518</t>
  </si>
  <si>
    <t>Hydro One Remote Communities Inc.1522</t>
  </si>
  <si>
    <t>Hydro One Remote Communities Inc.1525</t>
  </si>
  <si>
    <t>Hydro One Remote Communities Inc.1531</t>
  </si>
  <si>
    <t>Hydro One Remote Communities Inc.1532</t>
  </si>
  <si>
    <t>Hydro One Remote Communities Inc.1533</t>
  </si>
  <si>
    <t>Hydro One Remote Communities Inc.1534</t>
  </si>
  <si>
    <t>Hydro One Remote Communities Inc.1535</t>
  </si>
  <si>
    <t>Hydro One Remote Communities Inc.1536</t>
  </si>
  <si>
    <t>Hydro One Remote Communities Inc.1548</t>
  </si>
  <si>
    <t>Hydro One Remote Communities Inc.1550</t>
  </si>
  <si>
    <t>Hydro One Remote Communities Inc.1551</t>
  </si>
  <si>
    <t>Hydro One Remote Communities Inc.1555</t>
  </si>
  <si>
    <t>Hydro One Remote Communities Inc.1557</t>
  </si>
  <si>
    <t>Hydro One Remote Communities Inc.1568</t>
  </si>
  <si>
    <t>Hydro One Remote Communities Inc.1572</t>
  </si>
  <si>
    <t>Hydro One Remote Communities Inc.1574</t>
  </si>
  <si>
    <t>Hydro One Remote Communities Inc.1575</t>
  </si>
  <si>
    <t>Hydro One Remote Communities Inc.1576</t>
  </si>
  <si>
    <t>Hydro One Remote Communities Inc.1580</t>
  </si>
  <si>
    <t>Hydro One Remote Communities Inc.1582</t>
  </si>
  <si>
    <t>Hydro One Remote Communities Inc.1584</t>
  </si>
  <si>
    <t>Hydro One Remote Communities Inc.1586</t>
  </si>
  <si>
    <t>Hydro One Remote Communities Inc.1588</t>
  </si>
  <si>
    <t>Hydro One Remote Communities Inc.1589</t>
  </si>
  <si>
    <t>Hydro One Remote Communities Inc.1592</t>
  </si>
  <si>
    <t>Hydro One Remote Communities Inc.1595</t>
  </si>
  <si>
    <t>Hydro One Remote Communities Inc.1595_(2008)</t>
  </si>
  <si>
    <t>Hydro One Remote Communities Inc.1595_(2009)</t>
  </si>
  <si>
    <t>Hydro One Remote Communities Inc.1595_(2010)</t>
  </si>
  <si>
    <t>Hydro One Remote Communities Inc.1595_(2011)</t>
  </si>
  <si>
    <t>Hydro One Remote Communities Inc.1595_(2012)</t>
  </si>
  <si>
    <t>Hydro One Remote Communities Inc.1595_(2013)</t>
  </si>
  <si>
    <t>Hydro One Remote Communities Inc.1595_(2014)</t>
  </si>
  <si>
    <t>Hydro One Remote Communities Inc.1595_(2015)</t>
  </si>
  <si>
    <t>Hydro One Remote Communities Inc.1595_(2016)</t>
  </si>
  <si>
    <t>Hydro One Remote Communities Inc.1595_(2017)</t>
  </si>
  <si>
    <t>Hydro One Remote Communities Inc.1595_ControlAccount</t>
  </si>
  <si>
    <t>Hydro One Remote Communities Inc.2425</t>
  </si>
  <si>
    <t>Hydro Ottawa Limited1508</t>
  </si>
  <si>
    <t>Hydro Ottawa Limited1518</t>
  </si>
  <si>
    <t>Hydro Ottawa Limited1522</t>
  </si>
  <si>
    <t>Hydro Ottawa Limited1525</t>
  </si>
  <si>
    <t>Hydro Ottawa Limited1531</t>
  </si>
  <si>
    <t>Hydro Ottawa Limited1532</t>
  </si>
  <si>
    <t>Hydro Ottawa Limited1533</t>
  </si>
  <si>
    <t>Hydro Ottawa Limited1534</t>
  </si>
  <si>
    <t>Hydro Ottawa Limited1535</t>
  </si>
  <si>
    <t>Hydro Ottawa Limited1536</t>
  </si>
  <si>
    <t>Hydro Ottawa Limited1548</t>
  </si>
  <si>
    <t>Hydro Ottawa Limited1550</t>
  </si>
  <si>
    <t>Hydro Ottawa Limited1551</t>
  </si>
  <si>
    <t>Hydro Ottawa Limited1555</t>
  </si>
  <si>
    <t>Hydro Ottawa Limited1557</t>
  </si>
  <si>
    <t>Hydro Ottawa Limited1568</t>
  </si>
  <si>
    <t>Hydro Ottawa Limited1572</t>
  </si>
  <si>
    <t>Hydro Ottawa Limited1574</t>
  </si>
  <si>
    <t>Hydro Ottawa Limited1575</t>
  </si>
  <si>
    <t>Hydro Ottawa Limited1576</t>
  </si>
  <si>
    <t>Hydro Ottawa Limited1580</t>
  </si>
  <si>
    <t>Hydro Ottawa Limited1582</t>
  </si>
  <si>
    <t>Hydro Ottawa Limited1584</t>
  </si>
  <si>
    <t>Hydro Ottawa Limited1586</t>
  </si>
  <si>
    <t>Hydro Ottawa Limited1588</t>
  </si>
  <si>
    <t>Hydro Ottawa Limited1589</t>
  </si>
  <si>
    <t>Hydro Ottawa Limited1592</t>
  </si>
  <si>
    <t>Hydro Ottawa Limited1595</t>
  </si>
  <si>
    <t>Hydro Ottawa Limited1595_(2008)</t>
  </si>
  <si>
    <t>Hydro Ottawa Limited1595_(2009)</t>
  </si>
  <si>
    <t>Hydro Ottawa Limited1595_(2010)</t>
  </si>
  <si>
    <t>Hydro Ottawa Limited1595_(2011)</t>
  </si>
  <si>
    <t>Hydro Ottawa Limited1595_(2012)</t>
  </si>
  <si>
    <t>Hydro Ottawa Limited1595_(2013)</t>
  </si>
  <si>
    <t>Hydro Ottawa Limited1595_(2014)</t>
  </si>
  <si>
    <t>Hydro Ottawa Limited1595_(2015)</t>
  </si>
  <si>
    <t>Hydro Ottawa Limited1595_(2016)</t>
  </si>
  <si>
    <t>Hydro Ottawa Limited1595_(2017)</t>
  </si>
  <si>
    <t>Hydro Ottawa Limited1595_ControlAccount</t>
  </si>
  <si>
    <t>Hydro Ottawa Limited2425</t>
  </si>
  <si>
    <t>Innpower Corporation</t>
  </si>
  <si>
    <t>Innpower Corporation1508</t>
  </si>
  <si>
    <t>Innpower Corporation1518</t>
  </si>
  <si>
    <t>Innpower Corporation1522</t>
  </si>
  <si>
    <t>Innpower Corporation1525</t>
  </si>
  <si>
    <t>Innpower Corporation1531</t>
  </si>
  <si>
    <t>Innpower Corporation1532</t>
  </si>
  <si>
    <t>Innpower Corporation1533</t>
  </si>
  <si>
    <t>Innpower Corporation1534</t>
  </si>
  <si>
    <t>Innpower Corporation1535</t>
  </si>
  <si>
    <t>Innpower Corporation1536</t>
  </si>
  <si>
    <t>Innpower Corporation1548</t>
  </si>
  <si>
    <t>Innpower Corporation1550</t>
  </si>
  <si>
    <t>Innpower Corporation1551</t>
  </si>
  <si>
    <t>Innpower Corporation1555</t>
  </si>
  <si>
    <t>Innpower Corporation1557</t>
  </si>
  <si>
    <t>Innpower Corporation1568</t>
  </si>
  <si>
    <t>Innpower Corporation1572</t>
  </si>
  <si>
    <t>Innpower Corporation1574</t>
  </si>
  <si>
    <t>Innpower Corporation1575</t>
  </si>
  <si>
    <t>Innpower Corporation1576</t>
  </si>
  <si>
    <t>Innpower Corporation1580</t>
  </si>
  <si>
    <t>Innpower Corporation1582</t>
  </si>
  <si>
    <t>Innpower Corporation1584</t>
  </si>
  <si>
    <t>Innpower Corporation1586</t>
  </si>
  <si>
    <t>Innpower Corporation1588</t>
  </si>
  <si>
    <t>Innpower Corporation1589</t>
  </si>
  <si>
    <t>Innpower Corporation1592</t>
  </si>
  <si>
    <t>Innpower Corporation1595</t>
  </si>
  <si>
    <t>Innpower Corporation1595_(2008)</t>
  </si>
  <si>
    <t>Innpower Corporation1595_(2009)</t>
  </si>
  <si>
    <t>Innpower Corporation1595_(2010)</t>
  </si>
  <si>
    <t>Innpower Corporation1595_(2011)</t>
  </si>
  <si>
    <t>Innpower Corporation1595_(2012)</t>
  </si>
  <si>
    <t>Innpower Corporation1595_(2013)</t>
  </si>
  <si>
    <t>Innpower Corporation1595_(2014)</t>
  </si>
  <si>
    <t>Innpower Corporation1595_(2015)</t>
  </si>
  <si>
    <t>Innpower Corporation1595_(2016)</t>
  </si>
  <si>
    <t>Innpower Corporation1595_(2017)</t>
  </si>
  <si>
    <t>Innpower Corporation1595_ControlAccount</t>
  </si>
  <si>
    <t>Innpower Corporation2425</t>
  </si>
  <si>
    <t>Kingston Hydro Corporation1508</t>
  </si>
  <si>
    <t>Kingston Hydro Corporation1518</t>
  </si>
  <si>
    <t>Kingston Hydro Corporation1522</t>
  </si>
  <si>
    <t>Kingston Hydro Corporation1525</t>
  </si>
  <si>
    <t>Kingston Hydro Corporation1531</t>
  </si>
  <si>
    <t>Kingston Hydro Corporation1532</t>
  </si>
  <si>
    <t>Kingston Hydro Corporation1533</t>
  </si>
  <si>
    <t>Kingston Hydro Corporation1534</t>
  </si>
  <si>
    <t>Kingston Hydro Corporation1535</t>
  </si>
  <si>
    <t>Kingston Hydro Corporation1536</t>
  </si>
  <si>
    <t>Kingston Hydro Corporation1548</t>
  </si>
  <si>
    <t>Kingston Hydro Corporation1550</t>
  </si>
  <si>
    <t>Kingston Hydro Corporation1551</t>
  </si>
  <si>
    <t>Kingston Hydro Corporation1555</t>
  </si>
  <si>
    <t>Kingston Hydro Corporation1557</t>
  </si>
  <si>
    <t>Kingston Hydro Corporation1568</t>
  </si>
  <si>
    <t>Kingston Hydro Corporation1572</t>
  </si>
  <si>
    <t>Kingston Hydro Corporation1574</t>
  </si>
  <si>
    <t>Kingston Hydro Corporation1575</t>
  </si>
  <si>
    <t>Kingston Hydro Corporation1576</t>
  </si>
  <si>
    <t>Kingston Hydro Corporation1580</t>
  </si>
  <si>
    <t>Kingston Hydro Corporation1582</t>
  </si>
  <si>
    <t>Kingston Hydro Corporation1584</t>
  </si>
  <si>
    <t>Kingston Hydro Corporation1586</t>
  </si>
  <si>
    <t>Kingston Hydro Corporation1588</t>
  </si>
  <si>
    <t>Kingston Hydro Corporation1589</t>
  </si>
  <si>
    <t>Kingston Hydro Corporation1592</t>
  </si>
  <si>
    <t>Kingston Hydro Corporation1595</t>
  </si>
  <si>
    <t>Kingston Hydro Corporation1595_(2008)</t>
  </si>
  <si>
    <t>Kingston Hydro Corporation1595_(2009)</t>
  </si>
  <si>
    <t>Kingston Hydro Corporation1595_(2010)</t>
  </si>
  <si>
    <t>Kingston Hydro Corporation1595_(2011)</t>
  </si>
  <si>
    <t>Kingston Hydro Corporation1595_(2012)</t>
  </si>
  <si>
    <t>Kingston Hydro Corporation1595_(2013)</t>
  </si>
  <si>
    <t>Kingston Hydro Corporation1595_(2014)</t>
  </si>
  <si>
    <t>Kingston Hydro Corporation1595_(2015)</t>
  </si>
  <si>
    <t>Kingston Hydro Corporation1595_(2016)</t>
  </si>
  <si>
    <t>Kingston Hydro Corporation1595_(2017)</t>
  </si>
  <si>
    <t>Kingston Hydro Corporation1595_ControlAccount</t>
  </si>
  <si>
    <t>Kingston Hydro Corporation2425</t>
  </si>
  <si>
    <t>Kitchener-Wilmot Hydro Inc.1508</t>
  </si>
  <si>
    <t>Kitchener-Wilmot Hydro Inc.1518</t>
  </si>
  <si>
    <t>Kitchener-Wilmot Hydro Inc.1522</t>
  </si>
  <si>
    <t>Kitchener-Wilmot Hydro Inc.1525</t>
  </si>
  <si>
    <t>Kitchener-Wilmot Hydro Inc.1531</t>
  </si>
  <si>
    <t>Kitchener-Wilmot Hydro Inc.1532</t>
  </si>
  <si>
    <t>Kitchener-Wilmot Hydro Inc.1533</t>
  </si>
  <si>
    <t>Kitchener-Wilmot Hydro Inc.1534</t>
  </si>
  <si>
    <t>Kitchener-Wilmot Hydro Inc.1535</t>
  </si>
  <si>
    <t>Kitchener-Wilmot Hydro Inc.1536</t>
  </si>
  <si>
    <t>Kitchener-Wilmot Hydro Inc.1548</t>
  </si>
  <si>
    <t>Kitchener-Wilmot Hydro Inc.1550</t>
  </si>
  <si>
    <t>Kitchener-Wilmot Hydro Inc.1551</t>
  </si>
  <si>
    <t>Kitchener-Wilmot Hydro Inc.1555</t>
  </si>
  <si>
    <t>Kitchener-Wilmot Hydro Inc.1557</t>
  </si>
  <si>
    <t>Kitchener-Wilmot Hydro Inc.1568</t>
  </si>
  <si>
    <t>Kitchener-Wilmot Hydro Inc.1572</t>
  </si>
  <si>
    <t>Kitchener-Wilmot Hydro Inc.1574</t>
  </si>
  <si>
    <t>Kitchener-Wilmot Hydro Inc.1575</t>
  </si>
  <si>
    <t>Kitchener-Wilmot Hydro Inc.1576</t>
  </si>
  <si>
    <t>Kitchener-Wilmot Hydro Inc.1580</t>
  </si>
  <si>
    <t>Kitchener-Wilmot Hydro Inc.1582</t>
  </si>
  <si>
    <t>Kitchener-Wilmot Hydro Inc.1584</t>
  </si>
  <si>
    <t>Kitchener-Wilmot Hydro Inc.1586</t>
  </si>
  <si>
    <t>Kitchener-Wilmot Hydro Inc.1588</t>
  </si>
  <si>
    <t>Kitchener-Wilmot Hydro Inc.1589</t>
  </si>
  <si>
    <t>Kitchener-Wilmot Hydro Inc.1592</t>
  </si>
  <si>
    <t>Kitchener-Wilmot Hydro Inc.1595</t>
  </si>
  <si>
    <t>Kitchener-Wilmot Hydro Inc.1595_(2008)</t>
  </si>
  <si>
    <t>Kitchener-Wilmot Hydro Inc.1595_(2009)</t>
  </si>
  <si>
    <t>Kitchener-Wilmot Hydro Inc.1595_(2010)</t>
  </si>
  <si>
    <t>Kitchener-Wilmot Hydro Inc.1595_(2011)</t>
  </si>
  <si>
    <t>Kitchener-Wilmot Hydro Inc.1595_(2012)</t>
  </si>
  <si>
    <t>Kitchener-Wilmot Hydro Inc.1595_(2013)</t>
  </si>
  <si>
    <t>Kitchener-Wilmot Hydro Inc.1595_(2014)</t>
  </si>
  <si>
    <t>Kitchener-Wilmot Hydro Inc.1595_(2015)</t>
  </si>
  <si>
    <t>Kitchener-Wilmot Hydro Inc.1595_(2016)</t>
  </si>
  <si>
    <t>Kitchener-Wilmot Hydro Inc.1595_(2017)</t>
  </si>
  <si>
    <t>Kitchener-Wilmot Hydro Inc.1595_ControlAccount</t>
  </si>
  <si>
    <t>Kitchener-Wilmot Hydro Inc.2425</t>
  </si>
  <si>
    <t>Lakefront Utilities Inc.1508</t>
  </si>
  <si>
    <t>Lakefront Utilities Inc.1518</t>
  </si>
  <si>
    <t>Lakefront Utilities Inc.1522</t>
  </si>
  <si>
    <t>Lakefront Utilities Inc.1525</t>
  </si>
  <si>
    <t>Lakefront Utilities Inc.1531</t>
  </si>
  <si>
    <t>Lakefront Utilities Inc.1532</t>
  </si>
  <si>
    <t>Lakefront Utilities Inc.1533</t>
  </si>
  <si>
    <t>Lakefront Utilities Inc.1534</t>
  </si>
  <si>
    <t>Lakefront Utilities Inc.1535</t>
  </si>
  <si>
    <t>Lakefront Utilities Inc.1536</t>
  </si>
  <si>
    <t>Lakefront Utilities Inc.1548</t>
  </si>
  <si>
    <t>Lakefront Utilities Inc.1550</t>
  </si>
  <si>
    <t>Lakefront Utilities Inc.1551</t>
  </si>
  <si>
    <t>Lakefront Utilities Inc.1555</t>
  </si>
  <si>
    <t>Lakefront Utilities Inc.1557</t>
  </si>
  <si>
    <t>Lakefront Utilities Inc.1568</t>
  </si>
  <si>
    <t>Lakefront Utilities Inc.1572</t>
  </si>
  <si>
    <t>Lakefront Utilities Inc.1574</t>
  </si>
  <si>
    <t>Lakefront Utilities Inc.1575</t>
  </si>
  <si>
    <t>Lakefront Utilities Inc.1576</t>
  </si>
  <si>
    <t>Lakefront Utilities Inc.1580</t>
  </si>
  <si>
    <t>Lakefront Utilities Inc.1582</t>
  </si>
  <si>
    <t>Lakefront Utilities Inc.1584</t>
  </si>
  <si>
    <t>Lakefront Utilities Inc.1586</t>
  </si>
  <si>
    <t>Lakefront Utilities Inc.1588</t>
  </si>
  <si>
    <t>Lakefront Utilities Inc.1589</t>
  </si>
  <si>
    <t>Lakefront Utilities Inc.1592</t>
  </si>
  <si>
    <t>Lakefront Utilities Inc.1595</t>
  </si>
  <si>
    <t>Lakefront Utilities Inc.1595_(2008)</t>
  </si>
  <si>
    <t>Lakefront Utilities Inc.1595_(2009)</t>
  </si>
  <si>
    <t>Lakefront Utilities Inc.1595_(2010)</t>
  </si>
  <si>
    <t>Lakefront Utilities Inc.1595_(2011)</t>
  </si>
  <si>
    <t>Lakefront Utilities Inc.1595_(2012)</t>
  </si>
  <si>
    <t>Lakefront Utilities Inc.1595_(2013)</t>
  </si>
  <si>
    <t>Lakefront Utilities Inc.1595_(2014)</t>
  </si>
  <si>
    <t>Lakefront Utilities Inc.1595_(2015)</t>
  </si>
  <si>
    <t>Lakefront Utilities Inc.1595_(2016)</t>
  </si>
  <si>
    <t>Lakefront Utilities Inc.1595_(2017)</t>
  </si>
  <si>
    <t>Lakefront Utilities Inc.1595_ControlAccount</t>
  </si>
  <si>
    <t>Lakefront Utilities Inc.2425</t>
  </si>
  <si>
    <t>Lakeland Power Distribution Ltd.1508</t>
  </si>
  <si>
    <t>Lakeland Power Distribution Ltd.1518</t>
  </si>
  <si>
    <t>Lakeland Power Distribution Ltd.1522</t>
  </si>
  <si>
    <t>Lakeland Power Distribution Ltd.1525</t>
  </si>
  <si>
    <t>Lakeland Power Distribution Ltd.1531</t>
  </si>
  <si>
    <t>Lakeland Power Distribution Ltd.1532</t>
  </si>
  <si>
    <t>Lakeland Power Distribution Ltd.1533</t>
  </si>
  <si>
    <t>Lakeland Power Distribution Ltd.1534</t>
  </si>
  <si>
    <t>Lakeland Power Distribution Ltd.1535</t>
  </si>
  <si>
    <t>Lakeland Power Distribution Ltd.1536</t>
  </si>
  <si>
    <t>Lakeland Power Distribution Ltd.1548</t>
  </si>
  <si>
    <t>Lakeland Power Distribution Ltd.1550</t>
  </si>
  <si>
    <t>Lakeland Power Distribution Ltd.1551</t>
  </si>
  <si>
    <t>Lakeland Power Distribution Ltd.1555</t>
  </si>
  <si>
    <t>Lakeland Power Distribution Ltd.1557</t>
  </si>
  <si>
    <t>Lakeland Power Distribution Ltd.1568</t>
  </si>
  <si>
    <t>Lakeland Power Distribution Ltd.1572</t>
  </si>
  <si>
    <t>Lakeland Power Distribution Ltd.1574</t>
  </si>
  <si>
    <t>Lakeland Power Distribution Ltd.1575</t>
  </si>
  <si>
    <t>Lakeland Power Distribution Ltd.1576</t>
  </si>
  <si>
    <t>Lakeland Power Distribution Ltd.1580</t>
  </si>
  <si>
    <t>Lakeland Power Distribution Ltd.1582</t>
  </si>
  <si>
    <t>Lakeland Power Distribution Ltd.1584</t>
  </si>
  <si>
    <t>Lakeland Power Distribution Ltd.1586</t>
  </si>
  <si>
    <t>Lakeland Power Distribution Ltd.1588</t>
  </si>
  <si>
    <t>Lakeland Power Distribution Ltd.1589</t>
  </si>
  <si>
    <t>Lakeland Power Distribution Ltd.1592</t>
  </si>
  <si>
    <t>Lakeland Power Distribution Ltd.1595</t>
  </si>
  <si>
    <t>Lakeland Power Distribution Ltd.1595_(2008)</t>
  </si>
  <si>
    <t>Lakeland Power Distribution Ltd.1595_(2009)</t>
  </si>
  <si>
    <t>Lakeland Power Distribution Ltd.1595_(2010)</t>
  </si>
  <si>
    <t>Lakeland Power Distribution Ltd.1595_(2011)</t>
  </si>
  <si>
    <t>Lakeland Power Distribution Ltd.1595_(2012)</t>
  </si>
  <si>
    <t>Lakeland Power Distribution Ltd.1595_(2013)</t>
  </si>
  <si>
    <t>Lakeland Power Distribution Ltd.1595_(2014)</t>
  </si>
  <si>
    <t>Lakeland Power Distribution Ltd.1595_(2015)</t>
  </si>
  <si>
    <t>Lakeland Power Distribution Ltd.1595_(2016)</t>
  </si>
  <si>
    <t>Lakeland Power Distribution Ltd.1595_(2017)</t>
  </si>
  <si>
    <t>Lakeland Power Distribution Ltd.1595_ControlAccount</t>
  </si>
  <si>
    <t>Lakeland Power Distribution Ltd.2425</t>
  </si>
  <si>
    <t>London Hydro Inc.1508</t>
  </si>
  <si>
    <t>London Hydro Inc.1518</t>
  </si>
  <si>
    <t>London Hydro Inc.1522</t>
  </si>
  <si>
    <t>London Hydro Inc.1525</t>
  </si>
  <si>
    <t>London Hydro Inc.1531</t>
  </si>
  <si>
    <t>London Hydro Inc.1532</t>
  </si>
  <si>
    <t>London Hydro Inc.1533</t>
  </si>
  <si>
    <t>London Hydro Inc.1534</t>
  </si>
  <si>
    <t>London Hydro Inc.1535</t>
  </si>
  <si>
    <t>London Hydro Inc.1536</t>
  </si>
  <si>
    <t>London Hydro Inc.1548</t>
  </si>
  <si>
    <t>London Hydro Inc.1550</t>
  </si>
  <si>
    <t>London Hydro Inc.1551</t>
  </si>
  <si>
    <t>London Hydro Inc.1555</t>
  </si>
  <si>
    <t>London Hydro Inc.1557</t>
  </si>
  <si>
    <t>London Hydro Inc.1568</t>
  </si>
  <si>
    <t>London Hydro Inc.1572</t>
  </si>
  <si>
    <t>London Hydro Inc.1574</t>
  </si>
  <si>
    <t>London Hydro Inc.1575</t>
  </si>
  <si>
    <t>London Hydro Inc.1576</t>
  </si>
  <si>
    <t>London Hydro Inc.1580</t>
  </si>
  <si>
    <t>London Hydro Inc.1582</t>
  </si>
  <si>
    <t>London Hydro Inc.1584</t>
  </si>
  <si>
    <t>London Hydro Inc.1586</t>
  </si>
  <si>
    <t>London Hydro Inc.1588</t>
  </si>
  <si>
    <t>London Hydro Inc.1589</t>
  </si>
  <si>
    <t>London Hydro Inc.1592</t>
  </si>
  <si>
    <t>London Hydro Inc.1595</t>
  </si>
  <si>
    <t>London Hydro Inc.1595_(2008)</t>
  </si>
  <si>
    <t>London Hydro Inc.1595_(2009)</t>
  </si>
  <si>
    <t>London Hydro Inc.1595_(2010)</t>
  </si>
  <si>
    <t>London Hydro Inc.1595_(2011)</t>
  </si>
  <si>
    <t>London Hydro Inc.1595_(2012)</t>
  </si>
  <si>
    <t>London Hydro Inc.1595_(2013)</t>
  </si>
  <si>
    <t>London Hydro Inc.1595_(2014)</t>
  </si>
  <si>
    <t>London Hydro Inc.1595_(2015)</t>
  </si>
  <si>
    <t>London Hydro Inc.1595_(2016)</t>
  </si>
  <si>
    <t>London Hydro Inc.1595_(2017)</t>
  </si>
  <si>
    <t>London Hydro Inc.1595_ControlAccount</t>
  </si>
  <si>
    <t>London Hydro Inc.2425</t>
  </si>
  <si>
    <t>Milton Hydro Distribution Inc.1508</t>
  </si>
  <si>
    <t>Milton Hydro Distribution Inc.1518</t>
  </si>
  <si>
    <t>Milton Hydro Distribution Inc.1522</t>
  </si>
  <si>
    <t>Milton Hydro Distribution Inc.1525</t>
  </si>
  <si>
    <t>Milton Hydro Distribution Inc.1531</t>
  </si>
  <si>
    <t>Milton Hydro Distribution Inc.1532</t>
  </si>
  <si>
    <t>Milton Hydro Distribution Inc.1533</t>
  </si>
  <si>
    <t>Milton Hydro Distribution Inc.1534</t>
  </si>
  <si>
    <t>Milton Hydro Distribution Inc.1535</t>
  </si>
  <si>
    <t>Milton Hydro Distribution Inc.1536</t>
  </si>
  <si>
    <t>Milton Hydro Distribution Inc.1548</t>
  </si>
  <si>
    <t>Milton Hydro Distribution Inc.1550</t>
  </si>
  <si>
    <t>Milton Hydro Distribution Inc.1551</t>
  </si>
  <si>
    <t>Milton Hydro Distribution Inc.1555</t>
  </si>
  <si>
    <t>Milton Hydro Distribution Inc.1557</t>
  </si>
  <si>
    <t>Milton Hydro Distribution Inc.1568</t>
  </si>
  <si>
    <t>Milton Hydro Distribution Inc.1572</t>
  </si>
  <si>
    <t>Milton Hydro Distribution Inc.1574</t>
  </si>
  <si>
    <t>Milton Hydro Distribution Inc.1575</t>
  </si>
  <si>
    <t>Milton Hydro Distribution Inc.1576</t>
  </si>
  <si>
    <t>Milton Hydro Distribution Inc.1580</t>
  </si>
  <si>
    <t>Milton Hydro Distribution Inc.1582</t>
  </si>
  <si>
    <t>Milton Hydro Distribution Inc.1584</t>
  </si>
  <si>
    <t>Milton Hydro Distribution Inc.1586</t>
  </si>
  <si>
    <t>Milton Hydro Distribution Inc.1588</t>
  </si>
  <si>
    <t>Milton Hydro Distribution Inc.1589</t>
  </si>
  <si>
    <t>Milton Hydro Distribution Inc.1592</t>
  </si>
  <si>
    <t>Milton Hydro Distribution Inc.1595</t>
  </si>
  <si>
    <t>Milton Hydro Distribution Inc.1595_(2008)</t>
  </si>
  <si>
    <t>Milton Hydro Distribution Inc.1595_(2009)</t>
  </si>
  <si>
    <t>Milton Hydro Distribution Inc.1595_(2010)</t>
  </si>
  <si>
    <t>Milton Hydro Distribution Inc.1595_(2011)</t>
  </si>
  <si>
    <t>Milton Hydro Distribution Inc.1595_(2012)</t>
  </si>
  <si>
    <t>Milton Hydro Distribution Inc.1595_(2013)</t>
  </si>
  <si>
    <t>Milton Hydro Distribution Inc.1595_(2014)</t>
  </si>
  <si>
    <t>Milton Hydro Distribution Inc.1595_(2015)</t>
  </si>
  <si>
    <t>Milton Hydro Distribution Inc.1595_(2016)</t>
  </si>
  <si>
    <t>Milton Hydro Distribution Inc.1595_(2017)</t>
  </si>
  <si>
    <t>Milton Hydro Distribution Inc.1595_ControlAccount</t>
  </si>
  <si>
    <t>Milton Hydro Distribution Inc.2425</t>
  </si>
  <si>
    <t>Newmarket - Tay Power Distribution LTD.</t>
  </si>
  <si>
    <t>Newmarket-Tay Power Distribution Ltd.1508</t>
  </si>
  <si>
    <t>Newmarket-Tay Power Distribution Ltd.1518</t>
  </si>
  <si>
    <t>Newmarket-Tay Power Distribution Ltd.1522</t>
  </si>
  <si>
    <t>Newmarket-Tay Power Distribution Ltd.1525</t>
  </si>
  <si>
    <t>Newmarket-Tay Power Distribution Ltd.1531</t>
  </si>
  <si>
    <t>Newmarket-Tay Power Distribution Ltd.1532</t>
  </si>
  <si>
    <t>Newmarket-Tay Power Distribution Ltd.1533</t>
  </si>
  <si>
    <t>Newmarket-Tay Power Distribution Ltd.1534</t>
  </si>
  <si>
    <t>Newmarket-Tay Power Distribution Ltd.1535</t>
  </si>
  <si>
    <t>Newmarket-Tay Power Distribution Ltd.1536</t>
  </si>
  <si>
    <t>Newmarket-Tay Power Distribution Ltd.1548</t>
  </si>
  <si>
    <t>Newmarket-Tay Power Distribution Ltd.1550</t>
  </si>
  <si>
    <t>Newmarket-Tay Power Distribution Ltd.1551</t>
  </si>
  <si>
    <t>Newmarket-Tay Power Distribution Ltd.1555</t>
  </si>
  <si>
    <t>Newmarket-Tay Power Distribution Ltd.1557</t>
  </si>
  <si>
    <t>Newmarket-Tay Power Distribution Ltd.1568</t>
  </si>
  <si>
    <t>Newmarket-Tay Power Distribution Ltd.1572</t>
  </si>
  <si>
    <t>Newmarket-Tay Power Distribution Ltd.1574</t>
  </si>
  <si>
    <t>Newmarket-Tay Power Distribution Ltd.1575</t>
  </si>
  <si>
    <t>Newmarket-Tay Power Distribution Ltd.1576</t>
  </si>
  <si>
    <t>Newmarket-Tay Power Distribution Ltd.1580</t>
  </si>
  <si>
    <t>Newmarket-Tay Power Distribution Ltd.1582</t>
  </si>
  <si>
    <t>Newmarket-Tay Power Distribution Ltd.1584</t>
  </si>
  <si>
    <t>Newmarket-Tay Power Distribution Ltd.1586</t>
  </si>
  <si>
    <t>Newmarket-Tay Power Distribution Ltd.1588</t>
  </si>
  <si>
    <t>Newmarket-Tay Power Distribution Ltd.1589</t>
  </si>
  <si>
    <t>Newmarket-Tay Power Distribution Ltd.1592</t>
  </si>
  <si>
    <t>Newmarket-Tay Power Distribution Ltd.1595</t>
  </si>
  <si>
    <t>Newmarket-Tay Power Distribution Ltd.1595_(2008)</t>
  </si>
  <si>
    <t>Newmarket-Tay Power Distribution Ltd.1595_(2009)</t>
  </si>
  <si>
    <t>Newmarket-Tay Power Distribution Ltd.1595_(2010)</t>
  </si>
  <si>
    <t>Newmarket-Tay Power Distribution Ltd.1595_(2011)</t>
  </si>
  <si>
    <t>Newmarket-Tay Power Distribution Ltd.1595_(2012)</t>
  </si>
  <si>
    <t>Newmarket-Tay Power Distribution Ltd.1595_(2013)</t>
  </si>
  <si>
    <t>Newmarket-Tay Power Distribution Ltd.1595_(2014)</t>
  </si>
  <si>
    <t>Newmarket-Tay Power Distribution Ltd.1595_(2015)</t>
  </si>
  <si>
    <t>Newmarket-Tay Power Distribution Ltd.1595_(2016)</t>
  </si>
  <si>
    <t>Newmarket-Tay Power Distribution Ltd.1595_(2017)</t>
  </si>
  <si>
    <t>Newmarket-Tay Power Distribution Ltd.1595_ControlAccount</t>
  </si>
  <si>
    <t>Newmarket-Tay Power Distribution Ltd.2425</t>
  </si>
  <si>
    <t>Niagara Peninsula Energy Inc.1508</t>
  </si>
  <si>
    <t>Niagara Peninsula Energy Inc.1518</t>
  </si>
  <si>
    <t>Niagara Peninsula Energy Inc.1522</t>
  </si>
  <si>
    <t>Niagara Peninsula Energy Inc.1525</t>
  </si>
  <si>
    <t>Niagara Peninsula Energy Inc.1531</t>
  </si>
  <si>
    <t>Niagara Peninsula Energy Inc.1532</t>
  </si>
  <si>
    <t>Niagara Peninsula Energy Inc.1533</t>
  </si>
  <si>
    <t>Niagara Peninsula Energy Inc.1534</t>
  </si>
  <si>
    <t>Niagara Peninsula Energy Inc.1535</t>
  </si>
  <si>
    <t>Niagara Peninsula Energy Inc.1536</t>
  </si>
  <si>
    <t>Niagara Peninsula Energy Inc.1548</t>
  </si>
  <si>
    <t>Niagara Peninsula Energy Inc.1550</t>
  </si>
  <si>
    <t>Niagara Peninsula Energy Inc.1551</t>
  </si>
  <si>
    <t>Niagara Peninsula Energy Inc.1555</t>
  </si>
  <si>
    <t>Niagara Peninsula Energy Inc.1557</t>
  </si>
  <si>
    <t>Niagara Peninsula Energy Inc.1568</t>
  </si>
  <si>
    <t>Niagara Peninsula Energy Inc.1572</t>
  </si>
  <si>
    <t>Niagara Peninsula Energy Inc.1574</t>
  </si>
  <si>
    <t>Niagara Peninsula Energy Inc.1575</t>
  </si>
  <si>
    <t>Niagara Peninsula Energy Inc.1576</t>
  </si>
  <si>
    <t>Niagara Peninsula Energy Inc.1580</t>
  </si>
  <si>
    <t>Niagara Peninsula Energy Inc.1582</t>
  </si>
  <si>
    <t>Niagara Peninsula Energy Inc.1584</t>
  </si>
  <si>
    <t>Niagara Peninsula Energy Inc.1586</t>
  </si>
  <si>
    <t>Niagara Peninsula Energy Inc.1588</t>
  </si>
  <si>
    <t>Niagara Peninsula Energy Inc.1589</t>
  </si>
  <si>
    <t>Niagara Peninsula Energy Inc.1592</t>
  </si>
  <si>
    <t>Niagara Peninsula Energy Inc.1595</t>
  </si>
  <si>
    <t>Niagara Peninsula Energy Inc.1595_(2008)</t>
  </si>
  <si>
    <t>Niagara Peninsula Energy Inc.1595_(2009)</t>
  </si>
  <si>
    <t>Niagara Peninsula Energy Inc.1595_(2010)</t>
  </si>
  <si>
    <t>Niagara Peninsula Energy Inc.1595_(2011)</t>
  </si>
  <si>
    <t>Niagara Peninsula Energy Inc.1595_(2012)</t>
  </si>
  <si>
    <t>Niagara Peninsula Energy Inc.1595_(2013)</t>
  </si>
  <si>
    <t>Niagara Peninsula Energy Inc.1595_(2014)</t>
  </si>
  <si>
    <t>Niagara Peninsula Energy Inc.1595_(2015)</t>
  </si>
  <si>
    <t>Niagara Peninsula Energy Inc.1595_(2016)</t>
  </si>
  <si>
    <t>Niagara Peninsula Energy Inc.1595_(2017)</t>
  </si>
  <si>
    <t>Niagara Peninsula Energy Inc.1595_ControlAccount</t>
  </si>
  <si>
    <t>Niagara Peninsula Energy Inc.2425</t>
  </si>
  <si>
    <t>Niagara-on-the-Lake Hydro Inc.1508</t>
  </si>
  <si>
    <t>Niagara-on-the-Lake Hydro Inc.1518</t>
  </si>
  <si>
    <t>Niagara-on-the-Lake Hydro Inc.1522</t>
  </si>
  <si>
    <t>Niagara-on-the-Lake Hydro Inc.1525</t>
  </si>
  <si>
    <t>Niagara-on-the-Lake Hydro Inc.1531</t>
  </si>
  <si>
    <t>Niagara-on-the-Lake Hydro Inc.1532</t>
  </si>
  <si>
    <t>Niagara-on-the-Lake Hydro Inc.1533</t>
  </si>
  <si>
    <t>Niagara-on-the-Lake Hydro Inc.1534</t>
  </si>
  <si>
    <t>Niagara-on-the-Lake Hydro Inc.1535</t>
  </si>
  <si>
    <t>Niagara-on-the-Lake Hydro Inc.1536</t>
  </si>
  <si>
    <t>Niagara-on-the-Lake Hydro Inc.1548</t>
  </si>
  <si>
    <t>Niagara-on-the-Lake Hydro Inc.1550</t>
  </si>
  <si>
    <t>Niagara-on-the-Lake Hydro Inc.1551</t>
  </si>
  <si>
    <t>Niagara-on-the-Lake Hydro Inc.1555</t>
  </si>
  <si>
    <t>Niagara-on-the-Lake Hydro Inc.1557</t>
  </si>
  <si>
    <t>Niagara-on-the-Lake Hydro Inc.1568</t>
  </si>
  <si>
    <t>Niagara-on-the-Lake Hydro Inc.1572</t>
  </si>
  <si>
    <t>Niagara-on-the-Lake Hydro Inc.1574</t>
  </si>
  <si>
    <t>Niagara-on-the-Lake Hydro Inc.1575</t>
  </si>
  <si>
    <t>Niagara-on-the-Lake Hydro Inc.1576</t>
  </si>
  <si>
    <t>Niagara-on-the-Lake Hydro Inc.1580</t>
  </si>
  <si>
    <t>Niagara-on-the-Lake Hydro Inc.1582</t>
  </si>
  <si>
    <t>Niagara-on-the-Lake Hydro Inc.1584</t>
  </si>
  <si>
    <t>Niagara-on-the-Lake Hydro Inc.1586</t>
  </si>
  <si>
    <t>Niagara-on-the-Lake Hydro Inc.1588</t>
  </si>
  <si>
    <t>Niagara-on-the-Lake Hydro Inc.1589</t>
  </si>
  <si>
    <t>Niagara-on-the-Lake Hydro Inc.1592</t>
  </si>
  <si>
    <t>Niagara-on-the-Lake Hydro Inc.1595</t>
  </si>
  <si>
    <t>Niagara-on-the-Lake Hydro Inc.1595_(2008)</t>
  </si>
  <si>
    <t>Niagara-on-the-Lake Hydro Inc.1595_(2009)</t>
  </si>
  <si>
    <t>Niagara-on-the-Lake Hydro Inc.1595_(2010)</t>
  </si>
  <si>
    <t>Niagara-on-the-Lake Hydro Inc.1595_(2011)</t>
  </si>
  <si>
    <t>Niagara-on-the-Lake Hydro Inc.1595_(2012)</t>
  </si>
  <si>
    <t>Niagara-on-the-Lake Hydro Inc.1595_(2013)</t>
  </si>
  <si>
    <t>Niagara-on-the-Lake Hydro Inc.1595_(2014)</t>
  </si>
  <si>
    <t>Niagara-on-the-Lake Hydro Inc.1595_(2015)</t>
  </si>
  <si>
    <t>Niagara-on-the-Lake Hydro Inc.1595_(2016)</t>
  </si>
  <si>
    <t>Niagara-on-the-Lake Hydro Inc.1595_(2017)</t>
  </si>
  <si>
    <t>Niagara-on-the-Lake Hydro Inc.1595_ControlAccount</t>
  </si>
  <si>
    <t>Niagara-on-the-Lake Hydro Inc.2425</t>
  </si>
  <si>
    <t>North Bay Hydro Distribution Limited1508</t>
  </si>
  <si>
    <t>North Bay Hydro Distribution Limited1518</t>
  </si>
  <si>
    <t>North Bay Hydro Distribution Limited1522</t>
  </si>
  <si>
    <t>North Bay Hydro Distribution Limited1525</t>
  </si>
  <si>
    <t>North Bay Hydro Distribution Limited1531</t>
  </si>
  <si>
    <t>North Bay Hydro Distribution Limited1532</t>
  </si>
  <si>
    <t>North Bay Hydro Distribution Limited1533</t>
  </si>
  <si>
    <t>North Bay Hydro Distribution Limited1534</t>
  </si>
  <si>
    <t>North Bay Hydro Distribution Limited1535</t>
  </si>
  <si>
    <t>North Bay Hydro Distribution Limited1536</t>
  </si>
  <si>
    <t>North Bay Hydro Distribution Limited1548</t>
  </si>
  <si>
    <t>North Bay Hydro Distribution Limited1550</t>
  </si>
  <si>
    <t>North Bay Hydro Distribution Limited1551</t>
  </si>
  <si>
    <t>North Bay Hydro Distribution Limited1555</t>
  </si>
  <si>
    <t>North Bay Hydro Distribution Limited1557</t>
  </si>
  <si>
    <t>North Bay Hydro Distribution Limited1568</t>
  </si>
  <si>
    <t>North Bay Hydro Distribution Limited1572</t>
  </si>
  <si>
    <t>North Bay Hydro Distribution Limited1574</t>
  </si>
  <si>
    <t>North Bay Hydro Distribution Limited1575</t>
  </si>
  <si>
    <t>North Bay Hydro Distribution Limited1576</t>
  </si>
  <si>
    <t>North Bay Hydro Distribution Limited1580</t>
  </si>
  <si>
    <t>North Bay Hydro Distribution Limited1582</t>
  </si>
  <si>
    <t>North Bay Hydro Distribution Limited1584</t>
  </si>
  <si>
    <t>North Bay Hydro Distribution Limited1586</t>
  </si>
  <si>
    <t>North Bay Hydro Distribution Limited1588</t>
  </si>
  <si>
    <t>North Bay Hydro Distribution Limited1589</t>
  </si>
  <si>
    <t>North Bay Hydro Distribution Limited1592</t>
  </si>
  <si>
    <t>North Bay Hydro Distribution Limited1595</t>
  </si>
  <si>
    <t>North Bay Hydro Distribution Limited1595_(2008)</t>
  </si>
  <si>
    <t>North Bay Hydro Distribution Limited1595_(2009)</t>
  </si>
  <si>
    <t>North Bay Hydro Distribution Limited1595_(2010)</t>
  </si>
  <si>
    <t>North Bay Hydro Distribution Limited1595_(2011)</t>
  </si>
  <si>
    <t>North Bay Hydro Distribution Limited1595_(2012)</t>
  </si>
  <si>
    <t>North Bay Hydro Distribution Limited1595_(2013)</t>
  </si>
  <si>
    <t>North Bay Hydro Distribution Limited1595_(2014)</t>
  </si>
  <si>
    <t>North Bay Hydro Distribution Limited1595_(2015)</t>
  </si>
  <si>
    <t>North Bay Hydro Distribution Limited1595_(2016)</t>
  </si>
  <si>
    <t>North Bay Hydro Distribution Limited1595_(2017)</t>
  </si>
  <si>
    <t>North Bay Hydro Distribution Limited1595_ControlAccount</t>
  </si>
  <si>
    <t>North Bay Hydro Distribution Limited2425</t>
  </si>
  <si>
    <t>Northern Ontario Wires Inc.1508</t>
  </si>
  <si>
    <t>Northern Ontario Wires Inc.1518</t>
  </si>
  <si>
    <t>Northern Ontario Wires Inc.1522</t>
  </si>
  <si>
    <t>Northern Ontario Wires Inc.1525</t>
  </si>
  <si>
    <t>Northern Ontario Wires Inc.1531</t>
  </si>
  <si>
    <t>Northern Ontario Wires Inc.1532</t>
  </si>
  <si>
    <t>Northern Ontario Wires Inc.1533</t>
  </si>
  <si>
    <t>Northern Ontario Wires Inc.1534</t>
  </si>
  <si>
    <t>Northern Ontario Wires Inc.1535</t>
  </si>
  <si>
    <t>Northern Ontario Wires Inc.1536</t>
  </si>
  <si>
    <t>Northern Ontario Wires Inc.1548</t>
  </si>
  <si>
    <t>Northern Ontario Wires Inc.1550</t>
  </si>
  <si>
    <t>Northern Ontario Wires Inc.1551</t>
  </si>
  <si>
    <t>Northern Ontario Wires Inc.1555</t>
  </si>
  <si>
    <t>Northern Ontario Wires Inc.1557</t>
  </si>
  <si>
    <t>Northern Ontario Wires Inc.1568</t>
  </si>
  <si>
    <t>Northern Ontario Wires Inc.1572</t>
  </si>
  <si>
    <t>Northern Ontario Wires Inc.1574</t>
  </si>
  <si>
    <t>Northern Ontario Wires Inc.1575</t>
  </si>
  <si>
    <t>Northern Ontario Wires Inc.1576</t>
  </si>
  <si>
    <t>Northern Ontario Wires Inc.1580</t>
  </si>
  <si>
    <t>Northern Ontario Wires Inc.1582</t>
  </si>
  <si>
    <t>Northern Ontario Wires Inc.1584</t>
  </si>
  <si>
    <t>Northern Ontario Wires Inc.1586</t>
  </si>
  <si>
    <t>Northern Ontario Wires Inc.1588</t>
  </si>
  <si>
    <t>Northern Ontario Wires Inc.1589</t>
  </si>
  <si>
    <t>Northern Ontario Wires Inc.1592</t>
  </si>
  <si>
    <t>Northern Ontario Wires Inc.1595</t>
  </si>
  <si>
    <t>Northern Ontario Wires Inc.1595_(2008)</t>
  </si>
  <si>
    <t>Northern Ontario Wires Inc.1595_(2009)</t>
  </si>
  <si>
    <t>Northern Ontario Wires Inc.1595_(2010)</t>
  </si>
  <si>
    <t>Northern Ontario Wires Inc.1595_(2011)</t>
  </si>
  <si>
    <t>Northern Ontario Wires Inc.1595_(2012)</t>
  </si>
  <si>
    <t>Northern Ontario Wires Inc.1595_(2013)</t>
  </si>
  <si>
    <t>Northern Ontario Wires Inc.1595_(2014)</t>
  </si>
  <si>
    <t>Northern Ontario Wires Inc.1595_(2015)</t>
  </si>
  <si>
    <t>Northern Ontario Wires Inc.1595_(2016)</t>
  </si>
  <si>
    <t>Northern Ontario Wires Inc.1595_(2017)</t>
  </si>
  <si>
    <t>Northern Ontario Wires Inc.1595_ControlAccount</t>
  </si>
  <si>
    <t>Northern Ontario Wires Inc.2425</t>
  </si>
  <si>
    <t>Oakville Hydro Electricity Distribution Inc.1508</t>
  </si>
  <si>
    <t>Oakville Hydro Electricity Distribution Inc.1518</t>
  </si>
  <si>
    <t>Oakville Hydro Electricity Distribution Inc.1522</t>
  </si>
  <si>
    <t>Oakville Hydro Electricity Distribution Inc.1525</t>
  </si>
  <si>
    <t>Oakville Hydro Electricity Distribution Inc.1531</t>
  </si>
  <si>
    <t>Oakville Hydro Electricity Distribution Inc.1532</t>
  </si>
  <si>
    <t>Oakville Hydro Electricity Distribution Inc.1533</t>
  </si>
  <si>
    <t>Oakville Hydro Electricity Distribution Inc.1534</t>
  </si>
  <si>
    <t>Oakville Hydro Electricity Distribution Inc.1535</t>
  </si>
  <si>
    <t>Oakville Hydro Electricity Distribution Inc.1536</t>
  </si>
  <si>
    <t>Oakville Hydro Electricity Distribution Inc.1548</t>
  </si>
  <si>
    <t>Oakville Hydro Electricity Distribution Inc.1550</t>
  </si>
  <si>
    <t>Oakville Hydro Electricity Distribution Inc.1551</t>
  </si>
  <si>
    <t>Oakville Hydro Electricity Distribution Inc.1555</t>
  </si>
  <si>
    <t>Oakville Hydro Electricity Distribution Inc.1557</t>
  </si>
  <si>
    <t>Oakville Hydro Electricity Distribution Inc.1568</t>
  </si>
  <si>
    <t>Oakville Hydro Electricity Distribution Inc.1572</t>
  </si>
  <si>
    <t>Oakville Hydro Electricity Distribution Inc.1574</t>
  </si>
  <si>
    <t>Oakville Hydro Electricity Distribution Inc.1575</t>
  </si>
  <si>
    <t>Oakville Hydro Electricity Distribution Inc.1576</t>
  </si>
  <si>
    <t>Oakville Hydro Electricity Distribution Inc.1580</t>
  </si>
  <si>
    <t>Oakville Hydro Electricity Distribution Inc.1582</t>
  </si>
  <si>
    <t>Oakville Hydro Electricity Distribution Inc.1584</t>
  </si>
  <si>
    <t>Oakville Hydro Electricity Distribution Inc.1586</t>
  </si>
  <si>
    <t>Oakville Hydro Electricity Distribution Inc.1588</t>
  </si>
  <si>
    <t>Oakville Hydro Electricity Distribution Inc.1589</t>
  </si>
  <si>
    <t>Oakville Hydro Electricity Distribution Inc.1592</t>
  </si>
  <si>
    <t>Oakville Hydro Electricity Distribution Inc.1595</t>
  </si>
  <si>
    <t>Oakville Hydro Electricity Distribution Inc.1595_(2008)</t>
  </si>
  <si>
    <t>Oakville Hydro Electricity Distribution Inc.1595_(2009)</t>
  </si>
  <si>
    <t>Oakville Hydro Electricity Distribution Inc.1595_(2010)</t>
  </si>
  <si>
    <t>Oakville Hydro Electricity Distribution Inc.1595_(2011)</t>
  </si>
  <si>
    <t>Oakville Hydro Electricity Distribution Inc.1595_(2012)</t>
  </si>
  <si>
    <t>Oakville Hydro Electricity Distribution Inc.1595_(2013)</t>
  </si>
  <si>
    <t>Oakville Hydro Electricity Distribution Inc.1595_(2014)</t>
  </si>
  <si>
    <t>Oakville Hydro Electricity Distribution Inc.1595_(2015)</t>
  </si>
  <si>
    <t>Oakville Hydro Electricity Distribution Inc.1595_(2016)</t>
  </si>
  <si>
    <t>Oakville Hydro Electricity Distribution Inc.1595_(2017)</t>
  </si>
  <si>
    <t>Oakville Hydro Electricity Distribution Inc.1595_ControlAccount</t>
  </si>
  <si>
    <t>Oakville Hydro Electricity Distribution Inc.2425</t>
  </si>
  <si>
    <t>Orangeville Hydro Limited1508</t>
  </si>
  <si>
    <t>Orangeville Hydro Limited1518</t>
  </si>
  <si>
    <t>Orangeville Hydro Limited1522</t>
  </si>
  <si>
    <t>Orangeville Hydro Limited1525</t>
  </si>
  <si>
    <t>Orangeville Hydro Limited1531</t>
  </si>
  <si>
    <t>Orangeville Hydro Limited1532</t>
  </si>
  <si>
    <t>Orangeville Hydro Limited1533</t>
  </si>
  <si>
    <t>Orangeville Hydro Limited1534</t>
  </si>
  <si>
    <t>Orangeville Hydro Limited1535</t>
  </si>
  <si>
    <t>Orangeville Hydro Limited1536</t>
  </si>
  <si>
    <t>Orangeville Hydro Limited1548</t>
  </si>
  <si>
    <t>Orangeville Hydro Limited1550</t>
  </si>
  <si>
    <t>Orangeville Hydro Limited1551</t>
  </si>
  <si>
    <t>Orangeville Hydro Limited1555</t>
  </si>
  <si>
    <t>Orangeville Hydro Limited1557</t>
  </si>
  <si>
    <t>Orangeville Hydro Limited1568</t>
  </si>
  <si>
    <t>Orangeville Hydro Limited1572</t>
  </si>
  <si>
    <t>Orangeville Hydro Limited1574</t>
  </si>
  <si>
    <t>Orangeville Hydro Limited1575</t>
  </si>
  <si>
    <t>Orangeville Hydro Limited1576</t>
  </si>
  <si>
    <t>Orangeville Hydro Limited1580</t>
  </si>
  <si>
    <t>Orangeville Hydro Limited1582</t>
  </si>
  <si>
    <t>Orangeville Hydro Limited1584</t>
  </si>
  <si>
    <t>Orangeville Hydro Limited1586</t>
  </si>
  <si>
    <t>Orangeville Hydro Limited1588</t>
  </si>
  <si>
    <t>Orangeville Hydro Limited1589</t>
  </si>
  <si>
    <t>Orangeville Hydro Limited1592</t>
  </si>
  <si>
    <t>Orangeville Hydro Limited1595</t>
  </si>
  <si>
    <t>Orangeville Hydro Limited1595_(2008)</t>
  </si>
  <si>
    <t>Orangeville Hydro Limited1595_(2009)</t>
  </si>
  <si>
    <t>Orangeville Hydro Limited1595_(2010)</t>
  </si>
  <si>
    <t>Orangeville Hydro Limited1595_(2011)</t>
  </si>
  <si>
    <t>Orangeville Hydro Limited1595_(2012)</t>
  </si>
  <si>
    <t>Orangeville Hydro Limited1595_(2013)</t>
  </si>
  <si>
    <t>Orangeville Hydro Limited1595_(2014)</t>
  </si>
  <si>
    <t>Orangeville Hydro Limited1595_(2015)</t>
  </si>
  <si>
    <t>Orangeville Hydro Limited1595_(2016)</t>
  </si>
  <si>
    <t>Orangeville Hydro Limited1595_(2017)</t>
  </si>
  <si>
    <t>Orangeville Hydro Limited1595_ControlAccount</t>
  </si>
  <si>
    <t>Orangeville Hydro Limited2425</t>
  </si>
  <si>
    <t>Orillia Power Distribution Corporation1508</t>
  </si>
  <si>
    <t>Orillia Power Distribution Corporation1518</t>
  </si>
  <si>
    <t>Orillia Power Distribution Corporation1522</t>
  </si>
  <si>
    <t>Orillia Power Distribution Corporation1525</t>
  </si>
  <si>
    <t>Orillia Power Distribution Corporation1531</t>
  </si>
  <si>
    <t>Orillia Power Distribution Corporation1532</t>
  </si>
  <si>
    <t>Orillia Power Distribution Corporation1533</t>
  </si>
  <si>
    <t>Orillia Power Distribution Corporation1534</t>
  </si>
  <si>
    <t>Orillia Power Distribution Corporation1535</t>
  </si>
  <si>
    <t>Orillia Power Distribution Corporation1536</t>
  </si>
  <si>
    <t>Orillia Power Distribution Corporation1548</t>
  </si>
  <si>
    <t>Orillia Power Distribution Corporation1550</t>
  </si>
  <si>
    <t>Orillia Power Distribution Corporation1551</t>
  </si>
  <si>
    <t>Orillia Power Distribution Corporation1555</t>
  </si>
  <si>
    <t>Orillia Power Distribution Corporation1557</t>
  </si>
  <si>
    <t>Orillia Power Distribution Corporation1568</t>
  </si>
  <si>
    <t>Orillia Power Distribution Corporation1572</t>
  </si>
  <si>
    <t>Orillia Power Distribution Corporation1574</t>
  </si>
  <si>
    <t>Orillia Power Distribution Corporation1575</t>
  </si>
  <si>
    <t>Orillia Power Distribution Corporation1576</t>
  </si>
  <si>
    <t>Orillia Power Distribution Corporation1580</t>
  </si>
  <si>
    <t>Orillia Power Distribution Corporation1582</t>
  </si>
  <si>
    <t>Orillia Power Distribution Corporation1584</t>
  </si>
  <si>
    <t>Orillia Power Distribution Corporation1586</t>
  </si>
  <si>
    <t>Orillia Power Distribution Corporation1588</t>
  </si>
  <si>
    <t>Orillia Power Distribution Corporation1589</t>
  </si>
  <si>
    <t>Orillia Power Distribution Corporation1592</t>
  </si>
  <si>
    <t>Orillia Power Distribution Corporation1595</t>
  </si>
  <si>
    <t>Orillia Power Distribution Corporation1595_(2008)</t>
  </si>
  <si>
    <t>Orillia Power Distribution Corporation1595_(2009)</t>
  </si>
  <si>
    <t>Orillia Power Distribution Corporation1595_(2010)</t>
  </si>
  <si>
    <t>Orillia Power Distribution Corporation1595_(2011)</t>
  </si>
  <si>
    <t>Orillia Power Distribution Corporation1595_(2012)</t>
  </si>
  <si>
    <t>Orillia Power Distribution Corporation1595_(2013)</t>
  </si>
  <si>
    <t>Orillia Power Distribution Corporation1595_(2014)</t>
  </si>
  <si>
    <t>Orillia Power Distribution Corporation1595_(2015)</t>
  </si>
  <si>
    <t>Orillia Power Distribution Corporation1595_(2016)</t>
  </si>
  <si>
    <t>Orillia Power Distribution Corporation1595_(2017)</t>
  </si>
  <si>
    <t>Orillia Power Distribution Corporation1595_ControlAccount</t>
  </si>
  <si>
    <t>Orillia Power Distribution Corporation2425</t>
  </si>
  <si>
    <t>Oshawa PUC Networks Inc.1508</t>
  </si>
  <si>
    <t>Oshawa PUC Networks Inc.1518</t>
  </si>
  <si>
    <t>Oshawa PUC Networks Inc.1522</t>
  </si>
  <si>
    <t>Oshawa PUC Networks Inc.1525</t>
  </si>
  <si>
    <t>Oshawa PUC Networks Inc.1531</t>
  </si>
  <si>
    <t>Oshawa PUC Networks Inc.1532</t>
  </si>
  <si>
    <t>Oshawa PUC Networks Inc.1533</t>
  </si>
  <si>
    <t>Oshawa PUC Networks Inc.1534</t>
  </si>
  <si>
    <t>Oshawa PUC Networks Inc.1535</t>
  </si>
  <si>
    <t>Oshawa PUC Networks Inc.1536</t>
  </si>
  <si>
    <t>Oshawa PUC Networks Inc.1548</t>
  </si>
  <si>
    <t>Oshawa PUC Networks Inc.1550</t>
  </si>
  <si>
    <t>Oshawa PUC Networks Inc.1551</t>
  </si>
  <si>
    <t>Oshawa PUC Networks Inc.1555</t>
  </si>
  <si>
    <t>Oshawa PUC Networks Inc.1557</t>
  </si>
  <si>
    <t>Oshawa PUC Networks Inc.1568</t>
  </si>
  <si>
    <t>Oshawa PUC Networks Inc.1572</t>
  </si>
  <si>
    <t>Oshawa PUC Networks Inc.1574</t>
  </si>
  <si>
    <t>Oshawa PUC Networks Inc.1575</t>
  </si>
  <si>
    <t>Oshawa PUC Networks Inc.1576</t>
  </si>
  <si>
    <t>Oshawa PUC Networks Inc.1580</t>
  </si>
  <si>
    <t>Oshawa PUC Networks Inc.1582</t>
  </si>
  <si>
    <t>Oshawa PUC Networks Inc.1584</t>
  </si>
  <si>
    <t>Oshawa PUC Networks Inc.1586</t>
  </si>
  <si>
    <t>Oshawa PUC Networks Inc.1588</t>
  </si>
  <si>
    <t>Oshawa PUC Networks Inc.1589</t>
  </si>
  <si>
    <t>Oshawa PUC Networks Inc.1592</t>
  </si>
  <si>
    <t>Oshawa PUC Networks Inc.1595</t>
  </si>
  <si>
    <t>Oshawa PUC Networks Inc.1595_(2008)</t>
  </si>
  <si>
    <t>Oshawa PUC Networks Inc.1595_(2009)</t>
  </si>
  <si>
    <t>Oshawa PUC Networks Inc.1595_(2010)</t>
  </si>
  <si>
    <t>Oshawa PUC Networks Inc.1595_(2011)</t>
  </si>
  <si>
    <t>Oshawa PUC Networks Inc.1595_(2012)</t>
  </si>
  <si>
    <t>Oshawa PUC Networks Inc.1595_(2013)</t>
  </si>
  <si>
    <t>Oshawa PUC Networks Inc.1595_(2014)</t>
  </si>
  <si>
    <t>Oshawa PUC Networks Inc.1595_(2015)</t>
  </si>
  <si>
    <t>Oshawa PUC Networks Inc.1595_(2016)</t>
  </si>
  <si>
    <t>Oshawa PUC Networks Inc.1595_(2017)</t>
  </si>
  <si>
    <t>Oshawa PUC Networks Inc.1595_ControlAccount</t>
  </si>
  <si>
    <t>Oshawa PUC Networks Inc.2425</t>
  </si>
  <si>
    <t>Ottawa River Power Corporation1508</t>
  </si>
  <si>
    <t>Ottawa River Power Corporation1518</t>
  </si>
  <si>
    <t>Ottawa River Power Corporation1522</t>
  </si>
  <si>
    <t>Ottawa River Power Corporation1525</t>
  </si>
  <si>
    <t>Ottawa River Power Corporation1531</t>
  </si>
  <si>
    <t>Ottawa River Power Corporation1532</t>
  </si>
  <si>
    <t>Ottawa River Power Corporation1533</t>
  </si>
  <si>
    <t>Ottawa River Power Corporation1534</t>
  </si>
  <si>
    <t>Ottawa River Power Corporation1535</t>
  </si>
  <si>
    <t>Ottawa River Power Corporation1536</t>
  </si>
  <si>
    <t>Ottawa River Power Corporation1548</t>
  </si>
  <si>
    <t>Ottawa River Power Corporation1550</t>
  </si>
  <si>
    <t>Ottawa River Power Corporation1551</t>
  </si>
  <si>
    <t>Ottawa River Power Corporation1555</t>
  </si>
  <si>
    <t>Ottawa River Power Corporation1557</t>
  </si>
  <si>
    <t>Ottawa River Power Corporation1568</t>
  </si>
  <si>
    <t>Ottawa River Power Corporation1572</t>
  </si>
  <si>
    <t>Ottawa River Power Corporation1574</t>
  </si>
  <si>
    <t>Ottawa River Power Corporation1575</t>
  </si>
  <si>
    <t>Ottawa River Power Corporation1576</t>
  </si>
  <si>
    <t>Ottawa River Power Corporation1580</t>
  </si>
  <si>
    <t>Ottawa River Power Corporation1582</t>
  </si>
  <si>
    <t>Ottawa River Power Corporation1584</t>
  </si>
  <si>
    <t>Ottawa River Power Corporation1586</t>
  </si>
  <si>
    <t>Ottawa River Power Corporation1588</t>
  </si>
  <si>
    <t>Ottawa River Power Corporation1589</t>
  </si>
  <si>
    <t>Ottawa River Power Corporation1592</t>
  </si>
  <si>
    <t>Ottawa River Power Corporation1595</t>
  </si>
  <si>
    <t>Ottawa River Power Corporation1595_(2008)</t>
  </si>
  <si>
    <t>Ottawa River Power Corporation1595_(2009)</t>
  </si>
  <si>
    <t>Ottawa River Power Corporation1595_(2010)</t>
  </si>
  <si>
    <t>Ottawa River Power Corporation1595_(2011)</t>
  </si>
  <si>
    <t>Ottawa River Power Corporation1595_(2012)</t>
  </si>
  <si>
    <t>Ottawa River Power Corporation1595_(2013)</t>
  </si>
  <si>
    <t>Ottawa River Power Corporation1595_(2014)</t>
  </si>
  <si>
    <t>Ottawa River Power Corporation1595_(2015)</t>
  </si>
  <si>
    <t>Ottawa River Power Corporation1595_(2016)</t>
  </si>
  <si>
    <t>Ottawa River Power Corporation1595_(2017)</t>
  </si>
  <si>
    <t>Ottawa River Power Corporation1595_ControlAccount</t>
  </si>
  <si>
    <t>Ottawa River Power Corporation2425</t>
  </si>
  <si>
    <t>PUC Distribution Inc.1508</t>
  </si>
  <si>
    <t>PUC Distribution Inc.1518</t>
  </si>
  <si>
    <t>PUC Distribution Inc.1522</t>
  </si>
  <si>
    <t>PUC Distribution Inc.1525</t>
  </si>
  <si>
    <t>PUC Distribution Inc.1531</t>
  </si>
  <si>
    <t>PUC Distribution Inc.1532</t>
  </si>
  <si>
    <t>PUC Distribution Inc.1533</t>
  </si>
  <si>
    <t>PUC Distribution Inc.1534</t>
  </si>
  <si>
    <t>PUC Distribution Inc.1535</t>
  </si>
  <si>
    <t>PUC Distribution Inc.1536</t>
  </si>
  <si>
    <t>PUC Distribution Inc.1548</t>
  </si>
  <si>
    <t>PUC Distribution Inc.1550</t>
  </si>
  <si>
    <t>PUC Distribution Inc.1551</t>
  </si>
  <si>
    <t>PUC Distribution Inc.1555</t>
  </si>
  <si>
    <t>PUC Distribution Inc.1557</t>
  </si>
  <si>
    <t>PUC Distribution Inc.1568</t>
  </si>
  <si>
    <t>PUC Distribution Inc.1572</t>
  </si>
  <si>
    <t>PUC Distribution Inc.1574</t>
  </si>
  <si>
    <t>PUC Distribution Inc.1575</t>
  </si>
  <si>
    <t>PUC Distribution Inc.1576</t>
  </si>
  <si>
    <t>PUC Distribution Inc.1580</t>
  </si>
  <si>
    <t>PUC Distribution Inc.1582</t>
  </si>
  <si>
    <t>PUC Distribution Inc.1584</t>
  </si>
  <si>
    <t>PUC Distribution Inc.1586</t>
  </si>
  <si>
    <t>PUC Distribution Inc.1588</t>
  </si>
  <si>
    <t>PUC Distribution Inc.1589</t>
  </si>
  <si>
    <t>PUC Distribution Inc.1592</t>
  </si>
  <si>
    <t>PUC Distribution Inc.1595</t>
  </si>
  <si>
    <t>PUC Distribution Inc.1595_(2008)</t>
  </si>
  <si>
    <t>PUC Distribution Inc.1595_(2009)</t>
  </si>
  <si>
    <t>PUC Distribution Inc.1595_(2010)</t>
  </si>
  <si>
    <t>PUC Distribution Inc.1595_(2011)</t>
  </si>
  <si>
    <t>PUC Distribution Inc.1595_(2012)</t>
  </si>
  <si>
    <t>PUC Distribution Inc.1595_(2013)</t>
  </si>
  <si>
    <t>PUC Distribution Inc.1595_(2014)</t>
  </si>
  <si>
    <t>PUC Distribution Inc.1595_(2015)</t>
  </si>
  <si>
    <t>PUC Distribution Inc.1595_(2016)</t>
  </si>
  <si>
    <t>PUC Distribution Inc.1595_(2017)</t>
  </si>
  <si>
    <t>PUC Distribution Inc.1595_ControlAccount</t>
  </si>
  <si>
    <t>PUC Distribution Inc.2425</t>
  </si>
  <si>
    <t>Renfrew Hydro Inc.1508</t>
  </si>
  <si>
    <t>Renfrew Hydro Inc.1518</t>
  </si>
  <si>
    <t>Renfrew Hydro Inc.1522</t>
  </si>
  <si>
    <t>Renfrew Hydro Inc.1525</t>
  </si>
  <si>
    <t>Renfrew Hydro Inc.1531</t>
  </si>
  <si>
    <t>Renfrew Hydro Inc.1532</t>
  </si>
  <si>
    <t>Renfrew Hydro Inc.1533</t>
  </si>
  <si>
    <t>Renfrew Hydro Inc.1534</t>
  </si>
  <si>
    <t>Renfrew Hydro Inc.1535</t>
  </si>
  <si>
    <t>Renfrew Hydro Inc.1536</t>
  </si>
  <si>
    <t>Renfrew Hydro Inc.1548</t>
  </si>
  <si>
    <t>Renfrew Hydro Inc.1550</t>
  </si>
  <si>
    <t>Renfrew Hydro Inc.1551</t>
  </si>
  <si>
    <t>Renfrew Hydro Inc.1555</t>
  </si>
  <si>
    <t>Renfrew Hydro Inc.1557</t>
  </si>
  <si>
    <t>Renfrew Hydro Inc.1568</t>
  </si>
  <si>
    <t>Renfrew Hydro Inc.1572</t>
  </si>
  <si>
    <t>Renfrew Hydro Inc.1574</t>
  </si>
  <si>
    <t>Renfrew Hydro Inc.1575</t>
  </si>
  <si>
    <t>Renfrew Hydro Inc.1576</t>
  </si>
  <si>
    <t>Renfrew Hydro Inc.1580</t>
  </si>
  <si>
    <t>Renfrew Hydro Inc.1582</t>
  </si>
  <si>
    <t>Renfrew Hydro Inc.1584</t>
  </si>
  <si>
    <t>Renfrew Hydro Inc.1586</t>
  </si>
  <si>
    <t>Renfrew Hydro Inc.1588</t>
  </si>
  <si>
    <t>Renfrew Hydro Inc.1589</t>
  </si>
  <si>
    <t>Renfrew Hydro Inc.1592</t>
  </si>
  <si>
    <t>Renfrew Hydro Inc.1595</t>
  </si>
  <si>
    <t>Renfrew Hydro Inc.1595_(2008)</t>
  </si>
  <si>
    <t>Renfrew Hydro Inc.1595_(2009)</t>
  </si>
  <si>
    <t>Renfrew Hydro Inc.1595_(2010)</t>
  </si>
  <si>
    <t>Renfrew Hydro Inc.1595_(2011)</t>
  </si>
  <si>
    <t>Renfrew Hydro Inc.1595_(2012)</t>
  </si>
  <si>
    <t>Renfrew Hydro Inc.1595_(2013)</t>
  </si>
  <si>
    <t>Renfrew Hydro Inc.1595_(2014)</t>
  </si>
  <si>
    <t>Renfrew Hydro Inc.1595_(2015)</t>
  </si>
  <si>
    <t>Renfrew Hydro Inc.1595_(2016)</t>
  </si>
  <si>
    <t>Renfrew Hydro Inc.1595_(2017)</t>
  </si>
  <si>
    <t>Renfrew Hydro Inc.1595_ControlAccount</t>
  </si>
  <si>
    <t>Renfrew Hydro Inc.2425</t>
  </si>
  <si>
    <t>Rideau St. Lawrence Distribution Inc.1508</t>
  </si>
  <si>
    <t>Rideau St. Lawrence Distribution Inc.1518</t>
  </si>
  <si>
    <t>Rideau St. Lawrence Distribution Inc.1522</t>
  </si>
  <si>
    <t>Rideau St. Lawrence Distribution Inc.1525</t>
  </si>
  <si>
    <t>Rideau St. Lawrence Distribution Inc.1531</t>
  </si>
  <si>
    <t>Rideau St. Lawrence Distribution Inc.1532</t>
  </si>
  <si>
    <t>Rideau St. Lawrence Distribution Inc.1533</t>
  </si>
  <si>
    <t>Rideau St. Lawrence Distribution Inc.1534</t>
  </si>
  <si>
    <t>Rideau St. Lawrence Distribution Inc.1535</t>
  </si>
  <si>
    <t>Rideau St. Lawrence Distribution Inc.1536</t>
  </si>
  <si>
    <t>Rideau St. Lawrence Distribution Inc.1548</t>
  </si>
  <si>
    <t>Rideau St. Lawrence Distribution Inc.1550</t>
  </si>
  <si>
    <t>Rideau St. Lawrence Distribution Inc.1551</t>
  </si>
  <si>
    <t>Rideau St. Lawrence Distribution Inc.1555</t>
  </si>
  <si>
    <t>Rideau St. Lawrence Distribution Inc.1557</t>
  </si>
  <si>
    <t>Rideau St. Lawrence Distribution Inc.1568</t>
  </si>
  <si>
    <t>Rideau St. Lawrence Distribution Inc.1572</t>
  </si>
  <si>
    <t>Rideau St. Lawrence Distribution Inc.1574</t>
  </si>
  <si>
    <t>Rideau St. Lawrence Distribution Inc.1575</t>
  </si>
  <si>
    <t>Rideau St. Lawrence Distribution Inc.1576</t>
  </si>
  <si>
    <t>Rideau St. Lawrence Distribution Inc.1580</t>
  </si>
  <si>
    <t>Rideau St. Lawrence Distribution Inc.1582</t>
  </si>
  <si>
    <t>Rideau St. Lawrence Distribution Inc.1584</t>
  </si>
  <si>
    <t>Rideau St. Lawrence Distribution Inc.1586</t>
  </si>
  <si>
    <t>Rideau St. Lawrence Distribution Inc.1588</t>
  </si>
  <si>
    <t>Rideau St. Lawrence Distribution Inc.1589</t>
  </si>
  <si>
    <t>Rideau St. Lawrence Distribution Inc.1592</t>
  </si>
  <si>
    <t>Rideau St. Lawrence Distribution Inc.1595</t>
  </si>
  <si>
    <t>Rideau St. Lawrence Distribution Inc.1595_(2008)</t>
  </si>
  <si>
    <t>Rideau St. Lawrence Distribution Inc.1595_(2009)</t>
  </si>
  <si>
    <t>Rideau St. Lawrence Distribution Inc.1595_(2010)</t>
  </si>
  <si>
    <t>Rideau St. Lawrence Distribution Inc.1595_(2011)</t>
  </si>
  <si>
    <t>Rideau St. Lawrence Distribution Inc.1595_(2012)</t>
  </si>
  <si>
    <t>Rideau St. Lawrence Distribution Inc.1595_(2013)</t>
  </si>
  <si>
    <t>Rideau St. Lawrence Distribution Inc.1595_(2014)</t>
  </si>
  <si>
    <t>Rideau St. Lawrence Distribution Inc.1595_(2015)</t>
  </si>
  <si>
    <t>Rideau St. Lawrence Distribution Inc.1595_(2016)</t>
  </si>
  <si>
    <t>Rideau St. Lawrence Distribution Inc.1595_(2017)</t>
  </si>
  <si>
    <t>Rideau St. Lawrence Distribution Inc.1595_ControlAccount</t>
  </si>
  <si>
    <t>Rideau St. Lawrence Distribution Inc.2425</t>
  </si>
  <si>
    <t>Sioux Lookout Hydro Inc.1508</t>
  </si>
  <si>
    <t>Sioux Lookout Hydro Inc.1518</t>
  </si>
  <si>
    <t>Sioux Lookout Hydro Inc.1522</t>
  </si>
  <si>
    <t>Sioux Lookout Hydro Inc.1525</t>
  </si>
  <si>
    <t>Sioux Lookout Hydro Inc.1531</t>
  </si>
  <si>
    <t>Sioux Lookout Hydro Inc.1532</t>
  </si>
  <si>
    <t>Sioux Lookout Hydro Inc.1533</t>
  </si>
  <si>
    <t>Sioux Lookout Hydro Inc.1534</t>
  </si>
  <si>
    <t>Sioux Lookout Hydro Inc.1535</t>
  </si>
  <si>
    <t>Sioux Lookout Hydro Inc.1536</t>
  </si>
  <si>
    <t>Sioux Lookout Hydro Inc.1548</t>
  </si>
  <si>
    <t>Sioux Lookout Hydro Inc.1550</t>
  </si>
  <si>
    <t>Sioux Lookout Hydro Inc.1551</t>
  </si>
  <si>
    <t>Sioux Lookout Hydro Inc.1555</t>
  </si>
  <si>
    <t>Sioux Lookout Hydro Inc.1557</t>
  </si>
  <si>
    <t>Sioux Lookout Hydro Inc.1568</t>
  </si>
  <si>
    <t>Sioux Lookout Hydro Inc.1572</t>
  </si>
  <si>
    <t>Sioux Lookout Hydro Inc.1574</t>
  </si>
  <si>
    <t>Sioux Lookout Hydro Inc.1575</t>
  </si>
  <si>
    <t>Sioux Lookout Hydro Inc.1576</t>
  </si>
  <si>
    <t>Sioux Lookout Hydro Inc.1580</t>
  </si>
  <si>
    <t>Sioux Lookout Hydro Inc.1582</t>
  </si>
  <si>
    <t>Sioux Lookout Hydro Inc.1584</t>
  </si>
  <si>
    <t>Sioux Lookout Hydro Inc.1586</t>
  </si>
  <si>
    <t>Sioux Lookout Hydro Inc.1588</t>
  </si>
  <si>
    <t>Sioux Lookout Hydro Inc.1589</t>
  </si>
  <si>
    <t>Sioux Lookout Hydro Inc.1592</t>
  </si>
  <si>
    <t>Sioux Lookout Hydro Inc.1595</t>
  </si>
  <si>
    <t>Sioux Lookout Hydro Inc.1595_(2008)</t>
  </si>
  <si>
    <t>Sioux Lookout Hydro Inc.1595_(2009)</t>
  </si>
  <si>
    <t>Sioux Lookout Hydro Inc.1595_(2010)</t>
  </si>
  <si>
    <t>Sioux Lookout Hydro Inc.1595_(2011)</t>
  </si>
  <si>
    <t>Sioux Lookout Hydro Inc.1595_(2012)</t>
  </si>
  <si>
    <t>Sioux Lookout Hydro Inc.1595_(2013)</t>
  </si>
  <si>
    <t>Sioux Lookout Hydro Inc.1595_(2014)</t>
  </si>
  <si>
    <t>Sioux Lookout Hydro Inc.1595_(2015)</t>
  </si>
  <si>
    <t>Sioux Lookout Hydro Inc.1595_(2016)</t>
  </si>
  <si>
    <t>Sioux Lookout Hydro Inc.1595_(2017)</t>
  </si>
  <si>
    <t>Sioux Lookout Hydro Inc.1595_ControlAccount</t>
  </si>
  <si>
    <t>Sioux Lookout Hydro Inc.2425</t>
  </si>
  <si>
    <t>Tillsonburg Hydro Inc.1508</t>
  </si>
  <si>
    <t>Tillsonburg Hydro Inc.1518</t>
  </si>
  <si>
    <t>Tillsonburg Hydro Inc.1522</t>
  </si>
  <si>
    <t>Tillsonburg Hydro Inc.1525</t>
  </si>
  <si>
    <t>Tillsonburg Hydro Inc.1531</t>
  </si>
  <si>
    <t>Tillsonburg Hydro Inc.1532</t>
  </si>
  <si>
    <t>Tillsonburg Hydro Inc.1533</t>
  </si>
  <si>
    <t>Tillsonburg Hydro Inc.1534</t>
  </si>
  <si>
    <t>Tillsonburg Hydro Inc.1535</t>
  </si>
  <si>
    <t>Tillsonburg Hydro Inc.1536</t>
  </si>
  <si>
    <t>Tillsonburg Hydro Inc.1548</t>
  </si>
  <si>
    <t>Tillsonburg Hydro Inc.1550</t>
  </si>
  <si>
    <t>Tillsonburg Hydro Inc.1551</t>
  </si>
  <si>
    <t>Tillsonburg Hydro Inc.1555</t>
  </si>
  <si>
    <t>Tillsonburg Hydro Inc.1557</t>
  </si>
  <si>
    <t>Tillsonburg Hydro Inc.1568</t>
  </si>
  <si>
    <t>Tillsonburg Hydro Inc.1572</t>
  </si>
  <si>
    <t>Tillsonburg Hydro Inc.1574</t>
  </si>
  <si>
    <t>Tillsonburg Hydro Inc.1575</t>
  </si>
  <si>
    <t>Tillsonburg Hydro Inc.1576</t>
  </si>
  <si>
    <t>Tillsonburg Hydro Inc.1580</t>
  </si>
  <si>
    <t>Tillsonburg Hydro Inc.1582</t>
  </si>
  <si>
    <t>Tillsonburg Hydro Inc.1584</t>
  </si>
  <si>
    <t>Tillsonburg Hydro Inc.1586</t>
  </si>
  <si>
    <t>Tillsonburg Hydro Inc.1588</t>
  </si>
  <si>
    <t>Tillsonburg Hydro Inc.1589</t>
  </si>
  <si>
    <t>Tillsonburg Hydro Inc.1592</t>
  </si>
  <si>
    <t>Tillsonburg Hydro Inc.1595</t>
  </si>
  <si>
    <t>Tillsonburg Hydro Inc.1595_(2008)</t>
  </si>
  <si>
    <t>Tillsonburg Hydro Inc.1595_(2009)</t>
  </si>
  <si>
    <t>Tillsonburg Hydro Inc.1595_(2010)</t>
  </si>
  <si>
    <t>Tillsonburg Hydro Inc.1595_(2011)</t>
  </si>
  <si>
    <t>Tillsonburg Hydro Inc.1595_(2012)</t>
  </si>
  <si>
    <t>Tillsonburg Hydro Inc.1595_(2013)</t>
  </si>
  <si>
    <t>Tillsonburg Hydro Inc.1595_(2014)</t>
  </si>
  <si>
    <t>Tillsonburg Hydro Inc.1595_(2015)</t>
  </si>
  <si>
    <t>Tillsonburg Hydro Inc.1595_(2016)</t>
  </si>
  <si>
    <t>Tillsonburg Hydro Inc.1595_(2017)</t>
  </si>
  <si>
    <t>Tillsonburg Hydro Inc.1595_ControlAccount</t>
  </si>
  <si>
    <t>Tillsonburg Hydro Inc.2425</t>
  </si>
  <si>
    <t>Toronto Hydro-Electric System Limited1508</t>
  </si>
  <si>
    <t>Toronto Hydro-Electric System Limited1518</t>
  </si>
  <si>
    <t>Toronto Hydro-Electric System Limited1522</t>
  </si>
  <si>
    <t>Toronto Hydro-Electric System Limited1525</t>
  </si>
  <si>
    <t>Toronto Hydro-Electric System Limited1531</t>
  </si>
  <si>
    <t>Toronto Hydro-Electric System Limited1532</t>
  </si>
  <si>
    <t>Toronto Hydro-Electric System Limited1533</t>
  </si>
  <si>
    <t>Toronto Hydro-Electric System Limited1534</t>
  </si>
  <si>
    <t>Toronto Hydro-Electric System Limited1535</t>
  </si>
  <si>
    <t>Toronto Hydro-Electric System Limited1536</t>
  </si>
  <si>
    <t>Toronto Hydro-Electric System Limited1548</t>
  </si>
  <si>
    <t>Toronto Hydro-Electric System Limited1550</t>
  </si>
  <si>
    <t>Toronto Hydro-Electric System Limited1551</t>
  </si>
  <si>
    <t>Toronto Hydro-Electric System Limited1555</t>
  </si>
  <si>
    <t>Toronto Hydro-Electric System Limited1557</t>
  </si>
  <si>
    <t>Toronto Hydro-Electric System Limited1568</t>
  </si>
  <si>
    <t>Toronto Hydro-Electric System Limited1572</t>
  </si>
  <si>
    <t>Toronto Hydro-Electric System Limited1574</t>
  </si>
  <si>
    <t>Toronto Hydro-Electric System Limited1575</t>
  </si>
  <si>
    <t>Toronto Hydro-Electric System Limited1576</t>
  </si>
  <si>
    <t>Toronto Hydro-Electric System Limited1580</t>
  </si>
  <si>
    <t>Toronto Hydro-Electric System Limited1582</t>
  </si>
  <si>
    <t>Toronto Hydro-Electric System Limited1584</t>
  </si>
  <si>
    <t>Toronto Hydro-Electric System Limited1586</t>
  </si>
  <si>
    <t>Toronto Hydro-Electric System Limited1588</t>
  </si>
  <si>
    <t>Toronto Hydro-Electric System Limited1589</t>
  </si>
  <si>
    <t>Toronto Hydro-Electric System Limited1592</t>
  </si>
  <si>
    <t>Toronto Hydro-Electric System Limited1595</t>
  </si>
  <si>
    <t>Toronto Hydro-Electric System Limited1595_(2008)</t>
  </si>
  <si>
    <t>Toronto Hydro-Electric System Limited1595_(2009)</t>
  </si>
  <si>
    <t>Toronto Hydro-Electric System Limited1595_(2010)</t>
  </si>
  <si>
    <t>Toronto Hydro-Electric System Limited1595_(2011)</t>
  </si>
  <si>
    <t>Toronto Hydro-Electric System Limited1595_(2012)</t>
  </si>
  <si>
    <t>Toronto Hydro-Electric System Limited1595_(2013)</t>
  </si>
  <si>
    <t>Toronto Hydro-Electric System Limited1595_(2014)</t>
  </si>
  <si>
    <t>Toronto Hydro-Electric System Limited1595_(2015)</t>
  </si>
  <si>
    <t>Toronto Hydro-Electric System Limited1595_(2016)</t>
  </si>
  <si>
    <t>Toronto Hydro-Electric System Limited1595_(2017)</t>
  </si>
  <si>
    <t>Toronto Hydro-Electric System Limited1595_ControlAccount</t>
  </si>
  <si>
    <t>Toronto Hydro-Electric System Limited2425</t>
  </si>
  <si>
    <t>Wasaga Distribution Inc.1508</t>
  </si>
  <si>
    <t>Wasaga Distribution Inc.1518</t>
  </si>
  <si>
    <t>Wasaga Distribution Inc.1522</t>
  </si>
  <si>
    <t>Wasaga Distribution Inc.1525</t>
  </si>
  <si>
    <t>Wasaga Distribution Inc.1531</t>
  </si>
  <si>
    <t>Wasaga Distribution Inc.1532</t>
  </si>
  <si>
    <t>Wasaga Distribution Inc.1533</t>
  </si>
  <si>
    <t>Wasaga Distribution Inc.1534</t>
  </si>
  <si>
    <t>Wasaga Distribution Inc.1535</t>
  </si>
  <si>
    <t>Wasaga Distribution Inc.1536</t>
  </si>
  <si>
    <t>Wasaga Distribution Inc.1548</t>
  </si>
  <si>
    <t>Wasaga Distribution Inc.1550</t>
  </si>
  <si>
    <t>Wasaga Distribution Inc.1551</t>
  </si>
  <si>
    <t>Wasaga Distribution Inc.1555</t>
  </si>
  <si>
    <t>Wasaga Distribution Inc.1557</t>
  </si>
  <si>
    <t>Wasaga Distribution Inc.1568</t>
  </si>
  <si>
    <t>Wasaga Distribution Inc.1572</t>
  </si>
  <si>
    <t>Wasaga Distribution Inc.1574</t>
  </si>
  <si>
    <t>Wasaga Distribution Inc.1575</t>
  </si>
  <si>
    <t>Wasaga Distribution Inc.1576</t>
  </si>
  <si>
    <t>Wasaga Distribution Inc.1580</t>
  </si>
  <si>
    <t>Wasaga Distribution Inc.1582</t>
  </si>
  <si>
    <t>Wasaga Distribution Inc.1584</t>
  </si>
  <si>
    <t>Wasaga Distribution Inc.1586</t>
  </si>
  <si>
    <t>Wasaga Distribution Inc.1588</t>
  </si>
  <si>
    <t>Wasaga Distribution Inc.1589</t>
  </si>
  <si>
    <t>Wasaga Distribution Inc.1592</t>
  </si>
  <si>
    <t>Wasaga Distribution Inc.1595</t>
  </si>
  <si>
    <t>Wasaga Distribution Inc.1595_(2008)</t>
  </si>
  <si>
    <t>Wasaga Distribution Inc.1595_(2009)</t>
  </si>
  <si>
    <t>Wasaga Distribution Inc.1595_(2010)</t>
  </si>
  <si>
    <t>Wasaga Distribution Inc.1595_(2011)</t>
  </si>
  <si>
    <t>Wasaga Distribution Inc.1595_(2012)</t>
  </si>
  <si>
    <t>Wasaga Distribution Inc.1595_(2013)</t>
  </si>
  <si>
    <t>Wasaga Distribution Inc.1595_(2014)</t>
  </si>
  <si>
    <t>Wasaga Distribution Inc.1595_(2015)</t>
  </si>
  <si>
    <t>Wasaga Distribution Inc.1595_(2016)</t>
  </si>
  <si>
    <t>Wasaga Distribution Inc.1595_(2017)</t>
  </si>
  <si>
    <t>Wasaga Distribution Inc.1595_ControlAccount</t>
  </si>
  <si>
    <t>Wasaga Distribution Inc.2425</t>
  </si>
  <si>
    <t>Waterloo North Hydro Inc.1508</t>
  </si>
  <si>
    <t>Waterloo North Hydro Inc.1518</t>
  </si>
  <si>
    <t>Waterloo North Hydro Inc.1522</t>
  </si>
  <si>
    <t>Waterloo North Hydro Inc.1525</t>
  </si>
  <si>
    <t>Waterloo North Hydro Inc.1531</t>
  </si>
  <si>
    <t>Waterloo North Hydro Inc.1532</t>
  </si>
  <si>
    <t>Waterloo North Hydro Inc.1533</t>
  </si>
  <si>
    <t>Waterloo North Hydro Inc.1534</t>
  </si>
  <si>
    <t>Waterloo North Hydro Inc.1535</t>
  </si>
  <si>
    <t>Waterloo North Hydro Inc.1536</t>
  </si>
  <si>
    <t>Waterloo North Hydro Inc.1548</t>
  </si>
  <si>
    <t>Waterloo North Hydro Inc.1550</t>
  </si>
  <si>
    <t>Waterloo North Hydro Inc.1551</t>
  </si>
  <si>
    <t>Waterloo North Hydro Inc.1555</t>
  </si>
  <si>
    <t>Waterloo North Hydro Inc.1557</t>
  </si>
  <si>
    <t>Waterloo North Hydro Inc.1568</t>
  </si>
  <si>
    <t>Waterloo North Hydro Inc.1572</t>
  </si>
  <si>
    <t>Waterloo North Hydro Inc.1574</t>
  </si>
  <si>
    <t>Waterloo North Hydro Inc.1575</t>
  </si>
  <si>
    <t>Waterloo North Hydro Inc.1576</t>
  </si>
  <si>
    <t>Waterloo North Hydro Inc.1580</t>
  </si>
  <si>
    <t>Waterloo North Hydro Inc.1582</t>
  </si>
  <si>
    <t>Waterloo North Hydro Inc.1584</t>
  </si>
  <si>
    <t>Waterloo North Hydro Inc.1586</t>
  </si>
  <si>
    <t>Waterloo North Hydro Inc.1588</t>
  </si>
  <si>
    <t>Waterloo North Hydro Inc.1589</t>
  </si>
  <si>
    <t>Waterloo North Hydro Inc.1592</t>
  </si>
  <si>
    <t>Waterloo North Hydro Inc.1595</t>
  </si>
  <si>
    <t>Waterloo North Hydro Inc.1595_(2008)</t>
  </si>
  <si>
    <t>Waterloo North Hydro Inc.1595_(2009)</t>
  </si>
  <si>
    <t>Waterloo North Hydro Inc.1595_(2010)</t>
  </si>
  <si>
    <t>Waterloo North Hydro Inc.1595_(2011)</t>
  </si>
  <si>
    <t>Waterloo North Hydro Inc.1595_(2012)</t>
  </si>
  <si>
    <t>Waterloo North Hydro Inc.1595_(2013)</t>
  </si>
  <si>
    <t>Waterloo North Hydro Inc.1595_(2014)</t>
  </si>
  <si>
    <t>Waterloo North Hydro Inc.1595_(2015)</t>
  </si>
  <si>
    <t>Waterloo North Hydro Inc.1595_(2016)</t>
  </si>
  <si>
    <t>Waterloo North Hydro Inc.1595_(2017)</t>
  </si>
  <si>
    <t>Waterloo North Hydro Inc.1595_ControlAccount</t>
  </si>
  <si>
    <t>Waterloo North Hydro Inc.2425</t>
  </si>
  <si>
    <t>Welland Hydro-Electric System Corp.1508</t>
  </si>
  <si>
    <t>Welland Hydro-Electric System Corp.1518</t>
  </si>
  <si>
    <t>Welland Hydro-Electric System Corp.1522</t>
  </si>
  <si>
    <t>Welland Hydro-Electric System Corp.1525</t>
  </si>
  <si>
    <t>Welland Hydro-Electric System Corp.1531</t>
  </si>
  <si>
    <t>Welland Hydro-Electric System Corp.1532</t>
  </si>
  <si>
    <t>Welland Hydro-Electric System Corp.1533</t>
  </si>
  <si>
    <t>Welland Hydro-Electric System Corp.1534</t>
  </si>
  <si>
    <t>Welland Hydro-Electric System Corp.1535</t>
  </si>
  <si>
    <t>Welland Hydro-Electric System Corp.1536</t>
  </si>
  <si>
    <t>Welland Hydro-Electric System Corp.1548</t>
  </si>
  <si>
    <t>Welland Hydro-Electric System Corp.1550</t>
  </si>
  <si>
    <t>Welland Hydro-Electric System Corp.1551</t>
  </si>
  <si>
    <t>Welland Hydro-Electric System Corp.1555</t>
  </si>
  <si>
    <t>Welland Hydro-Electric System Corp.1557</t>
  </si>
  <si>
    <t>Welland Hydro-Electric System Corp.1568</t>
  </si>
  <si>
    <t>Welland Hydro-Electric System Corp.1572</t>
  </si>
  <si>
    <t>Welland Hydro-Electric System Corp.1574</t>
  </si>
  <si>
    <t>Welland Hydro-Electric System Corp.1575</t>
  </si>
  <si>
    <t>Welland Hydro-Electric System Corp.1576</t>
  </si>
  <si>
    <t>Welland Hydro-Electric System Corp.1580</t>
  </si>
  <si>
    <t>Welland Hydro-Electric System Corp.1582</t>
  </si>
  <si>
    <t>Welland Hydro-Electric System Corp.1584</t>
  </si>
  <si>
    <t>Welland Hydro-Electric System Corp.1586</t>
  </si>
  <si>
    <t>Welland Hydro-Electric System Corp.1588</t>
  </si>
  <si>
    <t>Welland Hydro-Electric System Corp.1589</t>
  </si>
  <si>
    <t>Welland Hydro-Electric System Corp.1592</t>
  </si>
  <si>
    <t>Welland Hydro-Electric System Corp.1595</t>
  </si>
  <si>
    <t>Welland Hydro-Electric System Corp.1595_(2008)</t>
  </si>
  <si>
    <t>Welland Hydro-Electric System Corp.1595_(2009)</t>
  </si>
  <si>
    <t>Welland Hydro-Electric System Corp.1595_(2010)</t>
  </si>
  <si>
    <t>Welland Hydro-Electric System Corp.1595_(2011)</t>
  </si>
  <si>
    <t>Welland Hydro-Electric System Corp.1595_(2012)</t>
  </si>
  <si>
    <t>Welland Hydro-Electric System Corp.1595_(2013)</t>
  </si>
  <si>
    <t>Welland Hydro-Electric System Corp.1595_(2014)</t>
  </si>
  <si>
    <t>Welland Hydro-Electric System Corp.1595_(2015)</t>
  </si>
  <si>
    <t>Welland Hydro-Electric System Corp.1595_(2016)</t>
  </si>
  <si>
    <t>Welland Hydro-Electric System Corp.1595_(2017)</t>
  </si>
  <si>
    <t>Welland Hydro-Electric System Corp.1595_ControlAccount</t>
  </si>
  <si>
    <t>Welland Hydro-Electric System Corp.2425</t>
  </si>
  <si>
    <t>Wellington North Power Inc.1508</t>
  </si>
  <si>
    <t>Wellington North Power Inc.1518</t>
  </si>
  <si>
    <t>Wellington North Power Inc.1522</t>
  </si>
  <si>
    <t>Wellington North Power Inc.1525</t>
  </si>
  <si>
    <t>Wellington North Power Inc.1531</t>
  </si>
  <si>
    <t>Wellington North Power Inc.1532</t>
  </si>
  <si>
    <t>Wellington North Power Inc.1533</t>
  </si>
  <si>
    <t>Wellington North Power Inc.1534</t>
  </si>
  <si>
    <t>Wellington North Power Inc.1535</t>
  </si>
  <si>
    <t>Wellington North Power Inc.1536</t>
  </si>
  <si>
    <t>Wellington North Power Inc.1548</t>
  </si>
  <si>
    <t>Wellington North Power Inc.1550</t>
  </si>
  <si>
    <t>Wellington North Power Inc.1551</t>
  </si>
  <si>
    <t>Wellington North Power Inc.1555</t>
  </si>
  <si>
    <t>Wellington North Power Inc.1557</t>
  </si>
  <si>
    <t>Wellington North Power Inc.1568</t>
  </si>
  <si>
    <t>Wellington North Power Inc.1572</t>
  </si>
  <si>
    <t>Wellington North Power Inc.1574</t>
  </si>
  <si>
    <t>Wellington North Power Inc.1575</t>
  </si>
  <si>
    <t>Wellington North Power Inc.1576</t>
  </si>
  <si>
    <t>Wellington North Power Inc.1580</t>
  </si>
  <si>
    <t>Wellington North Power Inc.1582</t>
  </si>
  <si>
    <t>Wellington North Power Inc.1584</t>
  </si>
  <si>
    <t>Wellington North Power Inc.1586</t>
  </si>
  <si>
    <t>Wellington North Power Inc.1588</t>
  </si>
  <si>
    <t>Wellington North Power Inc.1589</t>
  </si>
  <si>
    <t>Wellington North Power Inc.1592</t>
  </si>
  <si>
    <t>Wellington North Power Inc.1595</t>
  </si>
  <si>
    <t>Wellington North Power Inc.1595_(2008)</t>
  </si>
  <si>
    <t>Wellington North Power Inc.1595_(2009)</t>
  </si>
  <si>
    <t>Wellington North Power Inc.1595_(2010)</t>
  </si>
  <si>
    <t>Wellington North Power Inc.1595_(2011)</t>
  </si>
  <si>
    <t>Wellington North Power Inc.1595_(2012)</t>
  </si>
  <si>
    <t>Wellington North Power Inc.1595_(2013)</t>
  </si>
  <si>
    <t>Wellington North Power Inc.1595_(2014)</t>
  </si>
  <si>
    <t>Wellington North Power Inc.1595_(2015)</t>
  </si>
  <si>
    <t>Wellington North Power Inc.1595_(2016)</t>
  </si>
  <si>
    <t>Wellington North Power Inc.1595_(2017)</t>
  </si>
  <si>
    <t>Wellington North Power Inc.1595_ControlAccount</t>
  </si>
  <si>
    <t>Wellington North Power Inc.2425</t>
  </si>
  <si>
    <t>Westario Power Inc.1508</t>
  </si>
  <si>
    <t>Westario Power Inc.1518</t>
  </si>
  <si>
    <t>Westario Power Inc.1522</t>
  </si>
  <si>
    <t>Westario Power Inc.1525</t>
  </si>
  <si>
    <t>Westario Power Inc.1531</t>
  </si>
  <si>
    <t>Westario Power Inc.1532</t>
  </si>
  <si>
    <t>Westario Power Inc.1533</t>
  </si>
  <si>
    <t>Westario Power Inc.1534</t>
  </si>
  <si>
    <t>Westario Power Inc.1535</t>
  </si>
  <si>
    <t>Westario Power Inc.1536</t>
  </si>
  <si>
    <t>Westario Power Inc.1548</t>
  </si>
  <si>
    <t>Westario Power Inc.1550</t>
  </si>
  <si>
    <t>Westario Power Inc.1551</t>
  </si>
  <si>
    <t>Westario Power Inc.1555</t>
  </si>
  <si>
    <t>Westario Power Inc.1557</t>
  </si>
  <si>
    <t>Westario Power Inc.1568</t>
  </si>
  <si>
    <t>Westario Power Inc.1572</t>
  </si>
  <si>
    <t>Westario Power Inc.1574</t>
  </si>
  <si>
    <t>Westario Power Inc.1575</t>
  </si>
  <si>
    <t>Westario Power Inc.1576</t>
  </si>
  <si>
    <t>Westario Power Inc.1580</t>
  </si>
  <si>
    <t>Westario Power Inc.1582</t>
  </si>
  <si>
    <t>Westario Power Inc.1584</t>
  </si>
  <si>
    <t>Westario Power Inc.1586</t>
  </si>
  <si>
    <t>Westario Power Inc.1588</t>
  </si>
  <si>
    <t>Westario Power Inc.1589</t>
  </si>
  <si>
    <t>Westario Power Inc.1592</t>
  </si>
  <si>
    <t>Westario Power Inc.1595</t>
  </si>
  <si>
    <t>Westario Power Inc.1595_(2008)</t>
  </si>
  <si>
    <t>Westario Power Inc.1595_(2009)</t>
  </si>
  <si>
    <t>Westario Power Inc.1595_(2010)</t>
  </si>
  <si>
    <t>Westario Power Inc.1595_(2011)</t>
  </si>
  <si>
    <t>Westario Power Inc.1595_(2012)</t>
  </si>
  <si>
    <t>Westario Power Inc.1595_(2013)</t>
  </si>
  <si>
    <t>Westario Power Inc.1595_(2014)</t>
  </si>
  <si>
    <t>Westario Power Inc.1595_(2015)</t>
  </si>
  <si>
    <t>Westario Power Inc.1595_(2016)</t>
  </si>
  <si>
    <t>Westario Power Inc.1595_(2017)</t>
  </si>
  <si>
    <t>Westario Power Inc.1595_ControlAccount</t>
  </si>
  <si>
    <t>Westario Power Inc.2425</t>
  </si>
  <si>
    <t>Please see instructions tab for detailed instructions on how to complete the DVA Continuity Schedule. Column BV has been pre-populated from the most recent RRR filing</t>
  </si>
  <si>
    <r>
      <rPr>
        <vertAlign val="superscript"/>
        <sz val="10"/>
        <rFont val="Arial"/>
        <family val="2"/>
      </rPr>
      <t xml:space="preserve">4 </t>
    </r>
    <r>
      <rPr>
        <sz val="10"/>
        <rFont val="Arial"/>
        <family val="2"/>
      </rPr>
      <t>If a distributor uses the actual GA price to bill non-RPP Class B customers for an entire rate class, it must exclude these customers from the allocation of the GA balance and the calculation of the resulting rate riders. These rate classes are not to be charged/refunded the general GA rate rider as they did not contribute to the GA balance. If this is the case, this must be noted in the evidence and the proposed allocation methodology must be explained.</t>
    </r>
  </si>
  <si>
    <r>
      <t xml:space="preserve">Metered </t>
    </r>
    <r>
      <rPr>
        <b/>
        <sz val="10"/>
        <color rgb="FFFF0000"/>
        <rFont val="Arial"/>
        <family val="2"/>
      </rPr>
      <t>kWh</t>
    </r>
    <r>
      <rPr>
        <b/>
        <sz val="10"/>
        <rFont val="Arial"/>
        <family val="2"/>
      </rPr>
      <t xml:space="preserve"> for 
</t>
    </r>
    <r>
      <rPr>
        <b/>
        <sz val="10"/>
        <color rgb="FF0070C0"/>
        <rFont val="Arial"/>
        <family val="2"/>
      </rPr>
      <t>Non-RPP</t>
    </r>
    <r>
      <rPr>
        <b/>
        <sz val="10"/>
        <rFont val="Arial"/>
        <family val="2"/>
      </rPr>
      <t xml:space="preserve"> Customers</t>
    </r>
    <r>
      <rPr>
        <b/>
        <vertAlign val="superscript"/>
        <sz val="10"/>
        <rFont val="Arial"/>
        <family val="2"/>
      </rPr>
      <t xml:space="preserve"> 4</t>
    </r>
  </si>
  <si>
    <t>Account 1589 (allocated to Non-WMPs)</t>
  </si>
  <si>
    <t>Year Account 1589 GA Balance Last Disposed</t>
  </si>
  <si>
    <t>Total Metered Forecast Consumption Minus WMP</t>
  </si>
  <si>
    <t>Summary of Changes from the Prior Year</t>
  </si>
  <si>
    <t>1 - Information Sheet</t>
  </si>
  <si>
    <t xml:space="preserve">This tab shows some information pertaining to the utility and the application. </t>
  </si>
  <si>
    <t>Complete the information sheet.</t>
  </si>
  <si>
    <t>Responses to these questions will open the DVA continuity schedule in tabs 2a and 2b to the appropriate year that DVA balances should first be inputted.</t>
  </si>
  <si>
    <t>If the response to question 5 (GA) or 6 (CBR Class B) is yes, tab 6 relating to Class A customers' consumption will be generated.</t>
  </si>
  <si>
    <t>If the response to question 6 is yes, then  tab 6.2 will also be generated. Tab 6.2 calculates the billing determinants for the Account 1580, sub-account CBR Class B  rate rider, if applicable, using information inputted in tabs 4 and 6.</t>
  </si>
  <si>
    <t>If the response to question 6 is no, then the balance in the Account 1580, sub-account CBR Class B will be allocated and disposed with Account 1580 WMS, as part of the general DVA rate rider</t>
  </si>
  <si>
    <t>2a and 2b - Continuity Schedule</t>
  </si>
  <si>
    <t>These tabs are the continuity schedules that show all the accounts and the accumulation of the balances a utility has. Tab 2a is for Group 1 DVAs. Tab 2b is for Group 2 DVAs.</t>
  </si>
  <si>
    <t>Indicate whether disposition is requested for various accounts in column BU</t>
  </si>
  <si>
    <t>Review any balance variance between the DVA continuity schedule and the RRR in column BW. Provide an explanation in tab 3, if necessary.</t>
  </si>
  <si>
    <t>This tab allocates the DVA balances</t>
  </si>
  <si>
    <t>Review the allocated balances to ensure the allocation is appropriate. Note that the allocations for Accounts 1589 and 1580 CBR Class B will be determined after tabs 6 to 6.2a have been completed.</t>
  </si>
  <si>
    <t>This tab is to be completed if there were any Class A customers during the period the GA balance CBR Class B balance accumulated. The data on this tab is used for the purposes of determining the GA rate rider, CBR Class B rate rider (if applicable), as well as customer specific GA and CBR Class B charges for transition customers (if applicable).</t>
  </si>
  <si>
    <t xml:space="preserve">This tab is generated when the utility selects yes to questions 5 or 6 in tab 1, indicating they had Class A customers during the period that the GA or CBR balance accumulated. </t>
  </si>
  <si>
    <t>Under #2a, indicate whether the utility had any customers that transitioned between Class A and B  during the period the Account 1589 GA balance accumulated. If yes, tab 6.1a will be generated.</t>
  </si>
  <si>
    <t xml:space="preserve">Under #2b, indicate whether the utility had any customers that transitioned between Class A and B during the period the Account 1580, sub-account CBR Class B balance accumulated. If yes, tab 6.2a will be generated. </t>
  </si>
  <si>
    <t xml:space="preserve">Under #3a, enter the number of transition customers the utility had during the period the Account 1589 GA or Account 1580 CBR Class B balances accumulated.  A table will be generated based on the number of customers. 
Complete the table accordingly for each transition customer identified (i.e. kWh/kW for half year periods, and the customer class during the half year). This data will automatically be used in the GA balance and CBR Class B balance allocation to transition customers in tabs 6.1a. and 6.2a., respectively. 
Note that each transition customer identified in tab 6, table 3a will be assigned a customer number and the number will correspond to the same transition customers populated in tabs 6.1a. and 6.2a.  
Also note that the transition customers identified for the GA may be different than those for CBR Class B. This would depend on the period in which the GA and CBR Class B balances accumulated. </t>
  </si>
  <si>
    <t>This tab is generated when the utility indicates that they had transition customers in tab 6, #2a during the period the GA balance accumulated.</t>
  </si>
  <si>
    <t>This tab calculates the billing determinants for the CBR Class B rate rider, if applicable.</t>
  </si>
  <si>
    <t>This tab is generated when the response to question 6 in tab 1 is "yes", indicating that they had Class A customers during the period that Account 1580, sub-account CBR Class B balance accumulated.</t>
  </si>
  <si>
    <t xml:space="preserve">No input is required. The information in the tab is auto-populated and will be used in the calculation of the CBR Class B rate rider calculated in tab 7. </t>
  </si>
  <si>
    <t>This tab is generated when the utility indicates that they had transition customers in tab 6, #2b during the period where the CBR Class B balance accumulated.</t>
  </si>
  <si>
    <t>.</t>
  </si>
  <si>
    <t>If there are Class A customers, but a CBR Class B rate rider is not produced, the entire Account 1580 CBR Class B balance, including the amount allocated to transition customers will be transferred to Account 1580 WMS, to be disposed through the general Group 1 DVA rate rider.</t>
  </si>
  <si>
    <r>
      <t xml:space="preserve">Metered </t>
    </r>
    <r>
      <rPr>
        <b/>
        <sz val="10"/>
        <color rgb="FFFF0000"/>
        <rFont val="Arial"/>
        <family val="2"/>
      </rPr>
      <t>kW</t>
    </r>
    <r>
      <rPr>
        <b/>
        <sz val="10"/>
        <rFont val="Arial"/>
        <family val="2"/>
      </rPr>
      <t xml:space="preserve"> for 
</t>
    </r>
    <r>
      <rPr>
        <b/>
        <sz val="10"/>
        <color rgb="FF0070C0"/>
        <rFont val="Arial"/>
        <family val="2"/>
      </rPr>
      <t>Non-RPP</t>
    </r>
    <r>
      <rPr>
        <b/>
        <sz val="10"/>
        <rFont val="Arial"/>
        <family val="2"/>
      </rPr>
      <t xml:space="preserve"> Customers </t>
    </r>
    <r>
      <rPr>
        <b/>
        <vertAlign val="superscript"/>
        <sz val="10"/>
        <rFont val="Arial"/>
        <family val="2"/>
      </rPr>
      <t>4</t>
    </r>
  </si>
  <si>
    <t>Questions 1 to 4</t>
  </si>
  <si>
    <t>Questions 5 to 6</t>
  </si>
  <si>
    <r>
      <t xml:space="preserve">1595 Recovery Share Proportion (2018) </t>
    </r>
    <r>
      <rPr>
        <b/>
        <vertAlign val="superscript"/>
        <sz val="10"/>
        <rFont val="Arial"/>
        <family val="2"/>
      </rPr>
      <t>1</t>
    </r>
  </si>
  <si>
    <t>Forecast Total Metered Test Year kWh for Full Year Class A Customers</t>
  </si>
  <si>
    <t>Forecast Total Metered Test Year kWh for Transition Customers</t>
  </si>
  <si>
    <t>G</t>
  </si>
  <si>
    <t>H=F*G</t>
  </si>
  <si>
    <t>I=G-H</t>
  </si>
  <si>
    <t>2.1.7 with Group 1 and Group 2_v2</t>
  </si>
  <si>
    <t>Revised Monthly Payment</t>
  </si>
  <si>
    <t>Please provide explanations for the nature of the adjustments.  If the adjustment relates to previously OEB-Approved disposed balances, please provide amounts for adjustments and include supporting documentations.</t>
  </si>
  <si>
    <t xml:space="preserve"> Please provide explanations for the nature of the adjustments.  If the adjustment relates to previously OEB-Approved disposed balances, please provide amounts for adjustments and include supporting documentations.</t>
  </si>
  <si>
    <r>
      <t>Disposition and Recovery/Refund of Regulatory Balances (2018)</t>
    </r>
    <r>
      <rPr>
        <vertAlign val="superscript"/>
        <sz val="11"/>
        <rFont val="Arial"/>
        <family val="2"/>
      </rPr>
      <t>3</t>
    </r>
  </si>
  <si>
    <r>
      <t>RSVA - Power (excluding Global Adjustment)</t>
    </r>
    <r>
      <rPr>
        <vertAlign val="superscript"/>
        <sz val="11"/>
        <rFont val="Arial"/>
        <family val="2"/>
      </rPr>
      <t>4</t>
    </r>
  </si>
  <si>
    <r>
      <t xml:space="preserve">RSVA - Global Adjustment </t>
    </r>
    <r>
      <rPr>
        <vertAlign val="superscript"/>
        <sz val="11"/>
        <rFont val="Arial"/>
        <family val="2"/>
      </rPr>
      <t>4</t>
    </r>
  </si>
  <si>
    <r>
      <t>RSVA - Wholesale Market Service Charge</t>
    </r>
    <r>
      <rPr>
        <vertAlign val="superscript"/>
        <sz val="11"/>
        <rFont val="Arial"/>
        <family val="2"/>
      </rPr>
      <t>5</t>
    </r>
  </si>
  <si>
    <r>
      <t>Variance WMS – Sub-account CBR Class A</t>
    </r>
    <r>
      <rPr>
        <vertAlign val="superscript"/>
        <sz val="11"/>
        <rFont val="Arial"/>
        <family val="2"/>
      </rPr>
      <t>5</t>
    </r>
  </si>
  <si>
    <r>
      <t>Variance WMS – Sub-account CBR Class B</t>
    </r>
    <r>
      <rPr>
        <vertAlign val="superscript"/>
        <sz val="11"/>
        <rFont val="Arial"/>
        <family val="2"/>
      </rPr>
      <t>5</t>
    </r>
  </si>
  <si>
    <t>Account 1557 is to be recovered in a manner similar to the Smart Meter accounts. Distributors should request for disposition upon completion of the MIST meter deployment. A prudence review and disposition should be done in the application, outside the DVA Continuity Schedule.</t>
  </si>
  <si>
    <t>Input the LRAMVA balance in the DVA Continuity Schedule as calculated from the LRAMVA model. The associated rate rider will be calculated in the DVA Continuity Schedule.</t>
  </si>
  <si>
    <t>This account is effective September 1, 2018 per the OEB’s letter Accounting Guidance on Wireline Pole Attachment Charges, dated July 20, 2018. The account is expected to be discontinued after rebasing, once a utility updates its pole attachment charge in base rates and disposes of the account balance.</t>
  </si>
  <si>
    <t>The 1508 sub- account is effective May 1, 2019 per the Energy Retailer Service Charges Decision and Order (EB-2015-0304). The RCVAs are expected to be discontinued after rebasing, once updated retail service charges are reflected in the revenue requirement and the utility disposes of the account balance.</t>
  </si>
  <si>
    <r>
      <t>Retail Service Charge Incremental Revenue</t>
    </r>
    <r>
      <rPr>
        <vertAlign val="superscript"/>
        <sz val="11"/>
        <rFont val="Arial"/>
        <family val="2"/>
      </rPr>
      <t>6</t>
    </r>
  </si>
  <si>
    <r>
      <t>Retail Cost Variance Account - Retail</t>
    </r>
    <r>
      <rPr>
        <vertAlign val="superscript"/>
        <sz val="11"/>
        <rFont val="Arial"/>
        <family val="2"/>
      </rPr>
      <t>6</t>
    </r>
  </si>
  <si>
    <r>
      <t>Retail Cost Variance Account - STR</t>
    </r>
    <r>
      <rPr>
        <vertAlign val="superscript"/>
        <sz val="11"/>
        <rFont val="Arial"/>
        <family val="2"/>
      </rPr>
      <t>6</t>
    </r>
  </si>
  <si>
    <r>
      <t>Pole Attachment Revenue Variance</t>
    </r>
    <r>
      <rPr>
        <vertAlign val="superscript"/>
        <sz val="11"/>
        <rFont val="Arial"/>
        <family val="2"/>
      </rPr>
      <t>5</t>
    </r>
  </si>
  <si>
    <r>
      <t>LRAM Variance Account</t>
    </r>
    <r>
      <rPr>
        <b/>
        <vertAlign val="superscript"/>
        <sz val="11"/>
        <color indexed="12"/>
        <rFont val="Arial"/>
        <family val="2"/>
      </rPr>
      <t>4</t>
    </r>
  </si>
  <si>
    <t>Alectra Utilities Corporation-Brampton Rate Zone</t>
  </si>
  <si>
    <t>Alectra Utilities Corporation-Enersource Rate Zone</t>
  </si>
  <si>
    <t>Alectra Utilities Corporation-Horizon Utilities Rate Zone</t>
  </si>
  <si>
    <t>Alectra Utilities Corporation-PowerStream Rate Zone</t>
  </si>
  <si>
    <t>Alectra Utilities Corporation-Guelph Rate Zone</t>
  </si>
  <si>
    <t>Elexicon Energy Inc.-Whitby Rate Zone</t>
  </si>
  <si>
    <t>Elexicon Energy Inc.-Veridian Rate Zone</t>
  </si>
  <si>
    <t>Entegrus Powerlines Inc.-For Entegrus-Main Rate Zone</t>
  </si>
  <si>
    <t>Entegrus Powerlines Inc.-For Former St. Thomas Energy Rate Zone</t>
  </si>
  <si>
    <t>Hydro One Networks Inc.-Former Haldimand County Hydro Inc. Service Area</t>
  </si>
  <si>
    <t>Hydro One Networks Inc.-Former Norfolk Power Distribution Inc. Service Area</t>
  </si>
  <si>
    <t>Hydro One Networks Inc.-Former Woodstock Hydro Services Inc. Service Area</t>
  </si>
  <si>
    <t>Hydro One Remote Communites Inc.</t>
  </si>
  <si>
    <t>Lakeland Power Distribution Ltd.-Parry Sound Service Area</t>
  </si>
  <si>
    <t>Newmarket-Tay Power Distribution Ltd.-For Former Midland Power Utility Rate Zone</t>
  </si>
  <si>
    <t>Newmarket-Tay Power Distribution Ltd.-For Newmarket-Tay Power Main Rate Zone</t>
  </si>
  <si>
    <t>Synergy North Corporation-Kenora Rate Zone</t>
  </si>
  <si>
    <t xml:space="preserve">Synergy North Corporation-Thunder Bay Rate Zone </t>
  </si>
  <si>
    <t>X</t>
  </si>
  <si>
    <t>2b. 2017 Continuity Schedule</t>
  </si>
  <si>
    <t>2a. 2017 Continuity Schedule</t>
  </si>
  <si>
    <t>4. Billing Determinants</t>
  </si>
  <si>
    <t>5. Allocation of Balances</t>
  </si>
  <si>
    <t>7. Rate Rider Calculations</t>
  </si>
  <si>
    <t>If the CBR Class B rate rider calculated in tab 7 rounds to zero at the fourth decimal place for one or more rate classes, the entire balance in Account 1580 CBR Class B, including the amount allocated to transition customers will be transferred to Account 1580 WMS and disposed through the general purpose Group 1 rate riders</t>
  </si>
  <si>
    <r>
      <t>Meter Cost Deferral Account (MIST Meters)</t>
    </r>
    <r>
      <rPr>
        <vertAlign val="superscript"/>
        <sz val="11"/>
        <rFont val="Arial"/>
        <family val="2"/>
      </rPr>
      <t>3</t>
    </r>
  </si>
  <si>
    <t>New accounting guidance effective January 1, 2019 for Accounts 1588 and 1589 was issued Feb. 21, 2019 titled Accounting Procedures Handbook Update - Accounting Guidance Related to Commodity Pass-Through Accounts 1588 &amp; 1589. The amount in the "Transactions" column in this DVA Continuity Schedule are to equal the transactions in the General Ledger (excluding any amounts approved for disposition, which is shown separately in the "OEB Approved Disposition" columns). Any true-ups/adjustments/reversals needed to derive the claim amount must be shown separately in the "Principal Adjustments" columns of this DVA Continuity Schedule.</t>
  </si>
  <si>
    <t>RRR balance for Account 1580 RSVA - Wholesale Market Service Charge should equal to the control account as reported in the RRR. This would include the balance for Account 1580,Variance WMS – Sub-account CBR Class B.</t>
  </si>
  <si>
    <t>Did you have any customers who transitioned between Class A and Class B (transition customers)  during the period the Account 1589 GA balance accumulated (i.e. from the year after the balance was last disposed (regardless of if the disposition was interim or final) to the current year requested for disposition)?</t>
  </si>
  <si>
    <t>Did you have any customers who transitioned between Class A and Class B (transition customers) during the period the Account 1580, sub-account CBR Class B balance accumulated (i.e. from the year after the balance was last disposed (regardless of if the disposition was interim or final) to the current year requested for disposition)?</t>
  </si>
  <si>
    <t>Enter the number of rate classes in which there were customers who were Class A for the full year during the  period the Account 1589 GA or Account 1580 CBR B balance accumulated (i.e. from the year after the balance was last disposed (regardless of if the disposition was interim or final) to the current year requested for disposition).</t>
  </si>
  <si>
    <t>WKBSV849</t>
  </si>
  <si>
    <t>NJYBW716</t>
  </si>
  <si>
    <t>GQQHM388</t>
  </si>
  <si>
    <t>SFXZP935</t>
  </si>
  <si>
    <t>OARZC118</t>
  </si>
  <si>
    <t>HJHBH994</t>
  </si>
  <si>
    <t>KQEEH473</t>
  </si>
  <si>
    <t>CPEFQ593</t>
  </si>
  <si>
    <t>QXHJU641</t>
  </si>
  <si>
    <t>AVXSO594</t>
  </si>
  <si>
    <t>JKBZG525</t>
  </si>
  <si>
    <t>PTLUC812</t>
  </si>
  <si>
    <t>ADICB565</t>
  </si>
  <si>
    <t>LRECV427</t>
  </si>
  <si>
    <t>KTCNY552</t>
  </si>
  <si>
    <t>YEPCI143</t>
  </si>
  <si>
    <t>GRHTW113</t>
  </si>
  <si>
    <t>GMGHU415</t>
  </si>
  <si>
    <t>YTPWF351</t>
  </si>
  <si>
    <t>YCYKQ642</t>
  </si>
  <si>
    <t>ADZFM459</t>
  </si>
  <si>
    <t>RVWKN794</t>
  </si>
  <si>
    <t>KESKM585</t>
  </si>
  <si>
    <t>MQFNL784</t>
  </si>
  <si>
    <t>FNDHH648</t>
  </si>
  <si>
    <t>PTREM828</t>
  </si>
  <si>
    <t>UBBYF452</t>
  </si>
  <si>
    <t>NSBED625</t>
  </si>
  <si>
    <t>TXKTT167</t>
  </si>
  <si>
    <t>ZHKLA874</t>
  </si>
  <si>
    <t>YLJHT264</t>
  </si>
  <si>
    <t>YLCEC559</t>
  </si>
  <si>
    <t>NHKJF259</t>
  </si>
  <si>
    <t>SLRXO177</t>
  </si>
  <si>
    <t>UIFEM157</t>
  </si>
  <si>
    <t>KSUYD122</t>
  </si>
  <si>
    <t>QHCKN852</t>
  </si>
  <si>
    <t>FUIJX538</t>
  </si>
  <si>
    <t>PWKJP953</t>
  </si>
  <si>
    <t>JEGGW178</t>
  </si>
  <si>
    <t>TVKSH414</t>
  </si>
  <si>
    <t>DUISI693</t>
  </si>
  <si>
    <t>PQZCY963</t>
  </si>
  <si>
    <t>GTLBW445</t>
  </si>
  <si>
    <t>XCFPH269</t>
  </si>
  <si>
    <t>MLWYG784</t>
  </si>
  <si>
    <t>QDKIF127</t>
  </si>
  <si>
    <t>AMZEN437</t>
  </si>
  <si>
    <t>ACEVX242</t>
  </si>
  <si>
    <t>OLIUU862</t>
  </si>
  <si>
    <t>NIOJF461</t>
  </si>
  <si>
    <t>ZYZFO848</t>
  </si>
  <si>
    <t>ASEGZ471</t>
  </si>
  <si>
    <t>IOKHC383</t>
  </si>
  <si>
    <t>DSPWZ318</t>
  </si>
  <si>
    <t>RUZIU984</t>
  </si>
  <si>
    <t>YEOQG654</t>
  </si>
  <si>
    <t>JMNNR431</t>
  </si>
  <si>
    <t>HHPNS717</t>
  </si>
  <si>
    <r>
      <t>Disposition and Recovery/Refund of Regulatory Balances (2019)</t>
    </r>
    <r>
      <rPr>
        <vertAlign val="superscript"/>
        <sz val="11"/>
        <rFont val="Arial"/>
        <family val="2"/>
      </rPr>
      <t>3</t>
    </r>
  </si>
  <si>
    <t>Disposition and Recovery/Refund of Regulatory Balances (2019)</t>
  </si>
  <si>
    <t>PILs and Tax Variance for 2006 and Subsequent Years- Sub-account CCA Changes</t>
  </si>
  <si>
    <t>Metered Consumption (kWh) for Transition Customers During the Period When They Were Class B Customers in 2019</t>
  </si>
  <si>
    <t>Metered Class B Consumption (kWh)  for Transition Customers During the Period When They were Class B Customers in 2019</t>
  </si>
  <si>
    <t>Question 1</t>
  </si>
  <si>
    <t>For Accounts 1588 and 1589,</t>
  </si>
  <si>
    <t xml:space="preserve">b) If the accounts were last approved on an interim basis, and </t>
  </si>
  <si>
    <t>Question 2</t>
  </si>
  <si>
    <t>For the remaining Group 1 DVAs,</t>
  </si>
  <si>
    <t>Question 3</t>
  </si>
  <si>
    <t>Question 4</t>
  </si>
  <si>
    <t>Question 5</t>
  </si>
  <si>
    <t>Question 6</t>
  </si>
  <si>
    <t>Yes</t>
  </si>
  <si>
    <t>For Accounts 1508, 1522 and 1592, only show the total control account that is reported in the RRR in the first row for that account in this tab</t>
  </si>
  <si>
    <t>North Bay Hydro Distribution Limited - Espanola service territory</t>
  </si>
  <si>
    <t>North Bay Hydro Distribution Limited - North Bay service territory</t>
  </si>
  <si>
    <t>Distribution Rev.</t>
  </si>
  <si>
    <t>Please indicate the year the account balances were last disposed on a final basis for information purposes.</t>
  </si>
  <si>
    <t xml:space="preserve">Determine whether scenario a or b below applies, then select the appropriate year. </t>
  </si>
  <si>
    <t xml:space="preserve">a) If the accounts balances were last approved on a final basis, select the year of the year-end balances that were last approved on a final basis. </t>
  </si>
  <si>
    <t xml:space="preserve">b) If the accounts balances were last approved on an interim basis, and </t>
  </si>
  <si>
    <t>i) there are no changes to the previously approved interim balances, select the year of the year-end balances that were last approved for diposition on an interim basis.</t>
  </si>
  <si>
    <t>ii) there are changes to the previously approved interim balaces, select the year of the year-end balances that were last approved for disposition on a final basis.</t>
  </si>
  <si>
    <t xml:space="preserve">Please indicate the year of the account balances were last disposed on a final basis for information purposes. </t>
  </si>
  <si>
    <t>Select the earliest account balance vintage year in which there is a balance in Account 1595</t>
  </si>
  <si>
    <r>
      <t>Customer Choice Initiative Costs</t>
    </r>
    <r>
      <rPr>
        <vertAlign val="superscript"/>
        <sz val="11"/>
        <rFont val="Arial"/>
        <family val="2"/>
      </rPr>
      <t>7</t>
    </r>
  </si>
  <si>
    <t>The 1508 sub-account is effective August 5, 2020 in accordance with the September 16, 2020 Accounting Order for the Establishment of a Deferral Account to Record Impacts Arising from Implementing the Customer Choice Initiative Ontario Energy Board File No. EB-2020-0152. Electricity distributors may record incremental costs directly attributable to the customer choice initiative in the sub-account.</t>
  </si>
  <si>
    <r>
      <t>Pension &amp; OPEB Forecast Accrual versus Actual Cash Payment Differential Carrying Charges</t>
    </r>
    <r>
      <rPr>
        <vertAlign val="superscript"/>
        <sz val="11"/>
        <rFont val="Arial"/>
        <family val="2"/>
      </rPr>
      <t>8</t>
    </r>
  </si>
  <si>
    <r>
      <t>Pension &amp; OPEB Forecast Accrual versus Actual Cash Payment Differential</t>
    </r>
    <r>
      <rPr>
        <vertAlign val="superscript"/>
        <sz val="11"/>
        <rFont val="Arial"/>
        <family val="2"/>
      </rPr>
      <t>8</t>
    </r>
  </si>
  <si>
    <r>
      <t>Pension &amp; OPEB Forecast Accrual versus Actual Cash Payment Differential Contra Account</t>
    </r>
    <r>
      <rPr>
        <vertAlign val="superscript"/>
        <sz val="11"/>
        <rFont val="Arial"/>
        <family val="2"/>
      </rPr>
      <t>8</t>
    </r>
  </si>
  <si>
    <t>Account 1580 RSVA WMS balance inputted into this schedule is to exclude any amounts relating to CBR. CBR amounts are to be inputted into Account 1580, sub-accounts CBR Class A and Class B separately.  There is no disposition of Account 1580, sub-account CBR Class A, accounting guidance for this sub-account is to be followed. If a balance exists for Account 1580, sub-account CBR Class A at the December year-end, the balance must be explained.</t>
  </si>
  <si>
    <t>Metered Consumption (kWh) for Transition Customers During the Period When They Were Class B Customers in 2020</t>
  </si>
  <si>
    <t>Metered Class B Consumption (kWh)  for Transition Customers During the Period When They were Class B Customers in 2020</t>
  </si>
  <si>
    <t>Select the earlier of i) the year of the year-end balances in which Group 2 DVAs were last disposed and ii) the earliest year of the year-end balances in which Group 2 DVAs started to accumulate.</t>
  </si>
  <si>
    <t>To determine whether tabs 6 and 6.2 will be generated, answer the following questions:</t>
  </si>
  <si>
    <t>Did you have any Class A customers at any point during the period that the Account 1589 balance accumulated (i.e. from the year the balance selected in #1 above to the year requested for disposition) or forecasted in the test year?</t>
  </si>
  <si>
    <t>Did you have any Class A customers at any point during the period where the balance in Account 1580, Sub-account CBR Class B accumulated (i.e. from the year selected in #2 above to the year requested for disposition) or the forecasted in the test year?</t>
  </si>
  <si>
    <t>Total Group 1 accounts above (excluding 1589)</t>
  </si>
  <si>
    <t>Account 1522 is established effective Januar 1, 2018, in accordance with Report of the OEB - Regulatory Treatment of Pension and Other Post-employment Benefits (OPEBs) Costs EB-2015-0040</t>
  </si>
  <si>
    <t>Refer to the Filing Requirements for Account 1595 disposition eligibility.</t>
  </si>
  <si>
    <r>
      <t>Disposition and Recovery/Refund of Regulatory Balances (2020)</t>
    </r>
    <r>
      <rPr>
        <vertAlign val="superscript"/>
        <sz val="11"/>
        <rFont val="Arial"/>
        <family val="2"/>
      </rPr>
      <t>3</t>
    </r>
  </si>
  <si>
    <t>Disposition and Recovery/Refund of Regulatory Balances (2020)</t>
  </si>
  <si>
    <r>
      <t xml:space="preserve">1595 Recovery Share Proportion (2019) </t>
    </r>
    <r>
      <rPr>
        <b/>
        <vertAlign val="superscript"/>
        <sz val="10"/>
        <rFont val="Arial"/>
        <family val="2"/>
      </rPr>
      <t>1</t>
    </r>
  </si>
  <si>
    <r>
      <t xml:space="preserve">1595 Recovery Share Proportion (2020) </t>
    </r>
    <r>
      <rPr>
        <b/>
        <vertAlign val="superscript"/>
        <sz val="10"/>
        <rFont val="Arial"/>
        <family val="2"/>
      </rPr>
      <t>1</t>
    </r>
  </si>
  <si>
    <r>
      <t>Disposition and Recovery/Refund of Regulatory Balances (2021)</t>
    </r>
    <r>
      <rPr>
        <vertAlign val="superscript"/>
        <sz val="11"/>
        <rFont val="Arial"/>
        <family val="2"/>
      </rPr>
      <t>3</t>
    </r>
  </si>
  <si>
    <r>
      <t xml:space="preserve">1595 Recovery Share Proportion (2021) </t>
    </r>
    <r>
      <rPr>
        <b/>
        <vertAlign val="superscript"/>
        <sz val="10"/>
        <rFont val="Arial"/>
        <family val="2"/>
      </rPr>
      <t>1</t>
    </r>
  </si>
  <si>
    <t>Disposition and Recovery/Refund of Regulatory Balances (2021)</t>
  </si>
  <si>
    <t>Group 1 total (including Account 1589)</t>
  </si>
  <si>
    <t>Group 1 total  (excluding Account 1589)</t>
  </si>
  <si>
    <t xml:space="preserve">RSVA - Global Adjustment </t>
  </si>
  <si>
    <t>Deferred IFRS Transition Costs</t>
  </si>
  <si>
    <t>For Accounts 1595 sub-accounts, indicate whether disposition is requested in column BU.</t>
  </si>
  <si>
    <t>The continuity schedule in tab 2a will open starting from the year balances were last approved for disposition, unless the last approved disposition was on an interim basis and there are changes to those balances. If that is the case, tab 2a will open from the year of last approved disposition on a final basis. A distributor must also provide an explanation for the change in the previously approved balance.</t>
  </si>
  <si>
    <t>Year Selected</t>
  </si>
  <si>
    <t>Under #3b, enter the number of rate classes in which there were full year Class A customers during the period the Account 1589 GA balance or Account 1580 CBR Class B balance accumulated and the test year. These full year Class A customers should include any transition customers identified in table 3a above that were Class A customers for the full year before/after the transition year. A table will be generated based on the number of rate classes. 
Complete the table accordingly for each rate class identified (i.e. the total Class A consumption in the rate class for each year; and a forecast of total Class A and B consumption for transition and full year Class A customers in the test year). This data will be used in the calculation of billing determinants for GA and CBR Class B, as applicable.</t>
  </si>
  <si>
    <t>Alectra Utilities Corporation1595_(2018)</t>
  </si>
  <si>
    <t>Algoma Power Inc.1595_(2018)</t>
  </si>
  <si>
    <t>Atikokan Hydro Inc.1595_(2018)</t>
  </si>
  <si>
    <t>Bluewater Power Distribution Corporation1595_(2018)</t>
  </si>
  <si>
    <t>Brantford Power Inc.1595_(2018)</t>
  </si>
  <si>
    <t>Burlington Hydro Inc.1595_(2018)</t>
  </si>
  <si>
    <t>Canadian Niagara Power Inc.1595_(2018)</t>
  </si>
  <si>
    <t>Centre Wellington Hydro Ltd.1595_(2018)</t>
  </si>
  <si>
    <t>Chapleau Public Utilities Corporation1595_(2018)</t>
  </si>
  <si>
    <t>Cooperative Hydro Embrun Inc.1595_(2018)</t>
  </si>
  <si>
    <t>E.L.K. Energy Inc.1595_(2018)</t>
  </si>
  <si>
    <t>ENWIN Utilities Ltd.1508</t>
  </si>
  <si>
    <t>ENWIN Utilities Ltd.1518</t>
  </si>
  <si>
    <t>ENWIN Utilities Ltd.1522</t>
  </si>
  <si>
    <t>ENWIN Utilities Ltd.1525</t>
  </si>
  <si>
    <t>ENWIN Utilities Ltd.1531</t>
  </si>
  <si>
    <t>ENWIN Utilities Ltd.1532</t>
  </si>
  <si>
    <t>ENWIN Utilities Ltd.1533</t>
  </si>
  <si>
    <t>ENWIN Utilities Ltd.1534</t>
  </si>
  <si>
    <t>ENWIN Utilities Ltd.1535</t>
  </si>
  <si>
    <t>ENWIN Utilities Ltd.1536</t>
  </si>
  <si>
    <t>ENWIN Utilities Ltd.1548</t>
  </si>
  <si>
    <t>ENWIN Utilities Ltd.1550</t>
  </si>
  <si>
    <t>ENWIN Utilities Ltd.1551</t>
  </si>
  <si>
    <t>ENWIN Utilities Ltd.1555</t>
  </si>
  <si>
    <t>ENWIN Utilities Ltd.1557</t>
  </si>
  <si>
    <t>ENWIN Utilities Ltd.1568</t>
  </si>
  <si>
    <t>ENWIN Utilities Ltd.1572</t>
  </si>
  <si>
    <t>ENWIN Utilities Ltd.1574</t>
  </si>
  <si>
    <t>ENWIN Utilities Ltd.1575</t>
  </si>
  <si>
    <t>ENWIN Utilities Ltd.1576</t>
  </si>
  <si>
    <t>ENWIN Utilities Ltd.1580</t>
  </si>
  <si>
    <t>ENWIN Utilities Ltd.1582</t>
  </si>
  <si>
    <t>ENWIN Utilities Ltd.1584</t>
  </si>
  <si>
    <t>ENWIN Utilities Ltd.1586</t>
  </si>
  <si>
    <t>ENWIN Utilities Ltd.1588</t>
  </si>
  <si>
    <t>ENWIN Utilities Ltd.1589</t>
  </si>
  <si>
    <t>ENWIN Utilities Ltd.1592</t>
  </si>
  <si>
    <t>ENWIN Utilities Ltd.1595</t>
  </si>
  <si>
    <t>ENWIN Utilities Ltd.1595_(2008)</t>
  </si>
  <si>
    <t>ENWIN Utilities Ltd.1595_(2009)</t>
  </si>
  <si>
    <t>ENWIN Utilities Ltd.1595_(2010)</t>
  </si>
  <si>
    <t>ENWIN Utilities Ltd.1595_(2011)</t>
  </si>
  <si>
    <t>ENWIN Utilities Ltd.1595_(2012)</t>
  </si>
  <si>
    <t>ENWIN Utilities Ltd.1595_(2013)</t>
  </si>
  <si>
    <t>ENWIN Utilities Ltd.1595_(2014)</t>
  </si>
  <si>
    <t>ENWIN Utilities Ltd.1595_(2015)</t>
  </si>
  <si>
    <t>ENWIN Utilities Ltd.1595_(2016)</t>
  </si>
  <si>
    <t>ENWIN Utilities Ltd.1595_(2017)</t>
  </si>
  <si>
    <t>ENWIN Utilities Ltd.1595_(2018)</t>
  </si>
  <si>
    <t>ENWIN Utilities Ltd.1595_ControlAccount</t>
  </si>
  <si>
    <t>ENWIN Utilities Ltd.2425</t>
  </si>
  <si>
    <t>EPCOR Electricity Distribution Ontario Inc.1595_(2018)</t>
  </si>
  <si>
    <t>ERTH Power Corporation</t>
  </si>
  <si>
    <t>ERTH Power Corporation1508</t>
  </si>
  <si>
    <t>ERTH Power Corporation1518</t>
  </si>
  <si>
    <t>ERTH Power Corporation1522</t>
  </si>
  <si>
    <t>ERTH Power Corporation1525</t>
  </si>
  <si>
    <t>ERTH Power Corporation1531</t>
  </si>
  <si>
    <t>ERTH Power Corporation1532</t>
  </si>
  <si>
    <t>ERTH Power Corporation1533</t>
  </si>
  <si>
    <t>ERTH Power Corporation1534</t>
  </si>
  <si>
    <t>ERTH Power Corporation1535</t>
  </si>
  <si>
    <t>ERTH Power Corporation1536</t>
  </si>
  <si>
    <t>ERTH Power Corporation1548</t>
  </si>
  <si>
    <t>ERTH Power Corporation1550</t>
  </si>
  <si>
    <t>ERTH Power Corporation1551</t>
  </si>
  <si>
    <t>ERTH Power Corporation1555</t>
  </si>
  <si>
    <t>ERTH Power Corporation1557</t>
  </si>
  <si>
    <t>ERTH Power Corporation1568</t>
  </si>
  <si>
    <t>ERTH Power Corporation1572</t>
  </si>
  <si>
    <t>ERTH Power Corporation1574</t>
  </si>
  <si>
    <t>ERTH Power Corporation1575</t>
  </si>
  <si>
    <t>ERTH Power Corporation1576</t>
  </si>
  <si>
    <t>ERTH Power Corporation1580</t>
  </si>
  <si>
    <t>ERTH Power Corporation1582</t>
  </si>
  <si>
    <t>ERTH Power Corporation1584</t>
  </si>
  <si>
    <t>ERTH Power Corporation1586</t>
  </si>
  <si>
    <t>ERTH Power Corporation1588</t>
  </si>
  <si>
    <t>ERTH Power Corporation1589</t>
  </si>
  <si>
    <t>ERTH Power Corporation1592</t>
  </si>
  <si>
    <t>ERTH Power Corporation1595</t>
  </si>
  <si>
    <t>ERTH Power Corporation1595_(2008)</t>
  </si>
  <si>
    <t>ERTH Power Corporation1595_(2009)</t>
  </si>
  <si>
    <t>ERTH Power Corporation1595_(2010)</t>
  </si>
  <si>
    <t>ERTH Power Corporation1595_(2011)</t>
  </si>
  <si>
    <t>ERTH Power Corporation1595_(2012)</t>
  </si>
  <si>
    <t>ERTH Power Corporation1595_(2013)</t>
  </si>
  <si>
    <t>ERTH Power Corporation1595_(2014)</t>
  </si>
  <si>
    <t>ERTH Power Corporation1595_(2015)</t>
  </si>
  <si>
    <t>ERTH Power Corporation1595_(2016)</t>
  </si>
  <si>
    <t>ERTH Power Corporation1595_(2017)</t>
  </si>
  <si>
    <t>ERTH Power Corporation1595_(2018)</t>
  </si>
  <si>
    <t>ERTH Power Corporation1595_ControlAccount</t>
  </si>
  <si>
    <t>ERTH Power Corporation2425</t>
  </si>
  <si>
    <t>Elexicon Energy Inc.</t>
  </si>
  <si>
    <t>Elexicon Energy Inc.1508</t>
  </si>
  <si>
    <t>Elexicon Energy Inc.1518</t>
  </si>
  <si>
    <t>Elexicon Energy Inc.1522</t>
  </si>
  <si>
    <t>Elexicon Energy Inc.1525</t>
  </si>
  <si>
    <t>Elexicon Energy Inc.1531</t>
  </si>
  <si>
    <t>Elexicon Energy Inc.1532</t>
  </si>
  <si>
    <t>Elexicon Energy Inc.1533</t>
  </si>
  <si>
    <t>Elexicon Energy Inc.1534</t>
  </si>
  <si>
    <t>Elexicon Energy Inc.1535</t>
  </si>
  <si>
    <t>Elexicon Energy Inc.1536</t>
  </si>
  <si>
    <t>Elexicon Energy Inc.1548</t>
  </si>
  <si>
    <t>Elexicon Energy Inc.1550</t>
  </si>
  <si>
    <t>Elexicon Energy Inc.1551</t>
  </si>
  <si>
    <t>Elexicon Energy Inc.1555</t>
  </si>
  <si>
    <t>Elexicon Energy Inc.1557</t>
  </si>
  <si>
    <t>Elexicon Energy Inc.1568</t>
  </si>
  <si>
    <t>Elexicon Energy Inc.1572</t>
  </si>
  <si>
    <t>Elexicon Energy Inc.1574</t>
  </si>
  <si>
    <t>Elexicon Energy Inc.1575</t>
  </si>
  <si>
    <t>Elexicon Energy Inc.1576</t>
  </si>
  <si>
    <t>Elexicon Energy Inc.1580</t>
  </si>
  <si>
    <t>Elexicon Energy Inc.1582</t>
  </si>
  <si>
    <t>Elexicon Energy Inc.1584</t>
  </si>
  <si>
    <t>Elexicon Energy Inc.1586</t>
  </si>
  <si>
    <t>Elexicon Energy Inc.1588</t>
  </si>
  <si>
    <t>Elexicon Energy Inc.1589</t>
  </si>
  <si>
    <t>Elexicon Energy Inc.1592</t>
  </si>
  <si>
    <t>Elexicon Energy Inc.1595</t>
  </si>
  <si>
    <t>Elexicon Energy Inc.1595_(2008)</t>
  </si>
  <si>
    <t>Elexicon Energy Inc.1595_(2009)</t>
  </si>
  <si>
    <t>Elexicon Energy Inc.1595_(2010)</t>
  </si>
  <si>
    <t>Elexicon Energy Inc.1595_(2011)</t>
  </si>
  <si>
    <t>Elexicon Energy Inc.1595_(2012)</t>
  </si>
  <si>
    <t>Elexicon Energy Inc.1595_(2013)</t>
  </si>
  <si>
    <t>Elexicon Energy Inc.1595_(2014)</t>
  </si>
  <si>
    <t>Elexicon Energy Inc.1595_(2015)</t>
  </si>
  <si>
    <t>Elexicon Energy Inc.1595_(2016)</t>
  </si>
  <si>
    <t>Elexicon Energy Inc.1595_(2017)</t>
  </si>
  <si>
    <t>Elexicon Energy Inc.1595_(2018)</t>
  </si>
  <si>
    <t>Elexicon Energy Inc.1595_ControlAccount</t>
  </si>
  <si>
    <t>Elexicon Energy Inc.2425</t>
  </si>
  <si>
    <t>Energy Plus Inc.1595_(2018)</t>
  </si>
  <si>
    <t>Entegrus Powerlines Inc.1595_(2018)</t>
  </si>
  <si>
    <t>Espanola Regional Hydro Distribution Corporation1595_(2018)</t>
  </si>
  <si>
    <t>Essex Powerlines Corporation1595_(2018)</t>
  </si>
  <si>
    <t>Festival Hydro Inc.1595_(2018)</t>
  </si>
  <si>
    <t>Fort Frances Power Corporation1595_(2018)</t>
  </si>
  <si>
    <t>Greater Sudbury Hydro Inc.1595_(2018)</t>
  </si>
  <si>
    <t>Grimsby Power Incorporated1595_(2018)</t>
  </si>
  <si>
    <t>Halton Hills Hydro Inc.1595_(2018)</t>
  </si>
  <si>
    <t>Hearst Power Distribution Company Ltd.</t>
  </si>
  <si>
    <t>Hearst Power Distribution Company Limited1508</t>
  </si>
  <si>
    <t>Hearst Power Distribution Company Limited1518</t>
  </si>
  <si>
    <t>Hearst Power Distribution Company Limited1522</t>
  </si>
  <si>
    <t>Hearst Power Distribution Company Limited1525</t>
  </si>
  <si>
    <t>Hearst Power Distribution Company Limited1531</t>
  </si>
  <si>
    <t>Hearst Power Distribution Company Limited1532</t>
  </si>
  <si>
    <t>Hearst Power Distribution Company Limited1533</t>
  </si>
  <si>
    <t>Hearst Power Distribution Company Limited1534</t>
  </si>
  <si>
    <t>Hearst Power Distribution Company Limited1535</t>
  </si>
  <si>
    <t>Hearst Power Distribution Company Limited1536</t>
  </si>
  <si>
    <t>Hearst Power Distribution Company Limited1548</t>
  </si>
  <si>
    <t>Hearst Power Distribution Company Limited1550</t>
  </si>
  <si>
    <t>Hearst Power Distribution Company Limited1551</t>
  </si>
  <si>
    <t>Hearst Power Distribution Company Limited1555</t>
  </si>
  <si>
    <t>Hearst Power Distribution Company Limited1557</t>
  </si>
  <si>
    <t>Hearst Power Distribution Company Limited1568</t>
  </si>
  <si>
    <t>Hearst Power Distribution Company Limited1572</t>
  </si>
  <si>
    <t>Hearst Power Distribution Company Limited1574</t>
  </si>
  <si>
    <t>Hearst Power Distribution Company Limited1575</t>
  </si>
  <si>
    <t>Hearst Power Distribution Company Limited1576</t>
  </si>
  <si>
    <t>Hearst Power Distribution Company Limited1580</t>
  </si>
  <si>
    <t>Hearst Power Distribution Company Limited1582</t>
  </si>
  <si>
    <t>Hearst Power Distribution Company Limited1584</t>
  </si>
  <si>
    <t>Hearst Power Distribution Company Limited1586</t>
  </si>
  <si>
    <t>Hearst Power Distribution Company Limited1588</t>
  </si>
  <si>
    <t>Hearst Power Distribution Company Limited1589</t>
  </si>
  <si>
    <t>Hearst Power Distribution Company Limited1592</t>
  </si>
  <si>
    <t>Hearst Power Distribution Company Limited1595</t>
  </si>
  <si>
    <t>Hearst Power Distribution Company Limited1595_(2008)</t>
  </si>
  <si>
    <t>Hearst Power Distribution Company Limited1595_(2009)</t>
  </si>
  <si>
    <t>Hearst Power Distribution Company Limited1595_(2010)</t>
  </si>
  <si>
    <t>Hearst Power Distribution Company Limited1595_(2011)</t>
  </si>
  <si>
    <t>Hearst Power Distribution Company Limited1595_(2012)</t>
  </si>
  <si>
    <t>Hearst Power Distribution Company Limited1595_(2013)</t>
  </si>
  <si>
    <t>Hearst Power Distribution Company Limited1595_(2014)</t>
  </si>
  <si>
    <t>Hearst Power Distribution Company Limited1595_(2015)</t>
  </si>
  <si>
    <t>Hearst Power Distribution Company Limited1595_(2016)</t>
  </si>
  <si>
    <t>Hearst Power Distribution Company Limited1595_(2017)</t>
  </si>
  <si>
    <t>Hearst Power Distribution Company Limited1595_(2018)</t>
  </si>
  <si>
    <t>Hearst Power Distribution Company Limited1595_ControlAccount</t>
  </si>
  <si>
    <t>Hearst Power Distribution Company Limited2425</t>
  </si>
  <si>
    <t>Hydro 2000 Inc.1595_(2018)</t>
  </si>
  <si>
    <t>Hydro Hawkesbury Inc.1595_(2018)</t>
  </si>
  <si>
    <t>Hydro One Networks Inc.1595_(2018)</t>
  </si>
  <si>
    <t>Hydro One Remote Communities Inc.1595_(2018)</t>
  </si>
  <si>
    <t>Hydro Ottawa Limited1595_(2018)</t>
  </si>
  <si>
    <t>Innpower Corporation1595_(2018)</t>
  </si>
  <si>
    <t>Kingston Hydro Corporation1595_(2018)</t>
  </si>
  <si>
    <t>Kitchener-Wilmot Hydro Inc.1595_(2018)</t>
  </si>
  <si>
    <t>Lakefront Utilities Inc.1595_(2018)</t>
  </si>
  <si>
    <t>Lakeland Power Distribution Ltd.1595_(2018)</t>
  </si>
  <si>
    <t>London Hydro Inc.1595_(2018)</t>
  </si>
  <si>
    <t>Milton Hydro Distribution Inc.1595_(2018)</t>
  </si>
  <si>
    <t>Newmarket-Tay Power Distribution Ltd.1595_(2018)</t>
  </si>
  <si>
    <t>Niagara Peninsula Energy Inc.1595_(2018)</t>
  </si>
  <si>
    <t>Niagara-on-the-Lake Hydro Inc.1595_(2018)</t>
  </si>
  <si>
    <t>North Bay Hydro Distribution Limited1595_(2018)</t>
  </si>
  <si>
    <t>Northern Ontario Wires Inc.1595_(2018)</t>
  </si>
  <si>
    <t>Oakville Hydro Electricity Distribution Inc.1595_(2018)</t>
  </si>
  <si>
    <t>Orangeville Hydro Limited1595_(2018)</t>
  </si>
  <si>
    <t>Orillia Power Distribution Corporation1595_(2018)</t>
  </si>
  <si>
    <t>Oshawa PUC Networks Inc.1595_(2018)</t>
  </si>
  <si>
    <t>Ottawa River Power Corporation1595_(2018)</t>
  </si>
  <si>
    <t>PUC Distribution Inc.1595_(2018)</t>
  </si>
  <si>
    <t>Renfrew Hydro Inc.1595_(2018)</t>
  </si>
  <si>
    <t>Rideau St. Lawrence Distribution Inc.1595_(2018)</t>
  </si>
  <si>
    <t>Sioux Lookout Hydro Inc.1595_(2018)</t>
  </si>
  <si>
    <t>Synergy North Corporation</t>
  </si>
  <si>
    <t>Synergy North Corporation1508</t>
  </si>
  <si>
    <t>Synergy North Corporation1518</t>
  </si>
  <si>
    <t>Synergy North Corporation1522</t>
  </si>
  <si>
    <t>Synergy North Corporation1525</t>
  </si>
  <si>
    <t>Synergy North Corporation1531</t>
  </si>
  <si>
    <t>Synergy North Corporation1532</t>
  </si>
  <si>
    <t>Synergy North Corporation1533</t>
  </si>
  <si>
    <t>Synergy North Corporation1534</t>
  </si>
  <si>
    <t>Synergy North Corporation1535</t>
  </si>
  <si>
    <t>Synergy North Corporation1536</t>
  </si>
  <si>
    <t>Synergy North Corporation1548</t>
  </si>
  <si>
    <t>Synergy North Corporation1550</t>
  </si>
  <si>
    <t>Synergy North Corporation1551</t>
  </si>
  <si>
    <t>Synergy North Corporation1555</t>
  </si>
  <si>
    <t>Synergy North Corporation1557</t>
  </si>
  <si>
    <t>Synergy North Corporation1568</t>
  </si>
  <si>
    <t>Synergy North Corporation1572</t>
  </si>
  <si>
    <t>Synergy North Corporation1574</t>
  </si>
  <si>
    <t>Synergy North Corporation1575</t>
  </si>
  <si>
    <t>Synergy North Corporation1576</t>
  </si>
  <si>
    <t>Synergy North Corporation1580</t>
  </si>
  <si>
    <t>Synergy North Corporation1582</t>
  </si>
  <si>
    <t>Synergy North Corporation1584</t>
  </si>
  <si>
    <t>Synergy North Corporation1586</t>
  </si>
  <si>
    <t>Synergy North Corporation1588</t>
  </si>
  <si>
    <t>Synergy North Corporation1589</t>
  </si>
  <si>
    <t>Synergy North Corporation1592</t>
  </si>
  <si>
    <t>Synergy North Corporation1595</t>
  </si>
  <si>
    <t>Synergy North Corporation1595_(2008)</t>
  </si>
  <si>
    <t>Synergy North Corporation1595_(2009)</t>
  </si>
  <si>
    <t>Synergy North Corporation1595_(2010)</t>
  </si>
  <si>
    <t>Synergy North Corporation1595_(2011)</t>
  </si>
  <si>
    <t>Synergy North Corporation1595_(2012)</t>
  </si>
  <si>
    <t>Synergy North Corporation1595_(2013)</t>
  </si>
  <si>
    <t>Synergy North Corporation1595_(2014)</t>
  </si>
  <si>
    <t>Synergy North Corporation1595_(2015)</t>
  </si>
  <si>
    <t>Synergy North Corporation1595_(2016)</t>
  </si>
  <si>
    <t>Synergy North Corporation1595_(2017)</t>
  </si>
  <si>
    <t>Synergy North Corporation1595_(2018)</t>
  </si>
  <si>
    <t>Synergy North Corporation1595_ControlAccount</t>
  </si>
  <si>
    <t>Synergy North Corporation2425</t>
  </si>
  <si>
    <t>Tillsonburg Hydro Inc.1595_(2018)</t>
  </si>
  <si>
    <t>Toronto Hydro-Electric System Limited1595_(2018)</t>
  </si>
  <si>
    <t>Wasaga Distribution Inc.1595_(2018)</t>
  </si>
  <si>
    <t>Waterloo North Hydro Inc.1595_(2018)</t>
  </si>
  <si>
    <t>Welland Hydro-Electric System Corp.1595_(2018)</t>
  </si>
  <si>
    <t>Wellington North Power Inc.1595_(2018)</t>
  </si>
  <si>
    <t>Westario Power Inc.1595_(2018)</t>
  </si>
  <si>
    <t>In the table, enter 
i) the total Class A consumption for full year Class A customers in each rate class for each year, including any transition customer's consumption identified in table 3a above that were Class A customers for the full year before/after the transition year (E.g. If a customer transitioned from Class B to A in 2019, exclude this customer's consumption for 2019 but include this customer's consumption in 2020 as the customer was a Class A customer for the full year); and 
ii) the total forecast Class A and Class B consumption for transition customers and full year Class A customers in each rate class for the test year.</t>
  </si>
  <si>
    <t>Time run: 7/9/2021 3:01:00 PM</t>
  </si>
  <si>
    <t>1937680 Ontario Inc.</t>
  </si>
  <si>
    <t>1937680 Ontario Inc.1508</t>
  </si>
  <si>
    <t>1937680 Ontario Inc.1518</t>
  </si>
  <si>
    <t>1937680 Ontario Inc.1522</t>
  </si>
  <si>
    <t>1937680 Ontario Inc.1525</t>
  </si>
  <si>
    <t>1937680 Ontario Inc.1531</t>
  </si>
  <si>
    <t>1937680 Ontario Inc.1532</t>
  </si>
  <si>
    <t>1937680 Ontario Inc.1533</t>
  </si>
  <si>
    <t>1937680 Ontario Inc.1534</t>
  </si>
  <si>
    <t>1937680 Ontario Inc.1535</t>
  </si>
  <si>
    <t>1937680 Ontario Inc.1536</t>
  </si>
  <si>
    <t>1937680 Ontario Inc.1548</t>
  </si>
  <si>
    <t>1937680 Ontario Inc.1550</t>
  </si>
  <si>
    <t>1937680 Ontario Inc.1551</t>
  </si>
  <si>
    <t>1937680 Ontario Inc.1555</t>
  </si>
  <si>
    <t>1937680 Ontario Inc.1557</t>
  </si>
  <si>
    <t>1937680 Ontario Inc.1568</t>
  </si>
  <si>
    <t>1937680 Ontario Inc.1572</t>
  </si>
  <si>
    <t>1937680 Ontario Inc.1574</t>
  </si>
  <si>
    <t>1937680 Ontario Inc.1575</t>
  </si>
  <si>
    <t>1937680 Ontario Inc.1576</t>
  </si>
  <si>
    <t>1937680 Ontario Inc.1580</t>
  </si>
  <si>
    <t>1937680 Ontario Inc.1582</t>
  </si>
  <si>
    <t>1937680 Ontario Inc.1584</t>
  </si>
  <si>
    <t>1937680 Ontario Inc.1586</t>
  </si>
  <si>
    <t>1937680 Ontario Inc.1588</t>
  </si>
  <si>
    <t>1937680 Ontario Inc.1589</t>
  </si>
  <si>
    <t>1937680 Ontario Inc.1592</t>
  </si>
  <si>
    <t>1937680 Ontario Inc.1595</t>
  </si>
  <si>
    <t>1937680 Ontario Inc.1595_(2008)</t>
  </si>
  <si>
    <t>1937680 Ontario Inc.1595_(2009)</t>
  </si>
  <si>
    <t>1937680 Ontario Inc.1595_(2010)</t>
  </si>
  <si>
    <t>1937680 Ontario Inc.1595_(2011)</t>
  </si>
  <si>
    <t>1937680 Ontario Inc.1595_(2012)</t>
  </si>
  <si>
    <t>1937680 Ontario Inc.1595_(2013)</t>
  </si>
  <si>
    <t>1937680 Ontario Inc.1595_(2014)</t>
  </si>
  <si>
    <t>1937680 Ontario Inc.1595_(2015)</t>
  </si>
  <si>
    <t>1937680 Ontario Inc.1595_(2016)</t>
  </si>
  <si>
    <t>1937680 Ontario Inc.1595_(2017)</t>
  </si>
  <si>
    <t>1937680 Ontario Inc.1595_(2018)</t>
  </si>
  <si>
    <t>1937680 Ontario Inc.1595_ControlAccount</t>
  </si>
  <si>
    <t>1937680 Ontario Inc.2425</t>
  </si>
  <si>
    <t>Cornwall Street Railway Light and Power Company Limited</t>
  </si>
  <si>
    <t>Cornwall Street Railway Light and Power Company Limited1508</t>
  </si>
  <si>
    <t>Cornwall Street Railway Light and Power Company Limited1518</t>
  </si>
  <si>
    <t>Cornwall Street Railway Light and Power Company Limited1522</t>
  </si>
  <si>
    <t>Cornwall Street Railway Light and Power Company Limited1525</t>
  </si>
  <si>
    <t>Cornwall Street Railway Light and Power Company Limited1531</t>
  </si>
  <si>
    <t>Cornwall Street Railway Light and Power Company Limited1532</t>
  </si>
  <si>
    <t>Cornwall Street Railway Light and Power Company Limited1533</t>
  </si>
  <si>
    <t>Cornwall Street Railway Light and Power Company Limited1534</t>
  </si>
  <si>
    <t>Cornwall Street Railway Light and Power Company Limited1535</t>
  </si>
  <si>
    <t>Cornwall Street Railway Light and Power Company Limited1536</t>
  </si>
  <si>
    <t>Cornwall Street Railway Light and Power Company Limited1548</t>
  </si>
  <si>
    <t>Cornwall Street Railway Light and Power Company Limited1550</t>
  </si>
  <si>
    <t>Cornwall Street Railway Light and Power Company Limited1551</t>
  </si>
  <si>
    <t>Cornwall Street Railway Light and Power Company Limited1555</t>
  </si>
  <si>
    <t>Cornwall Street Railway Light and Power Company Limited1557</t>
  </si>
  <si>
    <t>Cornwall Street Railway Light and Power Company Limited1568</t>
  </si>
  <si>
    <t>Cornwall Street Railway Light and Power Company Limited1572</t>
  </si>
  <si>
    <t>Cornwall Street Railway Light and Power Company Limited1574</t>
  </si>
  <si>
    <t>Cornwall Street Railway Light and Power Company Limited1575</t>
  </si>
  <si>
    <t>Cornwall Street Railway Light and Power Company Limited1576</t>
  </si>
  <si>
    <t>Cornwall Street Railway Light and Power Company Limited1580</t>
  </si>
  <si>
    <t>Cornwall Street Railway Light and Power Company Limited1582</t>
  </si>
  <si>
    <t>Cornwall Street Railway Light and Power Company Limited1584</t>
  </si>
  <si>
    <t>Cornwall Street Railway Light and Power Company Limited1586</t>
  </si>
  <si>
    <t>Cornwall Street Railway Light and Power Company Limited1588</t>
  </si>
  <si>
    <t>Cornwall Street Railway Light and Power Company Limited1589</t>
  </si>
  <si>
    <t>Cornwall Street Railway Light and Power Company Limited1592</t>
  </si>
  <si>
    <t>Cornwall Street Railway Light and Power Company Limited1595</t>
  </si>
  <si>
    <t>Cornwall Street Railway Light and Power Company Limited1595_(2008)</t>
  </si>
  <si>
    <t>Cornwall Street Railway Light and Power Company Limited1595_(2009)</t>
  </si>
  <si>
    <t>Cornwall Street Railway Light and Power Company Limited1595_(2010)</t>
  </si>
  <si>
    <t>Cornwall Street Railway Light and Power Company Limited1595_(2011)</t>
  </si>
  <si>
    <t>Cornwall Street Railway Light and Power Company Limited1595_(2012)</t>
  </si>
  <si>
    <t>Cornwall Street Railway Light and Power Company Limited1595_(2013)</t>
  </si>
  <si>
    <t>Cornwall Street Railway Light and Power Company Limited1595_(2014)</t>
  </si>
  <si>
    <t>Cornwall Street Railway Light and Power Company Limited1595_(2015)</t>
  </si>
  <si>
    <t>Cornwall Street Railway Light and Power Company Limited1595_(2016)</t>
  </si>
  <si>
    <t>Cornwall Street Railway Light and Power Company Limited1595_(2017)</t>
  </si>
  <si>
    <t>Cornwall Street Railway Light and Power Company Limited1595_(2018)</t>
  </si>
  <si>
    <t>Cornwall Street Railway Light and Power Company Limited1595_ControlAccount</t>
  </si>
  <si>
    <t>Cornwall Street Railway Light and Power Company Limited2425</t>
  </si>
  <si>
    <t>VIEW_TRIALBALANCE217.Account_No IN ('1518', '1522', '1525', '1531', '1532', '1533', '1534', '1535', '1536', '1548', '1550', '1551', '1555', '1557', '1568', '1572', '1574', '1575', '1576', '1580', '1582', '1584', '1586', '1588', '1589', '1590', '1592', '1595', '2425') or (VIEW_TRIALBALANCE217.Account_No='1508' and VIEW_TRIALBALANCE217.Account_Description = 'Other Regulatory Assets')</t>
  </si>
  <si>
    <t>and</t>
  </si>
  <si>
    <r>
      <rPr>
        <sz val="8"/>
        <color theme="1"/>
        <rFont val="Calibri"/>
        <family val="2"/>
      </rPr>
      <t xml:space="preserve">Due Year is equal to / is in </t>
    </r>
    <r>
      <rPr>
        <b/>
        <sz val="8"/>
        <color theme="1"/>
        <rFont val="Calibri"/>
        <family val="2"/>
      </rPr>
      <t>2021</t>
    </r>
  </si>
  <si>
    <r>
      <t>Disposition and Recovery/Refund of Regulatory Balances (2022)</t>
    </r>
    <r>
      <rPr>
        <vertAlign val="superscript"/>
        <sz val="11"/>
        <rFont val="Arial"/>
        <family val="2"/>
      </rPr>
      <t>3</t>
    </r>
  </si>
  <si>
    <t>Disposition and Recovery/Refund of Regulatory Balances (2022)</t>
  </si>
  <si>
    <t>The individual sub-accounts as well as the total for all Account 1595 sub-accounts is to agree to the RRR data.  Differences need to be explained. For each Account 1595 sub-account, the transfer of the balance approved for disposition into Account 1595 is to be recorded in "OEB Approved Disposition" column. The recovery/refund is to be recorded in the "Transaction" column. Any vintage year of Account 1595 is only to be disposed once on a final basis. No further dispositions of these accounts are generally expected thereafter, unless justified by the distributor.
Refer to Filing Requirements for disposition eligibility of the sub-accounts. Select "yes" column BU if the sub-account is requested for disposition. Note that Accounts 1595 (2020), (2021) and (2022) will not be eligilble for disposition in the 2023 rate application.</t>
  </si>
  <si>
    <t>1) If the LDC’s rate year begins on January 1, 2023, the projected interest is recorded from January 1, 2022 to December 31, 2022 on the December 31, 2021 balances, adjusted to remove balances approved for disposition in the 2022 rate decision. 
 2) If the LDC’s rate year begins on May 1, 2023, the projected interest is recorded from January 1, 2022 to April 30, 2023 on the December 31, 2021 balances, adjusted to remove balances approved for disposition in the 2022 rate decision.</t>
  </si>
  <si>
    <t xml:space="preserve">In the Group 2 continuity schedule tab 2b, Account 1508, Sub-account Local Initiatives Program Costs and Account 1508, Sub-account Green Button Initiative Costs have been added. </t>
  </si>
  <si>
    <t>Account 1509 - Impacts Arising from the COVID-19 Emergency has been added to the Group 2 continuity schedule tab 2b. A separate rider is calculated for this account in tab 7 if disposition is approved.</t>
  </si>
  <si>
    <r>
      <t>a)</t>
    </r>
    <r>
      <rPr>
        <u/>
        <sz val="10.5"/>
        <color theme="1"/>
        <rFont val="Arial"/>
        <family val="2"/>
      </rPr>
      <t xml:space="preserve"> For all Group 1 accounts, except Account 1595:</t>
    </r>
    <r>
      <rPr>
        <sz val="10.5"/>
        <color theme="1"/>
        <rFont val="Arial"/>
        <family val="2"/>
      </rPr>
      <t xml:space="preserve">
The continuity schedule generally will open from the year the GL balance was last disposed.  Start inputting the approved ending balances in the Adjustments column of that year.
</t>
    </r>
    <r>
      <rPr>
        <i/>
        <sz val="10.5"/>
        <color theme="1"/>
        <rFont val="Arial"/>
        <family val="2"/>
      </rPr>
      <t>For example, if in the 2022 rate application, DVA balances as at December 13, 2020 were approved for disposition, the continuity schedule will commence from 2020.  Start by inputting the approved closing 2020 balances in the Adjustments column under 2020.</t>
    </r>
  </si>
  <si>
    <r>
      <rPr>
        <u/>
        <sz val="10.5"/>
        <color theme="1"/>
        <rFont val="Arial"/>
        <family val="2"/>
      </rPr>
      <t xml:space="preserve">b) For all Account 1595 sub-accounts: </t>
    </r>
    <r>
      <rPr>
        <sz val="10.5"/>
        <color theme="1"/>
        <rFont val="Arial"/>
        <family val="2"/>
      </rPr>
      <t xml:space="preserve">
Complete the DVA continuity schedule for each Account 1595 vintage year that has a GL balance as at December 31, 2021, regardless of whether the account is eligible for disposition in the current application. 
The continuity schedule will open in the year of the earliest Account 1595 vintage year that has a balance. For each Account 1595 sub-account, start inputting data from the year the sub-account started to accumulate a balance (i.e. the vintage year). 
</t>
    </r>
    <r>
      <rPr>
        <i/>
        <sz val="10.5"/>
        <color theme="1"/>
        <rFont val="Arial"/>
        <family val="2"/>
      </rPr>
      <t>For example, Account 1595 (2017) would accumulate a balance starting in 2017, when the relevant balances approved for disposition were first transferred into Account 1595 (2017). Input the amount approved for disposition in the OEB Approved Disposition column.</t>
    </r>
    <r>
      <rPr>
        <sz val="10.5"/>
        <color theme="1"/>
        <rFont val="Arial"/>
        <family val="2"/>
      </rPr>
      <t xml:space="preserve">
Note that the DVA continuity schedule can currently start from 2016. If a utility has residual balance in an Account 1595 with a vintage year prior to 2016, include residual balances for years up to 2016 in the row for Account 1595 (2016 and pre-2016) and provide a separate schedule with amounts broken down by vintage year.</t>
    </r>
  </si>
  <si>
    <r>
      <rPr>
        <u/>
        <sz val="10.5"/>
        <color theme="1"/>
        <rFont val="Arial"/>
        <family val="2"/>
      </rPr>
      <t>c) For all Group 2 accounts:</t>
    </r>
    <r>
      <rPr>
        <sz val="10.5"/>
        <color theme="1"/>
        <rFont val="Arial"/>
        <family val="2"/>
      </rPr>
      <t xml:space="preserve">
The continuity schedule will open from the earlier of i) the year the GL balance was last disposed, or ii) the earliest year in which balances started to accumulate. Start inputting approved ending balances in the Adjustment columns of that year.
</t>
    </r>
    <r>
      <rPr>
        <i/>
        <sz val="10.5"/>
        <color theme="1"/>
        <rFont val="Arial"/>
        <family val="2"/>
      </rPr>
      <t>For example, if in the 2018 rebasing rate application, DVA balances as at December 13, 2016 were approved for disposition, the continuity schedule will commence from 2016. Start by inputting the approved closing 2016 balances in the Adjustments column under 2016 for the applicable accounts.</t>
    </r>
  </si>
  <si>
    <t xml:space="preserve">Enter the number of utility-specific 1508 sub-accounts that are approved for the utility in the drop down box in column B.  The DVA continuity schedule will generate the number of utility-specific 1508 sub-accounts. Input the name and the balances of the sub-account(s). </t>
  </si>
  <si>
    <t>Complete the billing determinants table based on the load forecast. Note that column E (i.e. columns O and P in excel) are generated when a utility indicates they have Class A customers in tab 1. Information in these columns are populated based on data from tab 6.</t>
  </si>
  <si>
    <t xml:space="preserve">This tab allocates the GA balance to each transition customer for the period in which these customers were Class B customers and contributed to the GA balance (i.e. former Class B customers who contributed to the GA balance but are now Class A customers, and former Class A customers who are now Class B customers contributing to the GA balance). </t>
  </si>
  <si>
    <t xml:space="preserve">Enter the Non-RPP consumption less WMP consumption in the first table. </t>
  </si>
  <si>
    <t>The rest of the information in this tab will be auto-populated and will calculate the customer specific allocation of the GA balance to transition customers in the bottom table. 
All transition customers who are allocated a specific GA amount are not to be charged the general Non-RPP Class B GA rate rider as calculated in tab 7.</t>
  </si>
  <si>
    <t xml:space="preserve">This tab allocates the CBR Class B balance to each transition customer for the period in which these customers were Class B customers and contributed to the CBR Class B balance (i.e. former Class B customers who contributed to the balance but are now Class A customers, and former Class A customers who are now Class B contributing to the balance). </t>
  </si>
  <si>
    <t>Enter the total Class B consumption less WMP consumption in the first table.</t>
  </si>
  <si>
    <t>The rest of the information in this tab will be auto-populated and will calculate the customer specific allocation of the CBR Class B balance to transition customers in the bottom table. 
All transition customers who are allocated a specific CBR Class B amount are not to be charged the general CBR Class B rate rider as calculated in tab 7.</t>
  </si>
  <si>
    <t>Rate Rider Calculation for RSVA Global Adjustment</t>
  </si>
  <si>
    <t>1550, 1551, 1584, 1586, 1595, 1580 and 1588</t>
  </si>
  <si>
    <t>Total of Group 2 Accounts Above</t>
  </si>
  <si>
    <r>
      <t>Local Initiatives Program Costs</t>
    </r>
    <r>
      <rPr>
        <vertAlign val="superscript"/>
        <sz val="11"/>
        <rFont val="Arial"/>
        <family val="2"/>
      </rPr>
      <t>9</t>
    </r>
  </si>
  <si>
    <t xml:space="preserve"> This 1508 sub-account for Local Initiatives Program Costs is effective May 28, 2021 per Accounting Order (002-2021) for the Establishment of a Deferral Account to Record Costs Associated With Distributor Partnership in the Local Initiatives Program Under the 2021-2024 Conservation and Demand Management Framework (EB-2021-0106). Distributors that partner with the IESO for the Local Initiative Program may record incremental administration costs directly attributable to the distributor’s participation as a supporting partner to the IESO in the Local Initiatives Program in the sub-account.</t>
  </si>
  <si>
    <r>
      <t>Green Button Initiative Costs</t>
    </r>
    <r>
      <rPr>
        <vertAlign val="superscript"/>
        <sz val="11"/>
        <rFont val="Arial"/>
        <family val="2"/>
      </rPr>
      <t>10</t>
    </r>
  </si>
  <si>
    <t xml:space="preserve"> This 1508 sub-account for Green Button Initiative Costs is effective November 1, 2021 per the Accounting Order (003-2021) for the Establishment of a Deferral Account to Record Impacts Arising from Implementing the Green Button Initiative (EB-2021-0183). Distributors are to record the incremental costs directly attributable to the implementation of the Green Button initiative, in a manner that accords with the requirements set out in the
Green Button Regulation, in the sub-account.</t>
  </si>
  <si>
    <t>Total Group 2 Accounts</t>
  </si>
  <si>
    <t xml:space="preserve">Impacts Arising from the COVID-19 Emergency </t>
  </si>
  <si>
    <t>Rate Rider Calculation for Account 1509</t>
  </si>
  <si>
    <t>Allocated
Account 1509 Balance</t>
  </si>
  <si>
    <t>Rate Rider for Account 1509</t>
  </si>
  <si>
    <r>
      <t>Impacts Arising from the COVID-19 Emergency</t>
    </r>
    <r>
      <rPr>
        <vertAlign val="superscript"/>
        <sz val="11"/>
        <rFont val="Arial"/>
        <family val="2"/>
      </rPr>
      <t>11</t>
    </r>
  </si>
  <si>
    <t>(e.g. If you received approval to dispose of the GA variance account balance as at December 31, 2019, the period the GA variance accumulated would be 2020 to 2021.)</t>
  </si>
  <si>
    <t>(e.g. If you received approval to dispose of the CBR Class B balance as at December 31, 2020, the period the CBR Class B variance accumulated would be 2021.)</t>
  </si>
  <si>
    <r>
      <t xml:space="preserve">1595 Recovery Share Proportion (2022) </t>
    </r>
    <r>
      <rPr>
        <b/>
        <vertAlign val="superscript"/>
        <sz val="10"/>
        <rFont val="Arial"/>
        <family val="2"/>
      </rPr>
      <t>1</t>
    </r>
  </si>
  <si>
    <r>
      <t>PILs and Tax Variance for 2006 and Subsequent Years- Sub-account CCA Changes</t>
    </r>
    <r>
      <rPr>
        <vertAlign val="superscript"/>
        <sz val="11"/>
        <rFont val="Arial"/>
        <family val="2"/>
      </rPr>
      <t>12</t>
    </r>
  </si>
  <si>
    <t>The 1592 sub-account for CCA changes was established to track the impact of changes in CCA rules starting from November 18, 2018, as per the OEB's July 25, 2019 letter Accounting Direction Regarding Bill C-97 and Other Changes in Regulatory or Legislated Tax Rules for Capital Cost Allowance.</t>
  </si>
  <si>
    <t>In tab 2a for the Group 1 continuity schedule, the rows for the totals are revised to show total of Group 1 accounts and total claim amount only.</t>
  </si>
  <si>
    <t>Hearst Power Distribution Company Limited</t>
  </si>
  <si>
    <t>Newmarket-Tay Power Distribution Ltd.</t>
  </si>
  <si>
    <t>Alectra Utilities Corporation1595_(2019)</t>
  </si>
  <si>
    <t>Alectra Utilities Corporation1595_(2020)</t>
  </si>
  <si>
    <t>Alectra Utilities Corporation1595_(2021)</t>
  </si>
  <si>
    <t>Algoma Power Inc.1595_(2019)</t>
  </si>
  <si>
    <t>Algoma Power Inc.1595_(2020)</t>
  </si>
  <si>
    <t>Algoma Power Inc.1595_(2021)</t>
  </si>
  <si>
    <t>Atikokan Hydro Inc.1595_(2019)</t>
  </si>
  <si>
    <t>Atikokan Hydro Inc.1595_(2020)</t>
  </si>
  <si>
    <t>Atikokan Hydro Inc.1595_(2021)</t>
  </si>
  <si>
    <t>Bluewater Power Distribution Corporation1595_(2019)</t>
  </si>
  <si>
    <t>Bluewater Power Distribution Corporation1595_(2020)</t>
  </si>
  <si>
    <t>Bluewater Power Distribution Corporation1595_(2021)</t>
  </si>
  <si>
    <t>Burlington Hydro Inc.1595_(2019)</t>
  </si>
  <si>
    <t>Burlington Hydro Inc.1595_(2020)</t>
  </si>
  <si>
    <t>Burlington Hydro Inc.1595_(2021)</t>
  </si>
  <si>
    <t>Canadian Niagara Power Inc.1595_(2019)</t>
  </si>
  <si>
    <t>Canadian Niagara Power Inc.1595_(2020)</t>
  </si>
  <si>
    <t>Canadian Niagara Power Inc.1595_(2021)</t>
  </si>
  <si>
    <t>Centre Wellington Hydro Ltd.1595_(2019)</t>
  </si>
  <si>
    <t>Centre Wellington Hydro Ltd.1595_(2020)</t>
  </si>
  <si>
    <t>Centre Wellington Hydro Ltd.1595_(2021)</t>
  </si>
  <si>
    <t>Chapleau Public Utilities Corporation1595_(2019)</t>
  </si>
  <si>
    <t>Chapleau Public Utilities Corporation1595_(2020)</t>
  </si>
  <si>
    <t>Chapleau Public Utilities Corporation1595_(2021)</t>
  </si>
  <si>
    <t>Cooperative Hydro Embrun Inc.1595_(2019)</t>
  </si>
  <si>
    <t>Cooperative Hydro Embrun Inc.1595_(2020)</t>
  </si>
  <si>
    <t>Cooperative Hydro Embrun Inc.1595_(2021)</t>
  </si>
  <si>
    <t>Cornwall Street Railway Light and Power Company Limited1595_(2019)</t>
  </si>
  <si>
    <t>Cornwall Street Railway Light and Power Company Limited1595_(2020)</t>
  </si>
  <si>
    <t>Cornwall Street Railway Light and Power Company Limited1595_(2021)</t>
  </si>
  <si>
    <t>E.L.K. Energy Inc.1595_(2019)</t>
  </si>
  <si>
    <t>E.L.K. Energy Inc.1595_(2020)</t>
  </si>
  <si>
    <t>E.L.K. Energy Inc.1595_(2021)</t>
  </si>
  <si>
    <t>ENWIN Utilities Ltd.1595_(2019)</t>
  </si>
  <si>
    <t>ENWIN Utilities Ltd.1595_(2020)</t>
  </si>
  <si>
    <t>ENWIN Utilities Ltd.1595_(2021)</t>
  </si>
  <si>
    <t>EPCOR Electricity Distribution Ontario Inc.1595_(2019)</t>
  </si>
  <si>
    <t>EPCOR Electricity Distribution Ontario Inc.1595_(2020)</t>
  </si>
  <si>
    <t>EPCOR Electricity Distribution Ontario Inc.1595_(2021)</t>
  </si>
  <si>
    <t>ERTH Power Corporation1595_(2019)</t>
  </si>
  <si>
    <t>ERTH Power Corporation1595_(2020)</t>
  </si>
  <si>
    <t>ERTH Power Corporation1595_(2021)</t>
  </si>
  <si>
    <t>Elexicon Energy Inc.1595_(2019)</t>
  </si>
  <si>
    <t>Elexicon Energy Inc.1595_(2020)</t>
  </si>
  <si>
    <t>Elexicon Energy Inc.1595_(2021)</t>
  </si>
  <si>
    <t>Entegrus Powerlines Inc.1595_(2019)</t>
  </si>
  <si>
    <t>Entegrus Powerlines Inc.1595_(2020)</t>
  </si>
  <si>
    <t>Entegrus Powerlines Inc.1595_(2021)</t>
  </si>
  <si>
    <t>Essex Powerlines Corporation1595_(2019)</t>
  </si>
  <si>
    <t>Essex Powerlines Corporation1595_(2020)</t>
  </si>
  <si>
    <t>Essex Powerlines Corporation1595_(2021)</t>
  </si>
  <si>
    <t>Festival Hydro Inc.1595_(2019)</t>
  </si>
  <si>
    <t>Festival Hydro Inc.1595_(2020)</t>
  </si>
  <si>
    <t>Festival Hydro Inc.1595_(2021)</t>
  </si>
  <si>
    <t>Fort Frances Power Corporation1595_(2019)</t>
  </si>
  <si>
    <t>Fort Frances Power Corporation1595_(2020)</t>
  </si>
  <si>
    <t>Fort Frances Power Corporation1595_(2021)</t>
  </si>
  <si>
    <t>Greater Sudbury Hydro Inc.1595_(2019)</t>
  </si>
  <si>
    <t>Greater Sudbury Hydro Inc.1595_(2020)</t>
  </si>
  <si>
    <t>Greater Sudbury Hydro Inc.1595_(2021)</t>
  </si>
  <si>
    <t>Grimsby Power Incorporated1595_(2019)</t>
  </si>
  <si>
    <t>Grimsby Power Incorporated1595_(2020)</t>
  </si>
  <si>
    <t>Grimsby Power Incorporated1595_(2021)</t>
  </si>
  <si>
    <t>Halton Hills Hydro Inc.1595_(2019)</t>
  </si>
  <si>
    <t>Halton Hills Hydro Inc.1595_(2020)</t>
  </si>
  <si>
    <t>Halton Hills Hydro Inc.1595_(2021)</t>
  </si>
  <si>
    <t>Hearst Power Distribution Company Limited1595_(2019)</t>
  </si>
  <si>
    <t>Hearst Power Distribution Company Limited1595_(2020)</t>
  </si>
  <si>
    <t>Hearst Power Distribution Company Limited1595_(2021)</t>
  </si>
  <si>
    <t>Hydro 2000 Inc.1595_(2019)</t>
  </si>
  <si>
    <t>Hydro 2000 Inc.1595_(2020)</t>
  </si>
  <si>
    <t>Hydro 2000 Inc.1595_(2021)</t>
  </si>
  <si>
    <t>Hydro Hawkesbury Inc.1595_(2019)</t>
  </si>
  <si>
    <t>Hydro Hawkesbury Inc.1595_(2020)</t>
  </si>
  <si>
    <t>Hydro Hawkesbury Inc.1595_(2021)</t>
  </si>
  <si>
    <t>Hydro One Networks Inc.1595_(2019)</t>
  </si>
  <si>
    <t>Hydro One Networks Inc.1595_(2020)</t>
  </si>
  <si>
    <t>Hydro One Networks Inc.1595_(2021)</t>
  </si>
  <si>
    <t>Hydro One Remote Communities Inc.1595_(2019)</t>
  </si>
  <si>
    <t>Hydro One Remote Communities Inc.1595_(2020)</t>
  </si>
  <si>
    <t>Hydro One Remote Communities Inc.1595_(2021)</t>
  </si>
  <si>
    <t>Hydro Ottawa Limited1595_(2019)</t>
  </si>
  <si>
    <t>Hydro Ottawa Limited1595_(2020)</t>
  </si>
  <si>
    <t>Hydro Ottawa Limited1595_(2021)</t>
  </si>
  <si>
    <t>Kingston Hydro Corporation1595_(2019)</t>
  </si>
  <si>
    <t>Kingston Hydro Corporation1595_(2020)</t>
  </si>
  <si>
    <t>Kingston Hydro Corporation1595_(2021)</t>
  </si>
  <si>
    <t>Lakefront Utilities Inc.1595_(2019)</t>
  </si>
  <si>
    <t>Lakefront Utilities Inc.1595_(2020)</t>
  </si>
  <si>
    <t>Lakefront Utilities Inc.1595_(2021)</t>
  </si>
  <si>
    <t>Lakeland Power Distribution Ltd.1595_(2019)</t>
  </si>
  <si>
    <t>Lakeland Power Distribution Ltd.1595_(2020)</t>
  </si>
  <si>
    <t>Lakeland Power Distribution Ltd.1595_(2021)</t>
  </si>
  <si>
    <t>London Hydro Inc.1595_(2019)</t>
  </si>
  <si>
    <t>London Hydro Inc.1595_(2020)</t>
  </si>
  <si>
    <t>London Hydro Inc.1595_(2021)</t>
  </si>
  <si>
    <t>Milton Hydro Distribution Inc.1595_(2019)</t>
  </si>
  <si>
    <t>Milton Hydro Distribution Inc.1595_(2020)</t>
  </si>
  <si>
    <t>Milton Hydro Distribution Inc.1595_(2021)</t>
  </si>
  <si>
    <t>Newmarket-Tay Power Distribution Ltd.1595_(2019)</t>
  </si>
  <si>
    <t>Newmarket-Tay Power Distribution Ltd.1595_(2020)</t>
  </si>
  <si>
    <t>Newmarket-Tay Power Distribution Ltd.1595_(2021)</t>
  </si>
  <si>
    <t>Niagara Peninsula Energy Inc.1595_(2019)</t>
  </si>
  <si>
    <t>Niagara Peninsula Energy Inc.1595_(2020)</t>
  </si>
  <si>
    <t>Niagara Peninsula Energy Inc.1595_(2021)</t>
  </si>
  <si>
    <t>Niagara-on-the-Lake Hydro Inc.1595_(2019)</t>
  </si>
  <si>
    <t>Niagara-on-the-Lake Hydro Inc.1595_(2020)</t>
  </si>
  <si>
    <t>Niagara-on-the-Lake Hydro Inc.1595_(2021)</t>
  </si>
  <si>
    <t>North Bay Hydro Distribution Limited1595_(2019)</t>
  </si>
  <si>
    <t>North Bay Hydro Distribution Limited1595_(2020)</t>
  </si>
  <si>
    <t>North Bay Hydro Distribution Limited1595_(2021)</t>
  </si>
  <si>
    <t>Northern Ontario Wires Inc.1595_(2019)</t>
  </si>
  <si>
    <t>Northern Ontario Wires Inc.1595_(2020)</t>
  </si>
  <si>
    <t>Northern Ontario Wires Inc.1595_(2021)</t>
  </si>
  <si>
    <t>Oakville Hydro Electricity Distribution Inc.1595_(2019)</t>
  </si>
  <si>
    <t>Oakville Hydro Electricity Distribution Inc.1595_(2020)</t>
  </si>
  <si>
    <t>Oakville Hydro Electricity Distribution Inc.1595_(2021)</t>
  </si>
  <si>
    <t>Orangeville Hydro Limited1595_(2019)</t>
  </si>
  <si>
    <t>Orangeville Hydro Limited1595_(2020)</t>
  </si>
  <si>
    <t>Orangeville Hydro Limited1595_(2021)</t>
  </si>
  <si>
    <t>Oshawa PUC Networks Inc.1595_(2019)</t>
  </si>
  <si>
    <t>Oshawa PUC Networks Inc.1595_(2020)</t>
  </si>
  <si>
    <t>Oshawa PUC Networks Inc.1595_(2021)</t>
  </si>
  <si>
    <t>Ottawa River Power Corporation1595_(2019)</t>
  </si>
  <si>
    <t>Ottawa River Power Corporation1595_(2020)</t>
  </si>
  <si>
    <t>Ottawa River Power Corporation1595_(2021)</t>
  </si>
  <si>
    <t>PUC Distribution Inc.1595_(2019)</t>
  </si>
  <si>
    <t>PUC Distribution Inc.1595_(2020)</t>
  </si>
  <si>
    <t>PUC Distribution Inc.1595_(2021)</t>
  </si>
  <si>
    <t>Renfrew Hydro Inc.1595_(2019)</t>
  </si>
  <si>
    <t>Renfrew Hydro Inc.1595_(2020)</t>
  </si>
  <si>
    <t>Renfrew Hydro Inc.1595_(2021)</t>
  </si>
  <si>
    <t>Rideau St. Lawrence Distribution Inc.1595_(2019)</t>
  </si>
  <si>
    <t>Rideau St. Lawrence Distribution Inc.1595_(2020)</t>
  </si>
  <si>
    <t>Rideau St. Lawrence Distribution Inc.1595_(2021)</t>
  </si>
  <si>
    <t>Sioux Lookout Hydro Inc.1595_(2019)</t>
  </si>
  <si>
    <t>Sioux Lookout Hydro Inc.1595_(2020)</t>
  </si>
  <si>
    <t>Sioux Lookout Hydro Inc.1595_(2021)</t>
  </si>
  <si>
    <t>Synergy North Corporation1595_(2019)</t>
  </si>
  <si>
    <t>Synergy North Corporation1595_(2020)</t>
  </si>
  <si>
    <t>Synergy North Corporation1595_(2021)</t>
  </si>
  <si>
    <t>Tillsonburg Hydro Inc.1595_(2019)</t>
  </si>
  <si>
    <t>Tillsonburg Hydro Inc.1595_(2020)</t>
  </si>
  <si>
    <t>Tillsonburg Hydro Inc.1595_(2021)</t>
  </si>
  <si>
    <t>Toronto Hydro-Electric System Limited1595_(2019)</t>
  </si>
  <si>
    <t>Toronto Hydro-Electric System Limited1595_(2020)</t>
  </si>
  <si>
    <t>Toronto Hydro-Electric System Limited1595_(2021)</t>
  </si>
  <si>
    <t>Wasaga Distribution Inc.1595_(2019)</t>
  </si>
  <si>
    <t>Wasaga Distribution Inc.1595_(2020)</t>
  </si>
  <si>
    <t>Wasaga Distribution Inc.1595_(2021)</t>
  </si>
  <si>
    <t>Welland Hydro-Electric System Corp.1595_(2019)</t>
  </si>
  <si>
    <t>Welland Hydro-Electric System Corp.1595_(2020)</t>
  </si>
  <si>
    <t>Welland Hydro-Electric System Corp.1595_(2021)</t>
  </si>
  <si>
    <t>Wellington North Power Inc.1595_(2019)</t>
  </si>
  <si>
    <t>Wellington North Power Inc.1595_(2020)</t>
  </si>
  <si>
    <t>Wellington North Power Inc.1595_(2021)</t>
  </si>
  <si>
    <t>Westario Power Inc.1595_(2019)</t>
  </si>
  <si>
    <t>Westario Power Inc.1595_(2020)</t>
  </si>
  <si>
    <t>Westario Power Inc.1595_(2021)</t>
  </si>
  <si>
    <t>Alectra Utilities Corporation1509</t>
  </si>
  <si>
    <t>Algoma Power Inc.1509</t>
  </si>
  <si>
    <t>Atikokan Hydro Inc.1509</t>
  </si>
  <si>
    <t>Bluewater Power Distribution Corporation1509</t>
  </si>
  <si>
    <t>Burlington Hydro Inc.1509</t>
  </si>
  <si>
    <t>Canadian Niagara Power Inc.1509</t>
  </si>
  <si>
    <t>Centre Wellington Hydro Ltd.1509</t>
  </si>
  <si>
    <t>Chapleau Public Utilities Corporation1509</t>
  </si>
  <si>
    <t>Cooperative Hydro Embrun Inc.1509</t>
  </si>
  <si>
    <t>Cornwall Street Railway Light and Power Company Limited1509</t>
  </si>
  <si>
    <t>E.L.K. Energy Inc.1509</t>
  </si>
  <si>
    <t>ENWIN Utilities Ltd.1509</t>
  </si>
  <si>
    <t>EPCOR Electricity Distribution Ontario Inc.1509</t>
  </si>
  <si>
    <t>ERTH Power Corporation1509</t>
  </si>
  <si>
    <t>Elexicon Energy Inc.1509</t>
  </si>
  <si>
    <t>Entegrus Powerlines Inc.1509</t>
  </si>
  <si>
    <t>Essex Powerlines Corporation1509</t>
  </si>
  <si>
    <t>Festival Hydro Inc.1509</t>
  </si>
  <si>
    <t>Fort Frances Power Corporation1509</t>
  </si>
  <si>
    <t>Greater Sudbury Hydro Inc.1509</t>
  </si>
  <si>
    <t>Grimsby Power Incorporated1509</t>
  </si>
  <si>
    <t>Halton Hills Hydro Inc.1509</t>
  </si>
  <si>
    <t>Hearst Power Distribution Company Limited1509</t>
  </si>
  <si>
    <t>Hydro 2000 Inc.1509</t>
  </si>
  <si>
    <t>Hydro Hawkesbury Inc.1509</t>
  </si>
  <si>
    <t>Hydro One Networks Inc.1509</t>
  </si>
  <si>
    <t>Hydro One Remote Communities Inc.1509</t>
  </si>
  <si>
    <t>Hydro Ottawa Limited1509</t>
  </si>
  <si>
    <t>InnPower Corporation1509</t>
  </si>
  <si>
    <t>Kingston Hydro Corporation1509</t>
  </si>
  <si>
    <t>Lakefront Utilities Inc.1509</t>
  </si>
  <si>
    <t>Lakeland Power Distribution Ltd.1509</t>
  </si>
  <si>
    <t>London Hydro Inc.1509</t>
  </si>
  <si>
    <t>Milton Hydro Distribution Inc.1509</t>
  </si>
  <si>
    <t>Newmarket-Tay Power Distribution Ltd.1509</t>
  </si>
  <si>
    <t>Niagara Peninsula Energy Inc.1509</t>
  </si>
  <si>
    <t>Niagara-on-the-Lake Hydro Inc.1509</t>
  </si>
  <si>
    <t>North Bay Hydro Distribution Limited1509</t>
  </si>
  <si>
    <t>Northern Ontario Wires Inc.1509</t>
  </si>
  <si>
    <t>Oakville Hydro Electricity Distribution Inc.1509</t>
  </si>
  <si>
    <t>Orangeville Hydro Limited1509</t>
  </si>
  <si>
    <t>Oshawa PUC Networks Inc.1509</t>
  </si>
  <si>
    <t>Ottawa River Power Corporation1509</t>
  </si>
  <si>
    <t>PUC Distribution Inc.1509</t>
  </si>
  <si>
    <t>Renfrew Hydro Inc.1509</t>
  </si>
  <si>
    <t>Rideau St. Lawrence Distribution Inc.1509</t>
  </si>
  <si>
    <t>Sioux Lookout Hydro Inc.1509</t>
  </si>
  <si>
    <t>Synergy North Corporation1509</t>
  </si>
  <si>
    <t>Tillsonburg Hydro Inc.1509</t>
  </si>
  <si>
    <t>Toronto Hydro-Electric System Limited1509</t>
  </si>
  <si>
    <t>Wasaga Distribution Inc.1509</t>
  </si>
  <si>
    <t>Welland Hydro-Electric System Corp.1509</t>
  </si>
  <si>
    <t>Wellington North Power Inc.1509</t>
  </si>
  <si>
    <t>Westario Power Inc.1509</t>
  </si>
  <si>
    <t>Impacts Arising from the COVID-19 Emergency</t>
  </si>
  <si>
    <t>1) If the LDC’s rate year begins on January 1, 2024, the projected interest is recorded from January 1, 2023 to December 31, 2023 on the December 31, 2022 balances, adjusted to remove balances approved for disposition in the 2023 rate decision. 
 2) If the LDC’s rate year begins on May 1, 2024, the projected interest is recorded from January 1, 2023 to April 30, 2023 on the December 31, 2022 balances, adjusted to remove balances approved for disposition in the 2021 rate decision.</t>
  </si>
  <si>
    <t>Other Regulatory Assets, Sub-account Designated Broadband Project Impacts</t>
  </si>
  <si>
    <r>
      <t>Other Regulatory Assets, Sub-account Designated Broadband Project Impacts</t>
    </r>
    <r>
      <rPr>
        <vertAlign val="superscript"/>
        <sz val="11"/>
        <rFont val="Arial"/>
        <family val="2"/>
      </rPr>
      <t>13</t>
    </r>
  </si>
  <si>
    <t>The 1508 sub-account is effective July 7, 2022 - Accounting Order (001-2022) for the Establishment of a Deferral Account to Record Impacts Pertaining to Ontario Regulation 410/22 (Electricity Infrastructure – Designated Broadband Projects).</t>
  </si>
  <si>
    <r>
      <t>Disposition and Recovery/Refund of Regulatory Balances (2017 and pre-2017)</t>
    </r>
    <r>
      <rPr>
        <vertAlign val="superscript"/>
        <sz val="11"/>
        <rFont val="Arial"/>
        <family val="2"/>
      </rPr>
      <t>3</t>
    </r>
  </si>
  <si>
    <r>
      <t>Disposition and Recovery/Refund of Regulatory Balances (2023)</t>
    </r>
    <r>
      <rPr>
        <vertAlign val="superscript"/>
        <sz val="11"/>
        <rFont val="Arial"/>
        <family val="2"/>
      </rPr>
      <t>3</t>
    </r>
  </si>
  <si>
    <t>Disposition and Recovery/Refund of Regulatory Balances (2017 and pre-2017)</t>
  </si>
  <si>
    <t>Disposition and Recovery/Refund of Regulatory Balances (2023)</t>
  </si>
  <si>
    <t>Metered Consumption (kWh) for Transition Customers During the Period When They Were Class B Customers in 2022</t>
  </si>
  <si>
    <t>Metered Class B Consumption (kWh)  for Transition Customers During the Period When They were Class B Customers in 2022</t>
  </si>
  <si>
    <t>Account 1509 - Impacts Arising from the COVID-19 Emergency was established effective March 24, 2020. Refer to Report of the OEB - Regulatory Treament of Impacts Arising from the COVID-19 Emergency (EB-2020-0133), dated June 17, 2021, and  Accounting Order for the Establishment of a Sub-account to Record Impacts Arising from the COVID-19 Emergency for Forgone Revenues from Postponing Rate Implementation, dated August 6, 2020, for further details. Amounts that are approved for disposition in this account will be recovered or refunded through a separate rate rider.</t>
  </si>
  <si>
    <r>
      <t xml:space="preserve">1595 Recovery Share Proportion (2017 and pre-2017) </t>
    </r>
    <r>
      <rPr>
        <b/>
        <vertAlign val="superscript"/>
        <sz val="10"/>
        <rFont val="Arial"/>
        <family val="2"/>
      </rPr>
      <t>1</t>
    </r>
  </si>
  <si>
    <r>
      <t xml:space="preserve">1595 Recovery Share Proportion (2023) </t>
    </r>
    <r>
      <rPr>
        <b/>
        <vertAlign val="superscript"/>
        <sz val="10"/>
        <rFont val="Arial"/>
        <family val="2"/>
      </rPr>
      <t>1</t>
    </r>
  </si>
  <si>
    <t>(e.g. If 2019 is the earliest vintage year in which there is a balance in a 1595 sub-account, select 2019)</t>
  </si>
  <si>
    <t>For all the the responses below, when selecting a year, select the year relating to the account balance. For example, if the 2021 balances that were reviewed in the 2023 rate application were to be selected, select 2021.</t>
  </si>
  <si>
    <t>1509</t>
  </si>
  <si>
    <t>Alectra Utilities Corporation1595_(2022)</t>
  </si>
  <si>
    <t>Alectra Utilities Corporation1595_ccount</t>
  </si>
  <si>
    <t>Algoma Power Inc.1595_(2022)</t>
  </si>
  <si>
    <t>Algoma Power Inc.1595_ccount</t>
  </si>
  <si>
    <t>Atikokan Hydro Inc.1595_(2022)</t>
  </si>
  <si>
    <t>Atikokan Hydro Inc.1595_ccount</t>
  </si>
  <si>
    <t>Bluewater Power Distribution Corporation1595_(2022)</t>
  </si>
  <si>
    <t>Bluewater Power Distribution Corporation1595_ccount</t>
  </si>
  <si>
    <t>Burlington Hydro Inc.1595_(2022)</t>
  </si>
  <si>
    <t>Burlington Hydro Inc.1595_ccount</t>
  </si>
  <si>
    <t>Canadian Niagara Power Inc.1595_(2022)</t>
  </si>
  <si>
    <t>Canadian Niagara Power Inc.1595_ccount</t>
  </si>
  <si>
    <t>Centre Wellington Hydro Ltd.1595_(2022)</t>
  </si>
  <si>
    <t>Centre Wellington Hydro Ltd.1595_ccount</t>
  </si>
  <si>
    <t>Chapleau Public Utilities Corporation1595_(2022)</t>
  </si>
  <si>
    <t>Chapleau Public Utilities Corporation1595_ccount</t>
  </si>
  <si>
    <t>Cooperative Hydro Embrun Inc.1595_(2022)</t>
  </si>
  <si>
    <t>Cooperative Hydro Embrun Inc.1595_ccount</t>
  </si>
  <si>
    <t>Cornwall Street Railway Light and Power Company Limited1595_(2022)</t>
  </si>
  <si>
    <t>Cornwall Street Railway Light and Power Company Limited1595_ccount</t>
  </si>
  <si>
    <t>E.L.K. Energy Inc.1595_(2022)</t>
  </si>
  <si>
    <t>E.L.K. Energy Inc.1595_ccount</t>
  </si>
  <si>
    <t>Elexicon Energy Inc.1595_(2022)</t>
  </si>
  <si>
    <t>Elexicon Energy Inc.1595_ccount</t>
  </si>
  <si>
    <t>Enova Power Corp.</t>
  </si>
  <si>
    <t>Enova Power Corp.1508</t>
  </si>
  <si>
    <t>Enova Power Corp.1509</t>
  </si>
  <si>
    <t>Enova Power Corp.1518</t>
  </si>
  <si>
    <t>Enova Power Corp.1522</t>
  </si>
  <si>
    <t>Enova Power Corp.1525</t>
  </si>
  <si>
    <t>Enova Power Corp.1531</t>
  </si>
  <si>
    <t>Enova Power Corp.1532</t>
  </si>
  <si>
    <t>Enova Power Corp.1533</t>
  </si>
  <si>
    <t>Enova Power Corp.1534</t>
  </si>
  <si>
    <t>Enova Power Corp.1535</t>
  </si>
  <si>
    <t>Enova Power Corp.1536</t>
  </si>
  <si>
    <t>Enova Power Corp.1548</t>
  </si>
  <si>
    <t>Enova Power Corp.1550</t>
  </si>
  <si>
    <t>Enova Power Corp.1551</t>
  </si>
  <si>
    <t>Enova Power Corp.1555</t>
  </si>
  <si>
    <t>Enova Power Corp.1557</t>
  </si>
  <si>
    <t>Enova Power Corp.1568</t>
  </si>
  <si>
    <t>Enova Power Corp.1572</t>
  </si>
  <si>
    <t>Enova Power Corp.1574</t>
  </si>
  <si>
    <t>Enova Power Corp.1575</t>
  </si>
  <si>
    <t>Enova Power Corp.1576</t>
  </si>
  <si>
    <t>Enova Power Corp.1580</t>
  </si>
  <si>
    <t>Enova Power Corp.1582</t>
  </si>
  <si>
    <t>Enova Power Corp.1584</t>
  </si>
  <si>
    <t>Enova Power Corp.1586</t>
  </si>
  <si>
    <t>Enova Power Corp.1588</t>
  </si>
  <si>
    <t>Enova Power Corp.1589</t>
  </si>
  <si>
    <t>Enova Power Corp.1592</t>
  </si>
  <si>
    <t>Enova Power Corp.1595_(2008)</t>
  </si>
  <si>
    <t>Enova Power Corp.1595_(2009)</t>
  </si>
  <si>
    <t>Enova Power Corp.1595_(2010)</t>
  </si>
  <si>
    <t>Enova Power Corp.1595_(2011)</t>
  </si>
  <si>
    <t>Enova Power Corp.1595_(2012)</t>
  </si>
  <si>
    <t>Enova Power Corp.1595_(2013)</t>
  </si>
  <si>
    <t>Enova Power Corp.1595_(2014)</t>
  </si>
  <si>
    <t>Enova Power Corp.1595_(2015)</t>
  </si>
  <si>
    <t>Enova Power Corp.1595_(2016)</t>
  </si>
  <si>
    <t>Enova Power Corp.1595_(2017)</t>
  </si>
  <si>
    <t>Enova Power Corp.1595_(2018)</t>
  </si>
  <si>
    <t>Enova Power Corp.1595_(2019)</t>
  </si>
  <si>
    <t>Enova Power Corp.1595_(2020)</t>
  </si>
  <si>
    <t>Enova Power Corp.1595_(2021)</t>
  </si>
  <si>
    <t>Enova Power Corp.1595_(2022)</t>
  </si>
  <si>
    <t>Enova Power Corp.1595_ccount</t>
  </si>
  <si>
    <t>Enova Power Corp.2425</t>
  </si>
  <si>
    <t>Entegrus Powerlines Inc.1595_(2022)</t>
  </si>
  <si>
    <t>Entegrus Powerlines Inc.1595_ccount</t>
  </si>
  <si>
    <t>ENWIN Utilities Ltd.1595_(2022)</t>
  </si>
  <si>
    <t>ENWIN Utilities Ltd.1595_ccount</t>
  </si>
  <si>
    <t>EPCOR Electricity Distribution Ontario Inc.1595_(2022)</t>
  </si>
  <si>
    <t>EPCOR Electricity Distribution Ontario Inc.1595_ccount</t>
  </si>
  <si>
    <t>ERTH Power Corporation1595_(2022)</t>
  </si>
  <si>
    <t>ERTH Power Corporation1595_ccount</t>
  </si>
  <si>
    <t>Essex Powerlines Corporation1595_(2022)</t>
  </si>
  <si>
    <t>Essex Powerlines Corporation1595_ccount</t>
  </si>
  <si>
    <t>Festival Hydro Inc.1595_(2022)</t>
  </si>
  <si>
    <t>Festival Hydro Inc.1595_ccount</t>
  </si>
  <si>
    <t>Fort Frances Power Corporation1595_(2022)</t>
  </si>
  <si>
    <t>Fort Frances Power Corporation1595_ccount</t>
  </si>
  <si>
    <t>GrandBridge Energy Inc.</t>
  </si>
  <si>
    <t>GrandBridge Energy Inc.1508</t>
  </si>
  <si>
    <t>GrandBridge Energy Inc.1509</t>
  </si>
  <si>
    <t>GrandBridge Energy Inc.1518</t>
  </si>
  <si>
    <t>GrandBridge Energy Inc.1522</t>
  </si>
  <si>
    <t>GrandBridge Energy Inc.1525</t>
  </si>
  <si>
    <t>GrandBridge Energy Inc.1531</t>
  </si>
  <si>
    <t>GrandBridge Energy Inc.1532</t>
  </si>
  <si>
    <t>GrandBridge Energy Inc.1533</t>
  </si>
  <si>
    <t>GrandBridge Energy Inc.1534</t>
  </si>
  <si>
    <t>GrandBridge Energy Inc.1535</t>
  </si>
  <si>
    <t>GrandBridge Energy Inc.1536</t>
  </si>
  <si>
    <t>GrandBridge Energy Inc.1548</t>
  </si>
  <si>
    <t>GrandBridge Energy Inc.1550</t>
  </si>
  <si>
    <t>GrandBridge Energy Inc.1551</t>
  </si>
  <si>
    <t>GrandBridge Energy Inc.1555</t>
  </si>
  <si>
    <t>GrandBridge Energy Inc.1557</t>
  </si>
  <si>
    <t>GrandBridge Energy Inc.1568</t>
  </si>
  <si>
    <t>GrandBridge Energy Inc.1572</t>
  </si>
  <si>
    <t>GrandBridge Energy Inc.1574</t>
  </si>
  <si>
    <t>GrandBridge Energy Inc.1575</t>
  </si>
  <si>
    <t>GrandBridge Energy Inc.1576</t>
  </si>
  <si>
    <t>GrandBridge Energy Inc.1580</t>
  </si>
  <si>
    <t>GrandBridge Energy Inc.1582</t>
  </si>
  <si>
    <t>GrandBridge Energy Inc.1584</t>
  </si>
  <si>
    <t>GrandBridge Energy Inc.1586</t>
  </si>
  <si>
    <t>GrandBridge Energy Inc.1588</t>
  </si>
  <si>
    <t>GrandBridge Energy Inc.1589</t>
  </si>
  <si>
    <t>GrandBridge Energy Inc.1592</t>
  </si>
  <si>
    <t>GrandBridge Energy Inc.1595_(2008)</t>
  </si>
  <si>
    <t>GrandBridge Energy Inc.1595_(2009)</t>
  </si>
  <si>
    <t>GrandBridge Energy Inc.1595_(2010)</t>
  </si>
  <si>
    <t>GrandBridge Energy Inc.1595_(2011)</t>
  </si>
  <si>
    <t>GrandBridge Energy Inc.1595_(2012)</t>
  </si>
  <si>
    <t>GrandBridge Energy Inc.1595_(2013)</t>
  </si>
  <si>
    <t>GrandBridge Energy Inc.1595_(2014)</t>
  </si>
  <si>
    <t>GrandBridge Energy Inc.1595_(2015)</t>
  </si>
  <si>
    <t>GrandBridge Energy Inc.1595_(2016)</t>
  </si>
  <si>
    <t>GrandBridge Energy Inc.1595_(2017)</t>
  </si>
  <si>
    <t>GrandBridge Energy Inc.1595_(2018)</t>
  </si>
  <si>
    <t>GrandBridge Energy Inc.1595_(2019)</t>
  </si>
  <si>
    <t>GrandBridge Energy Inc.1595_(2020)</t>
  </si>
  <si>
    <t>GrandBridge Energy Inc.1595_(2021)</t>
  </si>
  <si>
    <t>GrandBridge Energy Inc.1595_(2022)</t>
  </si>
  <si>
    <t>GrandBridge Energy Inc.1595_ccount</t>
  </si>
  <si>
    <t>GrandBridge Energy Inc.2425</t>
  </si>
  <si>
    <t>Greater Sudbury Hydro Inc.1595_(2022)</t>
  </si>
  <si>
    <t>Greater Sudbury Hydro Inc.1595_ccount</t>
  </si>
  <si>
    <t>Grimsby Power Incorporated1595_(2022)</t>
  </si>
  <si>
    <t>Grimsby Power Incorporated1595_ccount</t>
  </si>
  <si>
    <t>Halton Hills Hydro Inc.1595_(2022)</t>
  </si>
  <si>
    <t>Halton Hills Hydro Inc.1595_ccount</t>
  </si>
  <si>
    <t>Hearst Power Distribution Company Limited1595_(2022)</t>
  </si>
  <si>
    <t>Hearst Power Distribution Company Limited1595_ccount</t>
  </si>
  <si>
    <t>Hydro 2000 Inc.1595_(2022)</t>
  </si>
  <si>
    <t>Hydro 2000 Inc.1595_ccount</t>
  </si>
  <si>
    <t>Hydro Hawkesbury Inc.1595_(2022)</t>
  </si>
  <si>
    <t>Hydro Hawkesbury Inc.1595_ccount</t>
  </si>
  <si>
    <t>Hydro One Networks Inc.1595_(2022)</t>
  </si>
  <si>
    <t>Hydro One Networks Inc.1595_ccount</t>
  </si>
  <si>
    <t>Hydro One Remote Communities Inc.1595_(2022)</t>
  </si>
  <si>
    <t>Hydro One Remote Communities Inc.1595_ccount</t>
  </si>
  <si>
    <t>Hydro Ottawa Limited1595_(2022)</t>
  </si>
  <si>
    <t>Hydro Ottawa Limited1595_ccount</t>
  </si>
  <si>
    <t>InnPower Corporation1508</t>
  </si>
  <si>
    <t>InnPower Corporation1518</t>
  </si>
  <si>
    <t>InnPower Corporation1522</t>
  </si>
  <si>
    <t>InnPower Corporation1525</t>
  </si>
  <si>
    <t>InnPower Corporation1531</t>
  </si>
  <si>
    <t>InnPower Corporation1532</t>
  </si>
  <si>
    <t>InnPower Corporation1533</t>
  </si>
  <si>
    <t>InnPower Corporation1534</t>
  </si>
  <si>
    <t>InnPower Corporation1535</t>
  </si>
  <si>
    <t>InnPower Corporation1536</t>
  </si>
  <si>
    <t>InnPower Corporation1548</t>
  </si>
  <si>
    <t>InnPower Corporation1550</t>
  </si>
  <si>
    <t>InnPower Corporation1551</t>
  </si>
  <si>
    <t>InnPower Corporation1555</t>
  </si>
  <si>
    <t>InnPower Corporation1557</t>
  </si>
  <si>
    <t>InnPower Corporation1568</t>
  </si>
  <si>
    <t>InnPower Corporation1572</t>
  </si>
  <si>
    <t>InnPower Corporation1574</t>
  </si>
  <si>
    <t>InnPower Corporation1575</t>
  </si>
  <si>
    <t>InnPower Corporation1576</t>
  </si>
  <si>
    <t>InnPower Corporation1580</t>
  </si>
  <si>
    <t>InnPower Corporation1582</t>
  </si>
  <si>
    <t>InnPower Corporation1584</t>
  </si>
  <si>
    <t>InnPower Corporation1586</t>
  </si>
  <si>
    <t>InnPower Corporation1588</t>
  </si>
  <si>
    <t>InnPower Corporation1589</t>
  </si>
  <si>
    <t>InnPower Corporation1592</t>
  </si>
  <si>
    <t>InnPower Corporation1595_(2008)</t>
  </si>
  <si>
    <t>InnPower Corporation1595_(2009)</t>
  </si>
  <si>
    <t>InnPower Corporation1595_(2010)</t>
  </si>
  <si>
    <t>InnPower Corporation1595_(2011)</t>
  </si>
  <si>
    <t>InnPower Corporation1595_(2012)</t>
  </si>
  <si>
    <t>InnPower Corporation1595_(2013)</t>
  </si>
  <si>
    <t>InnPower Corporation1595_(2014)</t>
  </si>
  <si>
    <t>InnPower Corporation1595_(2015)</t>
  </si>
  <si>
    <t>InnPower Corporation1595_(2016)</t>
  </si>
  <si>
    <t>InnPower Corporation1595_(2017)</t>
  </si>
  <si>
    <t>InnPower Corporation1595_(2018)</t>
  </si>
  <si>
    <t>InnPower Corporation1595_(2019)</t>
  </si>
  <si>
    <t>InnPower Corporation1595_(2020)</t>
  </si>
  <si>
    <t>InnPower Corporation1595_(2021)</t>
  </si>
  <si>
    <t>InnPower Corporation1595_(2022)</t>
  </si>
  <si>
    <t>InnPower Corporation1595_ccount</t>
  </si>
  <si>
    <t>InnPower Corporation2425</t>
  </si>
  <si>
    <t>Kingston Hydro Corporation1595_(2022)</t>
  </si>
  <si>
    <t>Kingston Hydro Corporation1595_ccount</t>
  </si>
  <si>
    <t>Lakefront Utilities Inc.1595_(2022)</t>
  </si>
  <si>
    <t>Lakefront Utilities Inc.1595_ccount</t>
  </si>
  <si>
    <t>Lakeland Power Distribution Ltd.1595_(2022)</t>
  </si>
  <si>
    <t>Lakeland Power Distribution Ltd.1595_ccount</t>
  </si>
  <si>
    <t>London Hydro Inc.1595_(2022)</t>
  </si>
  <si>
    <t>London Hydro Inc.1595_ccount</t>
  </si>
  <si>
    <t>Milton Hydro Distribution Inc.1595_(2022)</t>
  </si>
  <si>
    <t>Milton Hydro Distribution Inc.1595_ccount</t>
  </si>
  <si>
    <t>Newmarket-Tay Power Distribution Ltd.1595_(2022)</t>
  </si>
  <si>
    <t>Newmarket-Tay Power Distribution Ltd.1595_ccount</t>
  </si>
  <si>
    <t>Niagara Peninsula Energy Inc.1595_(2022)</t>
  </si>
  <si>
    <t>Niagara Peninsula Energy Inc.1595_ccount</t>
  </si>
  <si>
    <t>Niagara-on-the-Lake Hydro Inc.1595_(2022)</t>
  </si>
  <si>
    <t>Niagara-on-the-Lake Hydro Inc.1595_ccount</t>
  </si>
  <si>
    <t>North Bay Hydro Distribution Limited1595_(2022)</t>
  </si>
  <si>
    <t>North Bay Hydro Distribution Limited1595_ccount</t>
  </si>
  <si>
    <t>Northern Ontario Wires Inc.1595_(2022)</t>
  </si>
  <si>
    <t>Northern Ontario Wires Inc.1595_ccount</t>
  </si>
  <si>
    <t>Oakville Hydro Electricity Distribution Inc.1595_(2022)</t>
  </si>
  <si>
    <t>Oakville Hydro Electricity Distribution Inc.1595_ccount</t>
  </si>
  <si>
    <t>Orangeville Hydro Limited1595_(2022)</t>
  </si>
  <si>
    <t>Orangeville Hydro Limited1595_ccount</t>
  </si>
  <si>
    <t>Oshawa PUC Networks Inc.1595_(2022)</t>
  </si>
  <si>
    <t>Oshawa PUC Networks Inc.1595_ccount</t>
  </si>
  <si>
    <t>Ottawa River Power Corporation1595_(2022)</t>
  </si>
  <si>
    <t>Ottawa River Power Corporation1595_ccount</t>
  </si>
  <si>
    <t>PUC Distribution Inc.1595_(2022)</t>
  </si>
  <si>
    <t>PUC Distribution Inc.1595_ccount</t>
  </si>
  <si>
    <t>Renfrew Hydro Inc.1595_(2022)</t>
  </si>
  <si>
    <t>Renfrew Hydro Inc.1595_ccount</t>
  </si>
  <si>
    <t>Rideau St. Lawrence Distribution Inc.1595_(2022)</t>
  </si>
  <si>
    <t>Rideau St. Lawrence Distribution Inc.1595_ccount</t>
  </si>
  <si>
    <t>Sioux Lookout Hydro Inc.1595_(2022)</t>
  </si>
  <si>
    <t>Sioux Lookout Hydro Inc.1595_ccount</t>
  </si>
  <si>
    <t>Synergy North Corporation1595_(2022)</t>
  </si>
  <si>
    <t>Synergy North Corporation1595_ccount</t>
  </si>
  <si>
    <t>Tillsonburg Hydro Inc.1595_(2022)</t>
  </si>
  <si>
    <t>Tillsonburg Hydro Inc.1595_ccount</t>
  </si>
  <si>
    <t>Toronto Hydro-Electric System Limited1595_(2022)</t>
  </si>
  <si>
    <t>Toronto Hydro-Electric System Limited1595_ccount</t>
  </si>
  <si>
    <t>Wasaga Distribution Inc.1595_(2022)</t>
  </si>
  <si>
    <t>Wasaga Distribution Inc.1595_ccount</t>
  </si>
  <si>
    <t>Welland Hydro-Electric System Corp.1595_(2022)</t>
  </si>
  <si>
    <t>Welland Hydro-Electric System Corp.1595_ccount</t>
  </si>
  <si>
    <t>Wellington North Power Inc.1595_(2022)</t>
  </si>
  <si>
    <t>Wellington North Power Inc.1595_ccount</t>
  </si>
  <si>
    <t>Westario Power Inc.1595_(2022)</t>
  </si>
  <si>
    <t>Westario Power Inc.1595_ccount</t>
  </si>
  <si>
    <t>Enova Power Corp.-Kitchener-Wilmot Hydro Rate Zone</t>
  </si>
  <si>
    <t>Enova Power Corp.-Waterloo North Rate Zone</t>
  </si>
  <si>
    <t xml:space="preserve">GrandBridge Energy Inc.-Brantford Power Rate Zone </t>
  </si>
  <si>
    <t xml:space="preserve">GrandBridge Energy Inc.-Energy+ Rate Zone </t>
  </si>
  <si>
    <t>Hydro One Networks Inc.-Former Orillia Power Distribution Corporation Service Area</t>
  </si>
  <si>
    <t>Hydro One Networks Inc.-Former Peterborough Distribution Inc. Service Area</t>
  </si>
  <si>
    <t>COMPETITIVE SECTOR MULTI-UNIT RESIDENTIAL SERVICE CLASSIFICATION</t>
  </si>
  <si>
    <t>RESIDENTIAL SERVICE CLASSIFICATION</t>
  </si>
  <si>
    <t>GENERAL SERVICE LESS THAN 50 KW SERVICE CLASSIFICATION</t>
  </si>
  <si>
    <t>GENERAL SERVICE 50 TO 999 KW SERVICE CLASSIFICATION</t>
  </si>
  <si>
    <t>GENERAL SERVICE 1,000 TO 4,999 KW SERVICE CLASSIFICATION</t>
  </si>
  <si>
    <t>LARGE USE SERVICE CLASSIFICATION</t>
  </si>
  <si>
    <t>UNMETERED SCATTERED LOAD SERVICE CLASSIFICATION</t>
  </si>
  <si>
    <t>STREET LIGHTING SERVICE CLASSIFICATION</t>
  </si>
  <si>
    <t>Metered Class B Consumption (kWh)  for Transition Customers During the Period When They were Class B Customers in 2023</t>
  </si>
  <si>
    <t>Metered Consumption (kWh) for Transition Customers During the Period When They Were Class B Customers in 2023</t>
  </si>
  <si>
    <t>kVA</t>
  </si>
  <si>
    <t>Summary of changes in the DVA Rate Riders (Group 1) Model</t>
  </si>
  <si>
    <t>No.</t>
  </si>
  <si>
    <t>Cell Reference</t>
  </si>
  <si>
    <t>Description</t>
  </si>
  <si>
    <t>T24 : T28</t>
  </si>
  <si>
    <t>Modified to select correct Class A kW</t>
  </si>
  <si>
    <t>F6 : H6</t>
  </si>
  <si>
    <t>Modified to include number of customers from the General Service Less Than 50 Service Classification</t>
  </si>
  <si>
    <t>F20 : F27, F46 : F53, F72 : F79, F100 : F106</t>
  </si>
  <si>
    <t>Modified since Toronto Hydro rates are per 30 days.</t>
  </si>
  <si>
    <t>F20 : F22, F27, F46 : F48, F53, F72 : F74, F79, F100 : F106</t>
  </si>
  <si>
    <t>Rounding off included as Toronto Hydro rates for kWh are rounded to five decimals</t>
  </si>
  <si>
    <t>F23 : F26, F49 : F52, F75 : F78</t>
  </si>
  <si>
    <t>Rounding off included as Toronto Hydro rates for kVA are rounded to four decimals</t>
  </si>
  <si>
    <t>Entire Sheet</t>
  </si>
  <si>
    <t>Tab added to summarize changes made to the model</t>
  </si>
  <si>
    <t>1a. Summary of Changes</t>
  </si>
  <si>
    <t>E20 : E27, E46 : E53, E72 : E79, E100 : E106</t>
  </si>
  <si>
    <t>Modified to select balances from the "5. Allocation of Balances_Edit" tab to avoid macro error from "5. Allocation of Balances"</t>
  </si>
  <si>
    <t>Opening Principal Amounts as of Jan 1, 2023</t>
  </si>
  <si>
    <t>Transactions Debit / (Credit) during 2023</t>
  </si>
  <si>
    <t>OEB-Approved Disposition during 2023</t>
  </si>
  <si>
    <t>Principal Adjustments1 during 2023</t>
  </si>
  <si>
    <t>Closing Principal Balance as of Dec 31, 2023</t>
  </si>
  <si>
    <t>Opening Interest Amounts as of Jan 1, 2023</t>
  </si>
  <si>
    <t>Interest Jan 1 to Dec 31, 2023</t>
  </si>
  <si>
    <t>Interest Adjustments1 during 2023</t>
  </si>
  <si>
    <t>Closing Interest Amounts as of Dec 31, 2023</t>
  </si>
  <si>
    <t>Forecast Principal Amount - 2024</t>
  </si>
  <si>
    <t>Forecast Interest Amount - 2024</t>
  </si>
  <si>
    <t>Ultra-Low Overnight Rate Costs</t>
  </si>
  <si>
    <t>Cloud Computing Costs</t>
  </si>
  <si>
    <t>Getting Ontario Connected Act Variance Account</t>
  </si>
  <si>
    <t>Other Regulatory Assets - Sub-Account - Impact for USGAAP Deferral</t>
  </si>
  <si>
    <t>Other Regulatory Assets - Sub-Account - CRRRVA</t>
  </si>
  <si>
    <t>Other Regulatory Assets - Sub-Account - Externally Driven Capital Variance Account (“EDCVA”)</t>
  </si>
  <si>
    <t>Other Regulatory Assets - Sub-Account - Derecognition</t>
  </si>
  <si>
    <t>Other Regulatory Assets - Sub-Account - Wireless Attachments</t>
  </si>
  <si>
    <t>Other Regulatory Assets - Sub-Account - Monthly Billing</t>
  </si>
  <si>
    <t>Amount cleared in 2023, no issue noted.</t>
  </si>
  <si>
    <t>Other Regulatory Assets - Sub-Account - Operating Centers Consolidation Program (“OCCP”)</t>
  </si>
  <si>
    <t>Other Regulatory Assets - Sub-Account - 50/60 Eglinton</t>
  </si>
  <si>
    <t>Other Regulatory Assets - Sub-Account - Excess Expansion Deposits</t>
  </si>
  <si>
    <t>Other Regulatory Assets - Sub-Account - AR Credits</t>
  </si>
  <si>
    <t>Other Regulatory Assets - Sub-Account - Operating Centers Consolidation Program (“OCCP”) Bonus Payment</t>
  </si>
  <si>
    <t>Other Regulatory Assets - Sub-Account - 50/60 Eglinton Proceeds of Sale Deferral Account</t>
  </si>
  <si>
    <t>Other Regulatory Assets - Sub-Account - Useful Life Changes</t>
  </si>
  <si>
    <t>Other Regulatory Assets - Sub-Account - Gains on Sale of Properties</t>
  </si>
  <si>
    <t>Other Regulatory Assets - Sub-Account - OPEB Cash vs. Accrual</t>
  </si>
  <si>
    <t>Other Regulatory Assets - Sub-Account - Carillion Insolvency Payments Receivable Account</t>
  </si>
  <si>
    <t>Variance of $3,395,862: Relates to the current year principal adjustments for unbilled revenue differences of $4,523,048, partially offset by the IESO cost true up ($1,127,186)</t>
  </si>
  <si>
    <t>Variance of $3,057,250: Relates to the current year principal adjustments for unbilled revenue differences</t>
  </si>
  <si>
    <t>Deferral and Variance Account (Continuity Schedule) Workform</t>
  </si>
  <si>
    <t>Entire Workform</t>
  </si>
  <si>
    <t>Saved as Excel workbook with no macros. Macros did not include Class A consumption in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</si>
</sst>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8" formatCode="&quot;$&quot;#,##0.00;[Red]\-&quot;$&quot;#,##0.00"/>
    <numFmt numFmtId="44" formatCode="_-&quot;$&quot;* #,##0.00_-;\-&quot;$&quot;* #,##0.00_-;_-&quot;$&quot;* &quot;-&quot;??_-;_-@_-"/>
    <numFmt numFmtId="43" formatCode="_-* #,##0.00_-;\-* #,##0.00_-;_-* &quot;-&quot;??_-;_-@_-"/>
    <numFmt numFmtId="164" formatCode="&quot;$&quot;#,##0_);\(&quot;$&quot;#,##0\)"/>
    <numFmt numFmtId="165" formatCode="&quot;$&quot;#,##0.00_);[Red]\(&quot;$&quot;#,##0.00\)"/>
    <numFmt numFmtId="166" formatCode="_(&quot;$&quot;* #,##0.00_);_(&quot;$&quot;* \(#,##0.00\);_(&quot;$&quot;* &quot;-&quot;??_);_(@_)"/>
    <numFmt numFmtId="167" formatCode="_(* #,##0.00_);_(* \(#,##0.00\);_(* &quot;-&quot;??_);_(@_)"/>
    <numFmt numFmtId="168" formatCode="_(* #,##0.0_);_(* \(#,##0.0\);_(* &quot;-&quot;??_);_(@_)"/>
    <numFmt numFmtId="169" formatCode="_(* #,##0_);_(* \(#,##0\);_(* &quot;-&quot;??_);_(@_)"/>
    <numFmt numFmtId="170" formatCode="&quot;£ &quot;#,##0.00;[Red]\-&quot;£ &quot;#,##0.00"/>
    <numFmt numFmtId="171" formatCode="#,##0.0"/>
    <numFmt numFmtId="172" formatCode="##\-#"/>
    <numFmt numFmtId="173" formatCode="mm/dd/yyyy"/>
    <numFmt numFmtId="174" formatCode="0\-0"/>
    <numFmt numFmtId="175" formatCode="_-&quot;$&quot;* #,##0_-;\-&quot;$&quot;* #,##0_-;_-&quot;$&quot;* &quot;-&quot;??_-;_-@_-"/>
    <numFmt numFmtId="176" formatCode="0.0"/>
    <numFmt numFmtId="177" formatCode="#,##0;[Red]\(#,##0\)"/>
    <numFmt numFmtId="178" formatCode="_-* #,##0_-;\-* #,##0_-;_-* &quot;-&quot;??_-;_-@_-"/>
    <numFmt numFmtId="179" formatCode="_-* #,##0.0000_-;\-* #,##0.0000_-;_-* &quot;-&quot;??_-;_-@_-"/>
    <numFmt numFmtId="180" formatCode="0.0%"/>
    <numFmt numFmtId="181" formatCode="&quot;$&quot;#,##0.0000_);[Red]\(&quot;$&quot;#,##0.0000\)"/>
    <numFmt numFmtId="182" formatCode="_-&quot;$&quot;* #,##0.0000_-;\-&quot;$&quot;* #,##0.0000_-;_-&quot;$&quot;* &quot;-&quot;??_-;_-@_-"/>
    <numFmt numFmtId="183" formatCode="_ #,##0.000000;[Red]\(#,##0.000000\)"/>
    <numFmt numFmtId="184" formatCode="#,##0_ ;[Red]\-#,##0\ "/>
    <numFmt numFmtId="185" formatCode="#0"/>
    <numFmt numFmtId="186" formatCode="_-* #,##0.00000_-;\-* #,##0.00000_-;_-* &quot;-&quot;??_-;_-@_-"/>
    <numFmt numFmtId="187" formatCode="_-&quot;$&quot;* #,##0.00000_-;\-&quot;$&quot;* #,##0.00000_-;_-&quot;$&quot;* &quot;-&quot;??_-;_-@_-"/>
  </numFmts>
  <fonts count="12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1"/>
      <name val="Arial"/>
      <family val="2"/>
    </font>
    <font>
      <b/>
      <sz val="10"/>
      <name val="Arial"/>
      <family val="2"/>
    </font>
    <font>
      <sz val="8"/>
      <name val="Arial"/>
      <family val="2"/>
    </font>
    <font>
      <b/>
      <sz val="18"/>
      <name val="Arial"/>
      <family val="2"/>
    </font>
    <font>
      <b/>
      <sz val="12"/>
      <name val="Arial"/>
      <family val="2"/>
    </font>
    <font>
      <vertAlign val="superscript"/>
      <sz val="11"/>
      <name val="Arial"/>
      <family val="2"/>
    </font>
    <font>
      <sz val="10"/>
      <name val="Arial"/>
      <family val="2"/>
    </font>
    <font>
      <b/>
      <sz val="11"/>
      <color indexed="12"/>
      <name val="Arial"/>
      <family val="2"/>
    </font>
    <font>
      <sz val="8"/>
      <name val="Arial"/>
      <family val="2"/>
    </font>
    <font>
      <b/>
      <sz val="22"/>
      <name val="Book Antiqua"/>
      <family val="1"/>
    </font>
    <font>
      <sz val="10"/>
      <name val="Book Antiqua"/>
      <family val="1"/>
    </font>
    <font>
      <sz val="22"/>
      <name val="Book Antiqua"/>
      <family val="1"/>
    </font>
    <font>
      <b/>
      <sz val="10"/>
      <name val="Book Antiqua"/>
      <family val="1"/>
    </font>
    <font>
      <b/>
      <vertAlign val="superscript"/>
      <sz val="10"/>
      <name val="Book Antiqua"/>
      <family val="1"/>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b/>
      <sz val="16"/>
      <name val="Book Antiqua"/>
      <family val="1"/>
    </font>
    <font>
      <b/>
      <i/>
      <sz val="10"/>
      <name val="Book Antiqua"/>
      <family val="1"/>
    </font>
    <font>
      <sz val="10"/>
      <name val="Arial"/>
      <family val="2"/>
    </font>
    <font>
      <b/>
      <sz val="11"/>
      <color theme="1"/>
      <name val="Calibri"/>
      <family val="2"/>
      <scheme val="minor"/>
    </font>
    <font>
      <b/>
      <sz val="11"/>
      <color theme="3"/>
      <name val="Calibri"/>
      <family val="2"/>
      <scheme val="minor"/>
    </font>
    <font>
      <b/>
      <sz val="11"/>
      <color theme="1"/>
      <name val="Arial"/>
      <family val="2"/>
    </font>
    <font>
      <sz val="11"/>
      <color theme="1"/>
      <name val="Arial"/>
      <family val="2"/>
    </font>
    <font>
      <i/>
      <sz val="11"/>
      <color theme="0" tint="-0.34998626667073579"/>
      <name val="Arial"/>
      <family val="2"/>
    </font>
    <font>
      <b/>
      <u/>
      <sz val="10"/>
      <name val="Arial"/>
      <family val="2"/>
    </font>
    <font>
      <b/>
      <u/>
      <sz val="11"/>
      <color theme="1"/>
      <name val="Calibri"/>
      <family val="2"/>
      <scheme val="minor"/>
    </font>
    <font>
      <b/>
      <vertAlign val="superscript"/>
      <sz val="10"/>
      <name val="Arial"/>
      <family val="2"/>
    </font>
    <font>
      <b/>
      <sz val="10"/>
      <color rgb="FFFF0000"/>
      <name val="Arial"/>
      <family val="2"/>
    </font>
    <font>
      <vertAlign val="superscript"/>
      <sz val="11"/>
      <color theme="1"/>
      <name val="Calibri"/>
      <family val="2"/>
      <scheme val="minor"/>
    </font>
    <font>
      <b/>
      <sz val="8"/>
      <name val="Arial"/>
      <family val="2"/>
    </font>
    <font>
      <b/>
      <sz val="14"/>
      <name val="Arial"/>
      <family val="2"/>
    </font>
    <font>
      <sz val="12"/>
      <color theme="1"/>
      <name val="Arial"/>
      <family val="2"/>
    </font>
    <font>
      <b/>
      <sz val="11"/>
      <color rgb="FFFF0000"/>
      <name val="Arial"/>
      <family val="2"/>
    </font>
    <font>
      <b/>
      <sz val="10"/>
      <color rgb="FF0070C0"/>
      <name val="Arial"/>
      <family val="2"/>
    </font>
    <font>
      <b/>
      <sz val="8"/>
      <color rgb="FFFF0000"/>
      <name val="Arial"/>
      <family val="2"/>
    </font>
    <font>
      <i/>
      <sz val="8"/>
      <color rgb="FFFF0000"/>
      <name val="Arial"/>
      <family val="2"/>
    </font>
    <font>
      <b/>
      <i/>
      <sz val="10"/>
      <name val="Arial"/>
      <family val="2"/>
    </font>
    <font>
      <sz val="9"/>
      <color indexed="81"/>
      <name val="Tahoma"/>
      <family val="2"/>
    </font>
    <font>
      <b/>
      <sz val="9"/>
      <color indexed="81"/>
      <name val="Tahoma"/>
      <family val="2"/>
    </font>
    <font>
      <b/>
      <vertAlign val="superscrip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sz val="11"/>
      <color rgb="FFFF0000"/>
      <name val="Calibri"/>
      <family val="2"/>
      <scheme val="minor"/>
    </font>
    <font>
      <i/>
      <sz val="11"/>
      <color rgb="FFFF0000"/>
      <name val="Arial"/>
      <family val="2"/>
    </font>
    <font>
      <sz val="8"/>
      <color rgb="FF000000"/>
      <name val="Tahoma"/>
      <family val="2"/>
    </font>
    <font>
      <b/>
      <sz val="10"/>
      <color theme="1"/>
      <name val="Arial"/>
      <family val="2"/>
    </font>
    <font>
      <sz val="10"/>
      <color theme="1"/>
      <name val="Arial"/>
      <family val="2"/>
    </font>
    <font>
      <b/>
      <sz val="10"/>
      <color indexed="10"/>
      <name val="Arial"/>
      <family val="2"/>
    </font>
    <font>
      <b/>
      <vertAlign val="superscript"/>
      <sz val="11"/>
      <color indexed="12"/>
      <name val="Arial"/>
      <family val="2"/>
    </font>
    <font>
      <u/>
      <sz val="8"/>
      <color rgb="FF0000FF"/>
      <name val="Calibri"/>
      <family val="2"/>
      <scheme val="minor"/>
    </font>
    <font>
      <vertAlign val="superscript"/>
      <sz val="10"/>
      <name val="Arial"/>
      <family val="2"/>
    </font>
    <font>
      <sz val="10"/>
      <color theme="0"/>
      <name val="Arial"/>
      <family val="2"/>
    </font>
    <font>
      <b/>
      <sz val="11"/>
      <color rgb="FFFF0000"/>
      <name val="Calibri"/>
      <family val="2"/>
      <scheme val="minor"/>
    </font>
    <font>
      <sz val="12"/>
      <name val="Arial"/>
      <family val="2"/>
    </font>
    <font>
      <sz val="11"/>
      <name val="Calibri"/>
      <family val="2"/>
      <scheme val="minor"/>
    </font>
    <font>
      <u/>
      <sz val="8"/>
      <color rgb="FF800080"/>
      <name val="Calibri"/>
      <family val="2"/>
      <scheme val="minor"/>
    </font>
    <font>
      <sz val="11"/>
      <color rgb="FFFF0000"/>
      <name val="Arial"/>
      <family val="2"/>
    </font>
    <font>
      <b/>
      <u/>
      <sz val="11"/>
      <color theme="1"/>
      <name val="Arial"/>
      <family val="2"/>
    </font>
    <font>
      <b/>
      <u/>
      <sz val="14"/>
      <color theme="1"/>
      <name val="Arial"/>
      <family val="2"/>
    </font>
    <font>
      <i/>
      <sz val="11"/>
      <color theme="1"/>
      <name val="Arial"/>
      <family val="2"/>
    </font>
    <font>
      <sz val="10"/>
      <color rgb="FFFF0000"/>
      <name val="Arial"/>
      <family val="2"/>
    </font>
    <font>
      <b/>
      <sz val="11"/>
      <name val="Calibri"/>
      <family val="2"/>
      <scheme val="minor"/>
    </font>
    <font>
      <sz val="11"/>
      <color rgb="FF000000"/>
      <name val="Calibri"/>
      <family val="2"/>
    </font>
    <font>
      <sz val="11"/>
      <color theme="1"/>
      <name val="Calibri"/>
      <family val="2"/>
    </font>
    <font>
      <sz val="8"/>
      <color rgb="FF333399"/>
      <name val="Calibri"/>
      <family val="2"/>
    </font>
    <font>
      <sz val="8"/>
      <color theme="1"/>
      <name val="Calibri"/>
      <family val="2"/>
    </font>
    <font>
      <b/>
      <sz val="14"/>
      <color theme="1"/>
      <name val="Arial"/>
      <family val="2"/>
    </font>
    <font>
      <b/>
      <u/>
      <sz val="12"/>
      <color theme="1"/>
      <name val="Arial"/>
      <family val="2"/>
    </font>
    <font>
      <sz val="10.5"/>
      <color theme="1"/>
      <name val="Arial"/>
      <family val="2"/>
    </font>
    <font>
      <u/>
      <sz val="10.5"/>
      <color theme="1"/>
      <name val="Arial"/>
      <family val="2"/>
    </font>
    <font>
      <i/>
      <sz val="10.5"/>
      <color theme="1"/>
      <name val="Arial"/>
      <family val="2"/>
    </font>
    <font>
      <sz val="10.5"/>
      <color theme="8" tint="-0.249977111117893"/>
      <name val="Arial"/>
      <family val="2"/>
    </font>
    <font>
      <sz val="10.5"/>
      <name val="Arial"/>
      <family val="2"/>
    </font>
    <font>
      <b/>
      <u/>
      <sz val="10.5"/>
      <color theme="1"/>
      <name val="Arial"/>
      <family val="2"/>
    </font>
    <font>
      <b/>
      <sz val="10"/>
      <color theme="1"/>
      <name val="Calibri"/>
      <family val="2"/>
    </font>
    <font>
      <b/>
      <sz val="8"/>
      <color theme="1"/>
      <name val="Calibri"/>
      <family val="2"/>
    </font>
    <font>
      <sz val="8"/>
      <name val="Arial"/>
      <family val="2"/>
    </font>
    <font>
      <b/>
      <sz val="12"/>
      <color theme="1"/>
      <name val="Arial"/>
      <family val="2"/>
    </font>
    <font>
      <b/>
      <sz val="12"/>
      <color theme="0"/>
      <name val="Arial"/>
      <family val="2"/>
    </font>
    <font>
      <sz val="12"/>
      <color theme="1"/>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C000"/>
        <bgColor indexed="64"/>
      </patternFill>
    </fill>
    <fill>
      <patternFill patternType="solid">
        <fgColor theme="0" tint="-4.9989318521683403E-2"/>
        <bgColor indexed="64"/>
      </patternFill>
    </fill>
    <fill>
      <patternFill patternType="solid">
        <fgColor rgb="FFEBF1DE"/>
        <bgColor indexed="64"/>
      </patternFill>
    </fill>
    <fill>
      <patternFill patternType="solid">
        <fgColor rgb="FFF0F4FA"/>
      </patternFill>
    </fill>
    <fill>
      <patternFill patternType="solid">
        <fgColor rgb="FFFFFFFF"/>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rgb="FFA6A6A6"/>
        <bgColor indexed="64"/>
      </patternFill>
    </fill>
    <fill>
      <patternFill patternType="solid">
        <fgColor theme="1"/>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style="medium">
        <color indexed="64"/>
      </left>
      <right/>
      <top/>
      <bottom/>
      <diagonal/>
    </border>
    <border>
      <left/>
      <right style="medium">
        <color indexed="64"/>
      </right>
      <top/>
      <bottom/>
      <diagonal/>
    </border>
    <border>
      <left/>
      <right style="medium">
        <color indexed="64"/>
      </right>
      <top style="medium">
        <color indexed="12"/>
      </top>
      <bottom/>
      <diagonal/>
    </border>
    <border>
      <left style="medium">
        <color indexed="64"/>
      </left>
      <right/>
      <top style="medium">
        <color indexed="12"/>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12"/>
      </top>
      <bottom/>
      <diagonal/>
    </border>
    <border>
      <left style="medium">
        <color indexed="64"/>
      </left>
      <right/>
      <top style="medium">
        <color indexed="64"/>
      </top>
      <bottom style="medium">
        <color indexed="64"/>
      </bottom>
      <diagonal/>
    </border>
    <border>
      <left/>
      <right/>
      <top style="medium">
        <color indexed="12"/>
      </top>
      <bottom/>
      <diagonal/>
    </border>
    <border>
      <left style="medium">
        <color indexed="64"/>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right style="medium">
        <color indexed="9"/>
      </right>
      <top style="medium">
        <color indexed="9"/>
      </top>
      <bottom style="medium">
        <color indexed="9"/>
      </bottom>
      <diagonal/>
    </border>
    <border>
      <left style="medium">
        <color indexed="64"/>
      </left>
      <right style="medium">
        <color indexed="64"/>
      </right>
      <top style="medium">
        <color indexed="9"/>
      </top>
      <bottom style="medium">
        <color indexed="9"/>
      </bottom>
      <diagonal/>
    </border>
    <border>
      <left style="medium">
        <color indexed="64"/>
      </left>
      <right style="medium">
        <color indexed="9"/>
      </right>
      <top style="medium">
        <color indexed="9"/>
      </top>
      <bottom/>
      <diagonal/>
    </border>
    <border>
      <left style="medium">
        <color indexed="9"/>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9"/>
      </left>
      <right style="medium">
        <color indexed="9"/>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12"/>
      </bottom>
      <diagonal/>
    </border>
    <border>
      <left/>
      <right/>
      <top/>
      <bottom style="medium">
        <color indexed="12"/>
      </bottom>
      <diagonal/>
    </border>
    <border>
      <left/>
      <right style="medium">
        <color indexed="64"/>
      </right>
      <top style="medium">
        <color indexed="64"/>
      </top>
      <bottom/>
      <diagonal/>
    </border>
    <border>
      <left/>
      <right style="medium">
        <color indexed="64"/>
      </right>
      <top/>
      <bottom style="medium">
        <color indexed="1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39"/>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auto="1"/>
      </left>
      <right/>
      <top style="medium">
        <color indexed="12"/>
      </top>
      <bottom/>
      <diagonal/>
    </border>
    <border>
      <left style="medium">
        <color auto="1"/>
      </left>
      <right style="medium">
        <color indexed="9"/>
      </right>
      <top style="medium">
        <color indexed="9"/>
      </top>
      <bottom style="medium">
        <color indexed="9"/>
      </bottom>
      <diagonal/>
    </border>
    <border>
      <left style="medium">
        <color auto="1"/>
      </left>
      <right/>
      <top/>
      <bottom/>
      <diagonal/>
    </border>
    <border>
      <left style="medium">
        <color auto="1"/>
      </left>
      <right style="medium">
        <color indexed="9"/>
      </right>
      <top style="medium">
        <color indexed="9"/>
      </top>
      <bottom/>
      <diagonal/>
    </border>
    <border>
      <left style="medium">
        <color auto="1"/>
      </left>
      <right/>
      <top style="medium">
        <color indexed="9"/>
      </top>
      <bottom style="medium">
        <color auto="1"/>
      </bottom>
      <diagonal/>
    </border>
    <border>
      <left/>
      <right/>
      <top/>
      <bottom style="medium">
        <color auto="1"/>
      </bottom>
      <diagonal/>
    </border>
    <border>
      <left/>
      <right style="medium">
        <color indexed="64"/>
      </right>
      <top/>
      <bottom style="medium">
        <color auto="1"/>
      </bottom>
      <diagonal/>
    </border>
    <border>
      <left style="medium">
        <color indexed="64"/>
      </left>
      <right style="medium">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30"/>
      </bottom>
      <diagonal/>
    </border>
    <border>
      <left style="medium">
        <color indexed="9"/>
      </left>
      <right style="medium">
        <color indexed="9"/>
      </right>
      <top/>
      <bottom style="medium">
        <color indexed="9"/>
      </bottom>
      <diagonal/>
    </border>
    <border>
      <left/>
      <right/>
      <top/>
      <bottom style="medium">
        <color indexed="30"/>
      </bottom>
      <diagonal/>
    </border>
    <border>
      <left/>
      <right/>
      <top/>
      <bottom style="medium">
        <color indexed="30"/>
      </bottom>
      <diagonal/>
    </border>
    <border>
      <left/>
      <right/>
      <top/>
      <bottom style="medium">
        <color indexed="30"/>
      </bottom>
      <diagonal/>
    </border>
    <border>
      <left/>
      <right/>
      <top/>
      <bottom style="medium">
        <color indexed="30"/>
      </bottom>
      <diagonal/>
    </border>
    <border>
      <left/>
      <right/>
      <top/>
      <bottom style="medium">
        <color indexed="30"/>
      </bottom>
      <diagonal/>
    </border>
    <border>
      <left style="medium">
        <color indexed="64"/>
      </left>
      <right style="medium">
        <color indexed="9"/>
      </right>
      <top/>
      <bottom style="medium">
        <color indexed="9"/>
      </bottom>
      <diagonal/>
    </border>
    <border>
      <left style="medium">
        <color auto="1"/>
      </left>
      <right style="medium">
        <color indexed="64"/>
      </right>
      <top/>
      <bottom style="medium">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medium">
        <color indexed="9"/>
      </right>
      <top/>
      <bottom style="medium">
        <color indexed="9"/>
      </bottom>
      <diagonal/>
    </border>
    <border>
      <left style="medium">
        <color indexed="9"/>
      </left>
      <right style="medium">
        <color indexed="9"/>
      </right>
      <top/>
      <bottom style="medium">
        <color indexed="9"/>
      </bottom>
      <diagonal/>
    </border>
    <border>
      <left/>
      <right/>
      <top/>
      <bottom style="medium">
        <color indexed="12"/>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top/>
      <bottom style="medium">
        <color indexed="30"/>
      </bottom>
      <diagonal/>
    </border>
    <border>
      <left/>
      <right/>
      <top/>
      <bottom style="medium">
        <color indexed="30"/>
      </bottom>
      <diagonal/>
    </border>
    <border>
      <left/>
      <right style="thin">
        <color indexed="64"/>
      </right>
      <top/>
      <bottom/>
      <diagonal/>
    </border>
    <border>
      <left style="thin">
        <color indexed="64"/>
      </left>
      <right/>
      <top/>
      <bottom style="thin">
        <color indexed="64"/>
      </bottom>
      <diagonal/>
    </border>
    <border>
      <left/>
      <right style="medium">
        <color auto="1"/>
      </right>
      <top/>
      <bottom/>
      <diagonal/>
    </border>
    <border>
      <left/>
      <right style="medium">
        <color indexed="64"/>
      </right>
      <top/>
      <bottom style="medium">
        <color auto="1"/>
      </bottom>
      <diagonal/>
    </border>
    <border>
      <left style="medium">
        <color indexed="64"/>
      </left>
      <right/>
      <top/>
      <bottom style="medium">
        <color indexed="64"/>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auto="1"/>
      </bottom>
      <diagonal/>
    </border>
    <border>
      <left style="medium">
        <color auto="1"/>
      </left>
      <right/>
      <top/>
      <bottom style="medium">
        <color auto="1"/>
      </bottom>
      <diagonal/>
    </border>
    <border>
      <left style="medium">
        <color indexed="64"/>
      </left>
      <right/>
      <top/>
      <bottom style="medium">
        <color auto="1"/>
      </bottom>
      <diagonal/>
    </border>
    <border>
      <left style="thin">
        <color indexed="64"/>
      </left>
      <right style="thin">
        <color indexed="64"/>
      </right>
      <top style="thin">
        <color indexed="64"/>
      </top>
      <bottom style="thin">
        <color rgb="FFC00000"/>
      </bottom>
      <diagonal/>
    </border>
    <border>
      <left style="medium">
        <color auto="1"/>
      </left>
      <right style="medium">
        <color indexed="9"/>
      </right>
      <top style="medium">
        <color indexed="9"/>
      </top>
      <bottom style="medium">
        <color indexed="64"/>
      </bottom>
      <diagonal/>
    </border>
    <border>
      <left style="medium">
        <color indexed="9"/>
      </left>
      <right style="medium">
        <color indexed="9"/>
      </right>
      <top style="medium">
        <color indexed="9"/>
      </top>
      <bottom style="medium">
        <color indexed="64"/>
      </bottom>
      <diagonal/>
    </border>
    <border>
      <left style="medium">
        <color indexed="64"/>
      </left>
      <right style="medium">
        <color indexed="9"/>
      </right>
      <top style="medium">
        <color indexed="9"/>
      </top>
      <bottom style="medium">
        <color indexed="64"/>
      </bottom>
      <diagonal/>
    </border>
    <border>
      <left style="medium">
        <color indexed="9"/>
      </left>
      <right style="medium">
        <color indexed="64"/>
      </right>
      <top style="medium">
        <color indexed="9"/>
      </top>
      <bottom style="medium">
        <color indexed="64"/>
      </bottom>
      <diagonal/>
    </border>
    <border>
      <left/>
      <right style="medium">
        <color indexed="9"/>
      </right>
      <top style="medium">
        <color indexed="9"/>
      </top>
      <bottom style="medium">
        <color indexed="64"/>
      </bottom>
      <diagonal/>
    </border>
    <border>
      <left style="medium">
        <color indexed="64"/>
      </left>
      <right style="medium">
        <color indexed="64"/>
      </right>
      <top style="thin">
        <color theme="0"/>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style="thin">
        <color theme="0"/>
      </bottom>
      <diagonal/>
    </border>
    <border>
      <left style="thin">
        <color theme="0"/>
      </left>
      <right/>
      <top style="thin">
        <color theme="0"/>
      </top>
      <bottom style="medium">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9"/>
      </right>
      <top style="medium">
        <color indexed="9"/>
      </top>
      <bottom style="medium">
        <color indexed="9"/>
      </bottom>
      <diagonal/>
    </border>
    <border>
      <left style="medium">
        <color indexed="9"/>
      </left>
      <right style="medium">
        <color indexed="64"/>
      </right>
      <top style="medium">
        <color indexed="9"/>
      </top>
      <bottom style="medium">
        <color indexed="9"/>
      </bottom>
      <diagonal/>
    </border>
    <border>
      <left/>
      <right style="medium">
        <color indexed="9"/>
      </right>
      <top style="medium">
        <color indexed="9"/>
      </top>
      <bottom style="medium">
        <color indexed="9"/>
      </bottom>
      <diagonal/>
    </border>
    <border>
      <left style="medium">
        <color auto="1"/>
      </left>
      <right style="medium">
        <color indexed="9"/>
      </right>
      <top style="medium">
        <color indexed="9"/>
      </top>
      <bottom style="medium">
        <color indexed="9"/>
      </bottom>
      <diagonal/>
    </border>
    <border>
      <left style="medium">
        <color indexed="64"/>
      </left>
      <right style="medium">
        <color indexed="64"/>
      </right>
      <top style="medium">
        <color indexed="9"/>
      </top>
      <bottom style="medium">
        <color indexed="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top style="medium">
        <color indexed="9"/>
      </top>
      <bottom style="medium">
        <color auto="1"/>
      </bottom>
      <diagonal/>
    </border>
    <border>
      <left style="medium">
        <color indexed="64"/>
      </left>
      <right/>
      <top/>
      <bottom style="medium">
        <color indexed="12"/>
      </bottom>
      <diagonal/>
    </border>
    <border>
      <left/>
      <right style="medium">
        <color indexed="64"/>
      </right>
      <top/>
      <bottom style="medium">
        <color indexed="12"/>
      </bottom>
      <diagonal/>
    </border>
    <border>
      <left style="medium">
        <color indexed="64"/>
      </left>
      <right style="medium">
        <color indexed="64"/>
      </right>
      <top/>
      <bottom style="medium">
        <color indexed="39"/>
      </bottom>
      <diagonal/>
    </border>
    <border>
      <left style="medium">
        <color indexed="64"/>
      </left>
      <right/>
      <top/>
      <bottom style="medium">
        <color auto="1"/>
      </bottom>
      <diagonal/>
    </border>
    <border>
      <left style="medium">
        <color indexed="64"/>
      </left>
      <right style="medium">
        <color indexed="9"/>
      </right>
      <top/>
      <bottom style="medium">
        <color indexed="9"/>
      </bottom>
      <diagonal/>
    </border>
    <border>
      <left/>
      <right/>
      <top/>
      <bottom style="medium">
        <color indexed="64"/>
      </bottom>
      <diagonal/>
    </border>
  </borders>
  <cellStyleXfs count="500">
    <xf numFmtId="0" fontId="0" fillId="0" borderId="0"/>
    <xf numFmtId="168" fontId="17" fillId="0" borderId="0"/>
    <xf numFmtId="171" fontId="17" fillId="0" borderId="0"/>
    <xf numFmtId="173" fontId="17" fillId="0" borderId="0"/>
    <xf numFmtId="174" fontId="17"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35" fillId="3" borderId="0" applyNumberFormat="0" applyBorder="0" applyAlignment="0" applyProtection="0"/>
    <xf numFmtId="0" fontId="36" fillId="20" borderId="1" applyNumberFormat="0" applyAlignment="0" applyProtection="0"/>
    <xf numFmtId="0" fontId="37" fillId="21" borderId="2" applyNumberFormat="0" applyAlignment="0" applyProtection="0"/>
    <xf numFmtId="3" fontId="17" fillId="0" borderId="0" applyFont="0" applyFill="0" applyBorder="0" applyAlignment="0" applyProtection="0"/>
    <xf numFmtId="164" fontId="17" fillId="0" borderId="0" applyFont="0" applyFill="0" applyBorder="0" applyAlignment="0" applyProtection="0"/>
    <xf numFmtId="14" fontId="17" fillId="0" borderId="0" applyFont="0" applyFill="0" applyBorder="0" applyAlignment="0" applyProtection="0"/>
    <xf numFmtId="0" fontId="38" fillId="0" borderId="0" applyNumberFormat="0" applyFill="0" applyBorder="0" applyAlignment="0" applyProtection="0"/>
    <xf numFmtId="2" fontId="17" fillId="0" borderId="0" applyFont="0" applyFill="0" applyBorder="0" applyAlignment="0" applyProtection="0"/>
    <xf numFmtId="0" fontId="39" fillId="4" borderId="0" applyNumberFormat="0" applyBorder="0" applyAlignment="0" applyProtection="0"/>
    <xf numFmtId="38" fontId="21" fillId="22" borderId="0" applyNumberFormat="0" applyBorder="0" applyAlignment="0" applyProtection="0"/>
    <xf numFmtId="0" fontId="22" fillId="0" borderId="0" applyNumberFormat="0" applyFont="0" applyFill="0" applyAlignment="0" applyProtection="0"/>
    <xf numFmtId="0" fontId="23" fillId="0" borderId="0" applyNumberFormat="0" applyFont="0" applyFill="0" applyAlignment="0" applyProtection="0"/>
    <xf numFmtId="0" fontId="40" fillId="0" borderId="3" applyNumberFormat="0" applyFill="0" applyAlignment="0" applyProtection="0"/>
    <xf numFmtId="0" fontId="40" fillId="0" borderId="0" applyNumberFormat="0" applyFill="0" applyBorder="0" applyAlignment="0" applyProtection="0"/>
    <xf numFmtId="0" fontId="41" fillId="7" borderId="1" applyNumberFormat="0" applyAlignment="0" applyProtection="0"/>
    <xf numFmtId="10" fontId="21" fillId="23" borderId="4" applyNumberFormat="0" applyBorder="0" applyAlignment="0" applyProtection="0"/>
    <xf numFmtId="0" fontId="42" fillId="0" borderId="5" applyNumberFormat="0" applyFill="0" applyAlignment="0" applyProtection="0"/>
    <xf numFmtId="172" fontId="17" fillId="0" borderId="0"/>
    <xf numFmtId="169" fontId="17" fillId="0" borderId="0"/>
    <xf numFmtId="0" fontId="43" fillId="24" borderId="0" applyNumberFormat="0" applyBorder="0" applyAlignment="0" applyProtection="0"/>
    <xf numFmtId="170" fontId="17" fillId="0" borderId="0"/>
    <xf numFmtId="0" fontId="25" fillId="25" borderId="6" applyNumberFormat="0" applyFont="0" applyAlignment="0" applyProtection="0"/>
    <xf numFmtId="0" fontId="44" fillId="20" borderId="7" applyNumberFormat="0" applyAlignment="0" applyProtection="0"/>
    <xf numFmtId="10" fontId="17" fillId="0" borderId="0" applyFont="0" applyFill="0" applyBorder="0" applyAlignment="0" applyProtection="0"/>
    <xf numFmtId="0" fontId="45" fillId="0" borderId="0" applyNumberFormat="0" applyFill="0" applyBorder="0" applyAlignment="0" applyProtection="0"/>
    <xf numFmtId="0" fontId="17" fillId="0" borderId="8" applyNumberFormat="0" applyFont="0" applyBorder="0" applyAlignment="0" applyProtection="0"/>
    <xf numFmtId="0" fontId="46" fillId="0" borderId="0" applyNumberForma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16" fillId="0" borderId="0"/>
    <xf numFmtId="168" fontId="17" fillId="0" borderId="0"/>
    <xf numFmtId="168" fontId="17" fillId="0" borderId="0"/>
    <xf numFmtId="168" fontId="17" fillId="0" borderId="0"/>
    <xf numFmtId="168" fontId="17" fillId="0" borderId="0"/>
    <xf numFmtId="173"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168" fontId="17" fillId="0" borderId="0"/>
    <xf numFmtId="168" fontId="17" fillId="0" borderId="0"/>
    <xf numFmtId="168" fontId="17" fillId="0" borderId="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71"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7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71" fillId="56" borderId="0" applyNumberFormat="0" applyBorder="0" applyAlignment="0" applyProtection="0"/>
    <xf numFmtId="0" fontId="72" fillId="57" borderId="0" applyNumberFormat="0" applyBorder="0" applyAlignment="0" applyProtection="0"/>
    <xf numFmtId="0" fontId="73" fillId="58" borderId="52" applyNumberFormat="0" applyAlignment="0" applyProtection="0"/>
    <xf numFmtId="0" fontId="74" fillId="59" borderId="53"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75" fillId="0" borderId="0" applyNumberFormat="0" applyFill="0" applyBorder="0" applyAlignment="0" applyProtection="0"/>
    <xf numFmtId="0" fontId="76" fillId="60" borderId="0" applyNumberFormat="0" applyBorder="0" applyAlignment="0" applyProtection="0"/>
    <xf numFmtId="0" fontId="77" fillId="0" borderId="54" applyNumberFormat="0" applyFill="0" applyAlignment="0" applyProtection="0"/>
    <xf numFmtId="0" fontId="78" fillId="0" borderId="55" applyNumberFormat="0" applyFill="0" applyAlignment="0" applyProtection="0"/>
    <xf numFmtId="0" fontId="51" fillId="0" borderId="56" applyNumberFormat="0" applyFill="0" applyAlignment="0" applyProtection="0"/>
    <xf numFmtId="0" fontId="51" fillId="0" borderId="0" applyNumberFormat="0" applyFill="0" applyBorder="0" applyAlignment="0" applyProtection="0"/>
    <xf numFmtId="0" fontId="79" fillId="61" borderId="52" applyNumberFormat="0" applyAlignment="0" applyProtection="0"/>
    <xf numFmtId="0" fontId="80" fillId="0" borderId="57" applyNumberFormat="0" applyFill="0" applyAlignment="0" applyProtection="0"/>
    <xf numFmtId="172" fontId="17" fillId="0" borderId="0"/>
    <xf numFmtId="172" fontId="17" fillId="0" borderId="0"/>
    <xf numFmtId="172" fontId="17" fillId="0" borderId="0"/>
    <xf numFmtId="0" fontId="81" fillId="62" borderId="0" applyNumberFormat="0" applyBorder="0" applyAlignment="0" applyProtection="0"/>
    <xf numFmtId="0" fontId="15" fillId="0" borderId="0"/>
    <xf numFmtId="0" fontId="15" fillId="0" borderId="0"/>
    <xf numFmtId="0" fontId="15" fillId="0" borderId="0"/>
    <xf numFmtId="0" fontId="15" fillId="63" borderId="58" applyNumberFormat="0" applyFont="0" applyAlignment="0" applyProtection="0"/>
    <xf numFmtId="0" fontId="82" fillId="58" borderId="59" applyNumberFormat="0" applyAlignment="0" applyProtection="0"/>
    <xf numFmtId="9" fontId="17" fillId="0" borderId="0" applyFont="0" applyFill="0" applyBorder="0" applyAlignment="0" applyProtection="0"/>
    <xf numFmtId="9" fontId="15" fillId="0" borderId="0" applyFont="0" applyFill="0" applyBorder="0" applyAlignment="0" applyProtection="0"/>
    <xf numFmtId="0" fontId="83" fillId="0" borderId="0" applyNumberFormat="0" applyFill="0" applyBorder="0" applyAlignment="0" applyProtection="0"/>
    <xf numFmtId="0" fontId="50" fillId="0" borderId="60" applyNumberFormat="0" applyFill="0" applyAlignment="0" applyProtection="0"/>
    <xf numFmtId="0" fontId="84" fillId="0" borderId="0" applyNumberForma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0" fillId="0" borderId="64" applyNumberFormat="0" applyFill="0" applyAlignment="0" applyProtection="0"/>
    <xf numFmtId="0" fontId="17" fillId="25" borderId="6" applyNumberFormat="0" applyFont="0" applyAlignment="0" applyProtection="0"/>
    <xf numFmtId="9" fontId="17" fillId="0" borderId="0" applyFont="0" applyFill="0" applyBorder="0" applyAlignment="0" applyProtection="0"/>
    <xf numFmtId="0" fontId="14" fillId="0" borderId="0"/>
    <xf numFmtId="9" fontId="17" fillId="0" borderId="0" applyFont="0" applyFill="0" applyBorder="0" applyAlignment="0" applyProtection="0"/>
    <xf numFmtId="9" fontId="17" fillId="0" borderId="0" applyFont="0" applyFill="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9" fontId="1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0" fillId="0" borderId="66" applyNumberFormat="0" applyFill="0" applyAlignment="0" applyProtection="0"/>
    <xf numFmtId="0" fontId="40" fillId="0" borderId="63" applyNumberFormat="0" applyFill="0" applyAlignment="0" applyProtection="0"/>
    <xf numFmtId="0" fontId="14" fillId="0" borderId="0"/>
    <xf numFmtId="0" fontId="14" fillId="0" borderId="0"/>
    <xf numFmtId="0" fontId="14" fillId="0" borderId="0"/>
    <xf numFmtId="0" fontId="14" fillId="63" borderId="58" applyNumberFormat="0" applyFont="0" applyAlignment="0" applyProtection="0"/>
    <xf numFmtId="9" fontId="1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25" borderId="6"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4"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0" fillId="0" borderId="67" applyNumberFormat="0" applyFill="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0" fillId="0" borderId="61" applyNumberFormat="0" applyFill="0" applyAlignment="0" applyProtection="0"/>
    <xf numFmtId="0" fontId="40" fillId="0" borderId="65" applyNumberFormat="0" applyFill="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7" fillId="0" borderId="0"/>
    <xf numFmtId="9" fontId="17" fillId="0" borderId="0" applyFont="0" applyFill="0" applyBorder="0" applyAlignment="0" applyProtection="0"/>
    <xf numFmtId="0" fontId="40" fillId="0" borderId="86" applyNumberFormat="0" applyFill="0" applyAlignment="0" applyProtection="0"/>
    <xf numFmtId="0" fontId="40" fillId="0" borderId="86" applyNumberFormat="0" applyFill="0" applyAlignment="0" applyProtection="0"/>
    <xf numFmtId="0" fontId="40" fillId="0" borderId="85" applyNumberFormat="0" applyFill="0" applyAlignment="0" applyProtection="0"/>
    <xf numFmtId="0" fontId="17" fillId="0" borderId="0"/>
    <xf numFmtId="9" fontId="17" fillId="0" borderId="0" applyFont="0" applyFill="0" applyBorder="0" applyAlignment="0" applyProtection="0"/>
    <xf numFmtId="0" fontId="11" fillId="0" borderId="0"/>
    <xf numFmtId="0" fontId="40" fillId="0" borderId="86" applyNumberFormat="0" applyFill="0" applyAlignment="0" applyProtection="0"/>
    <xf numFmtId="9" fontId="17" fillId="0" borderId="0" applyFont="0" applyFill="0" applyBorder="0" applyAlignment="0" applyProtection="0"/>
    <xf numFmtId="0" fontId="40" fillId="0" borderId="86" applyNumberFormat="0" applyFill="0" applyAlignment="0" applyProtection="0"/>
    <xf numFmtId="0" fontId="40" fillId="0" borderId="86" applyNumberFormat="0" applyFill="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40" fillId="0" borderId="8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63" borderId="58" applyNumberFormat="0" applyFont="0" applyAlignment="0" applyProtection="0"/>
    <xf numFmtId="9" fontId="11" fillId="0" borderId="0" applyFont="0" applyFill="0" applyBorder="0" applyAlignment="0" applyProtection="0"/>
    <xf numFmtId="0" fontId="40" fillId="0" borderId="85" applyNumberFormat="0" applyFill="0" applyAlignment="0" applyProtection="0"/>
    <xf numFmtId="0" fontId="17" fillId="0" borderId="0"/>
    <xf numFmtId="0" fontId="11" fillId="0" borderId="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0" fillId="0" borderId="85" applyNumberFormat="0" applyFill="0" applyAlignment="0" applyProtection="0"/>
    <xf numFmtId="0" fontId="40" fillId="0" borderId="85" applyNumberFormat="0" applyFill="0" applyAlignment="0" applyProtection="0"/>
    <xf numFmtId="0" fontId="11" fillId="0" borderId="0"/>
    <xf numFmtId="0" fontId="11" fillId="0" borderId="0"/>
    <xf numFmtId="0" fontId="11" fillId="0" borderId="0"/>
    <xf numFmtId="0" fontId="11" fillId="63" borderId="58" applyNumberFormat="0" applyFont="0" applyAlignment="0" applyProtection="0"/>
    <xf numFmtId="9" fontId="11" fillId="0" borderId="0" applyFont="0" applyFill="0" applyBorder="0" applyAlignment="0" applyProtection="0"/>
    <xf numFmtId="0" fontId="11" fillId="0" borderId="0"/>
    <xf numFmtId="0" fontId="40" fillId="0" borderId="85" applyNumberFormat="0" applyFill="0" applyAlignment="0" applyProtection="0"/>
    <xf numFmtId="0" fontId="40" fillId="0" borderId="85" applyNumberFormat="0" applyFill="0" applyAlignment="0" applyProtection="0"/>
    <xf numFmtId="0" fontId="40" fillId="0" borderId="85" applyNumberFormat="0" applyFill="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6" fontId="11" fillId="0" borderId="0" applyFont="0" applyFill="0" applyBorder="0" applyAlignment="0" applyProtection="0"/>
    <xf numFmtId="0" fontId="10" fillId="0" borderId="0"/>
    <xf numFmtId="16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7" fillId="0" borderId="0"/>
    <xf numFmtId="9" fontId="10" fillId="0" borderId="0" applyFont="0" applyFill="0" applyBorder="0" applyAlignment="0" applyProtection="0"/>
    <xf numFmtId="166" fontId="10" fillId="0" borderId="0" applyFont="0" applyFill="0" applyBorder="0" applyAlignment="0" applyProtection="0"/>
    <xf numFmtId="0" fontId="9" fillId="0" borderId="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17" fillId="0" borderId="0"/>
    <xf numFmtId="166" fontId="9"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40" fillId="0" borderId="86" applyNumberFormat="0" applyFill="0" applyAlignment="0" applyProtection="0"/>
    <xf numFmtId="0" fontId="40" fillId="0" borderId="86" applyNumberFormat="0" applyFill="0" applyAlignment="0" applyProtection="0"/>
    <xf numFmtId="0" fontId="40" fillId="0" borderId="86" applyNumberFormat="0" applyFill="0" applyAlignment="0" applyProtection="0"/>
    <xf numFmtId="0" fontId="40" fillId="0" borderId="86" applyNumberFormat="0" applyFill="0" applyAlignment="0" applyProtection="0"/>
    <xf numFmtId="0" fontId="40" fillId="0" borderId="86" applyNumberFormat="0" applyFill="0" applyAlignment="0" applyProtection="0"/>
    <xf numFmtId="0" fontId="40" fillId="0" borderId="86" applyNumberFormat="0" applyFill="0" applyAlignment="0" applyProtection="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167" fontId="6" fillId="0" borderId="0" applyFont="0" applyFill="0" applyBorder="0" applyAlignment="0" applyProtection="0"/>
    <xf numFmtId="9" fontId="6" fillId="0" borderId="0" applyFont="0" applyFill="0" applyBorder="0" applyAlignment="0" applyProtection="0"/>
    <xf numFmtId="0" fontId="17" fillId="0" borderId="0"/>
    <xf numFmtId="166" fontId="6" fillId="0" borderId="0" applyFont="0" applyFill="0" applyBorder="0" applyAlignment="0" applyProtection="0"/>
    <xf numFmtId="166" fontId="17" fillId="0" borderId="0" applyFont="0" applyFill="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63" borderId="58" applyNumberFormat="0" applyFont="0" applyAlignment="0" applyProtection="0"/>
    <xf numFmtId="9" fontId="6" fillId="0" borderId="0" applyFont="0" applyFill="0" applyBorder="0" applyAlignment="0" applyProtection="0"/>
    <xf numFmtId="167" fontId="17" fillId="0" borderId="0" applyFont="0" applyFill="0" applyBorder="0" applyAlignment="0" applyProtection="0"/>
    <xf numFmtId="0" fontId="6" fillId="0" borderId="0"/>
    <xf numFmtId="167" fontId="6" fillId="0" borderId="0" applyFont="0" applyFill="0" applyBorder="0" applyAlignment="0" applyProtection="0"/>
    <xf numFmtId="166" fontId="17"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79" fillId="61" borderId="52" applyNumberFormat="0" applyAlignment="0" applyProtection="0"/>
    <xf numFmtId="0" fontId="6" fillId="63" borderId="58" applyNumberFormat="0" applyFont="0" applyAlignment="0" applyProtection="0"/>
    <xf numFmtId="0" fontId="6" fillId="33" borderId="0" applyNumberFormat="0" applyBorder="0" applyAlignment="0" applyProtection="0"/>
    <xf numFmtId="0" fontId="6" fillId="39" borderId="0" applyNumberFormat="0" applyBorder="0" applyAlignment="0" applyProtection="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6" fillId="37" borderId="0" applyNumberFormat="0" applyBorder="0" applyAlignment="0" applyProtection="0"/>
    <xf numFmtId="0" fontId="6" fillId="43" borderId="0" applyNumberFormat="0" applyBorder="0" applyAlignment="0" applyProtection="0"/>
    <xf numFmtId="0" fontId="6" fillId="38" borderId="0" applyNumberFormat="0" applyBorder="0" applyAlignment="0" applyProtection="0"/>
    <xf numFmtId="0" fontId="6" fillId="44" borderId="0" applyNumberFormat="0" applyBorder="0" applyAlignment="0" applyProtection="0"/>
    <xf numFmtId="0" fontId="97" fillId="0" borderId="0" applyNumberForma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0" fontId="105" fillId="0" borderId="0"/>
    <xf numFmtId="0" fontId="4" fillId="0" borderId="0"/>
    <xf numFmtId="0" fontId="3" fillId="0" borderId="0"/>
    <xf numFmtId="0" fontId="2" fillId="0" borderId="0"/>
    <xf numFmtId="0" fontId="17" fillId="0" borderId="0"/>
    <xf numFmtId="0" fontId="105" fillId="0" borderId="0"/>
  </cellStyleXfs>
  <cellXfs count="1266">
    <xf numFmtId="0" fontId="0" fillId="0" borderId="0" xfId="0"/>
    <xf numFmtId="0" fontId="0" fillId="0" borderId="0" xfId="0" applyProtection="1"/>
    <xf numFmtId="0" fontId="20" fillId="0" borderId="0" xfId="0" applyFont="1" applyProtection="1"/>
    <xf numFmtId="0" fontId="31" fillId="0" borderId="0" xfId="0" applyFont="1" applyProtection="1"/>
    <xf numFmtId="0" fontId="18" fillId="0" borderId="0" xfId="0" applyFont="1" applyProtection="1"/>
    <xf numFmtId="0" fontId="18" fillId="0" borderId="0" xfId="0" applyFont="1" applyBorder="1" applyProtection="1"/>
    <xf numFmtId="0" fontId="0" fillId="0" borderId="10" xfId="0" applyBorder="1" applyProtection="1"/>
    <xf numFmtId="0" fontId="18" fillId="0" borderId="0" xfId="0" applyFont="1" applyAlignment="1" applyProtection="1">
      <alignment horizontal="center"/>
    </xf>
    <xf numFmtId="0" fontId="19" fillId="0" borderId="0" xfId="0" applyFont="1" applyAlignment="1" applyProtection="1"/>
    <xf numFmtId="0" fontId="19" fillId="0" borderId="0" xfId="0" applyFont="1" applyAlignment="1" applyProtection="1">
      <alignment horizontal="left"/>
    </xf>
    <xf numFmtId="0" fontId="19" fillId="0" borderId="0" xfId="0" applyFont="1" applyAlignment="1" applyProtection="1">
      <alignment horizontal="center"/>
    </xf>
    <xf numFmtId="0" fontId="19" fillId="0" borderId="0" xfId="0" applyFont="1" applyBorder="1" applyProtection="1"/>
    <xf numFmtId="0" fontId="18" fillId="0" borderId="0" xfId="0" applyFont="1" applyFill="1" applyBorder="1" applyProtection="1"/>
    <xf numFmtId="0" fontId="19" fillId="0" borderId="0" xfId="0" applyFont="1" applyFill="1" applyBorder="1" applyProtection="1"/>
    <xf numFmtId="0" fontId="47" fillId="0" borderId="0" xfId="0" applyFont="1" applyAlignment="1" applyProtection="1">
      <alignment vertical="center"/>
    </xf>
    <xf numFmtId="0" fontId="18" fillId="0" borderId="10" xfId="0" applyFont="1" applyBorder="1" applyProtection="1"/>
    <xf numFmtId="0" fontId="30" fillId="0" borderId="13" xfId="0" applyFont="1" applyBorder="1" applyAlignment="1" applyProtection="1"/>
    <xf numFmtId="0" fontId="30" fillId="0" borderId="14" xfId="0" applyFont="1" applyBorder="1" applyAlignment="1" applyProtection="1"/>
    <xf numFmtId="0" fontId="30" fillId="0" borderId="17" xfId="0" applyFont="1" applyBorder="1" applyAlignment="1" applyProtection="1"/>
    <xf numFmtId="0" fontId="16" fillId="0" borderId="0" xfId="59" applyProtection="1"/>
    <xf numFmtId="0" fontId="16" fillId="0" borderId="0" xfId="59" applyFill="1" applyProtection="1"/>
    <xf numFmtId="0" fontId="16" fillId="27" borderId="0" xfId="59" applyFill="1" applyAlignment="1" applyProtection="1">
      <alignment horizontal="left"/>
    </xf>
    <xf numFmtId="0" fontId="50" fillId="0" borderId="0" xfId="59" applyFont="1" applyProtection="1"/>
    <xf numFmtId="176" fontId="51" fillId="0" borderId="0" xfId="59" applyNumberFormat="1" applyFont="1" applyAlignment="1" applyProtection="1">
      <alignment horizontal="left"/>
    </xf>
    <xf numFmtId="0" fontId="52" fillId="0" borderId="0" xfId="59" applyFont="1" applyAlignment="1" applyProtection="1">
      <alignment horizontal="right" vertical="center"/>
    </xf>
    <xf numFmtId="0" fontId="16" fillId="0" borderId="0" xfId="59" applyAlignment="1" applyProtection="1">
      <alignment horizontal="right" vertical="center"/>
    </xf>
    <xf numFmtId="0" fontId="16" fillId="0" borderId="0" xfId="59" applyAlignment="1" applyProtection="1">
      <alignment vertical="center"/>
    </xf>
    <xf numFmtId="0" fontId="16" fillId="0" borderId="0" xfId="59" applyFill="1" applyAlignment="1" applyProtection="1">
      <alignment vertical="center"/>
    </xf>
    <xf numFmtId="0" fontId="52" fillId="0" borderId="0" xfId="59" applyFont="1" applyAlignment="1" applyProtection="1">
      <alignment horizontal="right" vertical="center" indent="1"/>
    </xf>
    <xf numFmtId="0" fontId="53" fillId="0" borderId="0" xfId="59" applyFont="1" applyProtection="1"/>
    <xf numFmtId="0" fontId="53" fillId="0" borderId="0" xfId="59" applyFont="1" applyAlignment="1" applyProtection="1">
      <alignment horizontal="right" vertical="center"/>
    </xf>
    <xf numFmtId="0" fontId="55" fillId="0" borderId="0" xfId="59" applyFont="1"/>
    <xf numFmtId="0" fontId="16" fillId="0" borderId="0" xfId="59"/>
    <xf numFmtId="0" fontId="16" fillId="0" borderId="0" xfId="59" applyAlignment="1">
      <alignment wrapText="1"/>
    </xf>
    <xf numFmtId="0" fontId="16" fillId="0" borderId="14" xfId="59" applyBorder="1"/>
    <xf numFmtId="0" fontId="22" fillId="0" borderId="0" xfId="0" applyFont="1" applyAlignment="1" applyProtection="1">
      <alignment vertical="center"/>
    </xf>
    <xf numFmtId="0" fontId="26" fillId="0" borderId="0" xfId="59" applyFont="1" applyBorder="1" applyProtection="1"/>
    <xf numFmtId="0" fontId="26" fillId="0" borderId="0" xfId="59" applyFont="1" applyBorder="1" applyAlignment="1" applyProtection="1">
      <alignment horizontal="center"/>
    </xf>
    <xf numFmtId="0" fontId="17" fillId="0" borderId="4" xfId="0" applyFont="1" applyBorder="1" applyProtection="1"/>
    <xf numFmtId="0" fontId="17" fillId="0" borderId="4" xfId="0" applyFont="1" applyBorder="1" applyAlignment="1" applyProtection="1">
      <alignment horizontal="center"/>
    </xf>
    <xf numFmtId="177" fontId="17" fillId="0" borderId="4" xfId="57" applyNumberFormat="1" applyFont="1" applyBorder="1" applyAlignment="1" applyProtection="1">
      <alignment horizontal="center" vertical="center"/>
    </xf>
    <xf numFmtId="0" fontId="17" fillId="0" borderId="4" xfId="0" applyFont="1" applyBorder="1" applyAlignment="1" applyProtection="1"/>
    <xf numFmtId="0" fontId="17" fillId="0" borderId="4" xfId="0" applyFont="1" applyBorder="1" applyAlignment="1" applyProtection="1">
      <alignment horizontal="left"/>
    </xf>
    <xf numFmtId="0" fontId="20" fillId="0" borderId="0" xfId="0" applyFont="1" applyAlignment="1" applyProtection="1"/>
    <xf numFmtId="0" fontId="17" fillId="0" borderId="4" xfId="0" applyFont="1" applyBorder="1" applyAlignment="1" applyProtection="1">
      <alignment wrapText="1"/>
    </xf>
    <xf numFmtId="0" fontId="20" fillId="0" borderId="0" xfId="0" applyFont="1" applyBorder="1" applyProtection="1"/>
    <xf numFmtId="0" fontId="17" fillId="0" borderId="0" xfId="0" applyFont="1" applyBorder="1" applyAlignment="1" applyProtection="1">
      <alignment horizontal="center"/>
    </xf>
    <xf numFmtId="177" fontId="17" fillId="0" borderId="0" xfId="57" applyNumberFormat="1" applyFont="1" applyBorder="1" applyAlignment="1" applyProtection="1">
      <alignment horizontal="center" vertical="center"/>
    </xf>
    <xf numFmtId="0" fontId="17" fillId="0" borderId="0" xfId="0" applyFont="1" applyBorder="1" applyProtection="1"/>
    <xf numFmtId="0" fontId="17" fillId="0" borderId="4" xfId="0" applyFont="1" applyBorder="1" applyAlignment="1" applyProtection="1">
      <alignment horizontal="center" vertical="center"/>
    </xf>
    <xf numFmtId="0" fontId="17" fillId="0" borderId="4" xfId="0" applyFont="1" applyBorder="1" applyAlignment="1" applyProtection="1">
      <alignment horizontal="left" vertical="center" wrapText="1"/>
    </xf>
    <xf numFmtId="0" fontId="17" fillId="27" borderId="0" xfId="0" applyFont="1" applyFill="1" applyBorder="1" applyAlignment="1" applyProtection="1">
      <alignment horizontal="center" vertical="center"/>
    </xf>
    <xf numFmtId="175" fontId="0" fillId="0" borderId="4" xfId="57" applyNumberFormat="1" applyFont="1" applyBorder="1"/>
    <xf numFmtId="0" fontId="20" fillId="0" borderId="0" xfId="70" applyFont="1" applyAlignment="1" applyProtection="1">
      <alignment vertical="top"/>
    </xf>
    <xf numFmtId="0" fontId="20" fillId="0" borderId="0" xfId="70" applyFont="1" applyAlignment="1" applyProtection="1">
      <alignment vertical="top" wrapText="1"/>
    </xf>
    <xf numFmtId="8" fontId="0" fillId="0" borderId="0" xfId="0" applyNumberFormat="1" applyProtection="1"/>
    <xf numFmtId="8" fontId="18" fillId="0" borderId="0" xfId="0" applyNumberFormat="1" applyFont="1" applyFill="1" applyBorder="1" applyProtection="1"/>
    <xf numFmtId="0" fontId="0" fillId="0" borderId="0" xfId="0" applyNumberFormat="1" applyProtection="1"/>
    <xf numFmtId="0" fontId="19" fillId="0" borderId="0" xfId="0" applyNumberFormat="1" applyFont="1" applyAlignment="1" applyProtection="1">
      <alignment wrapText="1"/>
    </xf>
    <xf numFmtId="0" fontId="30" fillId="0" borderId="14" xfId="0" applyNumberFormat="1" applyFont="1" applyBorder="1" applyAlignment="1" applyProtection="1">
      <alignment horizontal="center"/>
    </xf>
    <xf numFmtId="0" fontId="30" fillId="0" borderId="13" xfId="0" applyNumberFormat="1" applyFont="1" applyBorder="1" applyAlignment="1" applyProtection="1"/>
    <xf numFmtId="0" fontId="17" fillId="28" borderId="4" xfId="0" applyFont="1" applyFill="1" applyBorder="1" applyAlignment="1" applyProtection="1">
      <alignment horizontal="center" vertical="center"/>
      <protection locked="0"/>
    </xf>
    <xf numFmtId="178" fontId="17" fillId="29" borderId="4" xfId="56" applyNumberFormat="1" applyFont="1" applyFill="1" applyBorder="1" applyProtection="1">
      <protection locked="0"/>
    </xf>
    <xf numFmtId="9" fontId="17" fillId="29" borderId="4" xfId="58" applyFont="1" applyFill="1" applyBorder="1" applyProtection="1">
      <protection locked="0"/>
    </xf>
    <xf numFmtId="6" fontId="18" fillId="0" borderId="9" xfId="0" applyNumberFormat="1" applyFont="1" applyBorder="1" applyProtection="1"/>
    <xf numFmtId="6" fontId="18" fillId="0" borderId="0" xfId="0" applyNumberFormat="1" applyFont="1" applyBorder="1" applyProtection="1"/>
    <xf numFmtId="6" fontId="0" fillId="0" borderId="0" xfId="0" applyNumberFormat="1" applyBorder="1" applyAlignment="1" applyProtection="1">
      <alignment wrapText="1"/>
    </xf>
    <xf numFmtId="6" fontId="19" fillId="0" borderId="10" xfId="0" applyNumberFormat="1" applyFont="1" applyBorder="1" applyAlignment="1" applyProtection="1">
      <alignment horizontal="center" vertical="center" wrapText="1"/>
    </xf>
    <xf numFmtId="6" fontId="0" fillId="0" borderId="12" xfId="0" applyNumberFormat="1" applyBorder="1" applyAlignment="1" applyProtection="1">
      <alignment wrapText="1"/>
    </xf>
    <xf numFmtId="6" fontId="0" fillId="0" borderId="18" xfId="0" applyNumberFormat="1" applyBorder="1" applyAlignment="1" applyProtection="1">
      <alignment wrapText="1"/>
    </xf>
    <xf numFmtId="6" fontId="0" fillId="0" borderId="11" xfId="0" applyNumberFormat="1" applyBorder="1" applyAlignment="1" applyProtection="1">
      <alignment wrapText="1"/>
    </xf>
    <xf numFmtId="6" fontId="0" fillId="0" borderId="0" xfId="0" applyNumberFormat="1" applyBorder="1" applyProtection="1"/>
    <xf numFmtId="6" fontId="0" fillId="0" borderId="10" xfId="0" applyNumberFormat="1" applyBorder="1" applyProtection="1"/>
    <xf numFmtId="6" fontId="0" fillId="0" borderId="15" xfId="0" applyNumberFormat="1" applyBorder="1" applyProtection="1"/>
    <xf numFmtId="6" fontId="0" fillId="0" borderId="11" xfId="0" applyNumberFormat="1" applyBorder="1" applyProtection="1"/>
    <xf numFmtId="6" fontId="0" fillId="0" borderId="0" xfId="0" applyNumberFormat="1" applyProtection="1"/>
    <xf numFmtId="6" fontId="18" fillId="29" borderId="19" xfId="0" applyNumberFormat="1" applyFont="1" applyFill="1" applyBorder="1" applyProtection="1">
      <protection locked="0"/>
    </xf>
    <xf numFmtId="6" fontId="18" fillId="29" borderId="20" xfId="0" applyNumberFormat="1" applyFont="1" applyFill="1" applyBorder="1" applyProtection="1">
      <protection locked="0"/>
    </xf>
    <xf numFmtId="6" fontId="18" fillId="0" borderId="0" xfId="0" applyNumberFormat="1" applyFont="1" applyFill="1" applyBorder="1" applyProtection="1"/>
    <xf numFmtId="6" fontId="18" fillId="0" borderId="10" xfId="0" applyNumberFormat="1" applyFont="1" applyFill="1" applyBorder="1" applyProtection="1"/>
    <xf numFmtId="6" fontId="18" fillId="26" borderId="19" xfId="0" applyNumberFormat="1" applyFont="1" applyFill="1" applyBorder="1" applyProtection="1"/>
    <xf numFmtId="6" fontId="18" fillId="26" borderId="20" xfId="0" applyNumberFormat="1" applyFont="1" applyFill="1" applyBorder="1" applyProtection="1"/>
    <xf numFmtId="6" fontId="18" fillId="26" borderId="29" xfId="0" applyNumberFormat="1" applyFont="1" applyFill="1" applyBorder="1" applyProtection="1"/>
    <xf numFmtId="6" fontId="18" fillId="29" borderId="21" xfId="0" applyNumberFormat="1" applyFont="1" applyFill="1" applyBorder="1" applyProtection="1">
      <protection locked="0"/>
    </xf>
    <xf numFmtId="6" fontId="18" fillId="0" borderId="9" xfId="0" applyNumberFormat="1" applyFont="1" applyFill="1" applyBorder="1" applyProtection="1"/>
    <xf numFmtId="6" fontId="18" fillId="0" borderId="15" xfId="0" applyNumberFormat="1" applyFont="1" applyFill="1" applyBorder="1" applyProtection="1"/>
    <xf numFmtId="6" fontId="18" fillId="22" borderId="20" xfId="0" applyNumberFormat="1" applyFont="1" applyFill="1" applyBorder="1" applyProtection="1"/>
    <xf numFmtId="6" fontId="18" fillId="29" borderId="23" xfId="0" applyNumberFormat="1" applyFont="1" applyFill="1" applyBorder="1" applyProtection="1">
      <protection locked="0"/>
    </xf>
    <xf numFmtId="6" fontId="18" fillId="29" borderId="25" xfId="0" applyNumberFormat="1" applyFont="1" applyFill="1" applyBorder="1" applyProtection="1">
      <protection locked="0"/>
    </xf>
    <xf numFmtId="6" fontId="18" fillId="29" borderId="26" xfId="0" applyNumberFormat="1" applyFont="1" applyFill="1" applyBorder="1" applyProtection="1">
      <protection locked="0"/>
    </xf>
    <xf numFmtId="6" fontId="18" fillId="26" borderId="23" xfId="0" applyNumberFormat="1" applyFont="1" applyFill="1" applyBorder="1" applyProtection="1"/>
    <xf numFmtId="6" fontId="18" fillId="26" borderId="24" xfId="0" applyNumberFormat="1" applyFont="1" applyFill="1" applyBorder="1" applyProtection="1"/>
    <xf numFmtId="6" fontId="18" fillId="0" borderId="44" xfId="0" applyNumberFormat="1" applyFont="1" applyBorder="1" applyProtection="1"/>
    <xf numFmtId="6" fontId="18" fillId="0" borderId="46" xfId="0" applyNumberFormat="1" applyFont="1" applyFill="1" applyBorder="1" applyProtection="1"/>
    <xf numFmtId="6" fontId="18" fillId="0" borderId="48" xfId="0" applyNumberFormat="1" applyFont="1" applyFill="1" applyBorder="1" applyProtection="1"/>
    <xf numFmtId="6" fontId="18" fillId="0" borderId="49" xfId="0" applyNumberFormat="1" applyFont="1" applyFill="1" applyBorder="1" applyProtection="1"/>
    <xf numFmtId="0" fontId="0" fillId="0" borderId="0" xfId="0" applyAlignment="1" applyProtection="1">
      <alignment vertical="top"/>
    </xf>
    <xf numFmtId="8" fontId="17" fillId="0" borderId="0" xfId="0" applyNumberFormat="1" applyFont="1" applyProtection="1"/>
    <xf numFmtId="0" fontId="18" fillId="0" borderId="4" xfId="0" applyFont="1" applyBorder="1" applyProtection="1"/>
    <xf numFmtId="0" fontId="18" fillId="0" borderId="4" xfId="0" applyFont="1" applyBorder="1" applyAlignment="1" applyProtection="1">
      <alignment horizontal="center"/>
    </xf>
    <xf numFmtId="0" fontId="18" fillId="0" borderId="4" xfId="0" applyFont="1" applyBorder="1" applyAlignment="1" applyProtection="1">
      <alignment wrapText="1"/>
    </xf>
    <xf numFmtId="0" fontId="18" fillId="0" borderId="4" xfId="0" applyFont="1" applyBorder="1" applyAlignment="1" applyProtection="1"/>
    <xf numFmtId="0" fontId="18" fillId="0" borderId="4" xfId="0" applyFont="1" applyBorder="1" applyAlignment="1" applyProtection="1">
      <alignment vertical="center" wrapText="1"/>
    </xf>
    <xf numFmtId="0" fontId="18" fillId="0" borderId="4" xfId="0" applyFont="1" applyBorder="1" applyAlignment="1" applyProtection="1">
      <alignment horizontal="center" vertical="center"/>
    </xf>
    <xf numFmtId="0" fontId="18" fillId="0" borderId="4" xfId="0" applyFont="1" applyBorder="1" applyAlignment="1" applyProtection="1">
      <alignment horizontal="left"/>
    </xf>
    <xf numFmtId="0" fontId="0" fillId="0" borderId="27" xfId="0" applyBorder="1" applyProtection="1">
      <protection locked="0"/>
    </xf>
    <xf numFmtId="0" fontId="17" fillId="0" borderId="4" xfId="0" applyFont="1" applyBorder="1" applyAlignment="1" applyProtection="1">
      <alignment horizontal="left" vertical="top" wrapText="1"/>
    </xf>
    <xf numFmtId="0" fontId="0" fillId="0" borderId="0" xfId="0" applyAlignment="1" applyProtection="1">
      <alignment vertical="center"/>
    </xf>
    <xf numFmtId="0" fontId="17" fillId="29" borderId="4" xfId="0" applyFont="1" applyFill="1" applyBorder="1" applyAlignment="1" applyProtection="1">
      <alignment horizontal="left" vertical="center"/>
      <protection locked="0"/>
    </xf>
    <xf numFmtId="177" fontId="17" fillId="0" borderId="4" xfId="56" applyNumberFormat="1" applyFont="1" applyBorder="1" applyAlignment="1" applyProtection="1">
      <alignment horizontal="center" vertical="center"/>
    </xf>
    <xf numFmtId="177" fontId="20" fillId="0" borderId="4" xfId="57" applyNumberFormat="1" applyFont="1" applyBorder="1" applyAlignment="1" applyProtection="1">
      <alignment horizontal="center" vertical="center"/>
    </xf>
    <xf numFmtId="0" fontId="17" fillId="0" borderId="0" xfId="0" applyFont="1" applyAlignment="1" applyProtection="1">
      <alignment horizontal="left" vertical="top" wrapText="1"/>
    </xf>
    <xf numFmtId="0" fontId="0" fillId="0" borderId="0" xfId="0" applyAlignment="1" applyProtection="1">
      <alignment horizontal="center" vertical="center"/>
    </xf>
    <xf numFmtId="0" fontId="17" fillId="29" borderId="4" xfId="0" applyFont="1" applyFill="1" applyBorder="1" applyAlignment="1" applyProtection="1">
      <alignment horizontal="left" vertical="center"/>
    </xf>
    <xf numFmtId="0" fontId="17" fillId="28" borderId="4" xfId="0" applyFont="1" applyFill="1" applyBorder="1" applyAlignment="1" applyProtection="1">
      <alignment horizontal="center" vertical="center"/>
    </xf>
    <xf numFmtId="178" fontId="17" fillId="27" borderId="4" xfId="56" applyNumberFormat="1" applyFont="1" applyFill="1" applyBorder="1" applyProtection="1"/>
    <xf numFmtId="0" fontId="0" fillId="32" borderId="0" xfId="0" applyFill="1" applyProtection="1"/>
    <xf numFmtId="0" fontId="20" fillId="0" borderId="4" xfId="0" applyFont="1" applyBorder="1" applyProtection="1"/>
    <xf numFmtId="3" fontId="20" fillId="0" borderId="4" xfId="0" applyNumberFormat="1" applyFont="1" applyBorder="1" applyProtection="1"/>
    <xf numFmtId="175" fontId="20" fillId="0" borderId="4" xfId="57" applyNumberFormat="1" applyFont="1" applyBorder="1" applyProtection="1"/>
    <xf numFmtId="178" fontId="20" fillId="0" borderId="4" xfId="56" applyNumberFormat="1" applyFont="1" applyBorder="1" applyProtection="1"/>
    <xf numFmtId="9" fontId="20" fillId="0" borderId="4" xfId="58" applyFont="1" applyBorder="1" applyProtection="1"/>
    <xf numFmtId="0" fontId="17" fillId="0" borderId="0" xfId="0" applyFont="1" applyProtection="1"/>
    <xf numFmtId="0" fontId="21" fillId="0" borderId="0" xfId="0" applyFont="1" applyAlignment="1" applyProtection="1">
      <alignment horizontal="right" indent="1"/>
    </xf>
    <xf numFmtId="175" fontId="21" fillId="0" borderId="0" xfId="57" applyNumberFormat="1" applyFont="1" applyAlignment="1" applyProtection="1">
      <alignment horizontal="right" indent="1"/>
    </xf>
    <xf numFmtId="175" fontId="21" fillId="0" borderId="0" xfId="0" applyNumberFormat="1" applyFont="1" applyAlignment="1" applyProtection="1">
      <alignment horizontal="right" indent="1"/>
    </xf>
    <xf numFmtId="180" fontId="17" fillId="29" borderId="4" xfId="58" applyNumberFormat="1" applyFont="1" applyFill="1" applyBorder="1" applyProtection="1">
      <protection locked="0"/>
    </xf>
    <xf numFmtId="0" fontId="61" fillId="0" borderId="0" xfId="0" applyFont="1" applyProtection="1"/>
    <xf numFmtId="0" fontId="66" fillId="0" borderId="0" xfId="0" applyFont="1" applyProtection="1"/>
    <xf numFmtId="0" fontId="17" fillId="27" borderId="4" xfId="0" applyFont="1" applyFill="1" applyBorder="1" applyProtection="1"/>
    <xf numFmtId="178" fontId="0" fillId="0" borderId="4" xfId="56" applyNumberFormat="1" applyFont="1" applyBorder="1" applyAlignment="1" applyProtection="1">
      <alignment horizontal="center" vertical="center"/>
    </xf>
    <xf numFmtId="175" fontId="0" fillId="0" borderId="4" xfId="57" applyNumberFormat="1" applyFont="1" applyBorder="1" applyProtection="1"/>
    <xf numFmtId="179" fontId="20" fillId="0" borderId="4" xfId="56" applyNumberFormat="1" applyFont="1" applyBorder="1" applyAlignment="1" applyProtection="1">
      <alignment horizontal="center" vertical="center"/>
    </xf>
    <xf numFmtId="178" fontId="0" fillId="0" borderId="0" xfId="0" applyNumberFormat="1" applyProtection="1"/>
    <xf numFmtId="0" fontId="20" fillId="31" borderId="4" xfId="0" applyFont="1" applyFill="1" applyBorder="1" applyProtection="1"/>
    <xf numFmtId="0" fontId="20" fillId="31" borderId="4" xfId="0" applyFont="1" applyFill="1" applyBorder="1" applyAlignment="1" applyProtection="1">
      <alignment horizontal="center" vertical="center"/>
    </xf>
    <xf numFmtId="178" fontId="20" fillId="31" borderId="4" xfId="56" applyNumberFormat="1" applyFont="1" applyFill="1" applyBorder="1" applyAlignment="1" applyProtection="1">
      <alignment horizontal="center" vertical="center"/>
    </xf>
    <xf numFmtId="175" fontId="20" fillId="31" borderId="4" xfId="57" applyNumberFormat="1" applyFont="1" applyFill="1" applyBorder="1" applyProtection="1"/>
    <xf numFmtId="0" fontId="23" fillId="0" borderId="0" xfId="0" applyFont="1" applyProtection="1"/>
    <xf numFmtId="0" fontId="20" fillId="27" borderId="0" xfId="0" applyFont="1" applyFill="1" applyBorder="1" applyAlignment="1" applyProtection="1">
      <alignment vertical="center" wrapText="1"/>
    </xf>
    <xf numFmtId="44" fontId="20" fillId="0" borderId="4" xfId="57" applyFont="1" applyBorder="1" applyAlignment="1" applyProtection="1">
      <alignment horizontal="center" vertical="center"/>
    </xf>
    <xf numFmtId="0" fontId="20" fillId="0" borderId="42" xfId="0" applyFont="1" applyBorder="1" applyAlignment="1" applyProtection="1">
      <alignment horizontal="center" vertical="center" wrapText="1"/>
    </xf>
    <xf numFmtId="0" fontId="20" fillId="0" borderId="42" xfId="0" applyFont="1" applyBorder="1" applyAlignment="1" applyProtection="1">
      <alignment horizontal="center" vertical="center"/>
    </xf>
    <xf numFmtId="177" fontId="17" fillId="0" borderId="4" xfId="0" applyNumberFormat="1" applyFont="1" applyBorder="1" applyAlignment="1" applyProtection="1">
      <alignment horizontal="center" vertical="center"/>
    </xf>
    <xf numFmtId="0" fontId="20" fillId="32" borderId="4" xfId="0" applyFont="1" applyFill="1" applyBorder="1" applyAlignment="1" applyProtection="1">
      <alignment vertical="center"/>
    </xf>
    <xf numFmtId="0" fontId="20" fillId="27" borderId="4" xfId="0" applyFont="1" applyFill="1" applyBorder="1" applyAlignment="1" applyProtection="1">
      <alignment horizontal="right" indent="2"/>
    </xf>
    <xf numFmtId="165" fontId="17" fillId="27" borderId="4" xfId="57" applyNumberFormat="1" applyFont="1" applyFill="1" applyBorder="1" applyProtection="1"/>
    <xf numFmtId="181" fontId="17" fillId="27" borderId="4" xfId="57" applyNumberFormat="1" applyFont="1" applyFill="1" applyBorder="1" applyProtection="1"/>
    <xf numFmtId="0" fontId="20" fillId="30" borderId="4" xfId="0" applyFont="1" applyFill="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0" fillId="29" borderId="28" xfId="0" applyFill="1" applyBorder="1" applyAlignment="1" applyProtection="1">
      <alignment horizontal="left" vertical="top" wrapText="1"/>
      <protection locked="0"/>
    </xf>
    <xf numFmtId="0" fontId="0" fillId="29" borderId="51" xfId="0" applyFill="1" applyBorder="1" applyAlignment="1" applyProtection="1">
      <alignment horizontal="left" vertical="top" wrapText="1"/>
      <protection locked="0"/>
    </xf>
    <xf numFmtId="6" fontId="18" fillId="29" borderId="47" xfId="0" applyNumberFormat="1" applyFont="1" applyFill="1" applyBorder="1" applyProtection="1">
      <protection locked="0"/>
    </xf>
    <xf numFmtId="6" fontId="18" fillId="29" borderId="45" xfId="0" applyNumberFormat="1" applyFont="1" applyFill="1" applyBorder="1" applyProtection="1">
      <protection locked="0"/>
    </xf>
    <xf numFmtId="6" fontId="18" fillId="29" borderId="24" xfId="0" applyNumberFormat="1" applyFont="1" applyFill="1" applyBorder="1" applyProtection="1">
      <protection locked="0"/>
    </xf>
    <xf numFmtId="6" fontId="18" fillId="29" borderId="20" xfId="0" applyNumberFormat="1" applyFont="1" applyFill="1" applyBorder="1" applyProtection="1">
      <protection locked="0"/>
    </xf>
    <xf numFmtId="6" fontId="18" fillId="29" borderId="22" xfId="0" applyNumberFormat="1" applyFont="1" applyFill="1" applyBorder="1" applyProtection="1">
      <protection locked="0"/>
    </xf>
    <xf numFmtId="0" fontId="17" fillId="29" borderId="4" xfId="0" applyFont="1" applyFill="1" applyBorder="1" applyProtection="1">
      <protection locked="0"/>
    </xf>
    <xf numFmtId="0" fontId="17" fillId="28" borderId="4" xfId="0" applyFont="1" applyFill="1" applyBorder="1" applyProtection="1">
      <protection locked="0"/>
    </xf>
    <xf numFmtId="178" fontId="17" fillId="29" borderId="4" xfId="0" applyNumberFormat="1" applyFont="1" applyFill="1" applyBorder="1" applyAlignment="1" applyProtection="1">
      <alignment horizontal="right" vertical="center"/>
      <protection locked="0"/>
    </xf>
    <xf numFmtId="9" fontId="17" fillId="29" borderId="4" xfId="130" applyFont="1" applyFill="1" applyBorder="1" applyProtection="1">
      <protection locked="0"/>
    </xf>
    <xf numFmtId="6" fontId="18" fillId="26" borderId="62" xfId="0" applyNumberFormat="1" applyFont="1" applyFill="1" applyBorder="1" applyProtection="1"/>
    <xf numFmtId="6" fontId="18" fillId="26" borderId="68" xfId="0" applyNumberFormat="1" applyFont="1" applyFill="1" applyBorder="1" applyProtection="1"/>
    <xf numFmtId="6" fontId="0" fillId="0" borderId="69" xfId="0" applyNumberFormat="1" applyBorder="1" applyProtection="1"/>
    <xf numFmtId="177" fontId="17" fillId="0" borderId="4" xfId="104" applyNumberFormat="1" applyFont="1" applyBorder="1" applyAlignment="1" applyProtection="1">
      <alignment horizontal="center" vertical="center"/>
    </xf>
    <xf numFmtId="182" fontId="20" fillId="0" borderId="4" xfId="57" applyNumberFormat="1" applyFont="1" applyBorder="1" applyAlignment="1" applyProtection="1">
      <alignment horizontal="center" vertical="center"/>
    </xf>
    <xf numFmtId="9" fontId="0" fillId="0" borderId="0" xfId="58" applyFont="1" applyProtection="1"/>
    <xf numFmtId="6" fontId="18" fillId="29" borderId="45" xfId="201" applyNumberFormat="1" applyFont="1" applyFill="1" applyBorder="1" applyProtection="1">
      <protection locked="0"/>
    </xf>
    <xf numFmtId="6" fontId="18" fillId="29" borderId="20" xfId="202" applyNumberFormat="1" applyFont="1" applyFill="1" applyBorder="1" applyProtection="1">
      <protection locked="0"/>
    </xf>
    <xf numFmtId="6" fontId="18" fillId="29" borderId="20" xfId="203" applyNumberFormat="1" applyFont="1" applyFill="1" applyBorder="1" applyProtection="1">
      <protection locked="0"/>
    </xf>
    <xf numFmtId="6" fontId="18" fillId="29" borderId="20" xfId="204" applyNumberFormat="1" applyFont="1" applyFill="1" applyBorder="1" applyProtection="1">
      <protection locked="0"/>
    </xf>
    <xf numFmtId="6" fontId="18" fillId="29" borderId="20" xfId="205" applyNumberFormat="1" applyFont="1" applyFill="1" applyBorder="1" applyProtection="1">
      <protection locked="0"/>
    </xf>
    <xf numFmtId="6" fontId="18" fillId="29" borderId="20" xfId="206" applyNumberFormat="1" applyFont="1" applyFill="1" applyBorder="1" applyProtection="1">
      <protection locked="0"/>
    </xf>
    <xf numFmtId="6" fontId="18" fillId="29" borderId="45" xfId="207" applyNumberFormat="1" applyFont="1" applyFill="1" applyBorder="1" applyProtection="1">
      <protection locked="0"/>
    </xf>
    <xf numFmtId="6" fontId="18" fillId="29" borderId="20" xfId="208" applyNumberFormat="1" applyFont="1" applyFill="1" applyBorder="1" applyProtection="1">
      <protection locked="0"/>
    </xf>
    <xf numFmtId="6" fontId="18" fillId="29" borderId="45" xfId="209" applyNumberFormat="1" applyFont="1" applyFill="1" applyBorder="1" applyProtection="1">
      <protection locked="0"/>
    </xf>
    <xf numFmtId="6" fontId="18" fillId="29" borderId="20" xfId="210" applyNumberFormat="1" applyFont="1" applyFill="1" applyBorder="1" applyProtection="1">
      <protection locked="0"/>
    </xf>
    <xf numFmtId="6" fontId="18" fillId="29" borderId="45" xfId="211" applyNumberFormat="1" applyFont="1" applyFill="1" applyBorder="1" applyProtection="1">
      <protection locked="0"/>
    </xf>
    <xf numFmtId="6" fontId="18" fillId="29" borderId="24" xfId="212" applyNumberFormat="1" applyFont="1" applyFill="1" applyBorder="1" applyProtection="1">
      <protection locked="0"/>
    </xf>
    <xf numFmtId="6" fontId="18" fillId="29" borderId="47" xfId="213" applyNumberFormat="1" applyFont="1" applyFill="1" applyBorder="1" applyProtection="1">
      <protection locked="0"/>
    </xf>
    <xf numFmtId="6" fontId="18" fillId="29" borderId="72" xfId="0" applyNumberFormat="1" applyFont="1" applyFill="1" applyBorder="1" applyProtection="1">
      <protection locked="0"/>
    </xf>
    <xf numFmtId="6" fontId="18" fillId="29" borderId="24" xfId="218" applyNumberFormat="1" applyFont="1" applyFill="1" applyBorder="1" applyProtection="1">
      <protection locked="0"/>
    </xf>
    <xf numFmtId="6" fontId="18" fillId="29" borderId="24" xfId="219" applyNumberFormat="1" applyFont="1" applyFill="1" applyBorder="1" applyProtection="1">
      <protection locked="0"/>
    </xf>
    <xf numFmtId="6" fontId="18" fillId="29" borderId="24" xfId="220" applyNumberFormat="1" applyFont="1" applyFill="1" applyBorder="1" applyProtection="1">
      <protection locked="0"/>
    </xf>
    <xf numFmtId="6" fontId="18" fillId="29" borderId="20" xfId="221" applyNumberFormat="1" applyFont="1" applyFill="1" applyBorder="1" applyProtection="1">
      <protection locked="0"/>
    </xf>
    <xf numFmtId="6" fontId="18" fillId="29" borderId="20" xfId="222" applyNumberFormat="1" applyFont="1" applyFill="1" applyBorder="1" applyProtection="1">
      <protection locked="0"/>
    </xf>
    <xf numFmtId="6" fontId="18" fillId="29" borderId="20" xfId="223" applyNumberFormat="1" applyFont="1" applyFill="1" applyBorder="1" applyProtection="1">
      <protection locked="0"/>
    </xf>
    <xf numFmtId="6" fontId="18" fillId="29" borderId="20" xfId="224" applyNumberFormat="1" applyFont="1" applyFill="1" applyBorder="1" applyProtection="1">
      <protection locked="0"/>
    </xf>
    <xf numFmtId="6" fontId="18" fillId="29" borderId="24" xfId="223" applyNumberFormat="1" applyFont="1" applyFill="1" applyBorder="1" applyProtection="1">
      <protection locked="0"/>
    </xf>
    <xf numFmtId="6" fontId="18" fillId="29" borderId="24" xfId="225" applyNumberFormat="1" applyFont="1" applyFill="1" applyBorder="1" applyProtection="1">
      <protection locked="0"/>
    </xf>
    <xf numFmtId="6" fontId="18" fillId="29" borderId="20" xfId="226" applyNumberFormat="1" applyFont="1" applyFill="1" applyBorder="1" applyProtection="1">
      <protection locked="0"/>
    </xf>
    <xf numFmtId="6" fontId="18" fillId="29" borderId="20" xfId="227" applyNumberFormat="1" applyFont="1" applyFill="1" applyBorder="1" applyProtection="1">
      <protection locked="0"/>
    </xf>
    <xf numFmtId="6" fontId="18" fillId="29" borderId="20" xfId="228" applyNumberFormat="1" applyFont="1" applyFill="1" applyBorder="1" applyProtection="1">
      <protection locked="0"/>
    </xf>
    <xf numFmtId="6" fontId="18" fillId="29" borderId="20" xfId="229" applyNumberFormat="1" applyFont="1" applyFill="1" applyBorder="1" applyProtection="1">
      <protection locked="0"/>
    </xf>
    <xf numFmtId="6" fontId="18" fillId="29" borderId="20" xfId="230" applyNumberFormat="1" applyFont="1" applyFill="1" applyBorder="1" applyProtection="1">
      <protection locked="0"/>
    </xf>
    <xf numFmtId="6" fontId="18" fillId="29" borderId="20" xfId="231" applyNumberFormat="1" applyFont="1" applyFill="1" applyBorder="1" applyProtection="1">
      <protection locked="0"/>
    </xf>
    <xf numFmtId="6" fontId="18" fillId="29" borderId="20" xfId="232" applyNumberFormat="1" applyFont="1" applyFill="1" applyBorder="1" applyProtection="1">
      <protection locked="0"/>
    </xf>
    <xf numFmtId="6" fontId="18" fillId="29" borderId="20" xfId="235" applyNumberFormat="1" applyFont="1" applyFill="1" applyBorder="1" applyProtection="1">
      <protection locked="0"/>
    </xf>
    <xf numFmtId="6" fontId="18" fillId="29" borderId="20" xfId="236" applyNumberFormat="1" applyFont="1" applyFill="1" applyBorder="1" applyProtection="1">
      <protection locked="0"/>
    </xf>
    <xf numFmtId="6" fontId="18" fillId="29" borderId="20" xfId="238" applyNumberFormat="1" applyFont="1" applyFill="1" applyBorder="1" applyProtection="1">
      <protection locked="0"/>
    </xf>
    <xf numFmtId="6" fontId="18" fillId="29" borderId="20" xfId="239" applyNumberFormat="1" applyFont="1" applyFill="1" applyBorder="1" applyProtection="1">
      <protection locked="0"/>
    </xf>
    <xf numFmtId="6" fontId="18" fillId="29" borderId="20" xfId="242" applyNumberFormat="1" applyFont="1" applyFill="1" applyBorder="1" applyProtection="1">
      <protection locked="0"/>
    </xf>
    <xf numFmtId="6" fontId="18" fillId="29" borderId="20" xfId="243" applyNumberFormat="1" applyFont="1" applyFill="1" applyBorder="1" applyProtection="1">
      <protection locked="0"/>
    </xf>
    <xf numFmtId="6" fontId="18" fillId="29" borderId="20" xfId="244" applyNumberFormat="1" applyFont="1" applyFill="1" applyBorder="1" applyProtection="1">
      <protection locked="0"/>
    </xf>
    <xf numFmtId="6" fontId="18" fillId="29" borderId="20" xfId="245" applyNumberFormat="1" applyFont="1" applyFill="1" applyBorder="1" applyProtection="1">
      <protection locked="0"/>
    </xf>
    <xf numFmtId="6" fontId="18" fillId="29" borderId="73" xfId="0" applyNumberFormat="1" applyFont="1" applyFill="1" applyBorder="1" applyProtection="1">
      <protection locked="0"/>
    </xf>
    <xf numFmtId="178" fontId="17" fillId="29" borderId="4" xfId="246" applyNumberFormat="1" applyFont="1" applyFill="1" applyBorder="1" applyProtection="1">
      <protection locked="0"/>
    </xf>
    <xf numFmtId="178" fontId="17" fillId="29" borderId="4" xfId="247" applyNumberFormat="1" applyFont="1" applyFill="1" applyBorder="1" applyProtection="1">
      <protection locked="0"/>
    </xf>
    <xf numFmtId="178" fontId="17" fillId="29" borderId="4" xfId="248" applyNumberFormat="1" applyFont="1" applyFill="1" applyBorder="1" applyProtection="1">
      <protection locked="0"/>
    </xf>
    <xf numFmtId="178" fontId="17" fillId="29" borderId="4" xfId="249" applyNumberFormat="1" applyFont="1" applyFill="1" applyBorder="1" applyProtection="1">
      <protection locked="0"/>
    </xf>
    <xf numFmtId="178" fontId="17" fillId="29" borderId="4" xfId="250" applyNumberFormat="1" applyFont="1" applyFill="1" applyBorder="1" applyProtection="1">
      <protection locked="0"/>
    </xf>
    <xf numFmtId="177" fontId="17" fillId="29" borderId="4" xfId="246" applyNumberFormat="1" applyFont="1" applyFill="1" applyBorder="1" applyProtection="1">
      <protection locked="0"/>
    </xf>
    <xf numFmtId="0" fontId="18" fillId="0" borderId="46" xfId="0" applyFont="1" applyBorder="1" applyAlignment="1" applyProtection="1"/>
    <xf numFmtId="0" fontId="18" fillId="0" borderId="10" xfId="0" applyFont="1" applyBorder="1" applyAlignment="1" applyProtection="1">
      <alignment horizontal="center"/>
    </xf>
    <xf numFmtId="0" fontId="18" fillId="0" borderId="46" xfId="0" applyFont="1" applyBorder="1" applyAlignment="1" applyProtection="1">
      <alignment horizontal="left"/>
    </xf>
    <xf numFmtId="0" fontId="18" fillId="0" borderId="46" xfId="59" applyFont="1" applyBorder="1" applyAlignment="1" applyProtection="1">
      <alignment horizontal="left" wrapText="1"/>
    </xf>
    <xf numFmtId="6" fontId="18" fillId="0" borderId="47" xfId="0" applyNumberFormat="1" applyFont="1" applyFill="1" applyBorder="1" applyProtection="1">
      <protection locked="0"/>
    </xf>
    <xf numFmtId="6" fontId="18" fillId="0" borderId="24" xfId="223" applyNumberFormat="1" applyFont="1" applyFill="1" applyBorder="1" applyProtection="1">
      <protection locked="0"/>
    </xf>
    <xf numFmtId="6" fontId="18" fillId="0" borderId="47" xfId="201" applyNumberFormat="1" applyFont="1" applyFill="1" applyBorder="1" applyProtection="1">
      <protection locked="0"/>
    </xf>
    <xf numFmtId="0" fontId="0" fillId="0" borderId="0" xfId="0" applyFill="1" applyProtection="1"/>
    <xf numFmtId="6" fontId="18" fillId="0" borderId="46" xfId="0" applyNumberFormat="1" applyFont="1" applyFill="1" applyBorder="1" applyProtection="1">
      <protection locked="0"/>
    </xf>
    <xf numFmtId="6" fontId="18" fillId="0" borderId="0" xfId="0" applyNumberFormat="1" applyFont="1" applyFill="1" applyBorder="1" applyProtection="1">
      <protection locked="0"/>
    </xf>
    <xf numFmtId="6" fontId="18" fillId="0" borderId="20" xfId="0" applyNumberFormat="1" applyFont="1" applyFill="1" applyBorder="1" applyProtection="1">
      <protection locked="0"/>
    </xf>
    <xf numFmtId="6" fontId="0" fillId="0" borderId="10" xfId="0" applyNumberFormat="1" applyFill="1" applyBorder="1" applyProtection="1"/>
    <xf numFmtId="6" fontId="18" fillId="0" borderId="15" xfId="0" applyNumberFormat="1" applyFont="1" applyFill="1" applyBorder="1" applyProtection="1">
      <protection locked="0"/>
    </xf>
    <xf numFmtId="6" fontId="0" fillId="0" borderId="0" xfId="0" applyNumberFormat="1" applyFill="1" applyProtection="1"/>
    <xf numFmtId="0" fontId="22" fillId="0" borderId="32" xfId="0" applyFont="1" applyBorder="1" applyAlignment="1" applyProtection="1">
      <alignment vertical="center"/>
    </xf>
    <xf numFmtId="0" fontId="18" fillId="0" borderId="35" xfId="0" applyFont="1" applyBorder="1" applyProtection="1"/>
    <xf numFmtId="0" fontId="18" fillId="0" borderId="46" xfId="0" applyFont="1" applyBorder="1" applyProtection="1"/>
    <xf numFmtId="0" fontId="18" fillId="0" borderId="10" xfId="0" applyFont="1" applyBorder="1" applyAlignment="1" applyProtection="1">
      <alignment horizontal="center" vertical="top"/>
    </xf>
    <xf numFmtId="0" fontId="18" fillId="0" borderId="10" xfId="0" applyFont="1" applyFill="1" applyBorder="1" applyAlignment="1" applyProtection="1">
      <alignment horizontal="center"/>
    </xf>
    <xf numFmtId="0" fontId="19" fillId="0" borderId="46" xfId="0" applyFont="1" applyBorder="1" applyAlignment="1" applyProtection="1"/>
    <xf numFmtId="0" fontId="19" fillId="0" borderId="10" xfId="0" applyFont="1" applyBorder="1" applyAlignment="1" applyProtection="1"/>
    <xf numFmtId="0" fontId="19" fillId="0" borderId="46" xfId="0" applyFont="1" applyBorder="1" applyAlignment="1" applyProtection="1">
      <alignment horizontal="left"/>
    </xf>
    <xf numFmtId="0" fontId="19" fillId="0" borderId="10" xfId="0" applyFont="1" applyBorder="1" applyAlignment="1" applyProtection="1">
      <alignment horizontal="center"/>
    </xf>
    <xf numFmtId="0" fontId="19" fillId="0" borderId="10" xfId="0" applyFont="1" applyBorder="1" applyAlignment="1" applyProtection="1">
      <alignment horizontal="left"/>
    </xf>
    <xf numFmtId="0" fontId="18" fillId="0" borderId="46" xfId="0" applyFont="1" applyBorder="1" applyAlignment="1" applyProtection="1">
      <alignment wrapText="1"/>
    </xf>
    <xf numFmtId="0" fontId="19" fillId="0" borderId="46" xfId="0" applyFont="1" applyBorder="1" applyProtection="1"/>
    <xf numFmtId="0" fontId="18" fillId="0" borderId="46" xfId="0" applyFont="1" applyBorder="1" applyAlignment="1" applyProtection="1">
      <alignment vertical="center" wrapText="1"/>
    </xf>
    <xf numFmtId="0" fontId="18" fillId="0" borderId="10" xfId="0" applyFont="1" applyBorder="1" applyAlignment="1" applyProtection="1">
      <alignment horizontal="center" vertical="center"/>
    </xf>
    <xf numFmtId="0" fontId="18" fillId="0" borderId="46" xfId="0" applyFont="1" applyFill="1" applyBorder="1" applyProtection="1"/>
    <xf numFmtId="0" fontId="18" fillId="0" borderId="10" xfId="0" applyFont="1" applyFill="1" applyBorder="1" applyProtection="1"/>
    <xf numFmtId="0" fontId="26" fillId="0" borderId="46" xfId="59" applyFont="1" applyBorder="1" applyProtection="1"/>
    <xf numFmtId="0" fontId="26" fillId="0" borderId="10" xfId="59" applyFont="1" applyBorder="1" applyAlignment="1" applyProtection="1">
      <alignment horizontal="center"/>
    </xf>
    <xf numFmtId="0" fontId="19" fillId="0" borderId="46" xfId="0" applyFont="1" applyFill="1" applyBorder="1" applyProtection="1"/>
    <xf numFmtId="0" fontId="18" fillId="0" borderId="70" xfId="0" applyFont="1" applyBorder="1" applyProtection="1"/>
    <xf numFmtId="0" fontId="18" fillId="0" borderId="71" xfId="0" applyFont="1" applyBorder="1" applyAlignment="1" applyProtection="1">
      <alignment horizontal="center"/>
    </xf>
    <xf numFmtId="6" fontId="0" fillId="0" borderId="0" xfId="0" applyNumberFormat="1" applyFill="1" applyBorder="1" applyProtection="1"/>
    <xf numFmtId="8" fontId="0" fillId="0" borderId="0" xfId="0" applyNumberFormat="1" applyFill="1" applyProtection="1"/>
    <xf numFmtId="6" fontId="17" fillId="0" borderId="0" xfId="0" applyNumberFormat="1" applyFont="1" applyProtection="1"/>
    <xf numFmtId="0" fontId="0" fillId="64" borderId="0" xfId="0" applyFill="1" applyProtection="1"/>
    <xf numFmtId="0" fontId="0" fillId="0" borderId="0" xfId="56" applyNumberFormat="1" applyFont="1" applyProtection="1"/>
    <xf numFmtId="0" fontId="59" fillId="0" borderId="0" xfId="0" applyFont="1" applyProtection="1"/>
    <xf numFmtId="183" fontId="0" fillId="0" borderId="0" xfId="0" applyNumberFormat="1" applyAlignment="1" applyProtection="1">
      <alignment horizontal="center" vertical="center"/>
    </xf>
    <xf numFmtId="8" fontId="0" fillId="0" borderId="10" xfId="0" applyNumberFormat="1" applyBorder="1" applyProtection="1"/>
    <xf numFmtId="8" fontId="0" fillId="0" borderId="10" xfId="0" applyNumberFormat="1" applyFill="1" applyBorder="1" applyProtection="1"/>
    <xf numFmtId="8" fontId="18" fillId="0" borderId="10" xfId="0" applyNumberFormat="1" applyFont="1" applyFill="1" applyBorder="1" applyProtection="1"/>
    <xf numFmtId="8" fontId="0" fillId="0" borderId="50" xfId="0" applyNumberFormat="1" applyBorder="1" applyProtection="1"/>
    <xf numFmtId="180" fontId="17" fillId="64" borderId="4" xfId="246" applyNumberFormat="1" applyFont="1" applyFill="1" applyBorder="1" applyProtection="1">
      <protection locked="0"/>
    </xf>
    <xf numFmtId="180" fontId="17" fillId="64" borderId="4" xfId="56" applyNumberFormat="1" applyFont="1" applyFill="1" applyBorder="1" applyProtection="1">
      <protection locked="0"/>
    </xf>
    <xf numFmtId="0" fontId="17" fillId="0" borderId="4" xfId="0" applyFont="1" applyFill="1" applyBorder="1" applyAlignment="1" applyProtection="1">
      <alignment horizontal="center"/>
    </xf>
    <xf numFmtId="0" fontId="61" fillId="64" borderId="0" xfId="0" applyFont="1" applyFill="1" applyProtection="1"/>
    <xf numFmtId="0" fontId="66" fillId="64" borderId="0" xfId="0" applyFont="1" applyFill="1" applyProtection="1"/>
    <xf numFmtId="0" fontId="17" fillId="64" borderId="4" xfId="0" applyFont="1" applyFill="1" applyBorder="1" applyProtection="1"/>
    <xf numFmtId="0" fontId="17" fillId="64" borderId="4" xfId="0" applyFont="1" applyFill="1" applyBorder="1" applyAlignment="1" applyProtection="1">
      <alignment horizontal="center" vertical="center"/>
      <protection locked="0"/>
    </xf>
    <xf numFmtId="178" fontId="0" fillId="64" borderId="4" xfId="56" applyNumberFormat="1" applyFont="1" applyFill="1" applyBorder="1" applyAlignment="1" applyProtection="1">
      <alignment horizontal="center" vertical="center"/>
    </xf>
    <xf numFmtId="175" fontId="0" fillId="64" borderId="4" xfId="57" applyNumberFormat="1" applyFont="1" applyFill="1" applyBorder="1" applyProtection="1"/>
    <xf numFmtId="179" fontId="20" fillId="64" borderId="4" xfId="56" applyNumberFormat="1" applyFont="1" applyFill="1" applyBorder="1" applyAlignment="1" applyProtection="1">
      <alignment horizontal="center" vertical="center"/>
    </xf>
    <xf numFmtId="0" fontId="20" fillId="64" borderId="4" xfId="0" applyFont="1" applyFill="1" applyBorder="1" applyProtection="1"/>
    <xf numFmtId="0" fontId="20" fillId="64" borderId="4" xfId="0" applyFont="1" applyFill="1" applyBorder="1" applyAlignment="1" applyProtection="1">
      <alignment horizontal="center" vertical="center"/>
    </xf>
    <xf numFmtId="178" fontId="20" fillId="64" borderId="4" xfId="56" applyNumberFormat="1" applyFont="1" applyFill="1" applyBorder="1" applyAlignment="1" applyProtection="1">
      <alignment horizontal="center" vertical="center"/>
    </xf>
    <xf numFmtId="175" fontId="20" fillId="64" borderId="4" xfId="57" applyNumberFormat="1" applyFont="1" applyFill="1" applyBorder="1" applyProtection="1"/>
    <xf numFmtId="0" fontId="17" fillId="64" borderId="0" xfId="0" applyFont="1" applyFill="1" applyProtection="1"/>
    <xf numFmtId="177" fontId="20" fillId="64" borderId="4" xfId="57" applyNumberFormat="1" applyFont="1" applyFill="1" applyBorder="1" applyAlignment="1" applyProtection="1">
      <alignment horizontal="center" vertical="center"/>
    </xf>
    <xf numFmtId="0" fontId="0" fillId="29" borderId="69" xfId="0" applyFill="1" applyBorder="1" applyAlignment="1" applyProtection="1">
      <alignment horizontal="left" vertical="top" wrapText="1"/>
      <protection locked="0"/>
    </xf>
    <xf numFmtId="0" fontId="20" fillId="0" borderId="0" xfId="0" applyFont="1" applyBorder="1" applyAlignment="1" applyProtection="1">
      <alignment horizontal="right" vertical="center" wrapText="1" indent="1"/>
    </xf>
    <xf numFmtId="177" fontId="20" fillId="0" borderId="0" xfId="57" applyNumberFormat="1" applyFont="1" applyBorder="1" applyAlignment="1" applyProtection="1">
      <alignment horizontal="center" vertical="center"/>
    </xf>
    <xf numFmtId="0" fontId="17" fillId="0" borderId="4" xfId="0" applyFont="1" applyBorder="1" applyAlignment="1" applyProtection="1">
      <alignment vertical="center" wrapText="1"/>
    </xf>
    <xf numFmtId="0" fontId="17" fillId="0" borderId="0" xfId="0" applyFont="1" applyFill="1" applyBorder="1" applyProtection="1"/>
    <xf numFmtId="8" fontId="18" fillId="0" borderId="10" xfId="0" applyNumberFormat="1" applyFont="1" applyBorder="1" applyProtection="1"/>
    <xf numFmtId="6" fontId="18" fillId="0" borderId="10" xfId="0" applyNumberFormat="1" applyFont="1" applyBorder="1" applyProtection="1"/>
    <xf numFmtId="6" fontId="18" fillId="0" borderId="0" xfId="0" applyNumberFormat="1" applyFont="1" applyProtection="1"/>
    <xf numFmtId="6" fontId="18" fillId="29" borderId="0" xfId="202" applyNumberFormat="1" applyFont="1" applyFill="1" applyBorder="1" applyProtection="1">
      <protection locked="0"/>
    </xf>
    <xf numFmtId="0" fontId="85" fillId="0" borderId="46" xfId="0" applyFont="1" applyFill="1" applyBorder="1" applyAlignment="1" applyProtection="1">
      <alignment horizontal="left"/>
    </xf>
    <xf numFmtId="0" fontId="89" fillId="0" borderId="9" xfId="0" applyFont="1" applyBorder="1" applyAlignment="1" applyProtection="1">
      <alignment vertical="center"/>
    </xf>
    <xf numFmtId="0" fontId="17" fillId="0" borderId="10" xfId="0" applyFont="1" applyBorder="1" applyProtection="1"/>
    <xf numFmtId="0" fontId="17" fillId="0" borderId="16" xfId="0" applyFont="1" applyBorder="1" applyProtection="1"/>
    <xf numFmtId="0" fontId="17" fillId="0" borderId="9" xfId="0" applyFont="1" applyBorder="1" applyAlignment="1" applyProtection="1">
      <alignment vertical="center"/>
    </xf>
    <xf numFmtId="0" fontId="17" fillId="0" borderId="0" xfId="0" applyFont="1" applyAlignment="1" applyProtection="1">
      <alignment horizontal="center" vertical="center"/>
    </xf>
    <xf numFmtId="166" fontId="17" fillId="0" borderId="15" xfId="0" applyNumberFormat="1" applyFont="1" applyBorder="1" applyAlignment="1" applyProtection="1">
      <alignment vertical="center"/>
    </xf>
    <xf numFmtId="0" fontId="20" fillId="0" borderId="10" xfId="0" applyFont="1" applyBorder="1" applyAlignment="1" applyProtection="1">
      <alignment horizontal="left" vertical="center"/>
    </xf>
    <xf numFmtId="0" fontId="17" fillId="0" borderId="10" xfId="0" applyFont="1" applyBorder="1" applyAlignment="1" applyProtection="1">
      <alignment horizontal="center" vertical="center"/>
    </xf>
    <xf numFmtId="166" fontId="17" fillId="0" borderId="69" xfId="0" applyNumberFormat="1" applyFont="1" applyBorder="1" applyAlignment="1" applyProtection="1">
      <alignment vertical="center"/>
    </xf>
    <xf numFmtId="177" fontId="17" fillId="0" borderId="4" xfId="57" applyNumberFormat="1" applyFont="1" applyFill="1" applyBorder="1" applyAlignment="1" applyProtection="1">
      <alignment horizontal="center" vertical="center"/>
    </xf>
    <xf numFmtId="180" fontId="17" fillId="29" borderId="4" xfId="184" applyNumberFormat="1" applyFont="1" applyFill="1" applyBorder="1" applyProtection="1">
      <protection locked="0"/>
    </xf>
    <xf numFmtId="0" fontId="17" fillId="0" borderId="4" xfId="0" applyFont="1" applyFill="1" applyBorder="1" applyAlignment="1" applyProtection="1">
      <alignment horizontal="center" vertical="center"/>
      <protection locked="0"/>
    </xf>
    <xf numFmtId="0" fontId="17" fillId="0" borderId="4" xfId="0" applyFont="1" applyFill="1" applyBorder="1" applyAlignment="1" applyProtection="1">
      <alignment horizontal="center" vertical="center"/>
    </xf>
    <xf numFmtId="8" fontId="0" fillId="0" borderId="0" xfId="0" applyNumberFormat="1" applyProtection="1">
      <protection locked="0"/>
    </xf>
    <xf numFmtId="8" fontId="17" fillId="0" borderId="0" xfId="0" applyNumberFormat="1" applyFont="1" applyProtection="1">
      <protection locked="0"/>
    </xf>
    <xf numFmtId="0" fontId="0" fillId="0" borderId="0" xfId="0" applyProtection="1">
      <protection locked="0"/>
    </xf>
    <xf numFmtId="6" fontId="0" fillId="0" borderId="0" xfId="0" applyNumberFormat="1" applyProtection="1">
      <protection locked="0"/>
    </xf>
    <xf numFmtId="6" fontId="0" fillId="0" borderId="0" xfId="0" applyNumberFormat="1" applyFill="1" applyProtection="1">
      <protection locked="0"/>
    </xf>
    <xf numFmtId="6" fontId="18" fillId="0" borderId="0" xfId="0" applyNumberFormat="1" applyFont="1" applyProtection="1">
      <protection locked="0"/>
    </xf>
    <xf numFmtId="178" fontId="92" fillId="0" borderId="0" xfId="56" applyNumberFormat="1" applyFont="1" applyProtection="1"/>
    <xf numFmtId="6" fontId="18" fillId="0" borderId="24" xfId="237" applyNumberFormat="1" applyFont="1" applyFill="1" applyBorder="1" applyProtection="1">
      <protection locked="0"/>
    </xf>
    <xf numFmtId="6" fontId="18" fillId="0" borderId="24" xfId="0" applyNumberFormat="1" applyFont="1" applyFill="1" applyBorder="1" applyProtection="1">
      <protection locked="0"/>
    </xf>
    <xf numFmtId="6" fontId="18" fillId="26" borderId="23" xfId="0" applyNumberFormat="1" applyFont="1" applyFill="1" applyBorder="1" applyProtection="1">
      <protection locked="0"/>
    </xf>
    <xf numFmtId="0" fontId="62" fillId="0" borderId="0" xfId="0" applyFont="1" applyBorder="1" applyAlignment="1">
      <alignment vertical="top"/>
    </xf>
    <xf numFmtId="0" fontId="62" fillId="0" borderId="0" xfId="0" applyFont="1" applyBorder="1" applyAlignment="1">
      <alignment vertical="center"/>
    </xf>
    <xf numFmtId="6" fontId="18" fillId="0" borderId="84" xfId="0" applyNumberFormat="1" applyFont="1" applyFill="1" applyBorder="1" applyProtection="1"/>
    <xf numFmtId="0" fontId="93" fillId="0" borderId="0" xfId="0" applyFont="1" applyFill="1" applyProtection="1"/>
    <xf numFmtId="184" fontId="93" fillId="0" borderId="0" xfId="0" applyNumberFormat="1" applyFont="1" applyProtection="1">
      <protection locked="0"/>
    </xf>
    <xf numFmtId="0" fontId="17" fillId="0" borderId="0" xfId="298"/>
    <xf numFmtId="0" fontId="20" fillId="0" borderId="0" xfId="298" applyFont="1" applyProtection="1"/>
    <xf numFmtId="0" fontId="24" fillId="0" borderId="0" xfId="298" applyFont="1" applyAlignment="1" applyProtection="1">
      <alignment vertical="top"/>
    </xf>
    <xf numFmtId="8" fontId="17" fillId="0" borderId="0" xfId="298" applyNumberFormat="1" applyAlignment="1" applyProtection="1">
      <alignment vertical="top"/>
    </xf>
    <xf numFmtId="0" fontId="17" fillId="0" borderId="0" xfId="298" applyFont="1" applyAlignment="1" applyProtection="1">
      <alignment vertical="top" wrapText="1"/>
    </xf>
    <xf numFmtId="6" fontId="18" fillId="29" borderId="20" xfId="233" applyNumberFormat="1" applyFont="1" applyFill="1" applyBorder="1" applyProtection="1">
      <protection locked="0"/>
    </xf>
    <xf numFmtId="0" fontId="9" fillId="0" borderId="0" xfId="346"/>
    <xf numFmtId="0" fontId="9" fillId="0" borderId="0" xfId="346" applyAlignment="1">
      <alignment horizontal="center"/>
    </xf>
    <xf numFmtId="0" fontId="9" fillId="0" borderId="0" xfId="346" applyFill="1" applyBorder="1"/>
    <xf numFmtId="0" fontId="9" fillId="0" borderId="0" xfId="346" applyFill="1" applyBorder="1" applyProtection="1"/>
    <xf numFmtId="0" fontId="50" fillId="0" borderId="0" xfId="346" applyFont="1" applyFill="1" applyBorder="1" applyAlignment="1" applyProtection="1">
      <alignment horizontal="center"/>
    </xf>
    <xf numFmtId="0" fontId="9" fillId="0" borderId="0" xfId="346" applyAlignment="1" applyProtection="1">
      <alignment horizontal="center"/>
    </xf>
    <xf numFmtId="0" fontId="94" fillId="0" borderId="0" xfId="346" applyFont="1" applyAlignment="1" applyProtection="1">
      <alignment horizontal="center"/>
    </xf>
    <xf numFmtId="0" fontId="50" fillId="0" borderId="0" xfId="346" applyFont="1"/>
    <xf numFmtId="0" fontId="50" fillId="0" borderId="0" xfId="346" applyFont="1" applyProtection="1"/>
    <xf numFmtId="0" fontId="20" fillId="0" borderId="0" xfId="70" applyFont="1" applyFill="1" applyAlignment="1" applyProtection="1">
      <alignment horizontal="center"/>
    </xf>
    <xf numFmtId="0" fontId="87" fillId="0" borderId="75" xfId="346" applyFont="1" applyBorder="1" applyAlignment="1" applyProtection="1">
      <alignment horizontal="center" wrapText="1"/>
    </xf>
    <xf numFmtId="0" fontId="87" fillId="0" borderId="75" xfId="346" applyFont="1" applyBorder="1" applyAlignment="1" applyProtection="1">
      <alignment horizontal="center"/>
    </xf>
    <xf numFmtId="0" fontId="50" fillId="0" borderId="75" xfId="346" applyFont="1" applyBorder="1" applyProtection="1"/>
    <xf numFmtId="0" fontId="9" fillId="0" borderId="0" xfId="346" applyProtection="1"/>
    <xf numFmtId="0" fontId="9" fillId="0" borderId="0" xfId="346" applyAlignment="1">
      <alignment vertical="top"/>
    </xf>
    <xf numFmtId="0" fontId="9" fillId="0" borderId="0" xfId="346" applyAlignment="1" applyProtection="1">
      <alignment vertical="top"/>
    </xf>
    <xf numFmtId="0" fontId="9" fillId="0" borderId="0" xfId="346" applyAlignment="1" applyProtection="1">
      <alignment horizontal="center" vertical="top"/>
    </xf>
    <xf numFmtId="0" fontId="9" fillId="0" borderId="0" xfId="346" applyProtection="1">
      <protection locked="0"/>
    </xf>
    <xf numFmtId="0" fontId="50" fillId="0" borderId="82" xfId="346" applyFont="1" applyBorder="1"/>
    <xf numFmtId="0" fontId="9" fillId="0" borderId="82" xfId="346" applyBorder="1"/>
    <xf numFmtId="0" fontId="23" fillId="0" borderId="0" xfId="395" applyFont="1" applyFill="1" applyProtection="1"/>
    <xf numFmtId="0" fontId="17" fillId="0" borderId="0" xfId="395" applyFill="1" applyProtection="1"/>
    <xf numFmtId="0" fontId="66" fillId="0" borderId="0" xfId="395" applyFont="1" applyFill="1" applyProtection="1"/>
    <xf numFmtId="175" fontId="17" fillId="0" borderId="4" xfId="57" applyNumberFormat="1" applyFont="1" applyFill="1" applyBorder="1" applyProtection="1"/>
    <xf numFmtId="0" fontId="17" fillId="0" borderId="0" xfId="395" applyFont="1" applyFill="1" applyBorder="1" applyAlignment="1" applyProtection="1">
      <alignment horizontal="left"/>
    </xf>
    <xf numFmtId="0" fontId="17" fillId="0" borderId="0" xfId="395" applyFill="1" applyBorder="1" applyAlignment="1" applyProtection="1">
      <alignment horizontal="left" wrapText="1"/>
    </xf>
    <xf numFmtId="0" fontId="63" fillId="0" borderId="0" xfId="0" applyNumberFormat="1" applyFont="1" applyFill="1" applyProtection="1"/>
    <xf numFmtId="177" fontId="17" fillId="0" borderId="4" xfId="57" applyNumberFormat="1" applyFont="1" applyBorder="1" applyAlignment="1" applyProtection="1">
      <alignment horizontal="left" vertical="center"/>
    </xf>
    <xf numFmtId="8" fontId="17" fillId="0" borderId="10" xfId="0" applyNumberFormat="1" applyFont="1" applyBorder="1" applyProtection="1"/>
    <xf numFmtId="0" fontId="0" fillId="0" borderId="0" xfId="0" applyAlignment="1">
      <alignment wrapText="1"/>
    </xf>
    <xf numFmtId="0" fontId="17" fillId="0" borderId="91" xfId="0" applyFont="1" applyBorder="1" applyAlignment="1" applyProtection="1">
      <alignment vertical="center"/>
    </xf>
    <xf numFmtId="0" fontId="19" fillId="0" borderId="0" xfId="0" applyFont="1" applyBorder="1" applyAlignment="1" applyProtection="1"/>
    <xf numFmtId="0" fontId="93" fillId="0" borderId="0" xfId="0" applyFont="1" applyProtection="1">
      <protection locked="0"/>
    </xf>
    <xf numFmtId="0" fontId="17" fillId="0" borderId="89" xfId="0" applyFont="1" applyBorder="1" applyAlignment="1" applyProtection="1">
      <alignment horizontal="center" vertical="center"/>
    </xf>
    <xf numFmtId="0" fontId="17" fillId="0" borderId="90" xfId="0" applyFont="1" applyBorder="1" applyAlignment="1" applyProtection="1">
      <alignment horizontal="center" vertical="center"/>
    </xf>
    <xf numFmtId="0" fontId="17" fillId="0" borderId="4" xfId="0" applyFont="1" applyBorder="1" applyAlignment="1" applyProtection="1">
      <alignment horizontal="center" wrapText="1"/>
    </xf>
    <xf numFmtId="178" fontId="17" fillId="0" borderId="4" xfId="56" applyNumberFormat="1" applyFont="1" applyBorder="1" applyProtection="1"/>
    <xf numFmtId="0" fontId="17" fillId="0" borderId="4" xfId="69" applyFont="1" applyFill="1" applyBorder="1" applyAlignment="1" applyProtection="1">
      <alignment horizontal="left" vertical="center"/>
    </xf>
    <xf numFmtId="178" fontId="9" fillId="0" borderId="0" xfId="56" applyNumberFormat="1" applyFont="1" applyFill="1" applyBorder="1" applyProtection="1"/>
    <xf numFmtId="178" fontId="9" fillId="0" borderId="0" xfId="56" applyNumberFormat="1" applyFont="1"/>
    <xf numFmtId="178" fontId="9" fillId="0" borderId="82" xfId="56" applyNumberFormat="1" applyFont="1" applyBorder="1"/>
    <xf numFmtId="178" fontId="9" fillId="0" borderId="82" xfId="56" applyNumberFormat="1" applyFont="1" applyBorder="1" applyProtection="1">
      <protection locked="0"/>
    </xf>
    <xf numFmtId="9" fontId="9" fillId="0" borderId="0" xfId="58" applyFont="1"/>
    <xf numFmtId="9" fontId="9" fillId="0" borderId="82" xfId="58" applyFont="1" applyBorder="1"/>
    <xf numFmtId="177" fontId="9" fillId="0" borderId="0" xfId="56" applyNumberFormat="1" applyFont="1" applyProtection="1">
      <protection locked="0"/>
    </xf>
    <xf numFmtId="177" fontId="9" fillId="0" borderId="0" xfId="56" applyNumberFormat="1" applyFont="1"/>
    <xf numFmtId="178" fontId="20" fillId="27" borderId="4" xfId="56" applyNumberFormat="1" applyFont="1" applyFill="1" applyBorder="1" applyProtection="1"/>
    <xf numFmtId="0" fontId="17" fillId="0" borderId="0" xfId="361" applyFont="1" applyFill="1" applyBorder="1" applyAlignment="1" applyProtection="1">
      <alignment horizontal="center" vertical="center"/>
      <protection locked="0"/>
    </xf>
    <xf numFmtId="6" fontId="18" fillId="29" borderId="20" xfId="0" applyNumberFormat="1" applyFont="1" applyFill="1" applyBorder="1" applyProtection="1"/>
    <xf numFmtId="6" fontId="18" fillId="0" borderId="24" xfId="223" applyNumberFormat="1" applyFont="1" applyFill="1" applyBorder="1" applyProtection="1"/>
    <xf numFmtId="44" fontId="0" fillId="0" borderId="4" xfId="57" applyFont="1" applyBorder="1" applyProtection="1"/>
    <xf numFmtId="179" fontId="0" fillId="0" borderId="0" xfId="0" applyNumberFormat="1" applyProtection="1"/>
    <xf numFmtId="0" fontId="24" fillId="0" borderId="0" xfId="298" applyFont="1" applyFill="1" applyAlignment="1" applyProtection="1">
      <alignment vertical="top"/>
    </xf>
    <xf numFmtId="0" fontId="17" fillId="27" borderId="0" xfId="0" applyFont="1" applyFill="1" applyBorder="1" applyAlignment="1" applyProtection="1">
      <alignment vertical="center" wrapText="1"/>
    </xf>
    <xf numFmtId="0" fontId="17" fillId="64" borderId="0" xfId="0" applyFont="1" applyFill="1" applyBorder="1" applyAlignment="1" applyProtection="1">
      <alignment vertical="center" wrapText="1"/>
    </xf>
    <xf numFmtId="0" fontId="16" fillId="29" borderId="14" xfId="59" applyFill="1" applyBorder="1" applyProtection="1">
      <protection locked="0"/>
    </xf>
    <xf numFmtId="0" fontId="16" fillId="28" borderId="14" xfId="59" applyFill="1" applyBorder="1" applyProtection="1">
      <protection locked="0"/>
    </xf>
    <xf numFmtId="0" fontId="20" fillId="30" borderId="4" xfId="0" applyFont="1" applyFill="1" applyBorder="1" applyProtection="1">
      <protection locked="0"/>
    </xf>
    <xf numFmtId="177" fontId="20" fillId="30" borderId="4" xfId="57" applyNumberFormat="1" applyFont="1" applyFill="1" applyBorder="1" applyAlignment="1" applyProtection="1">
      <alignment horizontal="center" vertical="center"/>
      <protection locked="0"/>
    </xf>
    <xf numFmtId="0" fontId="20" fillId="29" borderId="4" xfId="70" applyFont="1" applyFill="1" applyBorder="1" applyAlignment="1" applyProtection="1">
      <alignment horizontal="center"/>
      <protection locked="0"/>
    </xf>
    <xf numFmtId="0" fontId="23" fillId="0" borderId="0" xfId="265" applyFont="1" applyFill="1" applyAlignment="1" applyProtection="1">
      <alignment horizontal="left" wrapText="1"/>
    </xf>
    <xf numFmtId="0" fontId="0" fillId="65" borderId="14" xfId="0" applyFill="1" applyBorder="1" applyProtection="1">
      <protection locked="0"/>
    </xf>
    <xf numFmtId="0" fontId="53" fillId="0" borderId="0" xfId="59" applyFont="1" applyFill="1" applyProtection="1"/>
    <xf numFmtId="0" fontId="53" fillId="0" borderId="0" xfId="59" applyFont="1" applyFill="1" applyAlignment="1" applyProtection="1">
      <alignment horizontal="right" vertical="center"/>
    </xf>
    <xf numFmtId="0" fontId="53" fillId="0" borderId="0" xfId="59" applyFont="1" applyFill="1" applyAlignment="1" applyProtection="1">
      <alignment vertical="center"/>
    </xf>
    <xf numFmtId="0" fontId="52" fillId="0" borderId="0" xfId="59" applyFont="1" applyFill="1" applyBorder="1" applyProtection="1"/>
    <xf numFmtId="0" fontId="53" fillId="0" borderId="0" xfId="59" applyFont="1" applyFill="1" applyBorder="1" applyProtection="1"/>
    <xf numFmtId="0" fontId="101" fillId="0" borderId="0" xfId="59" applyFont="1" applyFill="1" applyBorder="1" applyAlignment="1" applyProtection="1">
      <alignment horizontal="left"/>
    </xf>
    <xf numFmtId="0" fontId="53" fillId="0" borderId="0" xfId="59" applyFont="1" applyFill="1" applyBorder="1" applyAlignment="1" applyProtection="1">
      <alignment horizontal="left" wrapText="1"/>
    </xf>
    <xf numFmtId="0" fontId="53" fillId="0" borderId="0" xfId="59" applyFont="1" applyFill="1" applyAlignment="1" applyProtection="1">
      <alignment horizontal="left" vertical="top" wrapText="1"/>
    </xf>
    <xf numFmtId="0" fontId="98" fillId="0" borderId="0" xfId="59" applyFont="1" applyFill="1" applyProtection="1"/>
    <xf numFmtId="6" fontId="18" fillId="66" borderId="20" xfId="0" applyNumberFormat="1" applyFont="1" applyFill="1" applyBorder="1" applyProtection="1">
      <protection locked="0"/>
    </xf>
    <xf numFmtId="6" fontId="18" fillId="66" borderId="73" xfId="0" applyNumberFormat="1" applyFont="1" applyFill="1" applyBorder="1" applyProtection="1">
      <protection locked="0"/>
    </xf>
    <xf numFmtId="6" fontId="18" fillId="66" borderId="24" xfId="0" applyNumberFormat="1" applyFont="1" applyFill="1" applyBorder="1" applyProtection="1">
      <protection locked="0"/>
    </xf>
    <xf numFmtId="0" fontId="102" fillId="0" borderId="0" xfId="416" applyFont="1" applyProtection="1"/>
    <xf numFmtId="0" fontId="102" fillId="0" borderId="0" xfId="0" applyFont="1" applyProtection="1"/>
    <xf numFmtId="0" fontId="102" fillId="0" borderId="0" xfId="0" applyNumberFormat="1" applyFont="1" applyProtection="1"/>
    <xf numFmtId="6" fontId="102" fillId="0" borderId="0" xfId="0" applyNumberFormat="1" applyFont="1" applyProtection="1"/>
    <xf numFmtId="6" fontId="102" fillId="0" borderId="0" xfId="0" applyNumberFormat="1" applyFont="1" applyFill="1" applyProtection="1"/>
    <xf numFmtId="6" fontId="98" fillId="0" borderId="0" xfId="0" applyNumberFormat="1" applyFont="1" applyProtection="1"/>
    <xf numFmtId="8" fontId="0" fillId="0" borderId="89" xfId="0" applyNumberFormat="1" applyBorder="1" applyProtection="1"/>
    <xf numFmtId="0" fontId="19" fillId="0" borderId="0" xfId="346" applyFont="1" applyAlignment="1" applyProtection="1">
      <alignment horizontal="left" vertical="center" wrapText="1"/>
    </xf>
    <xf numFmtId="0" fontId="18" fillId="0" borderId="4" xfId="0" applyFont="1" applyBorder="1" applyAlignment="1" applyProtection="1">
      <alignment horizontal="center" vertical="center"/>
      <protection locked="0"/>
    </xf>
    <xf numFmtId="0" fontId="30" fillId="0" borderId="13" xfId="0" applyNumberFormat="1" applyFont="1" applyBorder="1" applyAlignment="1" applyProtection="1">
      <alignment horizontal="center"/>
    </xf>
    <xf numFmtId="0" fontId="5" fillId="0" borderId="0" xfId="486" applyProtection="1"/>
    <xf numFmtId="0" fontId="5" fillId="0" borderId="0" xfId="486"/>
    <xf numFmtId="0" fontId="52" fillId="0" borderId="0" xfId="486" applyFont="1" applyAlignment="1" applyProtection="1">
      <alignment horizontal="left" wrapText="1"/>
    </xf>
    <xf numFmtId="0" fontId="5" fillId="0" borderId="0" xfId="486" applyAlignment="1" applyProtection="1">
      <alignment wrapText="1"/>
    </xf>
    <xf numFmtId="0" fontId="52" fillId="0" borderId="0" xfId="486" applyFont="1" applyAlignment="1" applyProtection="1">
      <alignment horizontal="left" vertical="center" wrapText="1"/>
    </xf>
    <xf numFmtId="0" fontId="52" fillId="0" borderId="4" xfId="486" applyFont="1" applyFill="1" applyBorder="1" applyAlignment="1" applyProtection="1">
      <alignment horizontal="center" vertical="center" wrapText="1"/>
    </xf>
    <xf numFmtId="0" fontId="50" fillId="0" borderId="0" xfId="486" applyFont="1" applyAlignment="1" applyProtection="1">
      <alignment horizontal="left" wrapText="1"/>
    </xf>
    <xf numFmtId="0" fontId="50" fillId="0" borderId="42" xfId="486" applyFont="1" applyBorder="1" applyAlignment="1" applyProtection="1">
      <alignment horizontal="center" wrapText="1"/>
    </xf>
    <xf numFmtId="0" fontId="50" fillId="0" borderId="4" xfId="486" applyFont="1" applyBorder="1" applyAlignment="1">
      <alignment horizontal="center"/>
    </xf>
    <xf numFmtId="0" fontId="50" fillId="0" borderId="81" xfId="486" applyFont="1" applyBorder="1" applyAlignment="1">
      <alignment horizontal="center"/>
    </xf>
    <xf numFmtId="0" fontId="88" fillId="0" borderId="4" xfId="487" applyFont="1" applyBorder="1" applyAlignment="1" applyProtection="1">
      <alignment wrapText="1"/>
    </xf>
    <xf numFmtId="0" fontId="88" fillId="0" borderId="4" xfId="488" applyFont="1" applyFill="1" applyBorder="1" applyAlignment="1" applyProtection="1">
      <alignment horizontal="center" wrapText="1"/>
    </xf>
    <xf numFmtId="178" fontId="88" fillId="0" borderId="4" xfId="489" applyNumberFormat="1" applyFont="1" applyBorder="1" applyProtection="1"/>
    <xf numFmtId="178" fontId="0" fillId="29" borderId="4" xfId="490" applyNumberFormat="1" applyFont="1" applyFill="1" applyBorder="1" applyProtection="1">
      <protection locked="0"/>
    </xf>
    <xf numFmtId="0" fontId="88" fillId="0" borderId="4" xfId="488" applyFont="1" applyFill="1" applyBorder="1" applyAlignment="1" applyProtection="1">
      <alignment wrapText="1"/>
    </xf>
    <xf numFmtId="178" fontId="0" fillId="0" borderId="81" xfId="490" applyNumberFormat="1" applyFont="1" applyBorder="1" applyAlignment="1" applyProtection="1">
      <alignment vertical="center"/>
    </xf>
    <xf numFmtId="0" fontId="50" fillId="0" borderId="0" xfId="486" applyFont="1"/>
    <xf numFmtId="0" fontId="87" fillId="0" borderId="4" xfId="487" applyFont="1" applyBorder="1" applyAlignment="1" applyProtection="1">
      <alignment wrapText="1"/>
    </xf>
    <xf numFmtId="178" fontId="88" fillId="0" borderId="4" xfId="489" applyNumberFormat="1" applyFont="1" applyFill="1" applyBorder="1" applyAlignment="1" applyProtection="1">
      <alignment vertical="center"/>
    </xf>
    <xf numFmtId="178" fontId="88" fillId="0" borderId="4" xfId="489" applyNumberFormat="1" applyFont="1" applyBorder="1" applyAlignment="1" applyProtection="1">
      <alignment vertical="center"/>
    </xf>
    <xf numFmtId="0" fontId="87" fillId="0" borderId="4" xfId="487" applyFont="1" applyBorder="1" applyAlignment="1" applyProtection="1">
      <alignment horizontal="left" wrapText="1"/>
    </xf>
    <xf numFmtId="10" fontId="87" fillId="0" borderId="4" xfId="491" applyNumberFormat="1" applyFont="1" applyBorder="1" applyProtection="1"/>
    <xf numFmtId="10" fontId="50" fillId="0" borderId="4" xfId="492" applyNumberFormat="1" applyFont="1" applyBorder="1" applyProtection="1"/>
    <xf numFmtId="0" fontId="52" fillId="0" borderId="0" xfId="486" applyFont="1" applyAlignment="1" applyProtection="1">
      <alignment horizontal="left"/>
    </xf>
    <xf numFmtId="178" fontId="5" fillId="0" borderId="0" xfId="486" applyNumberFormat="1" applyProtection="1"/>
    <xf numFmtId="0" fontId="88" fillId="0" borderId="75" xfId="486" applyFont="1" applyBorder="1" applyProtection="1"/>
    <xf numFmtId="0" fontId="5" fillId="0" borderId="0" xfId="486" applyBorder="1" applyAlignment="1" applyProtection="1">
      <alignment horizontal="left"/>
    </xf>
    <xf numFmtId="178" fontId="5" fillId="0" borderId="0" xfId="486" applyNumberFormat="1"/>
    <xf numFmtId="0" fontId="88" fillId="0" borderId="4" xfId="486" applyFont="1" applyBorder="1" applyProtection="1"/>
    <xf numFmtId="175" fontId="0" fillId="0" borderId="0" xfId="493" applyNumberFormat="1" applyFont="1" applyBorder="1" applyProtection="1"/>
    <xf numFmtId="0" fontId="88" fillId="0" borderId="4" xfId="486" applyFont="1" applyBorder="1" applyAlignment="1" applyProtection="1">
      <alignment wrapText="1"/>
    </xf>
    <xf numFmtId="175" fontId="0" fillId="0" borderId="0" xfId="493" applyNumberFormat="1" applyFont="1" applyFill="1" applyBorder="1" applyAlignment="1" applyProtection="1">
      <alignment vertical="center"/>
    </xf>
    <xf numFmtId="179" fontId="0" fillId="0" borderId="0" xfId="490" applyNumberFormat="1" applyFont="1" applyProtection="1"/>
    <xf numFmtId="0" fontId="87" fillId="0" borderId="42" xfId="486" applyFont="1" applyBorder="1" applyAlignment="1" applyProtection="1">
      <alignment wrapText="1"/>
    </xf>
    <xf numFmtId="0" fontId="5" fillId="0" borderId="42" xfId="486" applyFill="1" applyBorder="1" applyAlignment="1">
      <alignment horizontal="center"/>
    </xf>
    <xf numFmtId="0" fontId="5" fillId="0" borderId="0" xfId="486" applyFill="1" applyBorder="1" applyAlignment="1">
      <alignment horizontal="center"/>
    </xf>
    <xf numFmtId="0" fontId="5" fillId="0" borderId="0" xfId="486" applyBorder="1" applyProtection="1"/>
    <xf numFmtId="0" fontId="5" fillId="0" borderId="75" xfId="486" applyBorder="1" applyProtection="1"/>
    <xf numFmtId="0" fontId="87" fillId="0" borderId="87" xfId="486" applyFont="1" applyBorder="1" applyAlignment="1" applyProtection="1">
      <alignment wrapText="1"/>
    </xf>
    <xf numFmtId="0" fontId="5" fillId="0" borderId="76" xfId="486" applyBorder="1"/>
    <xf numFmtId="177" fontId="5" fillId="0" borderId="76" xfId="486" applyNumberFormat="1" applyBorder="1"/>
    <xf numFmtId="10" fontId="5" fillId="0" borderId="76" xfId="486" applyNumberFormat="1" applyBorder="1"/>
    <xf numFmtId="175" fontId="5" fillId="0" borderId="76" xfId="486" applyNumberFormat="1" applyBorder="1"/>
    <xf numFmtId="175" fontId="5" fillId="0" borderId="4" xfId="486" applyNumberFormat="1" applyBorder="1"/>
    <xf numFmtId="0" fontId="5" fillId="0" borderId="0" xfId="486" applyFill="1" applyBorder="1"/>
    <xf numFmtId="0" fontId="5" fillId="0" borderId="80" xfId="486" applyBorder="1"/>
    <xf numFmtId="177" fontId="5" fillId="0" borderId="80" xfId="486" applyNumberFormat="1" applyBorder="1"/>
    <xf numFmtId="10" fontId="5" fillId="0" borderId="80" xfId="486" applyNumberFormat="1" applyBorder="1"/>
    <xf numFmtId="175" fontId="5" fillId="0" borderId="80" xfId="486" applyNumberFormat="1" applyBorder="1"/>
    <xf numFmtId="175" fontId="5" fillId="0" borderId="43" xfId="486" applyNumberFormat="1" applyBorder="1"/>
    <xf numFmtId="0" fontId="5" fillId="0" borderId="88" xfId="486" applyBorder="1"/>
    <xf numFmtId="177" fontId="5" fillId="0" borderId="88" xfId="486" applyNumberFormat="1" applyBorder="1"/>
    <xf numFmtId="10" fontId="5" fillId="0" borderId="88" xfId="486" applyNumberFormat="1" applyBorder="1"/>
    <xf numFmtId="175" fontId="5" fillId="0" borderId="88" xfId="486" applyNumberFormat="1" applyBorder="1"/>
    <xf numFmtId="0" fontId="5" fillId="0" borderId="78" xfId="486" applyBorder="1"/>
    <xf numFmtId="177" fontId="5" fillId="0" borderId="78" xfId="486" applyNumberFormat="1" applyBorder="1"/>
    <xf numFmtId="10" fontId="5" fillId="0" borderId="78" xfId="486" applyNumberFormat="1" applyBorder="1"/>
    <xf numFmtId="175" fontId="5" fillId="0" borderId="78" xfId="486" applyNumberFormat="1" applyBorder="1"/>
    <xf numFmtId="175" fontId="5" fillId="0" borderId="81" xfId="486" applyNumberFormat="1" applyBorder="1"/>
    <xf numFmtId="0" fontId="5" fillId="0" borderId="0" xfId="487" applyProtection="1"/>
    <xf numFmtId="0" fontId="5" fillId="0" borderId="0" xfId="487"/>
    <xf numFmtId="0" fontId="5" fillId="0" borderId="0" xfId="487" applyFill="1"/>
    <xf numFmtId="0" fontId="52" fillId="0" borderId="0" xfId="487" applyFont="1" applyAlignment="1" applyProtection="1">
      <alignment horizontal="left" wrapText="1"/>
    </xf>
    <xf numFmtId="0" fontId="5" fillId="0" borderId="0" xfId="487" applyFill="1" applyProtection="1"/>
    <xf numFmtId="0" fontId="5" fillId="0" borderId="0" xfId="487" applyAlignment="1" applyProtection="1">
      <alignment wrapText="1"/>
    </xf>
    <xf numFmtId="0" fontId="52" fillId="0" borderId="0" xfId="487" applyFont="1" applyAlignment="1" applyProtection="1">
      <alignment horizontal="left" vertical="center" wrapText="1"/>
    </xf>
    <xf numFmtId="0" fontId="52" fillId="0" borderId="4" xfId="487" applyFont="1" applyFill="1" applyBorder="1" applyAlignment="1" applyProtection="1">
      <alignment horizontal="center" vertical="center" wrapText="1"/>
    </xf>
    <xf numFmtId="0" fontId="50" fillId="0" borderId="0" xfId="487" applyFont="1" applyAlignment="1" applyProtection="1">
      <alignment horizontal="left" wrapText="1"/>
    </xf>
    <xf numFmtId="0" fontId="50" fillId="0" borderId="42" xfId="487" applyFont="1" applyBorder="1" applyAlignment="1" applyProtection="1">
      <alignment horizontal="center" wrapText="1"/>
    </xf>
    <xf numFmtId="0" fontId="50" fillId="0" borderId="4" xfId="487" applyFont="1" applyBorder="1" applyAlignment="1">
      <alignment horizontal="center"/>
    </xf>
    <xf numFmtId="0" fontId="50" fillId="0" borderId="81" xfId="487" applyFont="1" applyBorder="1" applyAlignment="1">
      <alignment horizontal="center"/>
    </xf>
    <xf numFmtId="0" fontId="50" fillId="0" borderId="0" xfId="487" applyFont="1" applyFill="1"/>
    <xf numFmtId="178" fontId="5" fillId="0" borderId="0" xfId="487" applyNumberFormat="1" applyFill="1" applyProtection="1"/>
    <xf numFmtId="0" fontId="88" fillId="0" borderId="4" xfId="487" applyFont="1" applyFill="1" applyBorder="1" applyProtection="1"/>
    <xf numFmtId="0" fontId="84" fillId="0" borderId="0" xfId="487" applyFont="1" applyFill="1" applyProtection="1"/>
    <xf numFmtId="0" fontId="88" fillId="0" borderId="4" xfId="487" applyFont="1" applyFill="1" applyBorder="1" applyAlignment="1" applyProtection="1">
      <alignment wrapText="1"/>
    </xf>
    <xf numFmtId="179" fontId="0" fillId="0" borderId="0" xfId="490" applyNumberFormat="1" applyFont="1" applyFill="1" applyProtection="1"/>
    <xf numFmtId="0" fontId="87" fillId="0" borderId="42" xfId="487" applyFont="1" applyBorder="1" applyAlignment="1" applyProtection="1">
      <alignment wrapText="1"/>
    </xf>
    <xf numFmtId="0" fontId="52" fillId="0" borderId="4" xfId="487" applyFont="1" applyFill="1" applyBorder="1" applyAlignment="1" applyProtection="1">
      <alignment horizontal="left" wrapText="1"/>
    </xf>
    <xf numFmtId="0" fontId="53" fillId="0" borderId="4" xfId="487" applyFont="1" applyFill="1" applyBorder="1" applyAlignment="1" applyProtection="1">
      <alignment horizontal="center" wrapText="1"/>
    </xf>
    <xf numFmtId="0" fontId="52" fillId="0" borderId="0" xfId="487" applyFont="1" applyFill="1" applyBorder="1" applyAlignment="1" applyProtection="1">
      <alignment horizontal="left" wrapText="1"/>
    </xf>
    <xf numFmtId="0" fontId="87" fillId="0" borderId="76" xfId="487" applyFont="1" applyFill="1" applyBorder="1" applyProtection="1"/>
    <xf numFmtId="0" fontId="87" fillId="0" borderId="4" xfId="487" applyFont="1" applyFill="1" applyBorder="1" applyAlignment="1" applyProtection="1">
      <alignment vertical="center" wrapText="1"/>
    </xf>
    <xf numFmtId="0" fontId="50" fillId="0" borderId="42" xfId="487" applyFont="1" applyFill="1" applyBorder="1" applyAlignment="1" applyProtection="1">
      <alignment horizontal="center" wrapText="1"/>
    </xf>
    <xf numFmtId="0" fontId="5" fillId="0" borderId="4" xfId="487" applyFont="1" applyFill="1" applyBorder="1"/>
    <xf numFmtId="178" fontId="5" fillId="0" borderId="4" xfId="487" applyNumberFormat="1" applyFont="1" applyFill="1" applyBorder="1" applyAlignment="1" applyProtection="1">
      <alignment horizontal="center" wrapText="1"/>
    </xf>
    <xf numFmtId="178" fontId="5" fillId="0" borderId="4" xfId="487" applyNumberFormat="1" applyFont="1" applyFill="1" applyBorder="1" applyAlignment="1">
      <alignment horizontal="center"/>
    </xf>
    <xf numFmtId="178" fontId="5" fillId="0" borderId="4" xfId="487" applyNumberFormat="1" applyFont="1" applyFill="1" applyBorder="1" applyAlignment="1" applyProtection="1">
      <alignment horizontal="center"/>
    </xf>
    <xf numFmtId="10" fontId="5" fillId="0" borderId="4" xfId="487" applyNumberFormat="1" applyFont="1" applyFill="1" applyBorder="1"/>
    <xf numFmtId="175" fontId="5" fillId="0" borderId="4" xfId="487" applyNumberFormat="1" applyFont="1" applyBorder="1"/>
    <xf numFmtId="0" fontId="5" fillId="0" borderId="0" xfId="487" applyFill="1" applyBorder="1"/>
    <xf numFmtId="0" fontId="5" fillId="0" borderId="80" xfId="487" applyFont="1" applyFill="1" applyBorder="1"/>
    <xf numFmtId="10" fontId="5" fillId="0" borderId="80" xfId="487" applyNumberFormat="1" applyFont="1" applyBorder="1"/>
    <xf numFmtId="175" fontId="5" fillId="0" borderId="80" xfId="487" applyNumberFormat="1" applyFont="1" applyBorder="1"/>
    <xf numFmtId="0" fontId="52" fillId="0" borderId="0" xfId="487" applyFont="1" applyAlignment="1">
      <alignment horizontal="left"/>
    </xf>
    <xf numFmtId="0" fontId="5" fillId="0" borderId="4" xfId="487" applyFill="1" applyBorder="1" applyAlignment="1" applyProtection="1">
      <alignment horizontal="center"/>
    </xf>
    <xf numFmtId="0" fontId="84" fillId="0" borderId="0" xfId="487" applyFont="1"/>
    <xf numFmtId="0" fontId="94" fillId="0" borderId="0" xfId="487" applyFont="1" applyAlignment="1">
      <alignment vertical="top"/>
    </xf>
    <xf numFmtId="0" fontId="50" fillId="0" borderId="0" xfId="487" applyFont="1" applyAlignment="1">
      <alignment horizontal="left"/>
    </xf>
    <xf numFmtId="0" fontId="52" fillId="0" borderId="0" xfId="487" applyFont="1" applyAlignment="1">
      <alignment horizontal="left" vertical="center"/>
    </xf>
    <xf numFmtId="0" fontId="5" fillId="28" borderId="4" xfId="487" applyFill="1" applyBorder="1" applyAlignment="1" applyProtection="1">
      <alignment horizontal="center"/>
      <protection locked="0"/>
    </xf>
    <xf numFmtId="0" fontId="71" fillId="0" borderId="0" xfId="487" applyFont="1"/>
    <xf numFmtId="0" fontId="96" fillId="0" borderId="0" xfId="487" applyFont="1"/>
    <xf numFmtId="0" fontId="103" fillId="0" borderId="0" xfId="487" applyFont="1"/>
    <xf numFmtId="0" fontId="50" fillId="0" borderId="42" xfId="487" applyFont="1" applyBorder="1" applyAlignment="1">
      <alignment horizontal="center"/>
    </xf>
    <xf numFmtId="0" fontId="50" fillId="0" borderId="43" xfId="487" applyFont="1" applyBorder="1" applyAlignment="1">
      <alignment horizontal="center"/>
    </xf>
    <xf numFmtId="0" fontId="5" fillId="0" borderId="42" xfId="487" applyBorder="1" applyAlignment="1">
      <alignment horizontal="left" vertical="top"/>
    </xf>
    <xf numFmtId="0" fontId="5" fillId="28" borderId="4" xfId="487" applyFill="1" applyBorder="1" applyProtection="1">
      <protection locked="0"/>
    </xf>
    <xf numFmtId="0" fontId="5" fillId="0" borderId="42" xfId="487" applyBorder="1" applyAlignment="1">
      <alignment horizontal="right"/>
    </xf>
    <xf numFmtId="0" fontId="5" fillId="0" borderId="83" xfId="487" applyBorder="1" applyAlignment="1">
      <alignment horizontal="left" vertical="top"/>
    </xf>
    <xf numFmtId="0" fontId="71" fillId="0" borderId="42" xfId="487" applyFont="1" applyFill="1" applyBorder="1"/>
    <xf numFmtId="0" fontId="5" fillId="0" borderId="83" xfId="487" applyBorder="1" applyAlignment="1">
      <alignment horizontal="right"/>
    </xf>
    <xf numFmtId="0" fontId="5" fillId="0" borderId="43" xfId="487" applyBorder="1" applyAlignment="1">
      <alignment vertical="top"/>
    </xf>
    <xf numFmtId="0" fontId="5" fillId="0" borderId="4" xfId="487" applyFill="1" applyBorder="1"/>
    <xf numFmtId="0" fontId="5" fillId="0" borderId="43" xfId="487" applyBorder="1" applyAlignment="1">
      <alignment horizontal="right"/>
    </xf>
    <xf numFmtId="0" fontId="5" fillId="0" borderId="4" xfId="487" applyFill="1" applyBorder="1" applyProtection="1">
      <protection locked="0"/>
    </xf>
    <xf numFmtId="0" fontId="5" fillId="0" borderId="42" xfId="487" applyBorder="1" applyAlignment="1">
      <alignment vertical="top"/>
    </xf>
    <xf numFmtId="0" fontId="5" fillId="0" borderId="83" xfId="487" applyBorder="1" applyAlignment="1">
      <alignment vertical="top"/>
    </xf>
    <xf numFmtId="0" fontId="5" fillId="0" borderId="0" xfId="487" applyBorder="1"/>
    <xf numFmtId="0" fontId="84" fillId="0" borderId="0" xfId="487" applyFont="1" applyFill="1"/>
    <xf numFmtId="0" fontId="5" fillId="0" borderId="0" xfId="487" applyFill="1" applyBorder="1" applyAlignment="1">
      <alignment horizontal="right"/>
    </xf>
    <xf numFmtId="178" fontId="0" fillId="0" borderId="0" xfId="490" applyNumberFormat="1" applyFont="1" applyFill="1"/>
    <xf numFmtId="0" fontId="5" fillId="0" borderId="4" xfId="487" applyBorder="1" applyAlignment="1">
      <alignment horizontal="right"/>
    </xf>
    <xf numFmtId="0" fontId="52" fillId="0" borderId="80" xfId="487" applyFont="1" applyBorder="1" applyAlignment="1">
      <alignment horizontal="center" wrapText="1"/>
    </xf>
    <xf numFmtId="178" fontId="0" fillId="29" borderId="80" xfId="490" applyNumberFormat="1" applyFont="1" applyFill="1" applyBorder="1" applyAlignment="1" applyProtection="1">
      <protection locked="0"/>
    </xf>
    <xf numFmtId="8" fontId="17" fillId="0" borderId="89" xfId="0" applyNumberFormat="1" applyFont="1" applyBorder="1" applyProtection="1"/>
    <xf numFmtId="8" fontId="0" fillId="0" borderId="89" xfId="0" applyNumberFormat="1" applyFill="1" applyBorder="1" applyProtection="1"/>
    <xf numFmtId="8" fontId="18" fillId="0" borderId="0" xfId="0" applyNumberFormat="1" applyFont="1" applyBorder="1" applyProtection="1"/>
    <xf numFmtId="8" fontId="18" fillId="0" borderId="89" xfId="0" applyNumberFormat="1" applyFont="1" applyBorder="1" applyProtection="1"/>
    <xf numFmtId="6" fontId="18" fillId="0" borderId="44" xfId="0" applyNumberFormat="1" applyFont="1" applyFill="1" applyBorder="1" applyProtection="1"/>
    <xf numFmtId="6" fontId="0" fillId="0" borderId="0" xfId="0" applyNumberFormat="1" applyFill="1" applyBorder="1" applyAlignment="1" applyProtection="1">
      <alignment wrapText="1"/>
    </xf>
    <xf numFmtId="6" fontId="19" fillId="0" borderId="10" xfId="0" applyNumberFormat="1" applyFont="1" applyFill="1" applyBorder="1" applyAlignment="1" applyProtection="1">
      <alignment horizontal="center" vertical="center" wrapText="1"/>
    </xf>
    <xf numFmtId="6" fontId="0" fillId="0" borderId="12" xfId="0" applyNumberFormat="1" applyFill="1" applyBorder="1" applyAlignment="1" applyProtection="1">
      <alignment wrapText="1"/>
    </xf>
    <xf numFmtId="6" fontId="0" fillId="0" borderId="18" xfId="0" applyNumberFormat="1" applyFill="1" applyBorder="1" applyAlignment="1" applyProtection="1">
      <alignment wrapText="1"/>
    </xf>
    <xf numFmtId="6" fontId="0" fillId="0" borderId="11" xfId="0" applyNumberFormat="1" applyFill="1" applyBorder="1" applyAlignment="1" applyProtection="1">
      <alignment wrapText="1"/>
    </xf>
    <xf numFmtId="0" fontId="18" fillId="0" borderId="89" xfId="0" applyFont="1" applyBorder="1" applyAlignment="1" applyProtection="1">
      <alignment horizontal="center"/>
    </xf>
    <xf numFmtId="0" fontId="52" fillId="0" borderId="0" xfId="487" applyFont="1" applyBorder="1" applyAlignment="1">
      <alignment horizontal="center"/>
    </xf>
    <xf numFmtId="0" fontId="5" fillId="28" borderId="81" xfId="487" applyFill="1" applyBorder="1" applyProtection="1">
      <protection locked="0"/>
    </xf>
    <xf numFmtId="0" fontId="71" fillId="0" borderId="81" xfId="487" applyFont="1" applyFill="1" applyBorder="1"/>
    <xf numFmtId="0" fontId="74" fillId="0" borderId="87" xfId="487" applyFont="1" applyBorder="1" applyAlignment="1">
      <alignment horizontal="center"/>
    </xf>
    <xf numFmtId="0" fontId="71" fillId="0" borderId="87" xfId="487" applyFont="1" applyBorder="1" applyAlignment="1">
      <alignment horizontal="left" vertical="top"/>
    </xf>
    <xf numFmtId="0" fontId="71" fillId="0" borderId="87" xfId="487" applyFont="1" applyBorder="1" applyAlignment="1">
      <alignment vertical="top"/>
    </xf>
    <xf numFmtId="0" fontId="17" fillId="0" borderId="0" xfId="0" applyFont="1" applyAlignment="1" applyProtection="1">
      <alignment horizontal="center"/>
    </xf>
    <xf numFmtId="177" fontId="20" fillId="30" borderId="4" xfId="0" applyNumberFormat="1" applyFont="1" applyFill="1" applyBorder="1" applyAlignment="1" applyProtection="1">
      <alignment horizontal="center" vertical="center"/>
      <protection locked="0"/>
    </xf>
    <xf numFmtId="175" fontId="20" fillId="0" borderId="0" xfId="57" applyNumberFormat="1" applyFont="1" applyAlignment="1" applyProtection="1">
      <alignment horizontal="center"/>
    </xf>
    <xf numFmtId="0" fontId="20" fillId="0" borderId="0" xfId="0" applyFont="1" applyAlignment="1" applyProtection="1">
      <alignment horizontal="center" vertical="center"/>
      <protection locked="0"/>
    </xf>
    <xf numFmtId="175" fontId="17" fillId="0" borderId="0" xfId="57" applyNumberFormat="1" applyFont="1" applyBorder="1" applyAlignment="1" applyProtection="1">
      <alignment horizontal="center"/>
    </xf>
    <xf numFmtId="0" fontId="88" fillId="0" borderId="80" xfId="0" applyFont="1" applyBorder="1" applyAlignment="1" applyProtection="1">
      <alignment wrapText="1"/>
    </xf>
    <xf numFmtId="0" fontId="20" fillId="71" borderId="0" xfId="0" applyFont="1" applyFill="1" applyBorder="1" applyProtection="1"/>
    <xf numFmtId="0" fontId="20" fillId="71" borderId="4" xfId="0" applyFont="1" applyFill="1" applyBorder="1" applyAlignment="1" applyProtection="1">
      <alignment horizontal="left" vertical="center" wrapText="1"/>
    </xf>
    <xf numFmtId="0" fontId="20" fillId="71" borderId="4" xfId="0" applyFont="1" applyFill="1" applyBorder="1" applyAlignment="1" applyProtection="1">
      <alignment horizontal="center" vertical="center"/>
    </xf>
    <xf numFmtId="177" fontId="20" fillId="71" borderId="4" xfId="57" applyNumberFormat="1" applyFont="1" applyFill="1" applyBorder="1" applyAlignment="1" applyProtection="1">
      <alignment horizontal="center" vertical="center"/>
    </xf>
    <xf numFmtId="0" fontId="20" fillId="71" borderId="0" xfId="0" applyFont="1" applyFill="1" applyProtection="1"/>
    <xf numFmtId="0" fontId="17" fillId="71" borderId="0" xfId="0" applyFont="1" applyFill="1" applyAlignment="1" applyProtection="1">
      <alignment horizontal="left"/>
    </xf>
    <xf numFmtId="0" fontId="17" fillId="71" borderId="0" xfId="0" applyFont="1" applyFill="1" applyBorder="1" applyAlignment="1" applyProtection="1">
      <alignment horizontal="left"/>
    </xf>
    <xf numFmtId="0" fontId="17" fillId="71" borderId="0" xfId="0" applyFont="1" applyFill="1" applyProtection="1"/>
    <xf numFmtId="0" fontId="17" fillId="71" borderId="0" xfId="0" applyFont="1" applyFill="1" applyBorder="1" applyProtection="1"/>
    <xf numFmtId="0" fontId="20" fillId="71" borderId="4" xfId="0" applyFont="1" applyFill="1" applyBorder="1" applyAlignment="1" applyProtection="1">
      <alignment horizontal="left"/>
      <protection locked="0"/>
    </xf>
    <xf numFmtId="177" fontId="20" fillId="71" borderId="4" xfId="57" applyNumberFormat="1" applyFont="1" applyFill="1" applyBorder="1" applyAlignment="1" applyProtection="1">
      <alignment horizontal="center" vertical="center"/>
      <protection locked="0"/>
    </xf>
    <xf numFmtId="0" fontId="107" fillId="68" borderId="94" xfId="0" applyFont="1" applyFill="1" applyBorder="1" applyAlignment="1">
      <alignment horizontal="left" vertical="top" wrapText="1"/>
    </xf>
    <xf numFmtId="0" fontId="87" fillId="0" borderId="42" xfId="0" applyFont="1" applyBorder="1" applyAlignment="1" applyProtection="1">
      <alignment wrapText="1"/>
    </xf>
    <xf numFmtId="0" fontId="88" fillId="0" borderId="0" xfId="0" applyFont="1"/>
    <xf numFmtId="175" fontId="88" fillId="0" borderId="4" xfId="0" applyNumberFormat="1" applyFont="1" applyBorder="1"/>
    <xf numFmtId="0" fontId="88" fillId="0" borderId="0" xfId="0" applyFont="1" applyFill="1" applyBorder="1"/>
    <xf numFmtId="0" fontId="88" fillId="0" borderId="0" xfId="0" applyFont="1" applyFill="1"/>
    <xf numFmtId="178" fontId="0" fillId="29" borderId="4" xfId="490" applyNumberFormat="1" applyFont="1" applyFill="1" applyBorder="1" applyAlignment="1" applyProtection="1">
      <protection locked="0"/>
    </xf>
    <xf numFmtId="0" fontId="88" fillId="0" borderId="80" xfId="0" applyFont="1" applyBorder="1" applyProtection="1"/>
    <xf numFmtId="175" fontId="0" fillId="0" borderId="4" xfId="493" applyNumberFormat="1" applyFont="1" applyBorder="1" applyProtection="1"/>
    <xf numFmtId="175" fontId="0" fillId="0" borderId="4" xfId="493" applyNumberFormat="1" applyFont="1" applyFill="1" applyBorder="1" applyAlignment="1" applyProtection="1">
      <alignment vertical="center"/>
    </xf>
    <xf numFmtId="175" fontId="0" fillId="0" borderId="4" xfId="493" applyNumberFormat="1" applyFont="1" applyFill="1" applyBorder="1" applyProtection="1"/>
    <xf numFmtId="0" fontId="17" fillId="0" borderId="0" xfId="298" applyFont="1" applyFill="1" applyAlignment="1" applyProtection="1">
      <alignment horizontal="left" vertical="top" wrapText="1"/>
    </xf>
    <xf numFmtId="0" fontId="17" fillId="0" borderId="0" xfId="298" applyFont="1" applyAlignment="1" applyProtection="1">
      <alignment horizontal="left" vertical="top" wrapText="1"/>
    </xf>
    <xf numFmtId="0" fontId="17" fillId="0" borderId="0" xfId="0" applyFont="1" applyAlignment="1" applyProtection="1">
      <alignment horizontal="left" wrapText="1"/>
    </xf>
    <xf numFmtId="0" fontId="17" fillId="0" borderId="0" xfId="0" applyFont="1"/>
    <xf numFmtId="0" fontId="0" fillId="0" borderId="4" xfId="0" applyBorder="1"/>
    <xf numFmtId="0" fontId="0" fillId="0" borderId="4" xfId="0" applyBorder="1" applyAlignment="1">
      <alignment vertical="top"/>
    </xf>
    <xf numFmtId="0" fontId="17" fillId="0" borderId="0" xfId="298" applyFont="1" applyFill="1" applyAlignment="1" applyProtection="1">
      <alignment horizontal="left" vertical="top" wrapText="1"/>
    </xf>
    <xf numFmtId="0" fontId="50" fillId="0" borderId="4" xfId="487" applyFont="1" applyBorder="1" applyAlignment="1">
      <alignment horizontal="center"/>
    </xf>
    <xf numFmtId="0" fontId="53" fillId="0" borderId="0" xfId="59" applyFont="1" applyFill="1" applyBorder="1" applyAlignment="1" applyProtection="1">
      <alignment horizontal="left" vertical="top" wrapText="1"/>
    </xf>
    <xf numFmtId="0" fontId="99" fillId="0" borderId="0" xfId="59" applyFont="1" applyFill="1" applyBorder="1" applyProtection="1"/>
    <xf numFmtId="6" fontId="0" fillId="0" borderId="15" xfId="0" applyNumberFormat="1" applyFill="1" applyBorder="1" applyProtection="1">
      <protection locked="0"/>
    </xf>
    <xf numFmtId="6" fontId="18" fillId="72" borderId="20" xfId="0" applyNumberFormat="1" applyFont="1" applyFill="1" applyBorder="1" applyProtection="1"/>
    <xf numFmtId="6" fontId="18" fillId="72" borderId="20" xfId="0" applyNumberFormat="1" applyFont="1" applyFill="1" applyBorder="1" applyProtection="1">
      <protection locked="0"/>
    </xf>
    <xf numFmtId="0" fontId="53" fillId="0" borderId="0" xfId="497" applyFont="1" applyAlignment="1">
      <alignment horizontal="center" vertical="center" wrapText="1"/>
    </xf>
    <xf numFmtId="0" fontId="53" fillId="0" borderId="0" xfId="497" applyFont="1" applyAlignment="1">
      <alignment vertical="center" wrapText="1"/>
    </xf>
    <xf numFmtId="0" fontId="53" fillId="0" borderId="0" xfId="497" applyFont="1" applyAlignment="1">
      <alignment horizontal="center" vertical="top"/>
    </xf>
    <xf numFmtId="0" fontId="53" fillId="0" borderId="0" xfId="497" applyFont="1" applyAlignment="1">
      <alignment vertical="center"/>
    </xf>
    <xf numFmtId="0" fontId="53" fillId="0" borderId="0" xfId="497" applyFont="1"/>
    <xf numFmtId="0" fontId="53" fillId="0" borderId="0" xfId="498" applyFont="1"/>
    <xf numFmtId="0" fontId="62" fillId="0" borderId="96" xfId="498" applyFont="1" applyBorder="1" applyAlignment="1">
      <alignment horizontal="right" vertical="top"/>
    </xf>
    <xf numFmtId="0" fontId="109" fillId="0" borderId="30" xfId="498" applyFont="1" applyBorder="1" applyAlignment="1">
      <alignment horizontal="left"/>
    </xf>
    <xf numFmtId="0" fontId="62" fillId="0" borderId="30" xfId="498" applyFont="1" applyBorder="1" applyAlignment="1">
      <alignment horizontal="left"/>
    </xf>
    <xf numFmtId="0" fontId="62" fillId="0" borderId="30" xfId="498" applyFont="1" applyBorder="1" applyAlignment="1">
      <alignment horizontal="left" vertical="top" wrapText="1"/>
    </xf>
    <xf numFmtId="0" fontId="62" fillId="0" borderId="35" xfId="498" applyFont="1" applyBorder="1" applyAlignment="1">
      <alignment horizontal="left"/>
    </xf>
    <xf numFmtId="0" fontId="110" fillId="0" borderId="0" xfId="498" applyFont="1"/>
    <xf numFmtId="0" fontId="110" fillId="0" borderId="84" xfId="498" applyFont="1" applyBorder="1" applyAlignment="1">
      <alignment horizontal="right" vertical="top"/>
    </xf>
    <xf numFmtId="0" fontId="110" fillId="0" borderId="89" xfId="498" applyFont="1" applyBorder="1" applyAlignment="1">
      <alignment horizontal="left"/>
    </xf>
    <xf numFmtId="0" fontId="110" fillId="0" borderId="0" xfId="497" applyFont="1"/>
    <xf numFmtId="0" fontId="62" fillId="0" borderId="97" xfId="498" applyFont="1" applyBorder="1" applyAlignment="1">
      <alignment horizontal="right" vertical="top"/>
    </xf>
    <xf numFmtId="0" fontId="62" fillId="0" borderId="98" xfId="498" applyFont="1" applyBorder="1" applyAlignment="1">
      <alignment horizontal="left"/>
    </xf>
    <xf numFmtId="0" fontId="62" fillId="0" borderId="98" xfId="498" applyFont="1" applyBorder="1" applyAlignment="1">
      <alignment horizontal="left" vertical="top" wrapText="1"/>
    </xf>
    <xf numFmtId="0" fontId="62" fillId="0" borderId="99" xfId="498" applyFont="1" applyBorder="1" applyAlignment="1">
      <alignment horizontal="left"/>
    </xf>
    <xf numFmtId="0" fontId="100" fillId="0" borderId="0" xfId="497" applyFont="1" applyAlignment="1">
      <alignment horizontal="left" vertical="top"/>
    </xf>
    <xf numFmtId="0" fontId="99" fillId="0" borderId="0" xfId="497" applyFont="1" applyAlignment="1">
      <alignment vertical="top"/>
    </xf>
    <xf numFmtId="0" fontId="52" fillId="70" borderId="42" xfId="497" applyFont="1" applyFill="1" applyBorder="1" applyAlignment="1">
      <alignment horizontal="center" vertical="center" wrapText="1"/>
    </xf>
    <xf numFmtId="0" fontId="52" fillId="70" borderId="42" xfId="497" applyFont="1" applyFill="1" applyBorder="1" applyAlignment="1">
      <alignment horizontal="center" vertical="top"/>
    </xf>
    <xf numFmtId="0" fontId="110" fillId="0" borderId="83" xfId="497" applyFont="1" applyBorder="1" applyAlignment="1">
      <alignment horizontal="center" vertical="top"/>
    </xf>
    <xf numFmtId="0" fontId="110" fillId="0" borderId="87" xfId="497" applyFont="1" applyBorder="1"/>
    <xf numFmtId="0" fontId="113" fillId="0" borderId="0" xfId="497" applyFont="1"/>
    <xf numFmtId="0" fontId="110" fillId="0" borderId="43" xfId="497" applyFont="1" applyBorder="1" applyAlignment="1">
      <alignment horizontal="center" vertical="top"/>
    </xf>
    <xf numFmtId="0" fontId="110" fillId="0" borderId="75" xfId="497" applyFont="1" applyBorder="1" applyAlignment="1">
      <alignment horizontal="left" vertical="center" wrapText="1"/>
    </xf>
    <xf numFmtId="0" fontId="110" fillId="0" borderId="79" xfId="497" applyFont="1" applyBorder="1" applyAlignment="1">
      <alignment horizontal="left" wrapText="1"/>
    </xf>
    <xf numFmtId="0" fontId="110" fillId="0" borderId="42" xfId="497" applyFont="1" applyBorder="1" applyAlignment="1">
      <alignment horizontal="center" vertical="top"/>
    </xf>
    <xf numFmtId="0" fontId="110" fillId="0" borderId="79" xfId="497" applyFont="1" applyBorder="1" applyAlignment="1">
      <alignment horizontal="left" vertical="center" wrapText="1"/>
    </xf>
    <xf numFmtId="0" fontId="110" fillId="0" borderId="75" xfId="497" applyFont="1" applyBorder="1" applyAlignment="1">
      <alignment vertical="center"/>
    </xf>
    <xf numFmtId="0" fontId="110" fillId="0" borderId="79" xfId="497" applyFont="1" applyBorder="1"/>
    <xf numFmtId="0" fontId="110" fillId="0" borderId="0" xfId="497" applyFont="1" applyAlignment="1">
      <alignment vertical="center"/>
    </xf>
    <xf numFmtId="0" fontId="16" fillId="0" borderId="0" xfId="59" applyAlignment="1" applyProtection="1">
      <alignment horizontal="center"/>
    </xf>
    <xf numFmtId="0" fontId="53" fillId="0" borderId="0" xfId="59" applyFont="1" applyFill="1" applyAlignment="1" applyProtection="1">
      <alignment horizontal="center"/>
    </xf>
    <xf numFmtId="0" fontId="53" fillId="29" borderId="14" xfId="183" applyNumberFormat="1" applyFont="1" applyFill="1" applyBorder="1" applyAlignment="1" applyProtection="1">
      <alignment horizontal="center" vertical="center"/>
      <protection locked="0"/>
    </xf>
    <xf numFmtId="0" fontId="0" fillId="0" borderId="0" xfId="0" applyAlignment="1">
      <alignment horizontal="center"/>
    </xf>
    <xf numFmtId="0" fontId="53" fillId="28" borderId="14" xfId="59" applyFont="1" applyFill="1" applyBorder="1" applyAlignment="1" applyProtection="1">
      <alignment horizontal="center"/>
      <protection locked="0"/>
    </xf>
    <xf numFmtId="0" fontId="53" fillId="0" borderId="0" xfId="59" applyFont="1" applyFill="1" applyBorder="1" applyAlignment="1" applyProtection="1">
      <alignment horizontal="center" vertical="center"/>
    </xf>
    <xf numFmtId="0" fontId="53" fillId="0" borderId="0" xfId="59" applyFont="1" applyFill="1" applyAlignment="1" applyProtection="1">
      <alignment horizontal="center" vertical="top" wrapText="1"/>
    </xf>
    <xf numFmtId="0" fontId="16" fillId="0" borderId="0" xfId="59" applyAlignment="1">
      <alignment horizontal="center"/>
    </xf>
    <xf numFmtId="0" fontId="53" fillId="0" borderId="0" xfId="487" applyFont="1" applyAlignment="1">
      <alignment wrapText="1"/>
    </xf>
    <xf numFmtId="8" fontId="17" fillId="0" borderId="89" xfId="0" applyNumberFormat="1" applyFont="1" applyBorder="1" applyAlignment="1" applyProtection="1">
      <alignment horizontal="center"/>
    </xf>
    <xf numFmtId="0" fontId="17" fillId="27" borderId="4" xfId="0" applyFont="1" applyFill="1" applyBorder="1" applyAlignment="1" applyProtection="1">
      <alignment horizontal="center"/>
    </xf>
    <xf numFmtId="0" fontId="50" fillId="0" borderId="4" xfId="487" applyFont="1" applyBorder="1" applyAlignment="1">
      <alignment horizontal="center"/>
    </xf>
    <xf numFmtId="0" fontId="71" fillId="0" borderId="81" xfId="487" applyFont="1" applyFill="1" applyBorder="1" applyProtection="1"/>
    <xf numFmtId="0" fontId="19" fillId="0" borderId="46" xfId="0" applyFont="1" applyBorder="1" applyAlignment="1">
      <alignment horizontal="left"/>
    </xf>
    <xf numFmtId="0" fontId="19" fillId="0" borderId="46" xfId="0" applyFont="1" applyBorder="1"/>
    <xf numFmtId="0" fontId="17" fillId="0" borderId="4" xfId="0" applyFont="1" applyBorder="1" applyAlignment="1" applyProtection="1">
      <alignment horizontal="center" vertical="center" wrapText="1"/>
    </xf>
    <xf numFmtId="177" fontId="17" fillId="27" borderId="4" xfId="246" applyNumberFormat="1" applyFont="1" applyFill="1" applyBorder="1" applyProtection="1"/>
    <xf numFmtId="0" fontId="19" fillId="0" borderId="89" xfId="0" applyFont="1" applyBorder="1" applyAlignment="1" applyProtection="1">
      <alignment horizontal="center"/>
    </xf>
    <xf numFmtId="6" fontId="18" fillId="0" borderId="89" xfId="0" applyNumberFormat="1" applyFont="1" applyBorder="1" applyProtection="1"/>
    <xf numFmtId="0" fontId="19" fillId="0" borderId="0" xfId="0" applyFont="1" applyBorder="1" applyAlignment="1" applyProtection="1">
      <alignment horizontal="center"/>
    </xf>
    <xf numFmtId="6" fontId="18" fillId="0" borderId="101" xfId="0" applyNumberFormat="1" applyFont="1" applyFill="1" applyBorder="1" applyProtection="1"/>
    <xf numFmtId="6" fontId="18" fillId="0" borderId="89" xfId="0" applyNumberFormat="1" applyFont="1" applyFill="1" applyBorder="1" applyProtection="1"/>
    <xf numFmtId="0" fontId="99" fillId="0" borderId="0" xfId="59" applyFont="1" applyFill="1" applyAlignment="1" applyProtection="1">
      <alignment horizontal="center"/>
    </xf>
    <xf numFmtId="8" fontId="93" fillId="0" borderId="89" xfId="0" applyNumberFormat="1" applyFont="1" applyBorder="1" applyAlignment="1" applyProtection="1">
      <alignment horizontal="center"/>
    </xf>
    <xf numFmtId="6" fontId="18" fillId="0" borderId="22" xfId="0" applyNumberFormat="1" applyFont="1" applyFill="1" applyBorder="1" applyProtection="1"/>
    <xf numFmtId="6" fontId="0" fillId="0" borderId="15" xfId="0" applyNumberFormat="1" applyFill="1" applyBorder="1" applyProtection="1"/>
    <xf numFmtId="0" fontId="105" fillId="0" borderId="0" xfId="499"/>
    <xf numFmtId="0" fontId="116" fillId="0" borderId="0" xfId="499" applyFont="1" applyAlignment="1">
      <alignment horizontal="left" vertical="top" wrapText="1"/>
    </xf>
    <xf numFmtId="0" fontId="106" fillId="0" borderId="0" xfId="499" applyFont="1" applyAlignment="1">
      <alignment horizontal="left" vertical="top" wrapText="1"/>
    </xf>
    <xf numFmtId="0" fontId="105" fillId="0" borderId="0" xfId="499" applyAlignment="1">
      <alignment horizontal="center" vertical="top" wrapText="1"/>
    </xf>
    <xf numFmtId="0" fontId="107" fillId="67" borderId="92" xfId="499" applyFont="1" applyFill="1" applyBorder="1" applyAlignment="1">
      <alignment horizontal="left" vertical="top" wrapText="1"/>
    </xf>
    <xf numFmtId="0" fontId="107" fillId="67" borderId="93" xfId="499" applyFont="1" applyFill="1" applyBorder="1" applyAlignment="1">
      <alignment horizontal="left" vertical="top" wrapText="1"/>
    </xf>
    <xf numFmtId="0" fontId="107" fillId="68" borderId="94" xfId="499" applyFont="1" applyFill="1" applyBorder="1" applyAlignment="1">
      <alignment horizontal="left" vertical="top" wrapText="1"/>
    </xf>
    <xf numFmtId="1" fontId="107" fillId="68" borderId="94" xfId="499" applyNumberFormat="1" applyFont="1" applyFill="1" applyBorder="1" applyAlignment="1">
      <alignment horizontal="right" vertical="top" wrapText="1"/>
    </xf>
    <xf numFmtId="3" fontId="107" fillId="68" borderId="94" xfId="499" applyNumberFormat="1" applyFont="1" applyFill="1" applyBorder="1" applyAlignment="1">
      <alignment horizontal="right" vertical="top" wrapText="1"/>
    </xf>
    <xf numFmtId="0" fontId="105" fillId="68" borderId="94" xfId="499" applyFill="1" applyBorder="1" applyAlignment="1">
      <alignment horizontal="left" vertical="top" wrapText="1"/>
    </xf>
    <xf numFmtId="0" fontId="105" fillId="68" borderId="94" xfId="499" applyFill="1" applyBorder="1" applyAlignment="1">
      <alignment horizontal="right" vertical="top" wrapText="1"/>
    </xf>
    <xf numFmtId="3" fontId="107" fillId="68" borderId="95" xfId="499" applyNumberFormat="1" applyFont="1" applyFill="1" applyBorder="1" applyAlignment="1">
      <alignment horizontal="right" vertical="top" wrapText="1"/>
    </xf>
    <xf numFmtId="0" fontId="107" fillId="0" borderId="0" xfId="499" applyFont="1" applyAlignment="1">
      <alignment horizontal="left" vertical="top" wrapText="1"/>
    </xf>
    <xf numFmtId="0" fontId="117" fillId="0" borderId="0" xfId="499" applyFont="1" applyAlignment="1">
      <alignment horizontal="center" vertical="top" wrapText="1"/>
    </xf>
    <xf numFmtId="0" fontId="105" fillId="0" borderId="0" xfId="499" applyAlignment="1">
      <alignment horizontal="left" vertical="top" wrapText="1"/>
    </xf>
    <xf numFmtId="0" fontId="110" fillId="0" borderId="83" xfId="497" applyFont="1" applyBorder="1" applyAlignment="1">
      <alignment horizontal="center" vertical="center" wrapText="1"/>
    </xf>
    <xf numFmtId="0" fontId="110" fillId="0" borderId="87" xfId="497" applyFont="1" applyBorder="1" applyAlignment="1">
      <alignment horizontal="left" wrapText="1"/>
    </xf>
    <xf numFmtId="0" fontId="114" fillId="0" borderId="87" xfId="497" applyFont="1" applyBorder="1" applyAlignment="1">
      <alignment horizontal="left" wrapText="1"/>
    </xf>
    <xf numFmtId="0" fontId="114" fillId="0" borderId="78" xfId="497" applyFont="1" applyBorder="1" applyAlignment="1">
      <alignment horizontal="left" wrapText="1"/>
    </xf>
    <xf numFmtId="0" fontId="110" fillId="0" borderId="78" xfId="497" applyFont="1" applyBorder="1" applyAlignment="1">
      <alignment horizontal="left" vertical="center" wrapText="1"/>
    </xf>
    <xf numFmtId="0" fontId="110" fillId="0" borderId="87" xfId="497" applyFont="1" applyBorder="1" applyAlignment="1">
      <alignment horizontal="left" vertical="center" wrapText="1"/>
    </xf>
    <xf numFmtId="0" fontId="110" fillId="0" borderId="0" xfId="498" applyFont="1" applyAlignment="1">
      <alignment horizontal="left"/>
    </xf>
    <xf numFmtId="0" fontId="110" fillId="0" borderId="0" xfId="498" applyFont="1" applyAlignment="1">
      <alignment horizontal="left" vertical="top" wrapText="1"/>
    </xf>
    <xf numFmtId="0" fontId="115" fillId="0" borderId="0" xfId="498" applyFont="1" applyAlignment="1">
      <alignment horizontal="left"/>
    </xf>
    <xf numFmtId="0" fontId="110" fillId="0" borderId="78" xfId="497" applyFont="1" applyBorder="1" applyAlignment="1">
      <alignment vertical="center"/>
    </xf>
    <xf numFmtId="0" fontId="110" fillId="0" borderId="87" xfId="497" applyFont="1" applyBorder="1" applyAlignment="1">
      <alignment vertical="center"/>
    </xf>
    <xf numFmtId="0" fontId="114" fillId="0" borderId="0" xfId="497" applyFont="1" applyAlignment="1">
      <alignment horizontal="left" wrapText="1"/>
    </xf>
    <xf numFmtId="0" fontId="110" fillId="0" borderId="0" xfId="497" applyFont="1" applyAlignment="1">
      <alignment horizontal="left" vertical="center" wrapText="1"/>
    </xf>
    <xf numFmtId="0" fontId="114" fillId="0" borderId="0" xfId="497" applyFont="1" applyAlignment="1">
      <alignment vertical="center"/>
    </xf>
    <xf numFmtId="0" fontId="110" fillId="0" borderId="0" xfId="497" applyFont="1" applyAlignment="1">
      <alignment horizontal="left" wrapText="1"/>
    </xf>
    <xf numFmtId="0" fontId="17" fillId="27" borderId="4" xfId="0" applyFont="1" applyFill="1" applyBorder="1" applyAlignment="1" applyProtection="1">
      <alignment horizontal="center"/>
      <protection locked="0"/>
    </xf>
    <xf numFmtId="0" fontId="17" fillId="0" borderId="103" xfId="0" applyFont="1" applyBorder="1" applyAlignment="1" applyProtection="1">
      <alignment vertical="center" wrapText="1"/>
    </xf>
    <xf numFmtId="0" fontId="17" fillId="0" borderId="103" xfId="0" applyFont="1" applyBorder="1" applyAlignment="1" applyProtection="1">
      <alignment horizontal="center" vertical="center" wrapText="1"/>
    </xf>
    <xf numFmtId="177" fontId="17" fillId="0" borderId="103" xfId="57" applyNumberFormat="1" applyFont="1" applyBorder="1" applyAlignment="1" applyProtection="1">
      <alignment horizontal="center" vertical="center"/>
    </xf>
    <xf numFmtId="0" fontId="17" fillId="28" borderId="103" xfId="0" applyFont="1" applyFill="1" applyBorder="1" applyAlignment="1" applyProtection="1">
      <alignment horizontal="center" vertical="center"/>
      <protection locked="0"/>
    </xf>
    <xf numFmtId="0" fontId="18" fillId="0" borderId="89" xfId="0" applyFont="1" applyBorder="1" applyAlignment="1" applyProtection="1">
      <alignment horizontal="center" vertical="center"/>
    </xf>
    <xf numFmtId="6" fontId="0" fillId="0" borderId="89" xfId="0" applyNumberFormat="1" applyBorder="1" applyProtection="1"/>
    <xf numFmtId="6" fontId="18" fillId="29" borderId="105" xfId="0" applyNumberFormat="1" applyFont="1" applyFill="1" applyBorder="1" applyProtection="1">
      <protection locked="0"/>
    </xf>
    <xf numFmtId="6" fontId="18" fillId="0" borderId="98" xfId="0" applyNumberFormat="1" applyFont="1" applyFill="1" applyBorder="1" applyProtection="1"/>
    <xf numFmtId="6" fontId="18" fillId="0" borderId="99" xfId="0" applyNumberFormat="1" applyFont="1" applyFill="1" applyBorder="1" applyProtection="1"/>
    <xf numFmtId="6" fontId="18" fillId="26" borderId="106" xfId="0" applyNumberFormat="1" applyFont="1" applyFill="1" applyBorder="1" applyProtection="1"/>
    <xf numFmtId="6" fontId="18" fillId="26" borderId="105" xfId="0" applyNumberFormat="1" applyFont="1" applyFill="1" applyBorder="1" applyProtection="1"/>
    <xf numFmtId="6" fontId="18" fillId="29" borderId="106" xfId="0" applyNumberFormat="1" applyFont="1" applyFill="1" applyBorder="1" applyProtection="1">
      <protection locked="0"/>
    </xf>
    <xf numFmtId="6" fontId="18" fillId="26" borderId="107" xfId="0" applyNumberFormat="1" applyFont="1" applyFill="1" applyBorder="1" applyProtection="1"/>
    <xf numFmtId="6" fontId="18" fillId="29" borderId="108" xfId="0" applyNumberFormat="1" applyFont="1" applyFill="1" applyBorder="1" applyProtection="1">
      <protection locked="0"/>
    </xf>
    <xf numFmtId="6" fontId="18" fillId="0" borderId="105" xfId="0" applyNumberFormat="1" applyFont="1" applyFill="1" applyBorder="1" applyProtection="1">
      <protection locked="0"/>
    </xf>
    <xf numFmtId="8" fontId="0" fillId="0" borderId="99" xfId="0" applyNumberFormat="1" applyBorder="1" applyProtection="1"/>
    <xf numFmtId="6" fontId="0" fillId="0" borderId="99" xfId="0" applyNumberFormat="1" applyBorder="1" applyProtection="1"/>
    <xf numFmtId="0" fontId="52" fillId="0" borderId="0" xfId="487" applyFont="1"/>
    <xf numFmtId="0" fontId="52" fillId="0" borderId="0" xfId="487" applyFont="1" applyAlignment="1">
      <alignment wrapText="1"/>
    </xf>
    <xf numFmtId="0" fontId="53" fillId="0" borderId="0" xfId="487" applyFont="1"/>
    <xf numFmtId="0" fontId="19" fillId="0" borderId="10" xfId="0" applyFont="1" applyFill="1" applyBorder="1" applyProtection="1"/>
    <xf numFmtId="6" fontId="19" fillId="0" borderId="46" xfId="0" applyNumberFormat="1" applyFont="1" applyFill="1" applyBorder="1" applyProtection="1"/>
    <xf numFmtId="6" fontId="19" fillId="0" borderId="0" xfId="0" applyNumberFormat="1" applyFont="1" applyFill="1" applyBorder="1" applyProtection="1"/>
    <xf numFmtId="6" fontId="19" fillId="0" borderId="10" xfId="0" applyNumberFormat="1" applyFont="1" applyFill="1" applyBorder="1" applyProtection="1"/>
    <xf numFmtId="6" fontId="19" fillId="0" borderId="9" xfId="0" applyNumberFormat="1" applyFont="1" applyFill="1" applyBorder="1" applyProtection="1"/>
    <xf numFmtId="6" fontId="20" fillId="0" borderId="0" xfId="0" applyNumberFormat="1" applyFont="1" applyBorder="1" applyProtection="1"/>
    <xf numFmtId="6" fontId="20" fillId="0" borderId="0" xfId="0" applyNumberFormat="1" applyFont="1" applyFill="1" applyBorder="1" applyProtection="1"/>
    <xf numFmtId="8" fontId="20" fillId="0" borderId="10" xfId="0" applyNumberFormat="1" applyFont="1" applyBorder="1" applyProtection="1"/>
    <xf numFmtId="8" fontId="20" fillId="0" borderId="89" xfId="0" applyNumberFormat="1" applyFont="1" applyBorder="1" applyProtection="1"/>
    <xf numFmtId="6" fontId="20" fillId="0" borderId="10" xfId="0" applyNumberFormat="1" applyFont="1" applyBorder="1" applyProtection="1"/>
    <xf numFmtId="0" fontId="58" fillId="0" borderId="0" xfId="416" applyFont="1" applyProtection="1"/>
    <xf numFmtId="6" fontId="20" fillId="0" borderId="0" xfId="0" applyNumberFormat="1" applyFont="1" applyProtection="1"/>
    <xf numFmtId="6" fontId="20" fillId="0" borderId="0" xfId="0" applyNumberFormat="1" applyFont="1" applyProtection="1">
      <protection locked="0"/>
    </xf>
    <xf numFmtId="0" fontId="18" fillId="0" borderId="46" xfId="0" applyFont="1" applyBorder="1"/>
    <xf numFmtId="0" fontId="17" fillId="0" borderId="75" xfId="0" applyFont="1" applyBorder="1" applyProtection="1"/>
    <xf numFmtId="0" fontId="17" fillId="0" borderId="75" xfId="0" applyFont="1" applyBorder="1" applyAlignment="1" applyProtection="1">
      <alignment horizontal="center"/>
    </xf>
    <xf numFmtId="0" fontId="20" fillId="71" borderId="75" xfId="0" applyFont="1" applyFill="1" applyBorder="1" applyAlignment="1" applyProtection="1">
      <alignment horizontal="left"/>
    </xf>
    <xf numFmtId="0" fontId="20" fillId="71" borderId="43" xfId="0" applyFont="1" applyFill="1" applyBorder="1" applyAlignment="1" applyProtection="1">
      <alignment horizontal="left" vertical="center" wrapText="1"/>
    </xf>
    <xf numFmtId="0" fontId="20" fillId="71" borderId="43" xfId="0" applyFont="1" applyFill="1" applyBorder="1" applyAlignment="1" applyProtection="1">
      <alignment horizontal="left" vertical="center" wrapText="1" indent="1"/>
    </xf>
    <xf numFmtId="177" fontId="20" fillId="71" borderId="43" xfId="57" applyNumberFormat="1" applyFont="1" applyFill="1" applyBorder="1" applyAlignment="1" applyProtection="1">
      <alignment horizontal="center" vertical="center"/>
    </xf>
    <xf numFmtId="0" fontId="17" fillId="71" borderId="43" xfId="0" applyFont="1" applyFill="1" applyBorder="1" applyAlignment="1" applyProtection="1">
      <alignment horizontal="center" vertical="center"/>
      <protection locked="0"/>
    </xf>
    <xf numFmtId="0" fontId="52" fillId="28" borderId="109" xfId="0" applyNumberFormat="1" applyFont="1" applyFill="1" applyBorder="1" applyAlignment="1" applyProtection="1">
      <alignment horizontal="center" vertical="center"/>
      <protection locked="0"/>
    </xf>
    <xf numFmtId="8" fontId="0" fillId="0" borderId="15" xfId="0" applyNumberFormat="1" applyBorder="1" applyProtection="1"/>
    <xf numFmtId="0" fontId="17" fillId="27" borderId="4" xfId="0" applyFont="1" applyFill="1" applyBorder="1" applyAlignment="1" applyProtection="1">
      <alignment horizontal="center" vertical="center"/>
    </xf>
    <xf numFmtId="6" fontId="18" fillId="66" borderId="45" xfId="0" applyNumberFormat="1" applyFont="1" applyFill="1" applyBorder="1" applyProtection="1">
      <protection locked="0"/>
    </xf>
    <xf numFmtId="0" fontId="19" fillId="0" borderId="0" xfId="0" applyFont="1" applyProtection="1"/>
    <xf numFmtId="8" fontId="19" fillId="0" borderId="10" xfId="0" applyNumberFormat="1" applyFont="1" applyFill="1" applyBorder="1" applyProtection="1"/>
    <xf numFmtId="8" fontId="19" fillId="0" borderId="89" xfId="0" applyNumberFormat="1" applyFont="1" applyFill="1" applyBorder="1" applyProtection="1"/>
    <xf numFmtId="6" fontId="19" fillId="0" borderId="10" xfId="0" applyNumberFormat="1" applyFont="1" applyBorder="1" applyProtection="1"/>
    <xf numFmtId="6" fontId="63" fillId="0" borderId="0" xfId="0" applyNumberFormat="1" applyFont="1" applyProtection="1"/>
    <xf numFmtId="6" fontId="19" fillId="0" borderId="0" xfId="0" applyNumberFormat="1" applyFont="1" applyProtection="1"/>
    <xf numFmtId="6" fontId="19" fillId="0" borderId="0" xfId="0" applyNumberFormat="1" applyFont="1" applyProtection="1">
      <protection locked="0"/>
    </xf>
    <xf numFmtId="6" fontId="18" fillId="72" borderId="104" xfId="213" applyNumberFormat="1" applyFont="1" applyFill="1" applyBorder="1" applyProtection="1"/>
    <xf numFmtId="6" fontId="18" fillId="72" borderId="105" xfId="212" applyNumberFormat="1" applyFont="1" applyFill="1" applyBorder="1" applyProtection="1"/>
    <xf numFmtId="6" fontId="18" fillId="72" borderId="105" xfId="0" applyNumberFormat="1" applyFont="1" applyFill="1" applyBorder="1" applyProtection="1"/>
    <xf numFmtId="8" fontId="0" fillId="0" borderId="89" xfId="0" applyNumberFormat="1" applyBorder="1" applyProtection="1">
      <protection locked="0"/>
    </xf>
    <xf numFmtId="8" fontId="0" fillId="0" borderId="30" xfId="0" applyNumberFormat="1" applyBorder="1" applyProtection="1"/>
    <xf numFmtId="0" fontId="0" fillId="68" borderId="94" xfId="0" applyFill="1" applyBorder="1" applyAlignment="1">
      <alignment horizontal="right" vertical="top" wrapText="1"/>
    </xf>
    <xf numFmtId="6" fontId="18" fillId="66" borderId="20" xfId="202" applyNumberFormat="1" applyFont="1" applyFill="1" applyBorder="1" applyProtection="1">
      <protection locked="0"/>
    </xf>
    <xf numFmtId="3" fontId="107" fillId="68" borderId="94" xfId="0" applyNumberFormat="1" applyFont="1" applyFill="1" applyBorder="1" applyAlignment="1">
      <alignment horizontal="right" vertical="top" wrapText="1"/>
    </xf>
    <xf numFmtId="6" fontId="0" fillId="0" borderId="10" xfId="0" applyNumberFormat="1" applyBorder="1" applyProtection="1">
      <protection locked="0"/>
    </xf>
    <xf numFmtId="0" fontId="53" fillId="28" borderId="110" xfId="0" applyNumberFormat="1" applyFont="1" applyFill="1" applyBorder="1" applyAlignment="1" applyProtection="1">
      <alignment horizontal="center" vertical="center"/>
      <protection locked="0"/>
    </xf>
    <xf numFmtId="6" fontId="0" fillId="0" borderId="15" xfId="0" applyNumberFormat="1" applyBorder="1" applyProtection="1">
      <protection locked="0"/>
    </xf>
    <xf numFmtId="0" fontId="53" fillId="28" borderId="109" xfId="0" applyNumberFormat="1" applyFont="1" applyFill="1" applyBorder="1" applyAlignment="1" applyProtection="1">
      <alignment horizontal="center" vertical="center"/>
      <protection locked="0"/>
    </xf>
    <xf numFmtId="8" fontId="0" fillId="0" borderId="15" xfId="0" applyNumberFormat="1" applyBorder="1" applyProtection="1">
      <protection locked="0"/>
    </xf>
    <xf numFmtId="8" fontId="0" fillId="0" borderId="111" xfId="0" applyNumberFormat="1" applyBorder="1" applyProtection="1"/>
    <xf numFmtId="0" fontId="52" fillId="28" borderId="112" xfId="0" applyNumberFormat="1" applyFont="1" applyFill="1" applyBorder="1" applyAlignment="1" applyProtection="1">
      <alignment horizontal="center" vertical="center"/>
      <protection locked="0"/>
    </xf>
    <xf numFmtId="6" fontId="0" fillId="0" borderId="27" xfId="0" applyNumberFormat="1" applyBorder="1" applyProtection="1"/>
    <xf numFmtId="43" fontId="20" fillId="0" borderId="4" xfId="56" applyNumberFormat="1" applyFont="1" applyBorder="1" applyAlignment="1" applyProtection="1">
      <alignment horizontal="center" vertical="center"/>
    </xf>
    <xf numFmtId="6" fontId="18" fillId="73" borderId="45" xfId="0" applyNumberFormat="1" applyFont="1" applyFill="1" applyBorder="1" applyProtection="1"/>
    <xf numFmtId="6" fontId="18" fillId="73" borderId="20" xfId="0" applyNumberFormat="1" applyFont="1" applyFill="1" applyBorder="1" applyProtection="1"/>
    <xf numFmtId="0" fontId="117" fillId="67" borderId="92" xfId="0" applyFont="1" applyFill="1" applyBorder="1" applyAlignment="1">
      <alignment horizontal="left" vertical="top" wrapText="1"/>
    </xf>
    <xf numFmtId="0" fontId="117" fillId="67" borderId="93" xfId="0" applyFont="1" applyFill="1" applyBorder="1" applyAlignment="1">
      <alignment horizontal="left" vertical="top" wrapText="1"/>
    </xf>
    <xf numFmtId="185" fontId="107" fillId="68" borderId="94" xfId="0" applyNumberFormat="1" applyFont="1" applyFill="1" applyBorder="1" applyAlignment="1">
      <alignment horizontal="right" vertical="top" wrapText="1"/>
    </xf>
    <xf numFmtId="0" fontId="0" fillId="68" borderId="95" xfId="0" applyFill="1" applyBorder="1" applyAlignment="1">
      <alignment horizontal="right" vertical="top" wrapText="1"/>
    </xf>
    <xf numFmtId="3" fontId="107" fillId="68" borderId="95" xfId="0" applyNumberFormat="1" applyFont="1" applyFill="1" applyBorder="1" applyAlignment="1">
      <alignment horizontal="right" vertical="top" wrapText="1"/>
    </xf>
    <xf numFmtId="6" fontId="18" fillId="73" borderId="20" xfId="202" applyNumberFormat="1" applyFont="1" applyFill="1" applyBorder="1" applyProtection="1"/>
    <xf numFmtId="6" fontId="18" fillId="73" borderId="45" xfId="201" applyNumberFormat="1" applyFont="1" applyFill="1" applyBorder="1" applyProtection="1"/>
    <xf numFmtId="6" fontId="18" fillId="73" borderId="20" xfId="205" applyNumberFormat="1" applyFont="1" applyFill="1" applyBorder="1" applyProtection="1"/>
    <xf numFmtId="6" fontId="18" fillId="73" borderId="20" xfId="206" applyNumberFormat="1" applyFont="1" applyFill="1" applyBorder="1" applyProtection="1"/>
    <xf numFmtId="6" fontId="18" fillId="73" borderId="20" xfId="228" applyNumberFormat="1" applyFont="1" applyFill="1" applyBorder="1" applyProtection="1"/>
    <xf numFmtId="6" fontId="18" fillId="73" borderId="20" xfId="231" applyNumberFormat="1" applyFont="1" applyFill="1" applyBorder="1" applyProtection="1"/>
    <xf numFmtId="6" fontId="18" fillId="73" borderId="47" xfId="201" applyNumberFormat="1" applyFont="1" applyFill="1" applyBorder="1" applyProtection="1"/>
    <xf numFmtId="6" fontId="18" fillId="73" borderId="73" xfId="0" applyNumberFormat="1" applyFont="1" applyFill="1" applyBorder="1" applyProtection="1"/>
    <xf numFmtId="6" fontId="18" fillId="73" borderId="20" xfId="203" applyNumberFormat="1" applyFont="1" applyFill="1" applyBorder="1" applyProtection="1"/>
    <xf numFmtId="6" fontId="18" fillId="73" borderId="20" xfId="204" applyNumberFormat="1" applyFont="1" applyFill="1" applyBorder="1" applyProtection="1"/>
    <xf numFmtId="6" fontId="18" fillId="73" borderId="24" xfId="223" applyNumberFormat="1" applyFont="1" applyFill="1" applyBorder="1" applyProtection="1"/>
    <xf numFmtId="6" fontId="18" fillId="73" borderId="24" xfId="203" applyNumberFormat="1" applyFont="1" applyFill="1" applyBorder="1" applyProtection="1"/>
    <xf numFmtId="6" fontId="18" fillId="73" borderId="73" xfId="203" applyNumberFormat="1" applyFont="1" applyFill="1" applyBorder="1" applyProtection="1"/>
    <xf numFmtId="6" fontId="18" fillId="73" borderId="24" xfId="226" applyNumberFormat="1" applyFont="1" applyFill="1" applyBorder="1" applyProtection="1"/>
    <xf numFmtId="6" fontId="18" fillId="73" borderId="21" xfId="0" applyNumberFormat="1" applyFont="1" applyFill="1" applyBorder="1" applyProtection="1"/>
    <xf numFmtId="6" fontId="18" fillId="73" borderId="73" xfId="227" applyNumberFormat="1" applyFont="1" applyFill="1" applyBorder="1" applyProtection="1"/>
    <xf numFmtId="6" fontId="18" fillId="73" borderId="20" xfId="227" applyNumberFormat="1" applyFont="1" applyFill="1" applyBorder="1" applyProtection="1"/>
    <xf numFmtId="6" fontId="18" fillId="73" borderId="20" xfId="230" applyNumberFormat="1" applyFont="1" applyFill="1" applyBorder="1" applyProtection="1"/>
    <xf numFmtId="6" fontId="18" fillId="73" borderId="24" xfId="0" applyNumberFormat="1" applyFont="1" applyFill="1" applyBorder="1" applyProtection="1"/>
    <xf numFmtId="178" fontId="0" fillId="29" borderId="80" xfId="490" applyNumberFormat="1" applyFont="1" applyFill="1" applyBorder="1" applyAlignment="1" applyProtection="1">
      <protection locked="0"/>
    </xf>
    <xf numFmtId="178" fontId="102" fillId="27" borderId="4" xfId="56" applyNumberFormat="1" applyFont="1" applyFill="1" applyBorder="1" applyProtection="1"/>
    <xf numFmtId="186" fontId="10" fillId="0" borderId="4" xfId="339" applyNumberFormat="1" applyBorder="1"/>
    <xf numFmtId="179" fontId="10" fillId="0" borderId="4" xfId="339" applyNumberFormat="1" applyBorder="1"/>
    <xf numFmtId="187" fontId="0" fillId="0" borderId="4" xfId="57" applyNumberFormat="1" applyFont="1" applyBorder="1" applyProtection="1"/>
    <xf numFmtId="0" fontId="87" fillId="0" borderId="42" xfId="486" applyFont="1" applyBorder="1" applyProtection="1"/>
    <xf numFmtId="0" fontId="87" fillId="0" borderId="42" xfId="486" applyFont="1" applyFill="1" applyBorder="1" applyAlignment="1" applyProtection="1">
      <alignment vertical="center" wrapText="1"/>
    </xf>
    <xf numFmtId="0" fontId="87" fillId="0" borderId="77" xfId="486" applyFont="1" applyBorder="1" applyAlignment="1" applyProtection="1">
      <alignment wrapText="1"/>
    </xf>
    <xf numFmtId="179" fontId="84" fillId="0" borderId="4" xfId="339" applyNumberFormat="1" applyFont="1" applyBorder="1"/>
    <xf numFmtId="182" fontId="102" fillId="0" borderId="4" xfId="57" applyNumberFormat="1" applyFont="1" applyBorder="1" applyProtection="1"/>
    <xf numFmtId="186" fontId="20" fillId="0" borderId="4" xfId="56" applyNumberFormat="1" applyFont="1" applyBorder="1" applyAlignment="1" applyProtection="1">
      <alignment horizontal="center" vertical="center"/>
    </xf>
    <xf numFmtId="0" fontId="17" fillId="0" borderId="4" xfId="0" applyFont="1" applyBorder="1" applyAlignment="1" applyProtection="1">
      <alignment horizontal="center" vertical="center"/>
    </xf>
    <xf numFmtId="0" fontId="119" fillId="27" borderId="0" xfId="118" applyFont="1" applyFill="1" applyAlignment="1">
      <alignment horizontal="left" vertical="center"/>
    </xf>
    <xf numFmtId="0" fontId="15" fillId="27" borderId="0" xfId="118" applyFill="1"/>
    <xf numFmtId="0" fontId="120" fillId="74" borderId="4" xfId="118" applyFont="1" applyFill="1" applyBorder="1" applyAlignment="1">
      <alignment horizontal="center"/>
    </xf>
    <xf numFmtId="0" fontId="120" fillId="74" borderId="4" xfId="118" applyFont="1" applyFill="1" applyBorder="1" applyAlignment="1">
      <alignment horizontal="center" wrapText="1"/>
    </xf>
    <xf numFmtId="0" fontId="15" fillId="27" borderId="4" xfId="118" applyFill="1" applyBorder="1" applyAlignment="1">
      <alignment horizontal="center" vertical="center"/>
    </xf>
    <xf numFmtId="0" fontId="15" fillId="28" borderId="4" xfId="118" applyFill="1" applyBorder="1" applyAlignment="1">
      <alignment horizontal="left" vertical="center" wrapText="1"/>
    </xf>
    <xf numFmtId="0" fontId="121" fillId="29" borderId="4" xfId="118" applyFont="1" applyFill="1" applyBorder="1" applyAlignment="1">
      <alignment horizontal="left" vertical="center" wrapText="1"/>
    </xf>
    <xf numFmtId="0" fontId="15" fillId="28" borderId="4" xfId="118" applyFill="1" applyBorder="1" applyAlignment="1">
      <alignment vertical="center" wrapText="1"/>
    </xf>
    <xf numFmtId="0" fontId="15" fillId="29" borderId="4" xfId="118" applyFill="1" applyBorder="1" applyAlignment="1">
      <alignment vertical="center" wrapText="1"/>
    </xf>
    <xf numFmtId="0" fontId="15" fillId="29" borderId="4" xfId="118" applyFill="1" applyBorder="1" applyAlignment="1">
      <alignment horizontal="left" vertical="center" wrapText="1"/>
    </xf>
    <xf numFmtId="0" fontId="0" fillId="28" borderId="4" xfId="118" applyFont="1" applyFill="1" applyBorder="1" applyAlignment="1">
      <alignment vertical="center" wrapText="1"/>
    </xf>
    <xf numFmtId="0" fontId="121" fillId="29" borderId="4" xfId="118" applyFont="1" applyFill="1" applyBorder="1" applyAlignment="1">
      <alignment vertical="center" wrapText="1"/>
    </xf>
    <xf numFmtId="8" fontId="0" fillId="0" borderId="0" xfId="0" applyNumberFormat="1"/>
    <xf numFmtId="0" fontId="102" fillId="0" borderId="0" xfId="0" applyFont="1"/>
    <xf numFmtId="0" fontId="23" fillId="0" borderId="0" xfId="265" applyFont="1" applyAlignment="1">
      <alignment horizontal="left" wrapText="1"/>
    </xf>
    <xf numFmtId="178" fontId="92" fillId="0" borderId="0" xfId="246" applyNumberFormat="1" applyFont="1" applyProtection="1"/>
    <xf numFmtId="0" fontId="31" fillId="0" borderId="0" xfId="0" applyFont="1"/>
    <xf numFmtId="8" fontId="17" fillId="0" borderId="0" xfId="0" applyNumberFormat="1" applyFont="1"/>
    <xf numFmtId="0" fontId="63" fillId="0" borderId="0" xfId="0" applyFont="1"/>
    <xf numFmtId="0" fontId="19" fillId="0" borderId="0" xfId="0" applyFont="1" applyAlignment="1">
      <alignment wrapText="1"/>
    </xf>
    <xf numFmtId="0" fontId="30" fillId="0" borderId="13" xfId="0" applyFont="1" applyBorder="1" applyAlignment="1">
      <alignment horizontal="center"/>
    </xf>
    <xf numFmtId="0" fontId="30" fillId="0" borderId="14" xfId="0" applyFont="1" applyBorder="1" applyAlignment="1">
      <alignment horizontal="center"/>
    </xf>
    <xf numFmtId="0" fontId="30" fillId="0" borderId="13" xfId="0" applyFont="1" applyBorder="1"/>
    <xf numFmtId="0" fontId="47" fillId="0" borderId="0" xfId="0" applyFont="1" applyAlignment="1">
      <alignment vertical="center"/>
    </xf>
    <xf numFmtId="0" fontId="93" fillId="0" borderId="0" xfId="0" applyFont="1"/>
    <xf numFmtId="0" fontId="22" fillId="0" borderId="32" xfId="0" applyFont="1" applyBorder="1" applyAlignment="1">
      <alignment vertical="center"/>
    </xf>
    <xf numFmtId="0" fontId="18" fillId="0" borderId="35" xfId="0" applyFont="1" applyBorder="1"/>
    <xf numFmtId="6" fontId="18" fillId="0" borderId="44" xfId="0" applyNumberFormat="1" applyFont="1" applyBorder="1"/>
    <xf numFmtId="6" fontId="18" fillId="0" borderId="0" xfId="0" applyNumberFormat="1" applyFont="1"/>
    <xf numFmtId="6" fontId="0" fillId="0" borderId="0" xfId="0" applyNumberFormat="1" applyAlignment="1">
      <alignment wrapText="1"/>
    </xf>
    <xf numFmtId="6" fontId="19" fillId="0" borderId="89" xfId="0" applyNumberFormat="1" applyFont="1" applyBorder="1" applyAlignment="1">
      <alignment horizontal="center" vertical="center" wrapText="1"/>
    </xf>
    <xf numFmtId="6" fontId="18" fillId="0" borderId="46" xfId="0" applyNumberFormat="1" applyFont="1" applyBorder="1"/>
    <xf numFmtId="6" fontId="19" fillId="0" borderId="0" xfId="0" applyNumberFormat="1" applyFont="1" applyAlignment="1">
      <alignment horizontal="center" vertical="center" wrapText="1"/>
    </xf>
    <xf numFmtId="6" fontId="0" fillId="0" borderId="44" xfId="0" applyNumberFormat="1" applyBorder="1" applyAlignment="1">
      <alignment wrapText="1"/>
    </xf>
    <xf numFmtId="6" fontId="0" fillId="0" borderId="18" xfId="0" applyNumberFormat="1" applyBorder="1" applyAlignment="1">
      <alignment wrapText="1"/>
    </xf>
    <xf numFmtId="6" fontId="0" fillId="0" borderId="11" xfId="0" applyNumberFormat="1" applyBorder="1" applyAlignment="1">
      <alignment wrapText="1"/>
    </xf>
    <xf numFmtId="6" fontId="0" fillId="0" borderId="0" xfId="0" applyNumberFormat="1"/>
    <xf numFmtId="8" fontId="0" fillId="0" borderId="89" xfId="0" applyNumberFormat="1" applyBorder="1"/>
    <xf numFmtId="6" fontId="0" fillId="0" borderId="11" xfId="0" applyNumberFormat="1" applyBorder="1"/>
    <xf numFmtId="6" fontId="102" fillId="0" borderId="0" xfId="0" applyNumberFormat="1" applyFont="1"/>
    <xf numFmtId="0" fontId="18" fillId="0" borderId="89" xfId="0" applyFont="1" applyBorder="1" applyAlignment="1">
      <alignment horizontal="center"/>
    </xf>
    <xf numFmtId="6" fontId="18" fillId="66" borderId="47" xfId="201" applyNumberFormat="1" applyFont="1" applyFill="1" applyBorder="1" applyProtection="1">
      <protection locked="0"/>
    </xf>
    <xf numFmtId="6" fontId="18" fillId="66" borderId="62" xfId="0" applyNumberFormat="1" applyFont="1" applyFill="1" applyBorder="1" applyProtection="1">
      <protection locked="0"/>
    </xf>
    <xf numFmtId="6" fontId="18" fillId="66" borderId="113" xfId="0" applyNumberFormat="1" applyFont="1" applyFill="1" applyBorder="1" applyProtection="1">
      <protection locked="0"/>
    </xf>
    <xf numFmtId="6" fontId="18" fillId="66" borderId="113" xfId="203" applyNumberFormat="1" applyFont="1" applyFill="1" applyBorder="1" applyProtection="1">
      <protection locked="0"/>
    </xf>
    <xf numFmtId="6" fontId="18" fillId="66" borderId="113" xfId="204" applyNumberFormat="1" applyFont="1" applyFill="1" applyBorder="1" applyProtection="1">
      <protection locked="0"/>
    </xf>
    <xf numFmtId="6" fontId="18" fillId="0" borderId="89" xfId="0" applyNumberFormat="1" applyFont="1" applyBorder="1"/>
    <xf numFmtId="6" fontId="18" fillId="26" borderId="114" xfId="0" applyNumberFormat="1" applyFont="1" applyFill="1" applyBorder="1"/>
    <xf numFmtId="6" fontId="18" fillId="26" borderId="113" xfId="0" applyNumberFormat="1" applyFont="1" applyFill="1" applyBorder="1"/>
    <xf numFmtId="6" fontId="18" fillId="29" borderId="113" xfId="0" applyNumberFormat="1" applyFont="1" applyFill="1" applyBorder="1" applyProtection="1">
      <protection locked="0"/>
    </xf>
    <xf numFmtId="6" fontId="18" fillId="29" borderId="114" xfId="0" applyNumberFormat="1" applyFont="1" applyFill="1" applyBorder="1" applyProtection="1">
      <protection locked="0"/>
    </xf>
    <xf numFmtId="6" fontId="18" fillId="26" borderId="115" xfId="0" applyNumberFormat="1" applyFont="1" applyFill="1" applyBorder="1"/>
    <xf numFmtId="6" fontId="18" fillId="29" borderId="116" xfId="0" applyNumberFormat="1" applyFont="1" applyFill="1" applyBorder="1" applyProtection="1">
      <protection locked="0"/>
    </xf>
    <xf numFmtId="6" fontId="18" fillId="0" borderId="113" xfId="0" applyNumberFormat="1" applyFont="1" applyBorder="1" applyProtection="1">
      <protection locked="0"/>
    </xf>
    <xf numFmtId="6" fontId="0" fillId="0" borderId="89" xfId="0" applyNumberFormat="1" applyBorder="1" applyProtection="1">
      <protection locked="0"/>
    </xf>
    <xf numFmtId="6" fontId="0" fillId="0" borderId="89" xfId="0" applyNumberFormat="1" applyBorder="1"/>
    <xf numFmtId="0" fontId="102" fillId="0" borderId="0" xfId="416" applyFont="1"/>
    <xf numFmtId="6" fontId="18" fillId="66" borderId="23" xfId="201" applyNumberFormat="1" applyFont="1" applyFill="1" applyBorder="1" applyProtection="1">
      <protection locked="0"/>
    </xf>
    <xf numFmtId="6" fontId="18" fillId="66" borderId="24" xfId="223" applyNumberFormat="1" applyFont="1" applyFill="1" applyBorder="1" applyProtection="1">
      <protection locked="0"/>
    </xf>
    <xf numFmtId="6" fontId="18" fillId="66" borderId="117" xfId="201" applyNumberFormat="1" applyFont="1" applyFill="1" applyBorder="1" applyProtection="1">
      <protection locked="0"/>
    </xf>
    <xf numFmtId="6" fontId="18" fillId="66" borderId="113" xfId="202" applyNumberFormat="1" applyFont="1" applyFill="1" applyBorder="1" applyProtection="1">
      <protection locked="0"/>
    </xf>
    <xf numFmtId="6" fontId="18" fillId="66" borderId="24" xfId="203" applyNumberFormat="1" applyFont="1" applyFill="1" applyBorder="1" applyProtection="1">
      <protection locked="0"/>
    </xf>
    <xf numFmtId="6" fontId="18" fillId="26" borderId="117" xfId="0" applyNumberFormat="1" applyFont="1" applyFill="1" applyBorder="1"/>
    <xf numFmtId="6" fontId="18" fillId="66" borderId="24" xfId="226" applyNumberFormat="1" applyFont="1" applyFill="1" applyBorder="1" applyProtection="1">
      <protection locked="0"/>
    </xf>
    <xf numFmtId="6" fontId="18" fillId="66" borderId="113" xfId="230" applyNumberFormat="1" applyFont="1" applyFill="1" applyBorder="1" applyProtection="1">
      <protection locked="0"/>
    </xf>
    <xf numFmtId="6" fontId="18" fillId="66" borderId="116" xfId="0" applyNumberFormat="1" applyFont="1" applyFill="1" applyBorder="1" applyProtection="1">
      <protection locked="0"/>
    </xf>
    <xf numFmtId="6" fontId="18" fillId="26" borderId="113" xfId="0" applyNumberFormat="1" applyFont="1" applyFill="1" applyBorder="1" applyProtection="1">
      <protection locked="0"/>
    </xf>
    <xf numFmtId="6" fontId="18" fillId="66" borderId="62" xfId="203" applyNumberFormat="1" applyFont="1" applyFill="1" applyBorder="1" applyProtection="1">
      <protection locked="0"/>
    </xf>
    <xf numFmtId="6" fontId="18" fillId="66" borderId="62" xfId="227" applyNumberFormat="1" applyFont="1" applyFill="1" applyBorder="1" applyProtection="1">
      <protection locked="0"/>
    </xf>
    <xf numFmtId="6" fontId="18" fillId="66" borderId="113" xfId="227" applyNumberFormat="1" applyFont="1" applyFill="1" applyBorder="1" applyProtection="1">
      <protection locked="0"/>
    </xf>
    <xf numFmtId="6" fontId="18" fillId="66" borderId="117" xfId="0" applyNumberFormat="1" applyFont="1" applyFill="1" applyBorder="1" applyProtection="1">
      <protection locked="0"/>
    </xf>
    <xf numFmtId="0" fontId="53" fillId="28" borderId="110" xfId="0" applyFont="1" applyFill="1" applyBorder="1" applyAlignment="1" applyProtection="1">
      <alignment horizontal="center" vertical="center"/>
      <protection locked="0"/>
    </xf>
    <xf numFmtId="6" fontId="18" fillId="66" borderId="113" xfId="205" applyNumberFormat="1" applyFont="1" applyFill="1" applyBorder="1" applyProtection="1">
      <protection locked="0"/>
    </xf>
    <xf numFmtId="6" fontId="18" fillId="66" borderId="113" xfId="206" applyNumberFormat="1" applyFont="1" applyFill="1" applyBorder="1" applyProtection="1">
      <protection locked="0"/>
    </xf>
    <xf numFmtId="6" fontId="18" fillId="66" borderId="113" xfId="228" applyNumberFormat="1" applyFont="1" applyFill="1" applyBorder="1" applyProtection="1">
      <protection locked="0"/>
    </xf>
    <xf numFmtId="6" fontId="18" fillId="66" borderId="113" xfId="231" applyNumberFormat="1" applyFont="1" applyFill="1" applyBorder="1" applyProtection="1">
      <protection locked="0"/>
    </xf>
    <xf numFmtId="0" fontId="18" fillId="0" borderId="46" xfId="0" applyFont="1" applyBorder="1" applyAlignment="1">
      <alignment horizontal="left"/>
    </xf>
    <xf numFmtId="6" fontId="18" fillId="29" borderId="113" xfId="229" applyNumberFormat="1" applyFont="1" applyFill="1" applyBorder="1" applyProtection="1">
      <protection locked="0"/>
    </xf>
    <xf numFmtId="8" fontId="17" fillId="0" borderId="89" xfId="0" applyNumberFormat="1" applyFont="1" applyBorder="1"/>
    <xf numFmtId="6" fontId="17" fillId="0" borderId="0" xfId="0" applyNumberFormat="1" applyFont="1"/>
    <xf numFmtId="0" fontId="53" fillId="28" borderId="109" xfId="0" applyFont="1" applyFill="1" applyBorder="1" applyAlignment="1" applyProtection="1">
      <alignment horizontal="center" vertical="center"/>
      <protection locked="0"/>
    </xf>
    <xf numFmtId="0" fontId="18" fillId="0" borderId="46" xfId="59" applyFont="1" applyBorder="1" applyAlignment="1">
      <alignment horizontal="left" wrapText="1"/>
    </xf>
    <xf numFmtId="8" fontId="17" fillId="0" borderId="89" xfId="0" applyNumberFormat="1" applyFont="1" applyBorder="1" applyAlignment="1">
      <alignment horizontal="center"/>
    </xf>
    <xf numFmtId="0" fontId="18" fillId="0" borderId="89" xfId="0" applyFont="1" applyBorder="1" applyAlignment="1">
      <alignment horizontal="center" vertical="top"/>
    </xf>
    <xf numFmtId="0" fontId="85" fillId="0" borderId="46" xfId="0" applyFont="1" applyBorder="1" applyAlignment="1">
      <alignment horizontal="left"/>
    </xf>
    <xf numFmtId="6" fontId="18" fillId="0" borderId="46" xfId="0" applyNumberFormat="1" applyFont="1" applyBorder="1" applyProtection="1">
      <protection locked="0"/>
    </xf>
    <xf numFmtId="6" fontId="18" fillId="0" borderId="118" xfId="0" applyNumberFormat="1" applyFont="1" applyBorder="1"/>
    <xf numFmtId="0" fontId="18" fillId="0" borderId="89" xfId="0" applyFont="1" applyBorder="1"/>
    <xf numFmtId="0" fontId="18" fillId="0" borderId="0" xfId="0" applyFont="1"/>
    <xf numFmtId="0" fontId="19" fillId="0" borderId="0" xfId="0" applyFont="1" applyAlignment="1">
      <alignment horizontal="center"/>
    </xf>
    <xf numFmtId="8" fontId="18" fillId="0" borderId="89" xfId="0" applyNumberFormat="1" applyFont="1" applyBorder="1"/>
    <xf numFmtId="0" fontId="19" fillId="0" borderId="89" xfId="0" applyFont="1" applyBorder="1" applyAlignment="1">
      <alignment horizontal="center"/>
    </xf>
    <xf numFmtId="0" fontId="18" fillId="0" borderId="119" xfId="0" applyFont="1" applyBorder="1"/>
    <xf numFmtId="0" fontId="18" fillId="0" borderId="120" xfId="0" applyFont="1" applyBorder="1" applyAlignment="1">
      <alignment horizontal="center"/>
    </xf>
    <xf numFmtId="6" fontId="18" fillId="0" borderId="119" xfId="0" applyNumberFormat="1" applyFont="1" applyBorder="1"/>
    <xf numFmtId="6" fontId="18" fillId="0" borderId="98" xfId="0" applyNumberFormat="1" applyFont="1" applyBorder="1"/>
    <xf numFmtId="6" fontId="18" fillId="0" borderId="121" xfId="0" applyNumberFormat="1" applyFont="1" applyBorder="1"/>
    <xf numFmtId="8" fontId="0" fillId="0" borderId="99" xfId="0" applyNumberFormat="1" applyBorder="1"/>
    <xf numFmtId="6" fontId="0" fillId="0" borderId="27" xfId="0" applyNumberFormat="1" applyBorder="1"/>
    <xf numFmtId="0" fontId="20" fillId="0" borderId="0" xfId="298" applyFont="1"/>
    <xf numFmtId="0" fontId="0" fillId="0" borderId="0" xfId="0" applyAlignment="1">
      <alignment vertical="top"/>
    </xf>
    <xf numFmtId="0" fontId="24" fillId="0" borderId="0" xfId="298" applyFont="1" applyAlignment="1">
      <alignment vertical="top"/>
    </xf>
    <xf numFmtId="0" fontId="17" fillId="0" borderId="0" xfId="298" applyAlignment="1">
      <alignment horizontal="left" vertical="top" wrapText="1"/>
    </xf>
    <xf numFmtId="8" fontId="17" fillId="0" borderId="0" xfId="298" applyNumberFormat="1" applyAlignment="1">
      <alignment vertical="top"/>
    </xf>
    <xf numFmtId="8" fontId="18" fillId="0" borderId="0" xfId="0" applyNumberFormat="1" applyFont="1"/>
    <xf numFmtId="0" fontId="17" fillId="0" borderId="0" xfId="298" applyAlignment="1">
      <alignment vertical="top" wrapText="1"/>
    </xf>
    <xf numFmtId="6" fontId="0" fillId="0" borderId="15" xfId="0" applyNumberFormat="1" applyBorder="1"/>
    <xf numFmtId="6" fontId="18" fillId="29" borderId="0" xfId="202" applyNumberFormat="1" applyFont="1" applyFill="1" applyProtection="1">
      <protection locked="0"/>
    </xf>
    <xf numFmtId="6" fontId="18" fillId="29" borderId="113" xfId="203" applyNumberFormat="1" applyFont="1" applyFill="1" applyBorder="1" applyProtection="1">
      <protection locked="0"/>
    </xf>
    <xf numFmtId="6" fontId="18" fillId="29" borderId="113" xfId="204" applyNumberFormat="1" applyFont="1" applyFill="1" applyBorder="1" applyProtection="1">
      <protection locked="0"/>
    </xf>
    <xf numFmtId="6" fontId="18" fillId="29" borderId="118" xfId="0" applyNumberFormat="1" applyFont="1" applyFill="1" applyBorder="1" applyProtection="1">
      <protection locked="0"/>
    </xf>
    <xf numFmtId="6" fontId="18" fillId="0" borderId="23" xfId="201" applyNumberFormat="1" applyFont="1" applyBorder="1" applyProtection="1">
      <protection locked="0"/>
    </xf>
    <xf numFmtId="6" fontId="18" fillId="0" borderId="24" xfId="223" applyNumberFormat="1" applyFont="1" applyBorder="1"/>
    <xf numFmtId="6" fontId="18" fillId="0" borderId="24" xfId="223" applyNumberFormat="1" applyFont="1" applyBorder="1" applyProtection="1">
      <protection locked="0"/>
    </xf>
    <xf numFmtId="6" fontId="18" fillId="29" borderId="117" xfId="201" applyNumberFormat="1" applyFont="1" applyFill="1" applyBorder="1" applyProtection="1">
      <protection locked="0"/>
    </xf>
    <xf numFmtId="6" fontId="18" fillId="29" borderId="113" xfId="202" applyNumberFormat="1" applyFont="1" applyFill="1" applyBorder="1" applyProtection="1">
      <protection locked="0"/>
    </xf>
    <xf numFmtId="6" fontId="18" fillId="29" borderId="113" xfId="226" applyNumberFormat="1" applyFont="1" applyFill="1" applyBorder="1" applyProtection="1">
      <protection locked="0"/>
    </xf>
    <xf numFmtId="6" fontId="18" fillId="29" borderId="113" xfId="230" applyNumberFormat="1" applyFont="1" applyFill="1" applyBorder="1" applyProtection="1">
      <protection locked="0"/>
    </xf>
    <xf numFmtId="6" fontId="18" fillId="0" borderId="47" xfId="201" applyNumberFormat="1" applyFont="1" applyBorder="1" applyProtection="1">
      <protection locked="0"/>
    </xf>
    <xf numFmtId="6" fontId="18" fillId="29" borderId="113" xfId="227" applyNumberFormat="1" applyFont="1" applyFill="1" applyBorder="1" applyProtection="1">
      <protection locked="0"/>
    </xf>
    <xf numFmtId="6" fontId="18" fillId="29" borderId="117" xfId="0" applyNumberFormat="1" applyFont="1" applyFill="1" applyBorder="1" applyProtection="1">
      <protection locked="0"/>
    </xf>
    <xf numFmtId="6" fontId="18" fillId="29" borderId="113" xfId="205" applyNumberFormat="1" applyFont="1" applyFill="1" applyBorder="1" applyProtection="1">
      <protection locked="0"/>
    </xf>
    <xf numFmtId="6" fontId="18" fillId="29" borderId="113" xfId="206" applyNumberFormat="1" applyFont="1" applyFill="1" applyBorder="1" applyProtection="1">
      <protection locked="0"/>
    </xf>
    <xf numFmtId="6" fontId="18" fillId="29" borderId="113" xfId="228" applyNumberFormat="1" applyFont="1" applyFill="1" applyBorder="1" applyProtection="1">
      <protection locked="0"/>
    </xf>
    <xf numFmtId="6" fontId="18" fillId="29" borderId="113" xfId="231" applyNumberFormat="1" applyFont="1" applyFill="1" applyBorder="1" applyProtection="1">
      <protection locked="0"/>
    </xf>
    <xf numFmtId="6" fontId="18" fillId="0" borderId="15" xfId="0" applyNumberFormat="1" applyFont="1" applyBorder="1" applyProtection="1">
      <protection locked="0"/>
    </xf>
    <xf numFmtId="0" fontId="19" fillId="0" borderId="0" xfId="0" applyFont="1"/>
    <xf numFmtId="6" fontId="18" fillId="0" borderId="84" xfId="0" applyNumberFormat="1" applyFont="1" applyBorder="1"/>
    <xf numFmtId="6" fontId="98" fillId="0" borderId="0" xfId="0" applyNumberFormat="1" applyFont="1"/>
    <xf numFmtId="0" fontId="19" fillId="0" borderId="89" xfId="0" applyFont="1" applyBorder="1"/>
    <xf numFmtId="6" fontId="18" fillId="0" borderId="15" xfId="0" applyNumberFormat="1" applyFont="1" applyBorder="1"/>
    <xf numFmtId="0" fontId="19" fillId="0" borderId="89" xfId="0" applyFont="1" applyBorder="1" applyAlignment="1">
      <alignment horizontal="left"/>
    </xf>
    <xf numFmtId="6" fontId="18" fillId="29" borderId="113" xfId="222" applyNumberFormat="1" applyFont="1" applyFill="1" applyBorder="1" applyProtection="1">
      <protection locked="0"/>
    </xf>
    <xf numFmtId="6" fontId="18" fillId="29" borderId="113" xfId="232" applyNumberFormat="1" applyFont="1" applyFill="1" applyBorder="1" applyProtection="1">
      <protection locked="0"/>
    </xf>
    <xf numFmtId="6" fontId="18" fillId="29" borderId="113" xfId="243" applyNumberFormat="1" applyFont="1" applyFill="1" applyBorder="1" applyProtection="1">
      <protection locked="0"/>
    </xf>
    <xf numFmtId="0" fontId="52" fillId="28" borderId="109" xfId="0" applyFont="1" applyFill="1" applyBorder="1" applyAlignment="1" applyProtection="1">
      <alignment horizontal="center" vertical="center"/>
      <protection locked="0"/>
    </xf>
    <xf numFmtId="6" fontId="18" fillId="72" borderId="113" xfId="0" applyNumberFormat="1" applyFont="1" applyFill="1" applyBorder="1"/>
    <xf numFmtId="6" fontId="18" fillId="29" borderId="113" xfId="0" applyNumberFormat="1" applyFont="1" applyFill="1" applyBorder="1"/>
    <xf numFmtId="0" fontId="18" fillId="0" borderId="46" xfId="0" applyFont="1" applyBorder="1" applyAlignment="1">
      <alignment wrapText="1"/>
    </xf>
    <xf numFmtId="0" fontId="0" fillId="0" borderId="0" xfId="246" applyNumberFormat="1" applyFont="1" applyProtection="1"/>
    <xf numFmtId="0" fontId="18" fillId="29" borderId="46" xfId="0" applyFont="1" applyFill="1" applyBorder="1" applyAlignment="1">
      <alignment wrapText="1"/>
    </xf>
    <xf numFmtId="6" fontId="18" fillId="72" borderId="113" xfId="0" applyNumberFormat="1" applyFont="1" applyFill="1" applyBorder="1" applyProtection="1">
      <protection locked="0"/>
    </xf>
    <xf numFmtId="6" fontId="18" fillId="29" borderId="113" xfId="233" applyNumberFormat="1" applyFont="1" applyFill="1" applyBorder="1" applyProtection="1">
      <protection locked="0"/>
    </xf>
    <xf numFmtId="0" fontId="52" fillId="28" borderId="15" xfId="0" applyFont="1" applyFill="1" applyBorder="1" applyAlignment="1" applyProtection="1">
      <alignment horizontal="center" vertical="center"/>
      <protection locked="0"/>
    </xf>
    <xf numFmtId="6" fontId="18" fillId="29" borderId="117" xfId="207" applyNumberFormat="1" applyFont="1" applyFill="1" applyBorder="1" applyProtection="1">
      <protection locked="0"/>
    </xf>
    <xf numFmtId="6" fontId="18" fillId="29" borderId="113" xfId="208" applyNumberFormat="1" applyFont="1" applyFill="1" applyBorder="1" applyProtection="1">
      <protection locked="0"/>
    </xf>
    <xf numFmtId="6" fontId="18" fillId="29" borderId="113" xfId="223" applyNumberFormat="1" applyFont="1" applyFill="1" applyBorder="1" applyProtection="1">
      <protection locked="0"/>
    </xf>
    <xf numFmtId="6" fontId="18" fillId="29" borderId="113" xfId="224" applyNumberFormat="1" applyFont="1" applyFill="1" applyBorder="1" applyProtection="1">
      <protection locked="0"/>
    </xf>
    <xf numFmtId="6" fontId="18" fillId="29" borderId="113" xfId="244" applyNumberFormat="1" applyFont="1" applyFill="1" applyBorder="1" applyProtection="1">
      <protection locked="0"/>
    </xf>
    <xf numFmtId="8" fontId="0" fillId="0" borderId="15" xfId="0" applyNumberFormat="1" applyBorder="1"/>
    <xf numFmtId="0" fontId="18" fillId="29" borderId="46" xfId="0" applyFont="1" applyFill="1" applyBorder="1"/>
    <xf numFmtId="6" fontId="18" fillId="29" borderId="117" xfId="209" applyNumberFormat="1" applyFont="1" applyFill="1" applyBorder="1" applyProtection="1">
      <protection locked="0"/>
    </xf>
    <xf numFmtId="6" fontId="18" fillId="29" borderId="113" xfId="210" applyNumberFormat="1" applyFont="1" applyFill="1" applyBorder="1" applyProtection="1">
      <protection locked="0"/>
    </xf>
    <xf numFmtId="6" fontId="18" fillId="29" borderId="113" xfId="245" applyNumberFormat="1" applyFont="1" applyFill="1" applyBorder="1" applyProtection="1">
      <protection locked="0"/>
    </xf>
    <xf numFmtId="0" fontId="18" fillId="0" borderId="46" xfId="0" applyFont="1" applyBorder="1" applyAlignment="1">
      <alignment vertical="center" wrapText="1"/>
    </xf>
    <xf numFmtId="0" fontId="18" fillId="0" borderId="89" xfId="0" applyFont="1" applyBorder="1" applyAlignment="1">
      <alignment horizontal="center" vertical="center"/>
    </xf>
    <xf numFmtId="6" fontId="18" fillId="29" borderId="117" xfId="211" applyNumberFormat="1" applyFont="1" applyFill="1" applyBorder="1" applyProtection="1">
      <protection locked="0"/>
    </xf>
    <xf numFmtId="6" fontId="18" fillId="29" borderId="113" xfId="221" applyNumberFormat="1" applyFont="1" applyFill="1" applyBorder="1" applyProtection="1">
      <protection locked="0"/>
    </xf>
    <xf numFmtId="6" fontId="18" fillId="29" borderId="113" xfId="242" applyNumberFormat="1" applyFont="1" applyFill="1" applyBorder="1" applyProtection="1">
      <protection locked="0"/>
    </xf>
    <xf numFmtId="0" fontId="20" fillId="0" borderId="0" xfId="0" applyFont="1"/>
    <xf numFmtId="6" fontId="19" fillId="0" borderId="46" xfId="0" applyNumberFormat="1" applyFont="1" applyBorder="1"/>
    <xf numFmtId="6" fontId="19" fillId="0" borderId="0" xfId="0" applyNumberFormat="1" applyFont="1"/>
    <xf numFmtId="6" fontId="19" fillId="0" borderId="89" xfId="0" applyNumberFormat="1" applyFont="1" applyBorder="1"/>
    <xf numFmtId="6" fontId="20" fillId="0" borderId="0" xfId="0" applyNumberFormat="1" applyFont="1"/>
    <xf numFmtId="8" fontId="20" fillId="0" borderId="89" xfId="0" applyNumberFormat="1" applyFont="1" applyBorder="1"/>
    <xf numFmtId="0" fontId="58" fillId="0" borderId="0" xfId="416" applyFont="1"/>
    <xf numFmtId="0" fontId="26" fillId="0" borderId="46" xfId="59" applyFont="1" applyBorder="1"/>
    <xf numFmtId="0" fontId="26" fillId="0" borderId="89" xfId="59" applyFont="1" applyBorder="1" applyAlignment="1">
      <alignment horizontal="center"/>
    </xf>
    <xf numFmtId="8" fontId="19" fillId="0" borderId="89" xfId="0" applyNumberFormat="1" applyFont="1" applyBorder="1"/>
    <xf numFmtId="6" fontId="63" fillId="0" borderId="0" xfId="0" applyNumberFormat="1" applyFont="1"/>
    <xf numFmtId="6" fontId="18" fillId="29" borderId="113" xfId="235" applyNumberFormat="1" applyFont="1" applyFill="1" applyBorder="1" applyProtection="1">
      <protection locked="0"/>
    </xf>
    <xf numFmtId="6" fontId="18" fillId="29" borderId="113" xfId="238" applyNumberFormat="1" applyFont="1" applyFill="1" applyBorder="1" applyProtection="1">
      <protection locked="0"/>
    </xf>
    <xf numFmtId="6" fontId="18" fillId="29" borderId="113" xfId="236" applyNumberFormat="1" applyFont="1" applyFill="1" applyBorder="1" applyProtection="1">
      <protection locked="0"/>
    </xf>
    <xf numFmtId="6" fontId="18" fillId="29" borderId="113" xfId="239" applyNumberFormat="1" applyFont="1" applyFill="1" applyBorder="1" applyProtection="1">
      <protection locked="0"/>
    </xf>
    <xf numFmtId="6" fontId="18" fillId="26" borderId="23" xfId="0" applyNumberFormat="1" applyFont="1" applyFill="1" applyBorder="1"/>
    <xf numFmtId="6" fontId="18" fillId="26" borderId="24" xfId="0" applyNumberFormat="1" applyFont="1" applyFill="1" applyBorder="1"/>
    <xf numFmtId="6" fontId="18" fillId="0" borderId="47" xfId="0" applyNumberFormat="1" applyFont="1" applyBorder="1" applyProtection="1">
      <protection locked="0"/>
    </xf>
    <xf numFmtId="6" fontId="18" fillId="26" borderId="73" xfId="0" applyNumberFormat="1" applyFont="1" applyFill="1" applyBorder="1"/>
    <xf numFmtId="6" fontId="18" fillId="22" borderId="113" xfId="0" applyNumberFormat="1" applyFont="1" applyFill="1" applyBorder="1"/>
    <xf numFmtId="6" fontId="18" fillId="0" borderId="24" xfId="237" applyNumberFormat="1" applyFont="1" applyBorder="1" applyProtection="1">
      <protection locked="0"/>
    </xf>
    <xf numFmtId="6" fontId="18" fillId="26" borderId="126" xfId="0" applyNumberFormat="1" applyFont="1" applyFill="1" applyBorder="1"/>
    <xf numFmtId="6" fontId="18" fillId="29" borderId="126" xfId="0" applyNumberFormat="1" applyFont="1" applyFill="1" applyBorder="1" applyProtection="1">
      <protection locked="0"/>
    </xf>
    <xf numFmtId="6" fontId="18" fillId="0" borderId="24" xfId="0" applyNumberFormat="1" applyFont="1" applyBorder="1" applyProtection="1">
      <protection locked="0"/>
    </xf>
    <xf numFmtId="8" fontId="0" fillId="0" borderId="111" xfId="0" applyNumberFormat="1" applyBorder="1"/>
    <xf numFmtId="6" fontId="18" fillId="72" borderId="106" xfId="213" applyNumberFormat="1" applyFont="1" applyFill="1" applyBorder="1"/>
    <xf numFmtId="6" fontId="18" fillId="72" borderId="105" xfId="212" applyNumberFormat="1" applyFont="1" applyFill="1" applyBorder="1"/>
    <xf numFmtId="6" fontId="18" fillId="72" borderId="105" xfId="0" applyNumberFormat="1" applyFont="1" applyFill="1" applyBorder="1"/>
    <xf numFmtId="6" fontId="18" fillId="0" borderId="127" xfId="0" applyNumberFormat="1" applyFont="1" applyBorder="1"/>
    <xf numFmtId="6" fontId="18" fillId="0" borderId="120" xfId="0" applyNumberFormat="1" applyFont="1" applyBorder="1"/>
    <xf numFmtId="6" fontId="18" fillId="26" borderId="106" xfId="0" applyNumberFormat="1" applyFont="1" applyFill="1" applyBorder="1"/>
    <xf numFmtId="6" fontId="18" fillId="26" borderId="105" xfId="0" applyNumberFormat="1" applyFont="1" applyFill="1" applyBorder="1"/>
    <xf numFmtId="6" fontId="18" fillId="26" borderId="107" xfId="0" applyNumberFormat="1" applyFont="1" applyFill="1" applyBorder="1"/>
    <xf numFmtId="6" fontId="18" fillId="0" borderId="105" xfId="0" applyNumberFormat="1" applyFont="1" applyBorder="1" applyProtection="1">
      <protection locked="0"/>
    </xf>
    <xf numFmtId="8" fontId="0" fillId="0" borderId="120" xfId="0" applyNumberFormat="1" applyBorder="1"/>
    <xf numFmtId="0" fontId="52" fillId="28" borderId="112" xfId="0" applyFont="1" applyFill="1" applyBorder="1" applyAlignment="1" applyProtection="1">
      <alignment horizontal="center" vertical="center"/>
      <protection locked="0"/>
    </xf>
    <xf numFmtId="8" fontId="0" fillId="0" borderId="30" xfId="0" applyNumberFormat="1" applyBorder="1"/>
    <xf numFmtId="0" fontId="17" fillId="0" borderId="0" xfId="0" applyFont="1" applyAlignment="1">
      <alignment horizontal="left" wrapText="1"/>
    </xf>
    <xf numFmtId="0" fontId="0" fillId="0" borderId="0" xfId="0" applyAlignment="1">
      <alignment vertical="center"/>
    </xf>
    <xf numFmtId="0" fontId="30" fillId="0" borderId="17" xfId="0" applyFont="1" applyBorder="1"/>
    <xf numFmtId="0" fontId="30" fillId="0" borderId="14" xfId="0" applyFont="1" applyBorder="1"/>
    <xf numFmtId="0" fontId="89" fillId="0" borderId="46" xfId="0" applyFont="1" applyBorder="1" applyAlignment="1">
      <alignment vertical="center"/>
    </xf>
    <xf numFmtId="0" fontId="17" fillId="0" borderId="89" xfId="0" applyFont="1" applyBorder="1"/>
    <xf numFmtId="0" fontId="17" fillId="0" borderId="16" xfId="0" applyFont="1" applyBorder="1"/>
    <xf numFmtId="0" fontId="0" fillId="0" borderId="89" xfId="0" applyBorder="1"/>
    <xf numFmtId="0" fontId="17" fillId="0" borderId="46" xfId="0" applyFont="1" applyBorder="1" applyAlignment="1">
      <alignment vertical="center"/>
    </xf>
    <xf numFmtId="0" fontId="17" fillId="0" borderId="0" xfId="0" applyFont="1" applyAlignment="1">
      <alignment horizontal="center" vertical="center"/>
    </xf>
    <xf numFmtId="166" fontId="17" fillId="0" borderId="15" xfId="0" applyNumberFormat="1" applyFont="1" applyBorder="1" applyAlignment="1">
      <alignment vertical="center"/>
    </xf>
    <xf numFmtId="0" fontId="17" fillId="29" borderId="28" xfId="0" applyFont="1" applyFill="1" applyBorder="1" applyAlignment="1" applyProtection="1">
      <alignment horizontal="left" vertical="top" wrapText="1"/>
      <protection locked="0"/>
    </xf>
    <xf numFmtId="0" fontId="20" fillId="0" borderId="89" xfId="0" applyFont="1" applyBorder="1" applyAlignment="1">
      <alignment horizontal="left" vertical="center"/>
    </xf>
    <xf numFmtId="0" fontId="17" fillId="0" borderId="89" xfId="0" applyFont="1" applyBorder="1" applyAlignment="1">
      <alignment horizontal="center" vertical="center"/>
    </xf>
    <xf numFmtId="0" fontId="17" fillId="0" borderId="119" xfId="0" applyFont="1" applyBorder="1" applyAlignment="1">
      <alignment vertical="center"/>
    </xf>
    <xf numFmtId="0" fontId="17" fillId="0" borderId="90" xfId="0" applyFont="1" applyBorder="1" applyAlignment="1">
      <alignment horizontal="center" vertical="center"/>
    </xf>
    <xf numFmtId="166" fontId="17" fillId="0" borderId="27" xfId="0" applyNumberFormat="1" applyFont="1" applyBorder="1" applyAlignment="1">
      <alignment vertical="center"/>
    </xf>
    <xf numFmtId="0" fontId="0" fillId="29" borderId="27" xfId="0" applyFill="1" applyBorder="1" applyAlignment="1" applyProtection="1">
      <alignment horizontal="left" vertical="top" wrapText="1"/>
      <protection locked="0"/>
    </xf>
    <xf numFmtId="0" fontId="110" fillId="0" borderId="78" xfId="497" applyFont="1" applyBorder="1" applyAlignment="1">
      <alignment vertical="center" wrapText="1"/>
    </xf>
    <xf numFmtId="0" fontId="110" fillId="0" borderId="87" xfId="497" applyFont="1" applyBorder="1" applyAlignment="1">
      <alignment vertical="center" wrapText="1"/>
    </xf>
    <xf numFmtId="0" fontId="108" fillId="69" borderId="17" xfId="498" applyFont="1" applyFill="1" applyBorder="1" applyAlignment="1">
      <alignment horizontal="center"/>
    </xf>
    <xf numFmtId="0" fontId="108" fillId="69" borderId="31" xfId="498" applyFont="1" applyFill="1" applyBorder="1" applyAlignment="1">
      <alignment horizontal="center"/>
    </xf>
    <xf numFmtId="0" fontId="108" fillId="69" borderId="13" xfId="498" applyFont="1" applyFill="1" applyBorder="1" applyAlignment="1">
      <alignment horizontal="center"/>
    </xf>
    <xf numFmtId="0" fontId="110" fillId="0" borderId="78" xfId="498" applyFont="1" applyBorder="1" applyAlignment="1">
      <alignment horizontal="left" wrapText="1"/>
    </xf>
    <xf numFmtId="0" fontId="110" fillId="0" borderId="0" xfId="498" applyFont="1" applyAlignment="1">
      <alignment horizontal="left" wrapText="1"/>
    </xf>
    <xf numFmtId="0" fontId="110" fillId="0" borderId="89" xfId="498" applyFont="1" applyBorder="1" applyAlignment="1">
      <alignment horizontal="left" wrapText="1"/>
    </xf>
    <xf numFmtId="0" fontId="110" fillId="0" borderId="76" xfId="497" applyFont="1" applyBorder="1" applyAlignment="1">
      <alignment vertical="center"/>
    </xf>
    <xf numFmtId="0" fontId="110" fillId="0" borderId="77" xfId="497" applyFont="1" applyBorder="1" applyAlignment="1">
      <alignment vertical="center"/>
    </xf>
    <xf numFmtId="0" fontId="52" fillId="70" borderId="76" xfId="497" applyFont="1" applyFill="1" applyBorder="1" applyAlignment="1">
      <alignment horizontal="center" vertical="center" wrapText="1"/>
    </xf>
    <xf numFmtId="0" fontId="52" fillId="70" borderId="77" xfId="497" applyFont="1" applyFill="1" applyBorder="1" applyAlignment="1">
      <alignment horizontal="center" vertical="center" wrapText="1"/>
    </xf>
    <xf numFmtId="0" fontId="52" fillId="70" borderId="80" xfId="497" applyFont="1" applyFill="1" applyBorder="1" applyAlignment="1">
      <alignment horizontal="center" vertical="center"/>
    </xf>
    <xf numFmtId="0" fontId="52" fillId="70" borderId="81" xfId="497" applyFont="1" applyFill="1" applyBorder="1" applyAlignment="1">
      <alignment horizontal="center" vertical="center"/>
    </xf>
    <xf numFmtId="0" fontId="110" fillId="0" borderId="78" xfId="497" applyFont="1" applyBorder="1" applyAlignment="1">
      <alignment vertical="center"/>
    </xf>
    <xf numFmtId="0" fontId="110" fillId="0" borderId="87" xfId="497" applyFont="1" applyBorder="1" applyAlignment="1">
      <alignment vertical="center"/>
    </xf>
    <xf numFmtId="0" fontId="110" fillId="0" borderId="78" xfId="497" applyFont="1" applyBorder="1" applyAlignment="1">
      <alignment horizontal="left" vertical="center" wrapText="1"/>
    </xf>
    <xf numFmtId="0" fontId="110" fillId="0" borderId="87" xfId="497" applyFont="1" applyBorder="1" applyAlignment="1">
      <alignment horizontal="left" vertical="center" wrapText="1"/>
    </xf>
    <xf numFmtId="0" fontId="111" fillId="0" borderId="78" xfId="497" applyFont="1" applyBorder="1" applyAlignment="1">
      <alignment horizontal="left" vertical="center"/>
    </xf>
    <xf numFmtId="0" fontId="111" fillId="0" borderId="87" xfId="497" applyFont="1" applyBorder="1" applyAlignment="1">
      <alignment horizontal="left" vertical="center"/>
    </xf>
    <xf numFmtId="0" fontId="114" fillId="0" borderId="78" xfId="497" applyFont="1" applyBorder="1" applyAlignment="1">
      <alignment horizontal="left" wrapText="1"/>
    </xf>
    <xf numFmtId="0" fontId="114" fillId="0" borderId="87" xfId="497" applyFont="1" applyBorder="1" applyAlignment="1">
      <alignment horizontal="left" wrapText="1"/>
    </xf>
    <xf numFmtId="0" fontId="110" fillId="0" borderId="76" xfId="497" applyFont="1" applyBorder="1" applyAlignment="1">
      <alignment horizontal="center" vertical="center" wrapText="1"/>
    </xf>
    <xf numFmtId="0" fontId="110" fillId="0" borderId="77" xfId="497" applyFont="1" applyBorder="1" applyAlignment="1">
      <alignment horizontal="center" vertical="center" wrapText="1"/>
    </xf>
    <xf numFmtId="0" fontId="110" fillId="0" borderId="88" xfId="497" applyFont="1" applyBorder="1" applyAlignment="1">
      <alignment horizontal="center" vertical="center" wrapText="1"/>
    </xf>
    <xf numFmtId="0" fontId="110" fillId="0" borderId="79" xfId="497" applyFont="1" applyBorder="1" applyAlignment="1">
      <alignment horizontal="center" vertical="center" wrapText="1"/>
    </xf>
    <xf numFmtId="0" fontId="110" fillId="0" borderId="76" xfId="497" applyFont="1" applyBorder="1" applyAlignment="1">
      <alignment horizontal="left" vertical="center" wrapText="1"/>
    </xf>
    <xf numFmtId="0" fontId="110" fillId="0" borderId="77" xfId="497" applyFont="1" applyBorder="1" applyAlignment="1">
      <alignment horizontal="left" vertical="center" wrapText="1"/>
    </xf>
    <xf numFmtId="0" fontId="110" fillId="0" borderId="88" xfId="497" applyFont="1" applyBorder="1" applyAlignment="1">
      <alignment vertical="center"/>
    </xf>
    <xf numFmtId="0" fontId="110" fillId="0" borderId="79" xfId="497" applyFont="1" applyBorder="1" applyAlignment="1">
      <alignment vertical="center"/>
    </xf>
    <xf numFmtId="0" fontId="110" fillId="0" borderId="78" xfId="497" applyFont="1" applyBorder="1" applyAlignment="1">
      <alignment horizontal="center" vertical="center" wrapText="1"/>
    </xf>
    <xf numFmtId="0" fontId="110" fillId="0" borderId="87" xfId="497" applyFont="1" applyBorder="1" applyAlignment="1">
      <alignment horizontal="center" vertical="center" wrapText="1"/>
    </xf>
    <xf numFmtId="0" fontId="110" fillId="0" borderId="78" xfId="497" applyFont="1" applyBorder="1" applyAlignment="1">
      <alignment horizontal="left" wrapText="1"/>
    </xf>
    <xf numFmtId="0" fontId="110" fillId="0" borderId="87" xfId="497" applyFont="1" applyBorder="1" applyAlignment="1">
      <alignment horizontal="left" wrapText="1"/>
    </xf>
    <xf numFmtId="0" fontId="110" fillId="0" borderId="0" xfId="497" applyFont="1" applyAlignment="1">
      <alignment horizontal="left" wrapText="1"/>
    </xf>
    <xf numFmtId="0" fontId="114" fillId="0" borderId="0" xfId="497" applyFont="1" applyAlignment="1">
      <alignment horizontal="left" wrapText="1"/>
    </xf>
    <xf numFmtId="0" fontId="110" fillId="0" borderId="42" xfId="497" applyFont="1" applyBorder="1" applyAlignment="1">
      <alignment horizontal="center" vertical="center" wrapText="1"/>
    </xf>
    <xf numFmtId="0" fontId="110" fillId="0" borderId="83" xfId="497" applyFont="1" applyBorder="1" applyAlignment="1">
      <alignment horizontal="center" vertical="center" wrapText="1"/>
    </xf>
    <xf numFmtId="0" fontId="110" fillId="0" borderId="43" xfId="497" applyFont="1" applyBorder="1" applyAlignment="1">
      <alignment horizontal="center" vertical="center" wrapText="1"/>
    </xf>
    <xf numFmtId="0" fontId="110" fillId="0" borderId="82" xfId="497" applyFont="1" applyBorder="1" applyAlignment="1">
      <alignment horizontal="left" wrapText="1"/>
    </xf>
    <xf numFmtId="0" fontId="110" fillId="0" borderId="77" xfId="497" applyFont="1" applyBorder="1" applyAlignment="1">
      <alignment horizontal="left" wrapText="1"/>
    </xf>
    <xf numFmtId="0" fontId="114" fillId="0" borderId="82" xfId="497" applyFont="1" applyBorder="1" applyAlignment="1">
      <alignment horizontal="left" wrapText="1"/>
    </xf>
    <xf numFmtId="0" fontId="114" fillId="0" borderId="77" xfId="497" applyFont="1" applyBorder="1" applyAlignment="1">
      <alignment horizontal="left" wrapText="1"/>
    </xf>
    <xf numFmtId="0" fontId="111" fillId="0" borderId="78" xfId="497" applyFont="1" applyBorder="1" applyAlignment="1">
      <alignment vertical="center"/>
    </xf>
    <xf numFmtId="0" fontId="111" fillId="0" borderId="87" xfId="497" applyFont="1" applyBorder="1" applyAlignment="1">
      <alignment vertical="center"/>
    </xf>
    <xf numFmtId="0" fontId="53" fillId="29" borderId="39" xfId="183" applyNumberFormat="1" applyFont="1" applyFill="1" applyBorder="1" applyAlignment="1" applyProtection="1">
      <alignment horizontal="left" vertical="center"/>
      <protection locked="0"/>
    </xf>
    <xf numFmtId="0" fontId="53" fillId="29" borderId="40" xfId="183" applyNumberFormat="1" applyFont="1" applyFill="1" applyBorder="1" applyAlignment="1" applyProtection="1">
      <alignment horizontal="left" vertical="center"/>
      <protection locked="0"/>
    </xf>
    <xf numFmtId="0" fontId="53" fillId="29" borderId="41" xfId="183" applyNumberFormat="1" applyFont="1" applyFill="1" applyBorder="1" applyAlignment="1" applyProtection="1">
      <alignment horizontal="left" vertical="center"/>
      <protection locked="0"/>
    </xf>
    <xf numFmtId="0" fontId="53" fillId="28" borderId="39" xfId="59" applyFont="1" applyFill="1" applyBorder="1" applyAlignment="1" applyProtection="1">
      <alignment horizontal="left" vertical="center" wrapText="1"/>
      <protection locked="0"/>
    </xf>
    <xf numFmtId="0" fontId="53" fillId="28" borderId="40" xfId="59" applyFont="1" applyFill="1" applyBorder="1" applyAlignment="1" applyProtection="1">
      <alignment horizontal="left" vertical="center" wrapText="1"/>
      <protection locked="0"/>
    </xf>
    <xf numFmtId="0" fontId="53" fillId="28" borderId="41" xfId="59" applyFont="1" applyFill="1" applyBorder="1" applyAlignment="1" applyProtection="1">
      <alignment horizontal="left" vertical="center" wrapText="1"/>
      <protection locked="0"/>
    </xf>
    <xf numFmtId="0" fontId="54" fillId="29" borderId="39" xfId="59" applyFont="1" applyFill="1" applyBorder="1" applyAlignment="1" applyProtection="1">
      <alignment horizontal="left" vertical="center"/>
      <protection locked="0"/>
    </xf>
    <xf numFmtId="0" fontId="54" fillId="29" borderId="40" xfId="59" applyFont="1" applyFill="1" applyBorder="1" applyAlignment="1" applyProtection="1">
      <alignment horizontal="left" vertical="center"/>
      <protection locked="0"/>
    </xf>
    <xf numFmtId="0" fontId="54" fillId="29" borderId="41" xfId="59" applyFont="1" applyFill="1" applyBorder="1" applyAlignment="1" applyProtection="1">
      <alignment horizontal="left" vertical="center"/>
      <protection locked="0"/>
    </xf>
    <xf numFmtId="0" fontId="53" fillId="29" borderId="39" xfId="183" applyFont="1" applyFill="1" applyBorder="1" applyAlignment="1" applyProtection="1">
      <alignment horizontal="left" vertical="center"/>
      <protection locked="0"/>
    </xf>
    <xf numFmtId="0" fontId="53" fillId="29" borderId="40" xfId="183" applyFont="1" applyFill="1" applyBorder="1" applyAlignment="1" applyProtection="1">
      <alignment horizontal="left" vertical="center"/>
      <protection locked="0"/>
    </xf>
    <xf numFmtId="0" fontId="53" fillId="29" borderId="41" xfId="183" applyFont="1" applyFill="1" applyBorder="1" applyAlignment="1" applyProtection="1">
      <alignment horizontal="left" vertical="center"/>
      <protection locked="0"/>
    </xf>
    <xf numFmtId="0" fontId="17" fillId="0" borderId="46" xfId="0"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53" fillId="0" borderId="0" xfId="59" applyFont="1" applyFill="1" applyBorder="1" applyAlignment="1" applyProtection="1">
      <alignment horizontal="left" wrapText="1"/>
    </xf>
    <xf numFmtId="0" fontId="53" fillId="0" borderId="0" xfId="59" applyFont="1" applyFill="1" applyBorder="1" applyAlignment="1" applyProtection="1">
      <alignment horizontal="left" vertical="top" wrapText="1"/>
    </xf>
    <xf numFmtId="0" fontId="53" fillId="0" borderId="0" xfId="59" applyFont="1" applyFill="1" applyAlignment="1" applyProtection="1">
      <alignment wrapText="1"/>
    </xf>
    <xf numFmtId="0" fontId="16" fillId="0" borderId="0" xfId="59" applyAlignment="1">
      <alignment horizontal="left"/>
    </xf>
    <xf numFmtId="0" fontId="17" fillId="0" borderId="9" xfId="59" applyFont="1" applyBorder="1" applyAlignment="1">
      <alignment horizontal="left" vertical="top" wrapText="1"/>
    </xf>
    <xf numFmtId="0" fontId="17" fillId="0" borderId="0" xfId="59" applyFont="1" applyBorder="1" applyAlignment="1">
      <alignment horizontal="left" vertical="top" wrapText="1"/>
    </xf>
    <xf numFmtId="0" fontId="17" fillId="0" borderId="0" xfId="59" applyFont="1" applyAlignment="1">
      <alignment horizontal="left" wrapText="1"/>
    </xf>
    <xf numFmtId="0" fontId="16" fillId="0" borderId="0" xfId="59" applyAlignment="1">
      <alignment horizontal="left" wrapText="1"/>
    </xf>
    <xf numFmtId="0" fontId="16" fillId="0" borderId="0" xfId="59" applyAlignment="1" applyProtection="1">
      <alignment horizontal="left" vertical="top" wrapText="1"/>
    </xf>
    <xf numFmtId="0" fontId="53" fillId="0" borderId="0" xfId="59" applyFont="1" applyFill="1" applyBorder="1" applyAlignment="1" applyProtection="1">
      <alignment wrapText="1"/>
    </xf>
    <xf numFmtId="0" fontId="53" fillId="0" borderId="89" xfId="59" applyFont="1" applyFill="1" applyBorder="1" applyAlignment="1" applyProtection="1">
      <alignment wrapText="1"/>
    </xf>
    <xf numFmtId="0" fontId="53" fillId="0" borderId="0" xfId="59" applyFont="1" applyFill="1" applyBorder="1" applyAlignment="1" applyProtection="1">
      <alignment horizontal="left" wrapText="1" indent="4"/>
    </xf>
    <xf numFmtId="0" fontId="0" fillId="0" borderId="0" xfId="0" applyAlignment="1">
      <alignment horizontal="left" wrapText="1" indent="4"/>
    </xf>
    <xf numFmtId="0" fontId="53" fillId="28" borderId="37" xfId="59" applyFont="1" applyFill="1" applyBorder="1" applyAlignment="1" applyProtection="1">
      <alignment horizontal="center" vertical="center"/>
      <protection locked="0"/>
    </xf>
    <xf numFmtId="0" fontId="53" fillId="28" borderId="15" xfId="59" applyFont="1" applyFill="1" applyBorder="1" applyAlignment="1" applyProtection="1">
      <alignment horizontal="center" vertical="center"/>
      <protection locked="0"/>
    </xf>
    <xf numFmtId="0" fontId="53" fillId="28" borderId="27" xfId="59" applyFont="1" applyFill="1" applyBorder="1" applyAlignment="1" applyProtection="1">
      <alignment horizontal="center" vertical="center"/>
      <protection locked="0"/>
    </xf>
    <xf numFmtId="0" fontId="0" fillId="0" borderId="0" xfId="0" applyAlignment="1">
      <alignment wrapText="1"/>
    </xf>
    <xf numFmtId="0" fontId="52" fillId="0" borderId="0" xfId="59" applyFont="1" applyAlignment="1">
      <alignment wrapText="1"/>
    </xf>
    <xf numFmtId="0" fontId="17" fillId="0" borderId="0" xfId="298" applyFont="1" applyAlignment="1" applyProtection="1">
      <alignment horizontal="left" vertical="top" wrapText="1"/>
    </xf>
    <xf numFmtId="0" fontId="17" fillId="0" borderId="0" xfId="298" applyFont="1" applyFill="1" applyAlignment="1" applyProtection="1">
      <alignment horizontal="left" vertical="top" wrapText="1"/>
    </xf>
    <xf numFmtId="8" fontId="31" fillId="0" borderId="30" xfId="0" applyNumberFormat="1" applyFont="1" applyFill="1" applyBorder="1" applyAlignment="1" applyProtection="1">
      <alignment horizontal="center" vertical="center" wrapText="1"/>
    </xf>
    <xf numFmtId="8" fontId="31" fillId="0" borderId="0" xfId="0" applyNumberFormat="1" applyFont="1" applyFill="1" applyBorder="1" applyAlignment="1" applyProtection="1">
      <alignment horizontal="center" vertical="center" wrapText="1"/>
    </xf>
    <xf numFmtId="8" fontId="31" fillId="0" borderId="34" xfId="0" applyNumberFormat="1" applyFont="1" applyFill="1" applyBorder="1" applyAlignment="1" applyProtection="1">
      <alignment horizontal="center" vertical="center" wrapText="1"/>
    </xf>
    <xf numFmtId="8" fontId="31" fillId="0" borderId="74" xfId="0" applyNumberFormat="1" applyFont="1" applyFill="1" applyBorder="1" applyAlignment="1" applyProtection="1">
      <alignment horizontal="center" vertical="center" wrapText="1"/>
    </xf>
    <xf numFmtId="8" fontId="31" fillId="0" borderId="35" xfId="0" applyNumberFormat="1" applyFont="1" applyFill="1" applyBorder="1" applyAlignment="1" applyProtection="1">
      <alignment horizontal="center" vertical="center" wrapText="1"/>
    </xf>
    <xf numFmtId="8" fontId="31" fillId="0" borderId="10" xfId="0" applyNumberFormat="1" applyFont="1" applyFill="1" applyBorder="1" applyAlignment="1" applyProtection="1">
      <alignment horizontal="center" vertical="center" wrapText="1"/>
    </xf>
    <xf numFmtId="8" fontId="31" fillId="0" borderId="36" xfId="0" applyNumberFormat="1" applyFont="1" applyFill="1" applyBorder="1" applyAlignment="1" applyProtection="1">
      <alignment horizontal="center" vertical="center" wrapText="1"/>
    </xf>
    <xf numFmtId="8" fontId="31" fillId="66" borderId="0" xfId="0" applyNumberFormat="1" applyFont="1" applyFill="1" applyBorder="1" applyAlignment="1" applyProtection="1">
      <alignment horizontal="center" vertical="center" wrapText="1"/>
    </xf>
    <xf numFmtId="8" fontId="31" fillId="66" borderId="34" xfId="0" applyNumberFormat="1" applyFont="1" applyFill="1" applyBorder="1" applyAlignment="1" applyProtection="1">
      <alignment horizontal="center" vertical="center" wrapText="1"/>
    </xf>
    <xf numFmtId="8" fontId="29" fillId="66" borderId="0" xfId="0" applyNumberFormat="1" applyFont="1" applyFill="1" applyBorder="1" applyAlignment="1" applyProtection="1">
      <alignment horizontal="center" vertical="center" wrapText="1"/>
    </xf>
    <xf numFmtId="8" fontId="29" fillId="66" borderId="34" xfId="0" applyNumberFormat="1" applyFont="1" applyFill="1" applyBorder="1" applyAlignment="1" applyProtection="1">
      <alignment horizontal="center" vertical="center" wrapText="1"/>
    </xf>
    <xf numFmtId="8" fontId="29" fillId="0" borderId="0" xfId="0" applyNumberFormat="1" applyFont="1" applyFill="1" applyBorder="1" applyAlignment="1" applyProtection="1">
      <alignment horizontal="center" vertical="center" wrapText="1"/>
    </xf>
    <xf numFmtId="8" fontId="29" fillId="0" borderId="34" xfId="0" applyNumberFormat="1" applyFont="1" applyFill="1" applyBorder="1" applyAlignment="1" applyProtection="1">
      <alignment horizontal="center" vertical="center" wrapText="1"/>
    </xf>
    <xf numFmtId="8" fontId="31" fillId="0" borderId="32" xfId="0" applyNumberFormat="1" applyFont="1" applyFill="1" applyBorder="1" applyAlignment="1" applyProtection="1">
      <alignment horizontal="center" vertical="center" wrapText="1"/>
    </xf>
    <xf numFmtId="8" fontId="31" fillId="0" borderId="46" xfId="0" applyNumberFormat="1" applyFont="1" applyFill="1" applyBorder="1" applyAlignment="1" applyProtection="1">
      <alignment horizontal="center" vertical="center" wrapText="1"/>
    </xf>
    <xf numFmtId="8" fontId="31" fillId="0" borderId="33" xfId="0" applyNumberFormat="1" applyFont="1" applyFill="1" applyBorder="1" applyAlignment="1" applyProtection="1">
      <alignment horizontal="center" vertical="center" wrapText="1"/>
    </xf>
    <xf numFmtId="8" fontId="31" fillId="0" borderId="37" xfId="0" applyNumberFormat="1" applyFont="1" applyFill="1" applyBorder="1" applyAlignment="1" applyProtection="1">
      <alignment horizontal="center" vertical="center" wrapText="1"/>
    </xf>
    <xf numFmtId="8" fontId="31" fillId="0" borderId="15" xfId="0" applyNumberFormat="1" applyFont="1" applyFill="1" applyBorder="1" applyAlignment="1" applyProtection="1">
      <alignment horizontal="center" vertical="center" wrapText="1"/>
    </xf>
    <xf numFmtId="8" fontId="31" fillId="0" borderId="38" xfId="0" applyNumberFormat="1" applyFont="1" applyFill="1" applyBorder="1" applyAlignment="1" applyProtection="1">
      <alignment horizontal="center" vertical="center" wrapText="1"/>
    </xf>
    <xf numFmtId="0" fontId="19" fillId="0" borderId="0" xfId="298" applyFont="1" applyFill="1" applyBorder="1" applyAlignment="1" applyProtection="1">
      <alignment horizontal="left" vertical="top" wrapText="1"/>
    </xf>
    <xf numFmtId="0" fontId="47" fillId="0" borderId="32" xfId="0" applyFont="1" applyFill="1" applyBorder="1" applyAlignment="1" applyProtection="1">
      <alignment horizontal="left" vertical="center"/>
    </xf>
    <xf numFmtId="0" fontId="47" fillId="0" borderId="46" xfId="0" applyFont="1" applyFill="1" applyBorder="1" applyAlignment="1" applyProtection="1">
      <alignment horizontal="left" vertical="center"/>
    </xf>
    <xf numFmtId="0" fontId="31" fillId="0" borderId="35"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xf>
    <xf numFmtId="8" fontId="31" fillId="66" borderId="46" xfId="0" applyNumberFormat="1" applyFont="1" applyFill="1" applyBorder="1" applyAlignment="1" applyProtection="1">
      <alignment horizontal="center" vertical="center" wrapText="1"/>
    </xf>
    <xf numFmtId="8" fontId="31" fillId="66" borderId="33" xfId="0" applyNumberFormat="1" applyFont="1" applyFill="1" applyBorder="1" applyAlignment="1" applyProtection="1">
      <alignment horizontal="center" vertical="center" wrapText="1"/>
    </xf>
    <xf numFmtId="0" fontId="30" fillId="0" borderId="17" xfId="0" applyNumberFormat="1" applyFont="1" applyBorder="1" applyAlignment="1" applyProtection="1">
      <alignment horizontal="center"/>
    </xf>
    <xf numFmtId="0" fontId="30" fillId="0" borderId="31" xfId="0" applyNumberFormat="1" applyFont="1" applyBorder="1" applyAlignment="1" applyProtection="1">
      <alignment horizontal="center"/>
    </xf>
    <xf numFmtId="0" fontId="30" fillId="0" borderId="13" xfId="0" applyNumberFormat="1" applyFont="1" applyBorder="1" applyAlignment="1" applyProtection="1">
      <alignment horizontal="center"/>
    </xf>
    <xf numFmtId="0" fontId="28" fillId="0" borderId="17" xfId="0" applyNumberFormat="1" applyFont="1" applyFill="1" applyBorder="1" applyAlignment="1" applyProtection="1">
      <alignment horizontal="center" vertical="center"/>
    </xf>
    <xf numFmtId="0" fontId="28" fillId="0" borderId="31" xfId="0" applyNumberFormat="1" applyFont="1" applyFill="1" applyBorder="1" applyAlignment="1" applyProtection="1">
      <alignment horizontal="center" vertical="center"/>
    </xf>
    <xf numFmtId="0" fontId="28" fillId="0" borderId="13" xfId="0" applyNumberFormat="1" applyFont="1" applyFill="1" applyBorder="1" applyAlignment="1" applyProtection="1">
      <alignment horizontal="center" vertical="center"/>
    </xf>
    <xf numFmtId="0" fontId="28" fillId="0" borderId="17" xfId="0" applyNumberFormat="1"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protection locked="0"/>
    </xf>
    <xf numFmtId="0" fontId="28" fillId="0" borderId="13" xfId="0" applyNumberFormat="1" applyFont="1" applyFill="1" applyBorder="1" applyAlignment="1" applyProtection="1">
      <alignment horizontal="center" vertical="center"/>
      <protection locked="0"/>
    </xf>
    <xf numFmtId="0" fontId="23" fillId="0" borderId="32" xfId="0" applyFont="1" applyBorder="1" applyAlignment="1" applyProtection="1">
      <alignment horizontal="left" vertical="top" wrapText="1"/>
    </xf>
    <xf numFmtId="0" fontId="23" fillId="0" borderId="30" xfId="0" applyFont="1" applyBorder="1" applyAlignment="1" applyProtection="1">
      <alignment horizontal="left" vertical="top" wrapText="1"/>
    </xf>
    <xf numFmtId="0" fontId="23" fillId="0" borderId="35" xfId="0" applyFont="1" applyBorder="1" applyAlignment="1" applyProtection="1">
      <alignment horizontal="left" vertical="top" wrapText="1"/>
    </xf>
    <xf numFmtId="0" fontId="23" fillId="0" borderId="100" xfId="0" applyFont="1" applyBorder="1" applyAlignment="1" applyProtection="1">
      <alignment horizontal="left" vertical="top" wrapText="1"/>
    </xf>
    <xf numFmtId="0" fontId="23" fillId="0" borderId="98" xfId="0" applyFont="1" applyBorder="1" applyAlignment="1" applyProtection="1">
      <alignment horizontal="left" vertical="top" wrapText="1"/>
    </xf>
    <xf numFmtId="0" fontId="23" fillId="0" borderId="99" xfId="0" applyFont="1" applyBorder="1" applyAlignment="1" applyProtection="1">
      <alignment horizontal="left" vertical="top" wrapText="1"/>
    </xf>
    <xf numFmtId="0" fontId="31" fillId="0" borderId="35" xfId="0" applyFont="1" applyBorder="1" applyAlignment="1" applyProtection="1">
      <alignment horizontal="center" vertical="center" wrapText="1"/>
    </xf>
    <xf numFmtId="0" fontId="31" fillId="0" borderId="10" xfId="0" applyFont="1" applyBorder="1" applyAlignment="1" applyProtection="1">
      <alignment horizontal="center" vertical="center" wrapText="1"/>
    </xf>
    <xf numFmtId="0" fontId="31" fillId="0" borderId="36" xfId="0" applyFont="1" applyBorder="1" applyAlignment="1" applyProtection="1">
      <alignment horizontal="center" vertical="center" wrapText="1"/>
    </xf>
    <xf numFmtId="0" fontId="47" fillId="0" borderId="32" xfId="0" applyFont="1" applyBorder="1" applyAlignment="1" applyProtection="1">
      <alignment horizontal="left" vertical="center" wrapText="1"/>
    </xf>
    <xf numFmtId="0" fontId="47" fillId="0" borderId="9" xfId="0" applyFont="1" applyBorder="1" applyAlignment="1" applyProtection="1">
      <alignment horizontal="left" vertical="center" wrapText="1"/>
    </xf>
    <xf numFmtId="0" fontId="47" fillId="0" borderId="33" xfId="0" applyFont="1" applyBorder="1" applyAlignment="1" applyProtection="1">
      <alignment horizontal="left" vertical="center" wrapText="1"/>
    </xf>
    <xf numFmtId="0" fontId="20" fillId="0" borderId="0" xfId="0" applyFont="1" applyAlignment="1" applyProtection="1">
      <alignment horizontal="left" vertical="top" wrapText="1"/>
    </xf>
    <xf numFmtId="0" fontId="17" fillId="0" borderId="0" xfId="298" applyAlignment="1">
      <alignment horizontal="left" vertical="top" wrapText="1"/>
    </xf>
    <xf numFmtId="8" fontId="31" fillId="0" borderId="35" xfId="0" applyNumberFormat="1" applyFont="1" applyBorder="1" applyAlignment="1">
      <alignment horizontal="center" vertical="center" wrapText="1"/>
    </xf>
    <xf numFmtId="8" fontId="31" fillId="0" borderId="89" xfId="0" applyNumberFormat="1" applyFont="1" applyBorder="1" applyAlignment="1">
      <alignment horizontal="center" vertical="center" wrapText="1"/>
    </xf>
    <xf numFmtId="8" fontId="31" fillId="0" borderId="36" xfId="0" applyNumberFormat="1" applyFont="1" applyBorder="1" applyAlignment="1">
      <alignment horizontal="center" vertical="center" wrapText="1"/>
    </xf>
    <xf numFmtId="8" fontId="31" fillId="0" borderId="37" xfId="0" applyNumberFormat="1" applyFont="1" applyBorder="1" applyAlignment="1">
      <alignment horizontal="center" vertical="center" wrapText="1"/>
    </xf>
    <xf numFmtId="8" fontId="31" fillId="0" borderId="15" xfId="0" applyNumberFormat="1" applyFont="1" applyBorder="1" applyAlignment="1">
      <alignment horizontal="center" vertical="center" wrapText="1"/>
    </xf>
    <xf numFmtId="8" fontId="31" fillId="0" borderId="38" xfId="0" applyNumberFormat="1" applyFont="1" applyBorder="1" applyAlignment="1">
      <alignment horizontal="center" vertical="center" wrapText="1"/>
    </xf>
    <xf numFmtId="0" fontId="19" fillId="0" borderId="0" xfId="298" applyFont="1" applyAlignment="1">
      <alignment horizontal="left" vertical="top" wrapText="1"/>
    </xf>
    <xf numFmtId="8" fontId="31" fillId="0" borderId="30" xfId="0" applyNumberFormat="1" applyFont="1" applyBorder="1" applyAlignment="1">
      <alignment horizontal="center" vertical="center" wrapText="1"/>
    </xf>
    <xf numFmtId="8" fontId="31" fillId="0" borderId="0" xfId="0" applyNumberFormat="1" applyFont="1" applyAlignment="1">
      <alignment horizontal="center" vertical="center" wrapText="1"/>
    </xf>
    <xf numFmtId="8" fontId="31" fillId="0" borderId="34" xfId="0" applyNumberFormat="1" applyFont="1" applyBorder="1" applyAlignment="1">
      <alignment horizontal="center" vertical="center" wrapText="1"/>
    </xf>
    <xf numFmtId="8" fontId="29" fillId="0" borderId="0" xfId="0" applyNumberFormat="1" applyFont="1" applyAlignment="1">
      <alignment horizontal="center" vertical="center" wrapText="1"/>
    </xf>
    <xf numFmtId="8" fontId="29" fillId="0" borderId="34" xfId="0" applyNumberFormat="1" applyFont="1" applyBorder="1" applyAlignment="1">
      <alignment horizontal="center" vertical="center" wrapText="1"/>
    </xf>
    <xf numFmtId="8" fontId="29" fillId="66" borderId="0" xfId="0" applyNumberFormat="1" applyFont="1" applyFill="1" applyAlignment="1">
      <alignment horizontal="center" vertical="center" wrapText="1"/>
    </xf>
    <xf numFmtId="8" fontId="29" fillId="66" borderId="34" xfId="0" applyNumberFormat="1" applyFont="1" applyFill="1" applyBorder="1" applyAlignment="1">
      <alignment horizontal="center" vertical="center" wrapText="1"/>
    </xf>
    <xf numFmtId="8" fontId="31" fillId="0" borderId="32" xfId="0" applyNumberFormat="1" applyFont="1" applyBorder="1" applyAlignment="1">
      <alignment horizontal="center" vertical="center" wrapText="1"/>
    </xf>
    <xf numFmtId="8" fontId="31" fillId="0" borderId="46" xfId="0" applyNumberFormat="1" applyFont="1" applyBorder="1" applyAlignment="1">
      <alignment horizontal="center" vertical="center" wrapText="1"/>
    </xf>
    <xf numFmtId="8" fontId="31" fillId="0" borderId="33" xfId="0" applyNumberFormat="1" applyFont="1" applyBorder="1" applyAlignment="1">
      <alignment horizontal="center" vertical="center" wrapText="1"/>
    </xf>
    <xf numFmtId="8" fontId="31" fillId="66" borderId="0" xfId="0" applyNumberFormat="1" applyFont="1" applyFill="1" applyAlignment="1">
      <alignment horizontal="center" vertical="center" wrapText="1"/>
    </xf>
    <xf numFmtId="8" fontId="31" fillId="66" borderId="34" xfId="0" applyNumberFormat="1" applyFont="1" applyFill="1" applyBorder="1" applyAlignment="1">
      <alignment horizontal="center" vertical="center" wrapText="1"/>
    </xf>
    <xf numFmtId="0" fontId="28" fillId="0" borderId="17" xfId="0" applyFont="1" applyBorder="1" applyAlignment="1">
      <alignment horizontal="center" vertical="center"/>
    </xf>
    <xf numFmtId="0" fontId="28" fillId="0" borderId="31" xfId="0" applyFont="1" applyBorder="1" applyAlignment="1">
      <alignment horizontal="center" vertical="center"/>
    </xf>
    <xf numFmtId="0" fontId="28" fillId="0" borderId="13" xfId="0" applyFont="1" applyBorder="1" applyAlignment="1">
      <alignment horizontal="center" vertical="center"/>
    </xf>
    <xf numFmtId="0" fontId="30" fillId="0" borderId="17" xfId="0" applyFont="1" applyBorder="1" applyAlignment="1">
      <alignment horizontal="center"/>
    </xf>
    <xf numFmtId="0" fontId="30" fillId="0" borderId="31" xfId="0" applyFont="1" applyBorder="1" applyAlignment="1">
      <alignment horizontal="center"/>
    </xf>
    <xf numFmtId="0" fontId="30" fillId="0" borderId="13" xfId="0" applyFont="1" applyBorder="1" applyAlignment="1">
      <alignment horizontal="center"/>
    </xf>
    <xf numFmtId="0" fontId="47" fillId="0" borderId="32" xfId="0" applyFont="1" applyBorder="1" applyAlignment="1">
      <alignment horizontal="left" vertical="center"/>
    </xf>
    <xf numFmtId="0" fontId="47" fillId="0" borderId="46" xfId="0" applyFont="1" applyBorder="1" applyAlignment="1">
      <alignment horizontal="left" vertical="center"/>
    </xf>
    <xf numFmtId="0" fontId="31" fillId="0" borderId="35" xfId="0" applyFont="1" applyBorder="1" applyAlignment="1">
      <alignment horizontal="center" vertical="center" wrapText="1"/>
    </xf>
    <xf numFmtId="0" fontId="31" fillId="0" borderId="89" xfId="0" applyFont="1" applyBorder="1" applyAlignment="1">
      <alignment horizontal="center" vertical="center" wrapText="1"/>
    </xf>
    <xf numFmtId="8" fontId="31" fillId="66" borderId="46" xfId="0" applyNumberFormat="1" applyFont="1" applyFill="1" applyBorder="1" applyAlignment="1">
      <alignment horizontal="center" vertical="center" wrapText="1"/>
    </xf>
    <xf numFmtId="8" fontId="31" fillId="66" borderId="33" xfId="0" applyNumberFormat="1" applyFont="1" applyFill="1" applyBorder="1" applyAlignment="1">
      <alignment horizontal="center" vertical="center" wrapText="1"/>
    </xf>
    <xf numFmtId="0" fontId="28" fillId="0" borderId="17" xfId="0" applyFont="1" applyBorder="1" applyAlignment="1" applyProtection="1">
      <alignment horizontal="center" vertical="center"/>
      <protection locked="0"/>
    </xf>
    <xf numFmtId="0" fontId="28" fillId="0" borderId="31" xfId="0" applyFont="1" applyBorder="1" applyAlignment="1" applyProtection="1">
      <alignment horizontal="center" vertical="center"/>
      <protection locked="0"/>
    </xf>
    <xf numFmtId="0" fontId="28" fillId="0" borderId="13" xfId="0" applyFont="1" applyBorder="1" applyAlignment="1" applyProtection="1">
      <alignment horizontal="center" vertical="center"/>
      <protection locked="0"/>
    </xf>
    <xf numFmtId="8" fontId="31" fillId="0" borderId="124" xfId="0" applyNumberFormat="1" applyFont="1" applyBorder="1" applyAlignment="1">
      <alignment horizontal="center" vertical="center" wrapText="1"/>
    </xf>
    <xf numFmtId="8" fontId="31" fillId="0" borderId="123" xfId="0" applyNumberFormat="1" applyFont="1" applyBorder="1" applyAlignment="1">
      <alignment horizontal="center" vertical="center" wrapText="1"/>
    </xf>
    <xf numFmtId="0" fontId="23" fillId="0" borderId="32" xfId="0" applyFont="1" applyBorder="1" applyAlignment="1">
      <alignment horizontal="left" vertical="top" wrapText="1"/>
    </xf>
    <xf numFmtId="0" fontId="23" fillId="0" borderId="30" xfId="0" applyFont="1" applyBorder="1" applyAlignment="1">
      <alignment horizontal="left" vertical="top" wrapText="1"/>
    </xf>
    <xf numFmtId="0" fontId="23" fillId="0" borderId="35" xfId="0" applyFont="1" applyBorder="1" applyAlignment="1">
      <alignment horizontal="left" vertical="top" wrapText="1"/>
    </xf>
    <xf numFmtId="0" fontId="23" fillId="0" borderId="125" xfId="0" applyFont="1" applyBorder="1" applyAlignment="1">
      <alignment horizontal="left" vertical="top" wrapText="1"/>
    </xf>
    <xf numFmtId="0" fontId="23" fillId="0" borderId="49" xfId="0" applyFont="1" applyBorder="1" applyAlignment="1">
      <alignment horizontal="left" vertical="top" wrapText="1"/>
    </xf>
    <xf numFmtId="0" fontId="23" fillId="0" borderId="90" xfId="0" applyFont="1" applyBorder="1" applyAlignment="1">
      <alignment horizontal="left" vertical="top" wrapText="1"/>
    </xf>
    <xf numFmtId="8" fontId="29" fillId="0" borderId="74" xfId="0" applyNumberFormat="1" applyFont="1" applyBorder="1" applyAlignment="1">
      <alignment horizontal="center" vertical="center" wrapText="1"/>
    </xf>
    <xf numFmtId="8" fontId="31" fillId="0" borderId="122" xfId="0" applyNumberFormat="1" applyFont="1" applyBorder="1" applyAlignment="1">
      <alignment horizontal="center" vertical="center" wrapText="1"/>
    </xf>
    <xf numFmtId="8" fontId="31" fillId="0" borderId="74" xfId="0" applyNumberFormat="1" applyFont="1" applyBorder="1" applyAlignment="1">
      <alignment horizontal="center" vertical="center" wrapText="1"/>
    </xf>
    <xf numFmtId="8" fontId="29" fillId="0" borderId="89" xfId="0" applyNumberFormat="1" applyFont="1" applyBorder="1" applyAlignment="1">
      <alignment horizontal="center" vertical="center" wrapText="1"/>
    </xf>
    <xf numFmtId="8" fontId="29" fillId="0" borderId="123" xfId="0" applyNumberFormat="1" applyFont="1" applyBorder="1" applyAlignment="1">
      <alignment horizontal="center" vertical="center" wrapText="1"/>
    </xf>
    <xf numFmtId="0" fontId="20" fillId="0" borderId="0" xfId="0" applyFont="1" applyAlignment="1">
      <alignment horizontal="left" vertical="top" wrapText="1"/>
    </xf>
    <xf numFmtId="0" fontId="47" fillId="0" borderId="32" xfId="0" applyFont="1" applyBorder="1" applyAlignment="1">
      <alignment horizontal="left" vertical="center" wrapText="1"/>
    </xf>
    <xf numFmtId="0" fontId="47" fillId="0" borderId="46" xfId="0" applyFont="1" applyBorder="1" applyAlignment="1">
      <alignment horizontal="left" vertical="center" wrapText="1"/>
    </xf>
    <xf numFmtId="0" fontId="47" fillId="0" borderId="122" xfId="0" applyFont="1" applyBorder="1" applyAlignment="1">
      <alignment horizontal="left" vertical="center" wrapText="1"/>
    </xf>
    <xf numFmtId="0" fontId="31" fillId="0" borderId="123" xfId="0" applyFont="1" applyBorder="1" applyAlignment="1">
      <alignment horizontal="center" vertical="center" wrapText="1"/>
    </xf>
    <xf numFmtId="0" fontId="17" fillId="0" borderId="0" xfId="0" applyFont="1" applyAlignment="1" applyProtection="1">
      <alignment horizontal="left" vertical="top" wrapText="1"/>
    </xf>
    <xf numFmtId="177" fontId="20" fillId="27" borderId="4" xfId="69" applyNumberFormat="1" applyFont="1" applyFill="1" applyBorder="1" applyAlignment="1" applyProtection="1">
      <alignment horizontal="center" vertical="center"/>
    </xf>
    <xf numFmtId="177" fontId="20" fillId="27" borderId="4" xfId="69" applyNumberFormat="1" applyFont="1" applyFill="1" applyBorder="1" applyAlignment="1" applyProtection="1">
      <alignment horizontal="center" vertical="center" wrapText="1"/>
    </xf>
    <xf numFmtId="10" fontId="20" fillId="27" borderId="4" xfId="69" applyNumberFormat="1" applyFont="1" applyFill="1" applyBorder="1" applyAlignment="1" applyProtection="1">
      <alignment horizontal="center" vertical="center" wrapText="1"/>
    </xf>
    <xf numFmtId="177" fontId="20" fillId="64" borderId="4" xfId="69" applyNumberFormat="1" applyFont="1" applyFill="1" applyBorder="1" applyAlignment="1" applyProtection="1">
      <alignment horizontal="center" vertical="center" wrapText="1"/>
    </xf>
    <xf numFmtId="0" fontId="17" fillId="0" borderId="4" xfId="0" applyFont="1" applyBorder="1" applyAlignment="1" applyProtection="1">
      <alignment horizontal="center" vertical="center"/>
    </xf>
    <xf numFmtId="10" fontId="20" fillId="27" borderId="42" xfId="69" applyNumberFormat="1" applyFont="1" applyFill="1" applyBorder="1" applyAlignment="1" applyProtection="1">
      <alignment horizontal="center" vertical="center" wrapText="1"/>
    </xf>
    <xf numFmtId="10" fontId="20" fillId="27" borderId="43" xfId="69" applyNumberFormat="1" applyFont="1" applyFill="1" applyBorder="1" applyAlignment="1" applyProtection="1">
      <alignment horizontal="center" vertical="center" wrapText="1"/>
    </xf>
    <xf numFmtId="0" fontId="50" fillId="27" borderId="42" xfId="0" applyFont="1" applyFill="1" applyBorder="1" applyAlignment="1" applyProtection="1">
      <alignment horizontal="center" vertical="center" wrapText="1"/>
    </xf>
    <xf numFmtId="0" fontId="50" fillId="0" borderId="43" xfId="0" applyFont="1" applyBorder="1" applyAlignment="1" applyProtection="1">
      <alignment wrapText="1"/>
    </xf>
    <xf numFmtId="0" fontId="20" fillId="27" borderId="4" xfId="69" applyNumberFormat="1" applyFont="1" applyFill="1" applyBorder="1" applyAlignment="1" applyProtection="1">
      <alignment horizontal="center" vertical="center" wrapText="1"/>
    </xf>
    <xf numFmtId="0" fontId="17" fillId="0" borderId="0" xfId="0" applyFont="1" applyAlignment="1" applyProtection="1">
      <alignment horizontal="left" wrapText="1"/>
    </xf>
    <xf numFmtId="0" fontId="17" fillId="0" borderId="4" xfId="0" quotePrefix="1" applyFont="1" applyBorder="1" applyAlignment="1" applyProtection="1">
      <alignment horizontal="center" vertical="center"/>
    </xf>
    <xf numFmtId="0" fontId="0" fillId="0" borderId="4" xfId="0" applyBorder="1" applyAlignment="1" applyProtection="1">
      <alignment horizontal="center" vertical="center"/>
    </xf>
    <xf numFmtId="0" fontId="59" fillId="0" borderId="0" xfId="0" applyFont="1" applyAlignment="1" applyProtection="1">
      <alignment horizontal="left" vertical="top" wrapText="1"/>
    </xf>
    <xf numFmtId="0" fontId="20" fillId="27" borderId="4" xfId="69" applyFont="1" applyFill="1" applyBorder="1" applyAlignment="1" applyProtection="1">
      <alignment horizontal="center" vertical="center"/>
    </xf>
    <xf numFmtId="0" fontId="20" fillId="0" borderId="4" xfId="69" applyFont="1" applyBorder="1" applyAlignment="1" applyProtection="1">
      <alignment horizontal="center" vertical="center" wrapText="1"/>
    </xf>
    <xf numFmtId="0" fontId="20" fillId="0" borderId="4" xfId="69" applyFont="1" applyBorder="1" applyAlignment="1" applyProtection="1">
      <alignment horizontal="center" vertical="center"/>
    </xf>
    <xf numFmtId="0" fontId="20" fillId="71" borderId="4" xfId="0" applyFont="1" applyFill="1" applyBorder="1" applyAlignment="1" applyProtection="1">
      <alignment horizontal="left" vertical="center" wrapText="1" indent="1"/>
    </xf>
    <xf numFmtId="0" fontId="20" fillId="64" borderId="4" xfId="0" applyFont="1" applyFill="1" applyBorder="1" applyAlignment="1" applyProtection="1">
      <alignment horizontal="right" vertical="center" wrapText="1" indent="1"/>
    </xf>
    <xf numFmtId="0" fontId="17" fillId="0" borderId="4" xfId="0" applyFont="1" applyBorder="1" applyAlignment="1" applyProtection="1">
      <alignment horizontal="right" vertical="center" wrapText="1" indent="1"/>
    </xf>
    <xf numFmtId="0" fontId="20" fillId="0" borderId="4" xfId="0" applyFont="1" applyBorder="1" applyAlignment="1" applyProtection="1">
      <alignment horizontal="right" vertical="center" wrapText="1" indent="1"/>
    </xf>
    <xf numFmtId="178" fontId="0" fillId="29" borderId="80" xfId="490" applyNumberFormat="1" applyFont="1" applyFill="1" applyBorder="1" applyAlignment="1" applyProtection="1">
      <protection locked="0"/>
    </xf>
    <xf numFmtId="0" fontId="5" fillId="0" borderId="81" xfId="487" applyBorder="1" applyAlignment="1" applyProtection="1">
      <protection locked="0"/>
    </xf>
    <xf numFmtId="178" fontId="0" fillId="29" borderId="4" xfId="490" applyNumberFormat="1" applyFont="1" applyFill="1" applyBorder="1" applyAlignment="1" applyProtection="1">
      <protection locked="0"/>
    </xf>
    <xf numFmtId="0" fontId="5" fillId="0" borderId="4" xfId="487" applyBorder="1" applyAlignment="1" applyProtection="1">
      <protection locked="0"/>
    </xf>
    <xf numFmtId="0" fontId="50" fillId="0" borderId="4" xfId="487" applyFont="1" applyBorder="1" applyAlignment="1">
      <alignment horizontal="center"/>
    </xf>
    <xf numFmtId="0" fontId="5" fillId="0" borderId="4" xfId="487" applyBorder="1" applyAlignment="1">
      <alignment horizontal="center"/>
    </xf>
    <xf numFmtId="0" fontId="5" fillId="0" borderId="80" xfId="487" applyFill="1" applyBorder="1" applyAlignment="1">
      <alignment horizontal="center"/>
    </xf>
    <xf numFmtId="0" fontId="5" fillId="0" borderId="81" xfId="487" applyBorder="1" applyAlignment="1"/>
    <xf numFmtId="0" fontId="50" fillId="0" borderId="42" xfId="487" applyFont="1" applyBorder="1" applyAlignment="1">
      <alignment horizontal="center"/>
    </xf>
    <xf numFmtId="0" fontId="50" fillId="0" borderId="43" xfId="487" applyFont="1" applyBorder="1" applyAlignment="1">
      <alignment horizontal="center"/>
    </xf>
    <xf numFmtId="0" fontId="50" fillId="0" borderId="80" xfId="487" applyFont="1" applyFill="1" applyBorder="1" applyAlignment="1">
      <alignment horizontal="center"/>
    </xf>
    <xf numFmtId="0" fontId="5" fillId="0" borderId="81" xfId="487" applyBorder="1" applyAlignment="1">
      <alignment horizontal="center"/>
    </xf>
    <xf numFmtId="0" fontId="52" fillId="0" borderId="78" xfId="487" applyFont="1" applyFill="1" applyBorder="1" applyAlignment="1" applyProtection="1">
      <alignment horizontal="left" vertical="center" wrapText="1" indent="1"/>
    </xf>
    <xf numFmtId="0" fontId="52" fillId="0" borderId="0" xfId="487" applyFont="1" applyFill="1" applyBorder="1" applyAlignment="1" applyProtection="1">
      <alignment horizontal="left" vertical="center" wrapText="1" indent="1"/>
    </xf>
    <xf numFmtId="0" fontId="52" fillId="0" borderId="0" xfId="487" applyFont="1" applyAlignment="1" applyProtection="1">
      <alignment horizontal="left" vertical="center" wrapText="1"/>
    </xf>
    <xf numFmtId="0" fontId="5" fillId="0" borderId="0" xfId="487" applyAlignment="1">
      <alignment horizontal="left" vertical="center" wrapText="1"/>
    </xf>
    <xf numFmtId="0" fontId="5" fillId="0" borderId="87" xfId="487" applyBorder="1" applyAlignment="1">
      <alignment horizontal="left" vertical="center" wrapText="1"/>
    </xf>
    <xf numFmtId="0" fontId="52" fillId="0" borderId="4" xfId="487" applyFont="1" applyBorder="1" applyAlignment="1">
      <alignment horizontal="center" wrapText="1"/>
    </xf>
    <xf numFmtId="0" fontId="52" fillId="0" borderId="0" xfId="486" applyFont="1" applyAlignment="1" applyProtection="1">
      <alignment horizontal="left" wrapText="1"/>
    </xf>
    <xf numFmtId="0" fontId="5" fillId="0" borderId="0" xfId="486" applyAlignment="1" applyProtection="1">
      <alignment wrapText="1"/>
    </xf>
    <xf numFmtId="0" fontId="52" fillId="0" borderId="78" xfId="486" applyFont="1" applyFill="1" applyBorder="1" applyAlignment="1" applyProtection="1">
      <alignment horizontal="left" vertical="center" wrapText="1" indent="1"/>
    </xf>
    <xf numFmtId="0" fontId="52" fillId="0" borderId="0" xfId="486" applyFont="1" applyFill="1" applyBorder="1" applyAlignment="1" applyProtection="1">
      <alignment horizontal="left" vertical="center" wrapText="1" indent="1"/>
    </xf>
    <xf numFmtId="0" fontId="52" fillId="0" borderId="0" xfId="486" applyFont="1" applyAlignment="1" applyProtection="1">
      <alignment horizontal="left"/>
    </xf>
    <xf numFmtId="0" fontId="52" fillId="0" borderId="75" xfId="486" applyFont="1" applyBorder="1" applyAlignment="1" applyProtection="1">
      <alignment horizontal="left" wrapText="1"/>
    </xf>
    <xf numFmtId="0" fontId="52" fillId="0" borderId="0" xfId="486" applyFont="1" applyBorder="1" applyAlignment="1" applyProtection="1">
      <alignment horizontal="left" wrapText="1"/>
    </xf>
    <xf numFmtId="0" fontId="87" fillId="0" borderId="17" xfId="0" applyFont="1" applyBorder="1" applyAlignment="1">
      <alignment vertical="top" wrapText="1"/>
    </xf>
    <xf numFmtId="0" fontId="87" fillId="0" borderId="31" xfId="0" applyFont="1" applyBorder="1" applyAlignment="1">
      <alignment vertical="top" wrapText="1"/>
    </xf>
    <xf numFmtId="0" fontId="87" fillId="0" borderId="13" xfId="0" applyFont="1" applyBorder="1" applyAlignment="1">
      <alignment vertical="top" wrapText="1"/>
    </xf>
    <xf numFmtId="0" fontId="52" fillId="0" borderId="0" xfId="487" applyFont="1" applyFill="1" applyAlignment="1" applyProtection="1">
      <alignment horizontal="left" wrapText="1"/>
    </xf>
    <xf numFmtId="0" fontId="5" fillId="0" borderId="0" xfId="487" applyFill="1" applyAlignment="1" applyProtection="1">
      <alignment wrapText="1"/>
    </xf>
    <xf numFmtId="0" fontId="52" fillId="0" borderId="0" xfId="487" applyFont="1" applyAlignment="1" applyProtection="1">
      <alignment horizontal="left" wrapText="1"/>
    </xf>
    <xf numFmtId="0" fontId="52" fillId="0" borderId="0" xfId="487" applyFont="1" applyFill="1" applyAlignment="1" applyProtection="1">
      <alignment horizontal="left"/>
    </xf>
    <xf numFmtId="0" fontId="52" fillId="0" borderId="75" xfId="487" applyFont="1" applyFill="1" applyBorder="1" applyAlignment="1" applyProtection="1">
      <alignment horizontal="left" wrapText="1"/>
    </xf>
    <xf numFmtId="0" fontId="52" fillId="0" borderId="0" xfId="487" applyFont="1" applyFill="1" applyBorder="1" applyAlignment="1" applyProtection="1">
      <alignment horizontal="left" wrapText="1"/>
    </xf>
    <xf numFmtId="0" fontId="62" fillId="65" borderId="32" xfId="346" applyFont="1" applyFill="1" applyBorder="1" applyAlignment="1" applyProtection="1">
      <alignment horizontal="center" vertical="center" wrapText="1"/>
      <protection locked="0"/>
    </xf>
    <xf numFmtId="0" fontId="95" fillId="65" borderId="30" xfId="0" applyFont="1" applyFill="1" applyBorder="1" applyAlignment="1" applyProtection="1">
      <alignment horizontal="center" vertical="center" wrapText="1"/>
      <protection locked="0"/>
    </xf>
    <xf numFmtId="0" fontId="95" fillId="65" borderId="35" xfId="0" applyFont="1" applyFill="1" applyBorder="1" applyAlignment="1" applyProtection="1">
      <alignment horizontal="center" vertical="center" wrapText="1"/>
      <protection locked="0"/>
    </xf>
    <xf numFmtId="0" fontId="95" fillId="65" borderId="46" xfId="0" applyFont="1" applyFill="1" applyBorder="1" applyAlignment="1" applyProtection="1">
      <alignment horizontal="center" vertical="center" wrapText="1"/>
      <protection locked="0"/>
    </xf>
    <xf numFmtId="0" fontId="95" fillId="65" borderId="0" xfId="0" applyFont="1" applyFill="1" applyBorder="1" applyAlignment="1" applyProtection="1">
      <alignment horizontal="center" vertical="center" wrapText="1"/>
      <protection locked="0"/>
    </xf>
    <xf numFmtId="0" fontId="95" fillId="65" borderId="89" xfId="0" applyFont="1" applyFill="1" applyBorder="1" applyAlignment="1" applyProtection="1">
      <alignment horizontal="center" vertical="center" wrapText="1"/>
      <protection locked="0"/>
    </xf>
    <xf numFmtId="0" fontId="95" fillId="65" borderId="102" xfId="0" applyFont="1" applyFill="1" applyBorder="1" applyAlignment="1" applyProtection="1">
      <alignment horizontal="center" vertical="center" wrapText="1"/>
      <protection locked="0"/>
    </xf>
    <xf numFmtId="0" fontId="95" fillId="65" borderId="98" xfId="0" applyFont="1" applyFill="1" applyBorder="1" applyAlignment="1" applyProtection="1">
      <alignment horizontal="center" vertical="center" wrapText="1"/>
      <protection locked="0"/>
    </xf>
    <xf numFmtId="0" fontId="95" fillId="65" borderId="99" xfId="0" applyFont="1" applyFill="1" applyBorder="1" applyAlignment="1" applyProtection="1">
      <alignment horizontal="center" vertical="center" wrapText="1"/>
      <protection locked="0"/>
    </xf>
    <xf numFmtId="0" fontId="19" fillId="0" borderId="0" xfId="346" applyFont="1" applyAlignment="1" applyProtection="1">
      <alignment vertical="top" wrapText="1"/>
    </xf>
    <xf numFmtId="0" fontId="18" fillId="0" borderId="0" xfId="346" applyFont="1" applyAlignment="1" applyProtection="1">
      <alignment vertical="top"/>
    </xf>
    <xf numFmtId="0" fontId="87" fillId="0" borderId="75" xfId="346" applyFont="1" applyFill="1" applyBorder="1" applyAlignment="1" applyProtection="1">
      <alignment horizontal="center" wrapText="1"/>
    </xf>
    <xf numFmtId="0" fontId="87" fillId="0" borderId="75" xfId="346" applyFont="1" applyBorder="1" applyAlignment="1" applyProtection="1">
      <alignment horizontal="center" wrapText="1"/>
    </xf>
    <xf numFmtId="0" fontId="52" fillId="0" borderId="78" xfId="346" applyFont="1" applyFill="1" applyBorder="1" applyAlignment="1" applyProtection="1">
      <alignment horizontal="left" vertical="center" wrapText="1" indent="1"/>
    </xf>
    <xf numFmtId="0" fontId="52" fillId="0" borderId="0" xfId="346" applyFont="1" applyFill="1" applyBorder="1" applyAlignment="1" applyProtection="1">
      <alignment horizontal="left" vertical="center" wrapText="1" indent="1"/>
    </xf>
    <xf numFmtId="0" fontId="20" fillId="0" borderId="42" xfId="69" applyFont="1" applyBorder="1" applyAlignment="1">
      <alignment horizontal="center" vertical="center" wrapText="1"/>
    </xf>
    <xf numFmtId="0" fontId="20" fillId="0" borderId="43" xfId="69" applyFont="1" applyBorder="1" applyAlignment="1">
      <alignment horizontal="center" vertical="center" wrapText="1"/>
    </xf>
    <xf numFmtId="0" fontId="20" fillId="27" borderId="4" xfId="69" applyFont="1" applyFill="1" applyBorder="1" applyAlignment="1" applyProtection="1">
      <alignment horizontal="center" vertical="center" wrapText="1"/>
    </xf>
    <xf numFmtId="0" fontId="20" fillId="27" borderId="42" xfId="69" applyFont="1" applyFill="1" applyBorder="1" applyAlignment="1" applyProtection="1">
      <alignment horizontal="center" vertical="center" wrapText="1"/>
    </xf>
    <xf numFmtId="0" fontId="20" fillId="27" borderId="43" xfId="69" applyFont="1" applyFill="1" applyBorder="1" applyAlignment="1" applyProtection="1">
      <alignment horizontal="center" vertical="center" wrapText="1"/>
    </xf>
    <xf numFmtId="0" fontId="20" fillId="0" borderId="4" xfId="69" applyFont="1" applyFill="1" applyBorder="1" applyAlignment="1" applyProtection="1">
      <alignment horizontal="center" vertical="center" wrapText="1"/>
    </xf>
    <xf numFmtId="0" fontId="96" fillId="26" borderId="0" xfId="0" applyFont="1" applyFill="1" applyBorder="1" applyAlignment="1">
      <alignment horizontal="center" vertical="center" wrapText="1"/>
    </xf>
    <xf numFmtId="0" fontId="17" fillId="0" borderId="82" xfId="0" applyFont="1" applyBorder="1" applyAlignment="1" applyProtection="1">
      <alignment vertical="top" wrapText="1"/>
    </xf>
    <xf numFmtId="0" fontId="0" fillId="0" borderId="82" xfId="0" applyBorder="1" applyAlignment="1">
      <alignment vertical="top" wrapText="1"/>
    </xf>
    <xf numFmtId="0" fontId="20" fillId="0" borderId="4" xfId="69" applyFont="1" applyFill="1" applyBorder="1" applyAlignment="1" applyProtection="1">
      <alignment horizontal="center" vertical="center"/>
    </xf>
    <xf numFmtId="0" fontId="20" fillId="0" borderId="42" xfId="69" applyFont="1" applyFill="1" applyBorder="1" applyAlignment="1" applyProtection="1">
      <alignment horizontal="center" vertical="center" wrapText="1"/>
    </xf>
    <xf numFmtId="0" fontId="20" fillId="0" borderId="43" xfId="69" applyFont="1" applyFill="1" applyBorder="1" applyAlignment="1" applyProtection="1">
      <alignment horizontal="center" vertical="center" wrapText="1"/>
    </xf>
    <xf numFmtId="0" fontId="20" fillId="64" borderId="4" xfId="69" applyFont="1" applyFill="1" applyBorder="1" applyAlignment="1" applyProtection="1">
      <alignment horizontal="center" vertical="center" wrapText="1"/>
    </xf>
    <xf numFmtId="0" fontId="20" fillId="64" borderId="4" xfId="69" applyFont="1" applyFill="1" applyBorder="1" applyAlignment="1" applyProtection="1">
      <alignment horizontal="center" vertical="center"/>
    </xf>
    <xf numFmtId="0" fontId="20" fillId="64" borderId="42" xfId="69" applyFont="1" applyFill="1" applyBorder="1" applyAlignment="1" applyProtection="1">
      <alignment horizontal="center" vertical="center" wrapText="1"/>
    </xf>
    <xf numFmtId="0" fontId="20" fillId="64" borderId="43" xfId="69" applyFont="1" applyFill="1" applyBorder="1" applyAlignment="1" applyProtection="1">
      <alignment horizontal="center" vertical="center" wrapText="1"/>
    </xf>
    <xf numFmtId="8" fontId="31" fillId="0" borderId="4" xfId="0" applyNumberFormat="1" applyFont="1" applyBorder="1" applyAlignment="1" applyProtection="1">
      <alignment horizontal="center" vertical="center" wrapText="1"/>
    </xf>
    <xf numFmtId="8" fontId="29" fillId="0" borderId="4" xfId="0" applyNumberFormat="1" applyFont="1" applyBorder="1" applyAlignment="1" applyProtection="1">
      <alignment horizontal="center" vertical="center" wrapText="1"/>
    </xf>
  </cellXfs>
  <cellStyles count="500">
    <cellStyle name="$" xfId="1" xr:uid="{00000000-0005-0000-0000-000000000000}"/>
    <cellStyle name="$.00" xfId="2" xr:uid="{00000000-0005-0000-0000-000001000000}"/>
    <cellStyle name="$_9. Rev2Cost_GDPIPI" xfId="60" xr:uid="{00000000-0005-0000-0000-000002000000}"/>
    <cellStyle name="$_9. Rev2Cost_GDPIPI 2" xfId="71" xr:uid="{00000000-0005-0000-0000-000003000000}"/>
    <cellStyle name="$_lists" xfId="61" xr:uid="{00000000-0005-0000-0000-000004000000}"/>
    <cellStyle name="$_lists 2" xfId="72" xr:uid="{00000000-0005-0000-0000-000005000000}"/>
    <cellStyle name="$_lists_4. Current Monthly Fixed Charge" xfId="62" xr:uid="{00000000-0005-0000-0000-000006000000}"/>
    <cellStyle name="$_Sheet4" xfId="63" xr:uid="{00000000-0005-0000-0000-000007000000}"/>
    <cellStyle name="$_Sheet4 2" xfId="73" xr:uid="{00000000-0005-0000-0000-000008000000}"/>
    <cellStyle name="$M" xfId="3" xr:uid="{00000000-0005-0000-0000-000009000000}"/>
    <cellStyle name="$M.00" xfId="4" xr:uid="{00000000-0005-0000-0000-00000A000000}"/>
    <cellStyle name="$M_9. Rev2Cost_GDPIPI" xfId="64" xr:uid="{00000000-0005-0000-0000-00000B000000}"/>
    <cellStyle name="20% - Accent1" xfId="5" builtinId="30" customBuiltin="1"/>
    <cellStyle name="20% - Accent1 2" xfId="74" xr:uid="{00000000-0005-0000-0000-00000D000000}"/>
    <cellStyle name="20% - Accent1 2 2" xfId="140" xr:uid="{00000000-0005-0000-0000-00000E000000}"/>
    <cellStyle name="20% - Accent1 2 2 2" xfId="300" xr:uid="{00000000-0005-0000-0000-00000F000000}"/>
    <cellStyle name="20% - Accent1 2 2_6. Rate Rider Calculations" xfId="366" xr:uid="{00000000-0005-0000-0000-000010000000}"/>
    <cellStyle name="20% - Accent1 2 3" xfId="277" xr:uid="{00000000-0005-0000-0000-000011000000}"/>
    <cellStyle name="20% - Accent1 2 4" xfId="419" xr:uid="{00000000-0005-0000-0000-000012000000}"/>
    <cellStyle name="20% - Accent1 2_6. Rate Rider Calculations" xfId="365" xr:uid="{00000000-0005-0000-0000-000013000000}"/>
    <cellStyle name="20% - Accent1 3" xfId="347" xr:uid="{00000000-0005-0000-0000-000014000000}"/>
    <cellStyle name="20% - Accent1 4" xfId="452" xr:uid="{00000000-0005-0000-0000-000015000000}"/>
    <cellStyle name="20% - Accent2" xfId="6" builtinId="34" customBuiltin="1"/>
    <cellStyle name="20% - Accent2 2" xfId="75" xr:uid="{00000000-0005-0000-0000-000017000000}"/>
    <cellStyle name="20% - Accent2 2 2" xfId="141" xr:uid="{00000000-0005-0000-0000-000018000000}"/>
    <cellStyle name="20% - Accent2 2 2 2" xfId="301" xr:uid="{00000000-0005-0000-0000-000019000000}"/>
    <cellStyle name="20% - Accent2 2 2_6. Rate Rider Calculations" xfId="368" xr:uid="{00000000-0005-0000-0000-00001A000000}"/>
    <cellStyle name="20% - Accent2 2 3" xfId="278" xr:uid="{00000000-0005-0000-0000-00001B000000}"/>
    <cellStyle name="20% - Accent2 2 4" xfId="420" xr:uid="{00000000-0005-0000-0000-00001C000000}"/>
    <cellStyle name="20% - Accent2 2_6. Rate Rider Calculations" xfId="367" xr:uid="{00000000-0005-0000-0000-00001D000000}"/>
    <cellStyle name="20% - Accent2 3" xfId="348" xr:uid="{00000000-0005-0000-0000-00001E000000}"/>
    <cellStyle name="20% - Accent2 4" xfId="454" xr:uid="{00000000-0005-0000-0000-00001F000000}"/>
    <cellStyle name="20% - Accent3" xfId="7" builtinId="38" customBuiltin="1"/>
    <cellStyle name="20% - Accent3 2" xfId="76" xr:uid="{00000000-0005-0000-0000-000021000000}"/>
    <cellStyle name="20% - Accent3 2 2" xfId="142" xr:uid="{00000000-0005-0000-0000-000022000000}"/>
    <cellStyle name="20% - Accent3 2 2 2" xfId="302" xr:uid="{00000000-0005-0000-0000-000023000000}"/>
    <cellStyle name="20% - Accent3 2 2_6. Rate Rider Calculations" xfId="370" xr:uid="{00000000-0005-0000-0000-000024000000}"/>
    <cellStyle name="20% - Accent3 2 3" xfId="279" xr:uid="{00000000-0005-0000-0000-000025000000}"/>
    <cellStyle name="20% - Accent3 2 4" xfId="421" xr:uid="{00000000-0005-0000-0000-000026000000}"/>
    <cellStyle name="20% - Accent3 2_6. Rate Rider Calculations" xfId="369" xr:uid="{00000000-0005-0000-0000-000027000000}"/>
    <cellStyle name="20% - Accent3 3" xfId="349" xr:uid="{00000000-0005-0000-0000-000028000000}"/>
    <cellStyle name="20% - Accent3 4" xfId="456" xr:uid="{00000000-0005-0000-0000-000029000000}"/>
    <cellStyle name="20% - Accent4" xfId="8" builtinId="42" customBuiltin="1"/>
    <cellStyle name="20% - Accent4 2" xfId="77" xr:uid="{00000000-0005-0000-0000-00002B000000}"/>
    <cellStyle name="20% - Accent4 2 2" xfId="143" xr:uid="{00000000-0005-0000-0000-00002C000000}"/>
    <cellStyle name="20% - Accent4 2 2 2" xfId="303" xr:uid="{00000000-0005-0000-0000-00002D000000}"/>
    <cellStyle name="20% - Accent4 2 2_6. Rate Rider Calculations" xfId="372" xr:uid="{00000000-0005-0000-0000-00002E000000}"/>
    <cellStyle name="20% - Accent4 2 3" xfId="280" xr:uid="{00000000-0005-0000-0000-00002F000000}"/>
    <cellStyle name="20% - Accent4 2 4" xfId="422" xr:uid="{00000000-0005-0000-0000-000030000000}"/>
    <cellStyle name="20% - Accent4 2_6. Rate Rider Calculations" xfId="371" xr:uid="{00000000-0005-0000-0000-000031000000}"/>
    <cellStyle name="20% - Accent4 3" xfId="350" xr:uid="{00000000-0005-0000-0000-000032000000}"/>
    <cellStyle name="20% - Accent4 4" xfId="458" xr:uid="{00000000-0005-0000-0000-000033000000}"/>
    <cellStyle name="20% - Accent5" xfId="9" builtinId="46" customBuiltin="1"/>
    <cellStyle name="20% - Accent5 2" xfId="78" xr:uid="{00000000-0005-0000-0000-000035000000}"/>
    <cellStyle name="20% - Accent5 2 2" xfId="144" xr:uid="{00000000-0005-0000-0000-000036000000}"/>
    <cellStyle name="20% - Accent5 2 2 2" xfId="304" xr:uid="{00000000-0005-0000-0000-000037000000}"/>
    <cellStyle name="20% - Accent5 2 2_6. Rate Rider Calculations" xfId="374" xr:uid="{00000000-0005-0000-0000-000038000000}"/>
    <cellStyle name="20% - Accent5 2 3" xfId="281" xr:uid="{00000000-0005-0000-0000-000039000000}"/>
    <cellStyle name="20% - Accent5 2 4" xfId="423" xr:uid="{00000000-0005-0000-0000-00003A000000}"/>
    <cellStyle name="20% - Accent5 2_6. Rate Rider Calculations" xfId="373" xr:uid="{00000000-0005-0000-0000-00003B000000}"/>
    <cellStyle name="20% - Accent5 3" xfId="351" xr:uid="{00000000-0005-0000-0000-00003C000000}"/>
    <cellStyle name="20% - Accent5 4" xfId="460" xr:uid="{00000000-0005-0000-0000-00003D000000}"/>
    <cellStyle name="20% - Accent6" xfId="10" builtinId="50" customBuiltin="1"/>
    <cellStyle name="20% - Accent6 2" xfId="79" xr:uid="{00000000-0005-0000-0000-00003F000000}"/>
    <cellStyle name="20% - Accent6 2 2" xfId="145" xr:uid="{00000000-0005-0000-0000-000040000000}"/>
    <cellStyle name="20% - Accent6 2 2 2" xfId="305" xr:uid="{00000000-0005-0000-0000-000041000000}"/>
    <cellStyle name="20% - Accent6 2 2_6. Rate Rider Calculations" xfId="376" xr:uid="{00000000-0005-0000-0000-000042000000}"/>
    <cellStyle name="20% - Accent6 2 3" xfId="282" xr:uid="{00000000-0005-0000-0000-000043000000}"/>
    <cellStyle name="20% - Accent6 2 4" xfId="424" xr:uid="{00000000-0005-0000-0000-000044000000}"/>
    <cellStyle name="20% - Accent6 2_6. Rate Rider Calculations" xfId="375" xr:uid="{00000000-0005-0000-0000-000045000000}"/>
    <cellStyle name="20% - Accent6 3" xfId="352" xr:uid="{00000000-0005-0000-0000-000046000000}"/>
    <cellStyle name="20% - Accent6 4" xfId="462" xr:uid="{00000000-0005-0000-0000-000047000000}"/>
    <cellStyle name="40% - Accent1" xfId="11" builtinId="31" customBuiltin="1"/>
    <cellStyle name="40% - Accent1 2" xfId="80" xr:uid="{00000000-0005-0000-0000-000049000000}"/>
    <cellStyle name="40% - Accent1 2 2" xfId="146" xr:uid="{00000000-0005-0000-0000-00004A000000}"/>
    <cellStyle name="40% - Accent1 2 2 2" xfId="306" xr:uid="{00000000-0005-0000-0000-00004B000000}"/>
    <cellStyle name="40% - Accent1 2 2_6. Rate Rider Calculations" xfId="378" xr:uid="{00000000-0005-0000-0000-00004C000000}"/>
    <cellStyle name="40% - Accent1 2 3" xfId="283" xr:uid="{00000000-0005-0000-0000-00004D000000}"/>
    <cellStyle name="40% - Accent1 2 4" xfId="425" xr:uid="{00000000-0005-0000-0000-00004E000000}"/>
    <cellStyle name="40% - Accent1 2_6. Rate Rider Calculations" xfId="377" xr:uid="{00000000-0005-0000-0000-00004F000000}"/>
    <cellStyle name="40% - Accent1 3" xfId="353" xr:uid="{00000000-0005-0000-0000-000050000000}"/>
    <cellStyle name="40% - Accent1 4" xfId="453" xr:uid="{00000000-0005-0000-0000-000051000000}"/>
    <cellStyle name="40% - Accent2" xfId="12" builtinId="35" customBuiltin="1"/>
    <cellStyle name="40% - Accent2 2" xfId="81" xr:uid="{00000000-0005-0000-0000-000053000000}"/>
    <cellStyle name="40% - Accent2 2 2" xfId="147" xr:uid="{00000000-0005-0000-0000-000054000000}"/>
    <cellStyle name="40% - Accent2 2 2 2" xfId="307" xr:uid="{00000000-0005-0000-0000-000055000000}"/>
    <cellStyle name="40% - Accent2 2 2_6. Rate Rider Calculations" xfId="380" xr:uid="{00000000-0005-0000-0000-000056000000}"/>
    <cellStyle name="40% - Accent2 2 3" xfId="284" xr:uid="{00000000-0005-0000-0000-000057000000}"/>
    <cellStyle name="40% - Accent2 2 4" xfId="426" xr:uid="{00000000-0005-0000-0000-000058000000}"/>
    <cellStyle name="40% - Accent2 2_6. Rate Rider Calculations" xfId="379" xr:uid="{00000000-0005-0000-0000-000059000000}"/>
    <cellStyle name="40% - Accent2 3" xfId="354" xr:uid="{00000000-0005-0000-0000-00005A000000}"/>
    <cellStyle name="40% - Accent2 4" xfId="455" xr:uid="{00000000-0005-0000-0000-00005B000000}"/>
    <cellStyle name="40% - Accent3" xfId="13" builtinId="39" customBuiltin="1"/>
    <cellStyle name="40% - Accent3 2" xfId="82" xr:uid="{00000000-0005-0000-0000-00005D000000}"/>
    <cellStyle name="40% - Accent3 2 2" xfId="148" xr:uid="{00000000-0005-0000-0000-00005E000000}"/>
    <cellStyle name="40% - Accent3 2 2 2" xfId="308" xr:uid="{00000000-0005-0000-0000-00005F000000}"/>
    <cellStyle name="40% - Accent3 2 2_6. Rate Rider Calculations" xfId="382" xr:uid="{00000000-0005-0000-0000-000060000000}"/>
    <cellStyle name="40% - Accent3 2 3" xfId="285" xr:uid="{00000000-0005-0000-0000-000061000000}"/>
    <cellStyle name="40% - Accent3 2 4" xfId="427" xr:uid="{00000000-0005-0000-0000-000062000000}"/>
    <cellStyle name="40% - Accent3 2_6. Rate Rider Calculations" xfId="381" xr:uid="{00000000-0005-0000-0000-000063000000}"/>
    <cellStyle name="40% - Accent3 3" xfId="355" xr:uid="{00000000-0005-0000-0000-000064000000}"/>
    <cellStyle name="40% - Accent3 4" xfId="457" xr:uid="{00000000-0005-0000-0000-000065000000}"/>
    <cellStyle name="40% - Accent4" xfId="14" builtinId="43" customBuiltin="1"/>
    <cellStyle name="40% - Accent4 2" xfId="83" xr:uid="{00000000-0005-0000-0000-000067000000}"/>
    <cellStyle name="40% - Accent4 2 2" xfId="149" xr:uid="{00000000-0005-0000-0000-000068000000}"/>
    <cellStyle name="40% - Accent4 2 2 2" xfId="309" xr:uid="{00000000-0005-0000-0000-000069000000}"/>
    <cellStyle name="40% - Accent4 2 2_6. Rate Rider Calculations" xfId="384" xr:uid="{00000000-0005-0000-0000-00006A000000}"/>
    <cellStyle name="40% - Accent4 2 3" xfId="286" xr:uid="{00000000-0005-0000-0000-00006B000000}"/>
    <cellStyle name="40% - Accent4 2 4" xfId="428" xr:uid="{00000000-0005-0000-0000-00006C000000}"/>
    <cellStyle name="40% - Accent4 2_6. Rate Rider Calculations" xfId="383" xr:uid="{00000000-0005-0000-0000-00006D000000}"/>
    <cellStyle name="40% - Accent4 3" xfId="356" xr:uid="{00000000-0005-0000-0000-00006E000000}"/>
    <cellStyle name="40% - Accent4 4" xfId="459" xr:uid="{00000000-0005-0000-0000-00006F000000}"/>
    <cellStyle name="40% - Accent5" xfId="15" builtinId="47" customBuiltin="1"/>
    <cellStyle name="40% - Accent5 2" xfId="84" xr:uid="{00000000-0005-0000-0000-000071000000}"/>
    <cellStyle name="40% - Accent5 2 2" xfId="150" xr:uid="{00000000-0005-0000-0000-000072000000}"/>
    <cellStyle name="40% - Accent5 2 2 2" xfId="310" xr:uid="{00000000-0005-0000-0000-000073000000}"/>
    <cellStyle name="40% - Accent5 2 2_6. Rate Rider Calculations" xfId="386" xr:uid="{00000000-0005-0000-0000-000074000000}"/>
    <cellStyle name="40% - Accent5 2 3" xfId="287" xr:uid="{00000000-0005-0000-0000-000075000000}"/>
    <cellStyle name="40% - Accent5 2 4" xfId="429" xr:uid="{00000000-0005-0000-0000-000076000000}"/>
    <cellStyle name="40% - Accent5 2_6. Rate Rider Calculations" xfId="385" xr:uid="{00000000-0005-0000-0000-000077000000}"/>
    <cellStyle name="40% - Accent5 3" xfId="357" xr:uid="{00000000-0005-0000-0000-000078000000}"/>
    <cellStyle name="40% - Accent5 4" xfId="461" xr:uid="{00000000-0005-0000-0000-000079000000}"/>
    <cellStyle name="40% - Accent6" xfId="16" builtinId="51" customBuiltin="1"/>
    <cellStyle name="40% - Accent6 2" xfId="85" xr:uid="{00000000-0005-0000-0000-00007B000000}"/>
    <cellStyle name="40% - Accent6 2 2" xfId="151" xr:uid="{00000000-0005-0000-0000-00007C000000}"/>
    <cellStyle name="40% - Accent6 2 2 2" xfId="311" xr:uid="{00000000-0005-0000-0000-00007D000000}"/>
    <cellStyle name="40% - Accent6 2 2_6. Rate Rider Calculations" xfId="388" xr:uid="{00000000-0005-0000-0000-00007E000000}"/>
    <cellStyle name="40% - Accent6 2 3" xfId="288" xr:uid="{00000000-0005-0000-0000-00007F000000}"/>
    <cellStyle name="40% - Accent6 2 4" xfId="430" xr:uid="{00000000-0005-0000-0000-000080000000}"/>
    <cellStyle name="40% - Accent6 2_6. Rate Rider Calculations" xfId="387" xr:uid="{00000000-0005-0000-0000-000081000000}"/>
    <cellStyle name="40% - Accent6 3" xfId="358" xr:uid="{00000000-0005-0000-0000-000082000000}"/>
    <cellStyle name="40% - Accent6 4" xfId="463" xr:uid="{00000000-0005-0000-0000-000083000000}"/>
    <cellStyle name="60% - Accent1" xfId="17" builtinId="32" customBuiltin="1"/>
    <cellStyle name="60% - Accent1 2" xfId="86" xr:uid="{00000000-0005-0000-0000-000085000000}"/>
    <cellStyle name="60% - Accent2" xfId="18" builtinId="36" customBuiltin="1"/>
    <cellStyle name="60% - Accent2 2" xfId="87" xr:uid="{00000000-0005-0000-0000-000087000000}"/>
    <cellStyle name="60% - Accent3" xfId="19" builtinId="40" customBuiltin="1"/>
    <cellStyle name="60% - Accent3 2" xfId="88" xr:uid="{00000000-0005-0000-0000-000089000000}"/>
    <cellStyle name="60% - Accent4" xfId="20" builtinId="44" customBuiltin="1"/>
    <cellStyle name="60% - Accent4 2" xfId="89" xr:uid="{00000000-0005-0000-0000-00008B000000}"/>
    <cellStyle name="60% - Accent5" xfId="21" builtinId="48" customBuiltin="1"/>
    <cellStyle name="60% - Accent5 2" xfId="90" xr:uid="{00000000-0005-0000-0000-00008D000000}"/>
    <cellStyle name="60% - Accent6" xfId="22" builtinId="52" customBuiltin="1"/>
    <cellStyle name="60% - Accent6 2" xfId="91" xr:uid="{00000000-0005-0000-0000-00008F000000}"/>
    <cellStyle name="Accent1" xfId="23" builtinId="29" customBuiltin="1"/>
    <cellStyle name="Accent1 2" xfId="92" xr:uid="{00000000-0005-0000-0000-000091000000}"/>
    <cellStyle name="Accent2" xfId="24" builtinId="33" customBuiltin="1"/>
    <cellStyle name="Accent2 2" xfId="93" xr:uid="{00000000-0005-0000-0000-000093000000}"/>
    <cellStyle name="Accent3" xfId="25" builtinId="37" customBuiltin="1"/>
    <cellStyle name="Accent3 2" xfId="94" xr:uid="{00000000-0005-0000-0000-000095000000}"/>
    <cellStyle name="Accent4" xfId="26" builtinId="41" customBuiltin="1"/>
    <cellStyle name="Accent4 2" xfId="95" xr:uid="{00000000-0005-0000-0000-000097000000}"/>
    <cellStyle name="Accent5" xfId="27" builtinId="45" customBuiltin="1"/>
    <cellStyle name="Accent5 2" xfId="96" xr:uid="{00000000-0005-0000-0000-000099000000}"/>
    <cellStyle name="Accent6" xfId="28" builtinId="49" customBuiltin="1"/>
    <cellStyle name="Accent6 2" xfId="97" xr:uid="{00000000-0005-0000-0000-00009B000000}"/>
    <cellStyle name="Bad" xfId="29" builtinId="27" customBuiltin="1"/>
    <cellStyle name="Bad 2" xfId="98" xr:uid="{00000000-0005-0000-0000-00009D000000}"/>
    <cellStyle name="Calculation" xfId="30" builtinId="22" customBuiltin="1"/>
    <cellStyle name="Calculation 2" xfId="99" xr:uid="{00000000-0005-0000-0000-00009F000000}"/>
    <cellStyle name="Check Cell" xfId="31" builtinId="23" customBuiltin="1"/>
    <cellStyle name="Check Cell 2" xfId="100" xr:uid="{00000000-0005-0000-0000-0000A1000000}"/>
    <cellStyle name="Comma" xfId="56" builtinId="3"/>
    <cellStyle name="Comma 2" xfId="101" xr:uid="{00000000-0005-0000-0000-0000A3000000}"/>
    <cellStyle name="Comma 2 2" xfId="153" xr:uid="{00000000-0005-0000-0000-0000A4000000}"/>
    <cellStyle name="Comma 2 2 2" xfId="256" xr:uid="{00000000-0005-0000-0000-0000A5000000}"/>
    <cellStyle name="Comma 2 2 2 2" xfId="330" xr:uid="{00000000-0005-0000-0000-0000A6000000}"/>
    <cellStyle name="Comma 2 2 2 3" xfId="363" xr:uid="{00000000-0005-0000-0000-0000A7000000}"/>
    <cellStyle name="Comma 2 2 2 4" xfId="470" xr:uid="{00000000-0005-0000-0000-0000A8000000}"/>
    <cellStyle name="Comma 2 2 2 5" xfId="490" xr:uid="{00000000-0005-0000-0000-0000A9000000}"/>
    <cellStyle name="Comma 2 2 3" xfId="312" xr:uid="{00000000-0005-0000-0000-0000AA000000}"/>
    <cellStyle name="Comma 2 2 3 2" xfId="475" xr:uid="{00000000-0005-0000-0000-0000AB000000}"/>
    <cellStyle name="Comma 2 2 4" xfId="340" xr:uid="{00000000-0005-0000-0000-0000AC000000}"/>
    <cellStyle name="Comma 2 2 4 2" xfId="489" xr:uid="{00000000-0005-0000-0000-0000AD000000}"/>
    <cellStyle name="Comma 2 2 5" xfId="465" xr:uid="{00000000-0005-0000-0000-0000AE000000}"/>
    <cellStyle name="Comma 2 2_Database" xfId="359" xr:uid="{00000000-0005-0000-0000-0000AF000000}"/>
    <cellStyle name="Comma 2 3" xfId="290" xr:uid="{00000000-0005-0000-0000-0000B0000000}"/>
    <cellStyle name="Comma 2 4" xfId="431" xr:uid="{00000000-0005-0000-0000-0000B1000000}"/>
    <cellStyle name="Comma 3" xfId="102" xr:uid="{00000000-0005-0000-0000-0000B2000000}"/>
    <cellStyle name="Comma 3 2" xfId="154" xr:uid="{00000000-0005-0000-0000-0000B3000000}"/>
    <cellStyle name="Comma 3 2 2" xfId="313" xr:uid="{00000000-0005-0000-0000-0000B4000000}"/>
    <cellStyle name="Comma 3 2 3" xfId="440" xr:uid="{00000000-0005-0000-0000-0000B5000000}"/>
    <cellStyle name="Comma 3 3" xfId="291" xr:uid="{00000000-0005-0000-0000-0000B6000000}"/>
    <cellStyle name="Comma 3 4" xfId="432" xr:uid="{00000000-0005-0000-0000-0000B7000000}"/>
    <cellStyle name="Comma 32" xfId="246" xr:uid="{00000000-0005-0000-0000-0000B8000000}"/>
    <cellStyle name="Comma 33" xfId="247" xr:uid="{00000000-0005-0000-0000-0000B9000000}"/>
    <cellStyle name="Comma 34" xfId="248" xr:uid="{00000000-0005-0000-0000-0000BA000000}"/>
    <cellStyle name="Comma 35" xfId="249" xr:uid="{00000000-0005-0000-0000-0000BB000000}"/>
    <cellStyle name="Comma 36" xfId="250" xr:uid="{00000000-0005-0000-0000-0000BC000000}"/>
    <cellStyle name="Comma 4" xfId="103" xr:uid="{00000000-0005-0000-0000-0000BD000000}"/>
    <cellStyle name="Comma 4 2" xfId="438" xr:uid="{00000000-0005-0000-0000-0000BE000000}"/>
    <cellStyle name="Comma 5" xfId="252" xr:uid="{00000000-0005-0000-0000-0000BF000000}"/>
    <cellStyle name="Comma 5 2" xfId="326" xr:uid="{00000000-0005-0000-0000-0000C0000000}"/>
    <cellStyle name="Comma 5 3" xfId="478" xr:uid="{00000000-0005-0000-0000-0000C1000000}"/>
    <cellStyle name="Comma 6" xfId="414" xr:uid="{00000000-0005-0000-0000-0000C2000000}"/>
    <cellStyle name="Comma0" xfId="32" xr:uid="{00000000-0005-0000-0000-0000C3000000}"/>
    <cellStyle name="Currency" xfId="57" builtinId="4"/>
    <cellStyle name="Currency 2" xfId="104" xr:uid="{00000000-0005-0000-0000-0000C5000000}"/>
    <cellStyle name="Currency 2 2" xfId="418" xr:uid="{00000000-0005-0000-0000-0000C6000000}"/>
    <cellStyle name="Currency 3" xfId="254" xr:uid="{00000000-0005-0000-0000-0000C7000000}"/>
    <cellStyle name="Currency 3 2" xfId="328" xr:uid="{00000000-0005-0000-0000-0000C8000000}"/>
    <cellStyle name="Currency 3 3" xfId="441" xr:uid="{00000000-0005-0000-0000-0000C9000000}"/>
    <cellStyle name="Currency 4" xfId="258" xr:uid="{00000000-0005-0000-0000-0000CA000000}"/>
    <cellStyle name="Currency 4 2" xfId="338" xr:uid="{00000000-0005-0000-0000-0000CB000000}"/>
    <cellStyle name="Currency 4 2 2" xfId="362" xr:uid="{00000000-0005-0000-0000-0000CC000000}"/>
    <cellStyle name="Currency 4 2 3" xfId="469" xr:uid="{00000000-0005-0000-0000-0000CD000000}"/>
    <cellStyle name="Currency 4 2 4" xfId="493" xr:uid="{00000000-0005-0000-0000-0000CE000000}"/>
    <cellStyle name="Currency 4 3" xfId="332" xr:uid="{00000000-0005-0000-0000-0000CF000000}"/>
    <cellStyle name="Currency 4 3 2" xfId="476" xr:uid="{00000000-0005-0000-0000-0000D0000000}"/>
    <cellStyle name="Currency 4 4" xfId="345" xr:uid="{00000000-0005-0000-0000-0000D1000000}"/>
    <cellStyle name="Currency 4 5" xfId="466" xr:uid="{00000000-0005-0000-0000-0000D2000000}"/>
    <cellStyle name="Currency 5" xfId="341" xr:uid="{00000000-0005-0000-0000-0000D3000000}"/>
    <cellStyle name="Currency 5 2" xfId="467" xr:uid="{00000000-0005-0000-0000-0000D4000000}"/>
    <cellStyle name="Currency 6" xfId="342" xr:uid="{00000000-0005-0000-0000-0000D5000000}"/>
    <cellStyle name="Currency 6 2" xfId="472" xr:uid="{00000000-0005-0000-0000-0000D6000000}"/>
    <cellStyle name="Currency 7" xfId="417" xr:uid="{00000000-0005-0000-0000-0000D7000000}"/>
    <cellStyle name="Currency0" xfId="33" xr:uid="{00000000-0005-0000-0000-0000D8000000}"/>
    <cellStyle name="Date" xfId="34" xr:uid="{00000000-0005-0000-0000-0000D9000000}"/>
    <cellStyle name="Explanatory Text" xfId="35" builtinId="53" customBuiltin="1"/>
    <cellStyle name="Explanatory Text 2" xfId="105" xr:uid="{00000000-0005-0000-0000-0000DB000000}"/>
    <cellStyle name="Fixed" xfId="36" xr:uid="{00000000-0005-0000-0000-0000DC000000}"/>
    <cellStyle name="Followed Hyperlink" xfId="464" builtinId="9" customBuiltin="1"/>
    <cellStyle name="Good" xfId="37" builtinId="26" customBuiltin="1"/>
    <cellStyle name="Good 2" xfId="106" xr:uid="{00000000-0005-0000-0000-0000DF000000}"/>
    <cellStyle name="Grey" xfId="38" xr:uid="{00000000-0005-0000-0000-0000E0000000}"/>
    <cellStyle name="Heading 1" xfId="39" builtinId="16" customBuiltin="1"/>
    <cellStyle name="Heading 1 2" xfId="107" xr:uid="{00000000-0005-0000-0000-0000E2000000}"/>
    <cellStyle name="Heading 2" xfId="40" builtinId="17" customBuiltin="1"/>
    <cellStyle name="Heading 2 2" xfId="108" xr:uid="{00000000-0005-0000-0000-0000E4000000}"/>
    <cellStyle name="Heading 3" xfId="41" builtinId="18" customBuiltin="1"/>
    <cellStyle name="Heading 3 2" xfId="109" xr:uid="{00000000-0005-0000-0000-0000E6000000}"/>
    <cellStyle name="Heading 3 3" xfId="197" xr:uid="{00000000-0005-0000-0000-0000E7000000}"/>
    <cellStyle name="Heading 3 3 2" xfId="323" xr:uid="{00000000-0005-0000-0000-0000E8000000}"/>
    <cellStyle name="Heading 3 3 3" xfId="275" xr:uid="{00000000-0005-0000-0000-0000E9000000}"/>
    <cellStyle name="Heading 3 3_6. Rate Rider Calculations" xfId="389" xr:uid="{00000000-0005-0000-0000-0000EA000000}"/>
    <cellStyle name="Heading 3 4" xfId="158" xr:uid="{00000000-0005-0000-0000-0000EB000000}"/>
    <cellStyle name="Heading 3 4 2" xfId="315" xr:uid="{00000000-0005-0000-0000-0000EC000000}"/>
    <cellStyle name="Heading 3 4 3" xfId="267" xr:uid="{00000000-0005-0000-0000-0000ED000000}"/>
    <cellStyle name="Heading 3 4_6. Rate Rider Calculations" xfId="390" xr:uid="{00000000-0005-0000-0000-0000EE000000}"/>
    <cellStyle name="Heading 3 5" xfId="134" xr:uid="{00000000-0005-0000-0000-0000EF000000}"/>
    <cellStyle name="Heading 3 5 2" xfId="297" xr:uid="{00000000-0005-0000-0000-0000F0000000}"/>
    <cellStyle name="Heading 3 5 3" xfId="268" xr:uid="{00000000-0005-0000-0000-0000F1000000}"/>
    <cellStyle name="Heading 3 5_6. Rate Rider Calculations" xfId="391" xr:uid="{00000000-0005-0000-0000-0000F2000000}"/>
    <cellStyle name="Heading 3 6" xfId="198" xr:uid="{00000000-0005-0000-0000-0000F3000000}"/>
    <cellStyle name="Heading 3 6 2" xfId="324" xr:uid="{00000000-0005-0000-0000-0000F4000000}"/>
    <cellStyle name="Heading 3 6 3" xfId="273" xr:uid="{00000000-0005-0000-0000-0000F5000000}"/>
    <cellStyle name="Heading 3 6_6. Rate Rider Calculations" xfId="392" xr:uid="{00000000-0005-0000-0000-0000F6000000}"/>
    <cellStyle name="Heading 3 7" xfId="157" xr:uid="{00000000-0005-0000-0000-0000F7000000}"/>
    <cellStyle name="Heading 3 7 2" xfId="314" xr:uid="{00000000-0005-0000-0000-0000F8000000}"/>
    <cellStyle name="Heading 3 7 3" xfId="289" xr:uid="{00000000-0005-0000-0000-0000F9000000}"/>
    <cellStyle name="Heading 3 7_6. Rate Rider Calculations" xfId="393" xr:uid="{00000000-0005-0000-0000-0000FA000000}"/>
    <cellStyle name="Heading 3 8" xfId="192" xr:uid="{00000000-0005-0000-0000-0000FB000000}"/>
    <cellStyle name="Heading 3 8 2" xfId="322" xr:uid="{00000000-0005-0000-0000-0000FC000000}"/>
    <cellStyle name="Heading 3 8 3" xfId="276" xr:uid="{00000000-0005-0000-0000-0000FD000000}"/>
    <cellStyle name="Heading 3 8_6. Rate Rider Calculations" xfId="394" xr:uid="{00000000-0005-0000-0000-0000FE000000}"/>
    <cellStyle name="Heading 3 9" xfId="269" xr:uid="{00000000-0005-0000-0000-0000FF000000}"/>
    <cellStyle name="Heading 4" xfId="42" builtinId="19" customBuiltin="1"/>
    <cellStyle name="Heading 4 2" xfId="110" xr:uid="{00000000-0005-0000-0000-000001010000}"/>
    <cellStyle name="Hyperlink 2" xfId="259" xr:uid="{00000000-0005-0000-0000-000002010000}"/>
    <cellStyle name="Input" xfId="43" builtinId="20" customBuiltin="1"/>
    <cellStyle name="Input [yellow]" xfId="44" xr:uid="{00000000-0005-0000-0000-000004010000}"/>
    <cellStyle name="Input 2" xfId="111" xr:uid="{00000000-0005-0000-0000-000005010000}"/>
    <cellStyle name="Input 3" xfId="450" xr:uid="{00000000-0005-0000-0000-000006010000}"/>
    <cellStyle name="Linked Cell" xfId="45" builtinId="24" customBuiltin="1"/>
    <cellStyle name="Linked Cell 2" xfId="112" xr:uid="{00000000-0005-0000-0000-000008010000}"/>
    <cellStyle name="M" xfId="46" xr:uid="{00000000-0005-0000-0000-000009010000}"/>
    <cellStyle name="M.00" xfId="47" xr:uid="{00000000-0005-0000-0000-00000A010000}"/>
    <cellStyle name="M_9. Rev2Cost_GDPIPI" xfId="65" xr:uid="{00000000-0005-0000-0000-00000B010000}"/>
    <cellStyle name="M_9. Rev2Cost_GDPIPI 2" xfId="113" xr:uid="{00000000-0005-0000-0000-00000C010000}"/>
    <cellStyle name="M_lists" xfId="66" xr:uid="{00000000-0005-0000-0000-00000D010000}"/>
    <cellStyle name="M_lists 2" xfId="114" xr:uid="{00000000-0005-0000-0000-00000E010000}"/>
    <cellStyle name="M_lists_4. Current Monthly Fixed Charge" xfId="67" xr:uid="{00000000-0005-0000-0000-00000F010000}"/>
    <cellStyle name="M_Sheet4" xfId="68" xr:uid="{00000000-0005-0000-0000-000010010000}"/>
    <cellStyle name="M_Sheet4 2" xfId="115" xr:uid="{00000000-0005-0000-0000-000011010000}"/>
    <cellStyle name="Neutral" xfId="48" builtinId="28" customBuiltin="1"/>
    <cellStyle name="Neutral 2" xfId="116" xr:uid="{00000000-0005-0000-0000-000013010000}"/>
    <cellStyle name="Normal" xfId="0" builtinId="0"/>
    <cellStyle name="Normal - Style1" xfId="49" xr:uid="{00000000-0005-0000-0000-000015010000}"/>
    <cellStyle name="Normal 10" xfId="298" xr:uid="{00000000-0005-0000-0000-000016010000}"/>
    <cellStyle name="Normal 10 12" xfId="343" xr:uid="{00000000-0005-0000-0000-000017010000}"/>
    <cellStyle name="Normal 11" xfId="339" xr:uid="{00000000-0005-0000-0000-000018010000}"/>
    <cellStyle name="Normal 11 2" xfId="487" xr:uid="{00000000-0005-0000-0000-000019010000}"/>
    <cellStyle name="Normal 12" xfId="346" xr:uid="{00000000-0005-0000-0000-00001A010000}"/>
    <cellStyle name="Normal 12 2" xfId="488" xr:uid="{00000000-0005-0000-0000-00001B010000}"/>
    <cellStyle name="Normal 13" xfId="412" xr:uid="{00000000-0005-0000-0000-00001C010000}"/>
    <cellStyle name="Normal 13 2" xfId="495" xr:uid="{00000000-0005-0000-0000-00001D010000}"/>
    <cellStyle name="Normal 13 3" xfId="496" xr:uid="{00000000-0005-0000-0000-00001E010000}"/>
    <cellStyle name="Normal 13 3 2" xfId="497" xr:uid="{00000000-0005-0000-0000-00001F010000}"/>
    <cellStyle name="Normal 14" xfId="413" xr:uid="{00000000-0005-0000-0000-000020010000}"/>
    <cellStyle name="Normal 15" xfId="486" xr:uid="{00000000-0005-0000-0000-000021010000}"/>
    <cellStyle name="Normal 16" xfId="494" xr:uid="{00000000-0005-0000-0000-000022010000}"/>
    <cellStyle name="Normal 167" xfId="260" xr:uid="{00000000-0005-0000-0000-000023010000}"/>
    <cellStyle name="Normal 167 2" xfId="333" xr:uid="{00000000-0005-0000-0000-000024010000}"/>
    <cellStyle name="Normal 167 3" xfId="445" xr:uid="{00000000-0005-0000-0000-000025010000}"/>
    <cellStyle name="Normal 167_6. Rate Rider Calculations" xfId="396" xr:uid="{00000000-0005-0000-0000-000026010000}"/>
    <cellStyle name="Normal 168" xfId="261" xr:uid="{00000000-0005-0000-0000-000027010000}"/>
    <cellStyle name="Normal 168 2" xfId="334" xr:uid="{00000000-0005-0000-0000-000028010000}"/>
    <cellStyle name="Normal 168 3" xfId="446" xr:uid="{00000000-0005-0000-0000-000029010000}"/>
    <cellStyle name="Normal 168_6. Rate Rider Calculations" xfId="397" xr:uid="{00000000-0005-0000-0000-00002A010000}"/>
    <cellStyle name="Normal 169" xfId="262" xr:uid="{00000000-0005-0000-0000-00002B010000}"/>
    <cellStyle name="Normal 169 2" xfId="335" xr:uid="{00000000-0005-0000-0000-00002C010000}"/>
    <cellStyle name="Normal 169 3" xfId="447" xr:uid="{00000000-0005-0000-0000-00002D010000}"/>
    <cellStyle name="Normal 169_6. Rate Rider Calculations" xfId="398" xr:uid="{00000000-0005-0000-0000-00002E010000}"/>
    <cellStyle name="Normal 17" xfId="499" xr:uid="{C6BB8004-960D-4692-8BFD-444B9950DBE8}"/>
    <cellStyle name="Normal 170" xfId="263" xr:uid="{00000000-0005-0000-0000-00002F010000}"/>
    <cellStyle name="Normal 170 2" xfId="336" xr:uid="{00000000-0005-0000-0000-000030010000}"/>
    <cellStyle name="Normal 170 3" xfId="448" xr:uid="{00000000-0005-0000-0000-000031010000}"/>
    <cellStyle name="Normal 170_6. Rate Rider Calculations" xfId="399" xr:uid="{00000000-0005-0000-0000-000032010000}"/>
    <cellStyle name="Normal 171" xfId="264" xr:uid="{00000000-0005-0000-0000-000033010000}"/>
    <cellStyle name="Normal 171 2" xfId="337" xr:uid="{00000000-0005-0000-0000-000034010000}"/>
    <cellStyle name="Normal 171 3" xfId="449" xr:uid="{00000000-0005-0000-0000-000035010000}"/>
    <cellStyle name="Normal 171_6. Rate Rider Calculations" xfId="400" xr:uid="{00000000-0005-0000-0000-000036010000}"/>
    <cellStyle name="Normal 19" xfId="201" xr:uid="{00000000-0005-0000-0000-000037010000}"/>
    <cellStyle name="Normal 2" xfId="59" xr:uid="{00000000-0005-0000-0000-000038010000}"/>
    <cellStyle name="Normal 2 2" xfId="183" xr:uid="{00000000-0005-0000-0000-000039010000}"/>
    <cellStyle name="Normal 2 2 2" xfId="321" xr:uid="{00000000-0005-0000-0000-00003A010000}"/>
    <cellStyle name="Normal 2 2_6. Rate Rider Calculations" xfId="402" xr:uid="{00000000-0005-0000-0000-00003B010000}"/>
    <cellStyle name="Normal 2 3" xfId="137" xr:uid="{00000000-0005-0000-0000-00003C010000}"/>
    <cellStyle name="Normal 2 3 2" xfId="299" xr:uid="{00000000-0005-0000-0000-00003D010000}"/>
    <cellStyle name="Normal 2 3_6. Rate Rider Calculations" xfId="403" xr:uid="{00000000-0005-0000-0000-00003E010000}"/>
    <cellStyle name="Normal 2 4" xfId="272" xr:uid="{00000000-0005-0000-0000-00003F010000}"/>
    <cellStyle name="Normal 2 5" xfId="416" xr:uid="{00000000-0005-0000-0000-000040010000}"/>
    <cellStyle name="Normal 2_6. Rate Rider Calculations" xfId="401" xr:uid="{00000000-0005-0000-0000-000041010000}"/>
    <cellStyle name="Normal 20" xfId="207" xr:uid="{00000000-0005-0000-0000-000042010000}"/>
    <cellStyle name="Normal 21" xfId="215" xr:uid="{00000000-0005-0000-0000-000043010000}"/>
    <cellStyle name="Normal 22" xfId="209" xr:uid="{00000000-0005-0000-0000-000044010000}"/>
    <cellStyle name="Normal 23" xfId="211" xr:uid="{00000000-0005-0000-0000-000045010000}"/>
    <cellStyle name="Normal 24" xfId="213" xr:uid="{00000000-0005-0000-0000-000046010000}"/>
    <cellStyle name="Normal 25" xfId="202" xr:uid="{00000000-0005-0000-0000-000047010000}"/>
    <cellStyle name="Normal 26" xfId="208" xr:uid="{00000000-0005-0000-0000-000048010000}"/>
    <cellStyle name="Normal 27" xfId="214" xr:uid="{00000000-0005-0000-0000-000049010000}"/>
    <cellStyle name="Normal 28" xfId="210" xr:uid="{00000000-0005-0000-0000-00004A010000}"/>
    <cellStyle name="Normal 29" xfId="212" xr:uid="{00000000-0005-0000-0000-00004B010000}"/>
    <cellStyle name="Normal 3" xfId="117" xr:uid="{00000000-0005-0000-0000-00004C010000}"/>
    <cellStyle name="Normal 3 2" xfId="159" xr:uid="{00000000-0005-0000-0000-00004D010000}"/>
    <cellStyle name="Normal 3 2 2" xfId="316" xr:uid="{00000000-0005-0000-0000-00004E010000}"/>
    <cellStyle name="Normal 3 2_6. Rate Rider Calculations" xfId="405" xr:uid="{00000000-0005-0000-0000-00004F010000}"/>
    <cellStyle name="Normal 3 3" xfId="292" xr:uid="{00000000-0005-0000-0000-000050010000}"/>
    <cellStyle name="Normal 3 4" xfId="433" xr:uid="{00000000-0005-0000-0000-000051010000}"/>
    <cellStyle name="Normal 3 5" xfId="498" xr:uid="{00000000-0005-0000-0000-000052010000}"/>
    <cellStyle name="Normal 3_6. Rate Rider Calculations" xfId="404" xr:uid="{00000000-0005-0000-0000-000053010000}"/>
    <cellStyle name="Normal 30" xfId="203" xr:uid="{00000000-0005-0000-0000-000054010000}"/>
    <cellStyle name="Normal 31" xfId="205" xr:uid="{00000000-0005-0000-0000-000055010000}"/>
    <cellStyle name="Normal 32" xfId="223" xr:uid="{00000000-0005-0000-0000-000056010000}"/>
    <cellStyle name="Normal 34" xfId="216" xr:uid="{00000000-0005-0000-0000-000057010000}"/>
    <cellStyle name="Normal 35" xfId="225" xr:uid="{00000000-0005-0000-0000-000058010000}"/>
    <cellStyle name="Normal 37" xfId="220" xr:uid="{00000000-0005-0000-0000-000059010000}"/>
    <cellStyle name="Normal 38" xfId="218" xr:uid="{00000000-0005-0000-0000-00005A010000}"/>
    <cellStyle name="Normal 4" xfId="118" xr:uid="{00000000-0005-0000-0000-00005B010000}"/>
    <cellStyle name="Normal 4 2" xfId="160" xr:uid="{00000000-0005-0000-0000-00005C010000}"/>
    <cellStyle name="Normal 4 2 2" xfId="317" xr:uid="{00000000-0005-0000-0000-00005D010000}"/>
    <cellStyle name="Normal 4 2_6. Rate Rider Calculations" xfId="407" xr:uid="{00000000-0005-0000-0000-00005E010000}"/>
    <cellStyle name="Normal 4 3" xfId="293" xr:uid="{00000000-0005-0000-0000-00005F010000}"/>
    <cellStyle name="Normal 4 4" xfId="434" xr:uid="{00000000-0005-0000-0000-000060010000}"/>
    <cellStyle name="Normal 4_6. Rate Rider Calculations" xfId="406" xr:uid="{00000000-0005-0000-0000-000061010000}"/>
    <cellStyle name="Normal 41" xfId="204" xr:uid="{00000000-0005-0000-0000-000062010000}"/>
    <cellStyle name="Normal 42" xfId="206" xr:uid="{00000000-0005-0000-0000-000063010000}"/>
    <cellStyle name="Normal 44" xfId="222" xr:uid="{00000000-0005-0000-0000-000064010000}"/>
    <cellStyle name="Normal 45" xfId="224" xr:uid="{00000000-0005-0000-0000-000065010000}"/>
    <cellStyle name="Normal 46" xfId="217" xr:uid="{00000000-0005-0000-0000-000066010000}"/>
    <cellStyle name="Normal 48" xfId="221" xr:uid="{00000000-0005-0000-0000-000067010000}"/>
    <cellStyle name="Normal 49" xfId="219" xr:uid="{00000000-0005-0000-0000-000068010000}"/>
    <cellStyle name="Normal 5" xfId="119" xr:uid="{00000000-0005-0000-0000-000069010000}"/>
    <cellStyle name="Normal 5 2" xfId="161" xr:uid="{00000000-0005-0000-0000-00006A010000}"/>
    <cellStyle name="Normal 5 2 2" xfId="318" xr:uid="{00000000-0005-0000-0000-00006B010000}"/>
    <cellStyle name="Normal 5 2 3" xfId="442" xr:uid="{00000000-0005-0000-0000-00006C010000}"/>
    <cellStyle name="Normal 5 2_6. Rate Rider Calculations" xfId="409" xr:uid="{00000000-0005-0000-0000-00006D010000}"/>
    <cellStyle name="Normal 5 3" xfId="294" xr:uid="{00000000-0005-0000-0000-00006E010000}"/>
    <cellStyle name="Normal 5 4" xfId="435" xr:uid="{00000000-0005-0000-0000-00006F010000}"/>
    <cellStyle name="Normal 5_6. Rate Rider Calculations" xfId="408" xr:uid="{00000000-0005-0000-0000-000070010000}"/>
    <cellStyle name="Normal 50" xfId="226" xr:uid="{00000000-0005-0000-0000-000071010000}"/>
    <cellStyle name="Normal 51" xfId="227" xr:uid="{00000000-0005-0000-0000-000072010000}"/>
    <cellStyle name="Normal 52" xfId="228" xr:uid="{00000000-0005-0000-0000-000073010000}"/>
    <cellStyle name="Normal 53" xfId="229" xr:uid="{00000000-0005-0000-0000-000074010000}"/>
    <cellStyle name="Normal 54" xfId="232" xr:uid="{00000000-0005-0000-0000-000075010000}"/>
    <cellStyle name="Normal 55" xfId="233" xr:uid="{00000000-0005-0000-0000-000076010000}"/>
    <cellStyle name="Normal 56" xfId="235" xr:uid="{00000000-0005-0000-0000-000077010000}"/>
    <cellStyle name="Normal 57" xfId="236" xr:uid="{00000000-0005-0000-0000-000078010000}"/>
    <cellStyle name="Normal 58" xfId="234" xr:uid="{00000000-0005-0000-0000-000079010000}"/>
    <cellStyle name="Normal 59" xfId="237" xr:uid="{00000000-0005-0000-0000-00007A010000}"/>
    <cellStyle name="Normal 6" xfId="251" xr:uid="{00000000-0005-0000-0000-00007B010000}"/>
    <cellStyle name="Normal 6 2" xfId="325" xr:uid="{00000000-0005-0000-0000-00007C010000}"/>
    <cellStyle name="Normal 6 3" xfId="439" xr:uid="{00000000-0005-0000-0000-00007D010000}"/>
    <cellStyle name="Normal 6_6. Rate Rider Calculations" xfId="410" xr:uid="{00000000-0005-0000-0000-00007E010000}"/>
    <cellStyle name="Normal 60" xfId="230" xr:uid="{00000000-0005-0000-0000-00007F010000}"/>
    <cellStyle name="Normal 61" xfId="231" xr:uid="{00000000-0005-0000-0000-000080010000}"/>
    <cellStyle name="Normal 62" xfId="243" xr:uid="{00000000-0005-0000-0000-000081010000}"/>
    <cellStyle name="Normal 63" xfId="244" xr:uid="{00000000-0005-0000-0000-000082010000}"/>
    <cellStyle name="Normal 65" xfId="238" xr:uid="{00000000-0005-0000-0000-000083010000}"/>
    <cellStyle name="Normal 66" xfId="239" xr:uid="{00000000-0005-0000-0000-000084010000}"/>
    <cellStyle name="Normal 67" xfId="240" xr:uid="{00000000-0005-0000-0000-000085010000}"/>
    <cellStyle name="Normal 68" xfId="245" xr:uid="{00000000-0005-0000-0000-000086010000}"/>
    <cellStyle name="Normal 7" xfId="255" xr:uid="{00000000-0005-0000-0000-000087010000}"/>
    <cellStyle name="Normal 7 2" xfId="329" xr:uid="{00000000-0005-0000-0000-000088010000}"/>
    <cellStyle name="Normal 7_6. Rate Rider Calculations" xfId="411" xr:uid="{00000000-0005-0000-0000-000089010000}"/>
    <cellStyle name="Normal 70" xfId="242" xr:uid="{00000000-0005-0000-0000-00008A010000}"/>
    <cellStyle name="Normal 71" xfId="241" xr:uid="{00000000-0005-0000-0000-00008B010000}"/>
    <cellStyle name="Normal 8" xfId="265" xr:uid="{00000000-0005-0000-0000-00008C010000}"/>
    <cellStyle name="Normal 9" xfId="270" xr:uid="{00000000-0005-0000-0000-00008D010000}"/>
    <cellStyle name="Normal_6. Cost Allocation for Def-Var" xfId="69" xr:uid="{00000000-0005-0000-0000-00008E010000}"/>
    <cellStyle name="Normal_6. Rate Rider Calculations" xfId="395" xr:uid="{00000000-0005-0000-0000-00008F010000}"/>
    <cellStyle name="Normal_6.2 CBR B" xfId="361" xr:uid="{00000000-0005-0000-0000-000090010000}"/>
    <cellStyle name="Normal_Sheet7" xfId="70" xr:uid="{00000000-0005-0000-0000-000091010000}"/>
    <cellStyle name="Note" xfId="50" builtinId="10" customBuiltin="1"/>
    <cellStyle name="Note 2" xfId="120" xr:uid="{00000000-0005-0000-0000-000093010000}"/>
    <cellStyle name="Note 2 2" xfId="162" xr:uid="{00000000-0005-0000-0000-000094010000}"/>
    <cellStyle name="Note 2 2 2" xfId="319" xr:uid="{00000000-0005-0000-0000-000095010000}"/>
    <cellStyle name="Note 2 3" xfId="295" xr:uid="{00000000-0005-0000-0000-000096010000}"/>
    <cellStyle name="Note 2 4" xfId="436" xr:uid="{00000000-0005-0000-0000-000097010000}"/>
    <cellStyle name="Note 3" xfId="180" xr:uid="{00000000-0005-0000-0000-000098010000}"/>
    <cellStyle name="Note 4" xfId="135" xr:uid="{00000000-0005-0000-0000-000099010000}"/>
    <cellStyle name="Note 5" xfId="451" xr:uid="{00000000-0005-0000-0000-00009A010000}"/>
    <cellStyle name="Output" xfId="51" builtinId="21" customBuiltin="1"/>
    <cellStyle name="Output 2" xfId="121" xr:uid="{00000000-0005-0000-0000-00009C010000}"/>
    <cellStyle name="Percent" xfId="58" builtinId="5"/>
    <cellStyle name="Percent [2]" xfId="52" xr:uid="{00000000-0005-0000-0000-00009E010000}"/>
    <cellStyle name="Percent 10" xfId="184" xr:uid="{00000000-0005-0000-0000-00009F010000}"/>
    <cellStyle name="Percent 10 2" xfId="479" xr:uid="{00000000-0005-0000-0000-0000A0010000}"/>
    <cellStyle name="Percent 10 3" xfId="492" xr:uid="{00000000-0005-0000-0000-0000A1010000}"/>
    <cellStyle name="Percent 11" xfId="168" xr:uid="{00000000-0005-0000-0000-0000A2010000}"/>
    <cellStyle name="Percent 11 2" xfId="480" xr:uid="{00000000-0005-0000-0000-0000A3010000}"/>
    <cellStyle name="Percent 12" xfId="177" xr:uid="{00000000-0005-0000-0000-0000A4010000}"/>
    <cellStyle name="Percent 12 2" xfId="481" xr:uid="{00000000-0005-0000-0000-0000A5010000}"/>
    <cellStyle name="Percent 13" xfId="169" xr:uid="{00000000-0005-0000-0000-0000A6010000}"/>
    <cellStyle name="Percent 13 2" xfId="482" xr:uid="{00000000-0005-0000-0000-0000A7010000}"/>
    <cellStyle name="Percent 14" xfId="176" xr:uid="{00000000-0005-0000-0000-0000A8010000}"/>
    <cellStyle name="Percent 14 2" xfId="483" xr:uid="{00000000-0005-0000-0000-0000A9010000}"/>
    <cellStyle name="Percent 15" xfId="170" xr:uid="{00000000-0005-0000-0000-0000AA010000}"/>
    <cellStyle name="Percent 15 2" xfId="484" xr:uid="{00000000-0005-0000-0000-0000AB010000}"/>
    <cellStyle name="Percent 16" xfId="175" xr:uid="{00000000-0005-0000-0000-0000AC010000}"/>
    <cellStyle name="Percent 16 2" xfId="485" xr:uid="{00000000-0005-0000-0000-0000AD010000}"/>
    <cellStyle name="Percent 17" xfId="171" xr:uid="{00000000-0005-0000-0000-0000AE010000}"/>
    <cellStyle name="Percent 18" xfId="174" xr:uid="{00000000-0005-0000-0000-0000AF010000}"/>
    <cellStyle name="Percent 19" xfId="172" xr:uid="{00000000-0005-0000-0000-0000B0010000}"/>
    <cellStyle name="Percent 2" xfId="122" xr:uid="{00000000-0005-0000-0000-0000B1010000}"/>
    <cellStyle name="Percent 20" xfId="188" xr:uid="{00000000-0005-0000-0000-0000B2010000}"/>
    <cellStyle name="Percent 21" xfId="187" xr:uid="{00000000-0005-0000-0000-0000B3010000}"/>
    <cellStyle name="Percent 22" xfId="189" xr:uid="{00000000-0005-0000-0000-0000B4010000}"/>
    <cellStyle name="Percent 23" xfId="185" xr:uid="{00000000-0005-0000-0000-0000B5010000}"/>
    <cellStyle name="Percent 24" xfId="165" xr:uid="{00000000-0005-0000-0000-0000B6010000}"/>
    <cellStyle name="Percent 25" xfId="167" xr:uid="{00000000-0005-0000-0000-0000B7010000}"/>
    <cellStyle name="Percent 26" xfId="173" xr:uid="{00000000-0005-0000-0000-0000B8010000}"/>
    <cellStyle name="Percent 27" xfId="178" xr:uid="{00000000-0005-0000-0000-0000B9010000}"/>
    <cellStyle name="Percent 28" xfId="190" xr:uid="{00000000-0005-0000-0000-0000BA010000}"/>
    <cellStyle name="Percent 29" xfId="136" xr:uid="{00000000-0005-0000-0000-0000BB010000}"/>
    <cellStyle name="Percent 3" xfId="123" xr:uid="{00000000-0005-0000-0000-0000BC010000}"/>
    <cellStyle name="Percent 3 2" xfId="163" xr:uid="{00000000-0005-0000-0000-0000BD010000}"/>
    <cellStyle name="Percent 3 2 2" xfId="320" xr:uid="{00000000-0005-0000-0000-0000BE010000}"/>
    <cellStyle name="Percent 3 2 3" xfId="443" xr:uid="{00000000-0005-0000-0000-0000BF010000}"/>
    <cellStyle name="Percent 3 3" xfId="296" xr:uid="{00000000-0005-0000-0000-0000C0010000}"/>
    <cellStyle name="Percent 3 4" xfId="437" xr:uid="{00000000-0005-0000-0000-0000C1010000}"/>
    <cellStyle name="Percent 30" xfId="129" xr:uid="{00000000-0005-0000-0000-0000C2010000}"/>
    <cellStyle name="Percent 31" xfId="156" xr:uid="{00000000-0005-0000-0000-0000C3010000}"/>
    <cellStyle name="Percent 32" xfId="155" xr:uid="{00000000-0005-0000-0000-0000C4010000}"/>
    <cellStyle name="Percent 33" xfId="132" xr:uid="{00000000-0005-0000-0000-0000C5010000}"/>
    <cellStyle name="Percent 34" xfId="193" xr:uid="{00000000-0005-0000-0000-0000C6010000}"/>
    <cellStyle name="Percent 35" xfId="138" xr:uid="{00000000-0005-0000-0000-0000C7010000}"/>
    <cellStyle name="Percent 36" xfId="195" xr:uid="{00000000-0005-0000-0000-0000C8010000}"/>
    <cellStyle name="Percent 37" xfId="139" xr:uid="{00000000-0005-0000-0000-0000C9010000}"/>
    <cellStyle name="Percent 38" xfId="199" xr:uid="{00000000-0005-0000-0000-0000CA010000}"/>
    <cellStyle name="Percent 39" xfId="152" xr:uid="{00000000-0005-0000-0000-0000CB010000}"/>
    <cellStyle name="Percent 4" xfId="182" xr:uid="{00000000-0005-0000-0000-0000CC010000}"/>
    <cellStyle name="Percent 4 2" xfId="360" xr:uid="{00000000-0005-0000-0000-0000CD010000}"/>
    <cellStyle name="Percent 4 3" xfId="444" xr:uid="{00000000-0005-0000-0000-0000CE010000}"/>
    <cellStyle name="Percent 40" xfId="133" xr:uid="{00000000-0005-0000-0000-0000CF010000}"/>
    <cellStyle name="Percent 41" xfId="194" xr:uid="{00000000-0005-0000-0000-0000D0010000}"/>
    <cellStyle name="Percent 42" xfId="128" xr:uid="{00000000-0005-0000-0000-0000D1010000}"/>
    <cellStyle name="Percent 43" xfId="200" xr:uid="{00000000-0005-0000-0000-0000D2010000}"/>
    <cellStyle name="Percent 44" xfId="131" xr:uid="{00000000-0005-0000-0000-0000D3010000}"/>
    <cellStyle name="Percent 45" xfId="127" xr:uid="{00000000-0005-0000-0000-0000D4010000}"/>
    <cellStyle name="Percent 46" xfId="191" xr:uid="{00000000-0005-0000-0000-0000D5010000}"/>
    <cellStyle name="Percent 47" xfId="196" xr:uid="{00000000-0005-0000-0000-0000D6010000}"/>
    <cellStyle name="Percent 48" xfId="130" xr:uid="{00000000-0005-0000-0000-0000D7010000}"/>
    <cellStyle name="Percent 49" xfId="253" xr:uid="{00000000-0005-0000-0000-0000D8010000}"/>
    <cellStyle name="Percent 49 2" xfId="327" xr:uid="{00000000-0005-0000-0000-0000D9010000}"/>
    <cellStyle name="Percent 5" xfId="164" xr:uid="{00000000-0005-0000-0000-0000DA010000}"/>
    <cellStyle name="Percent 5 2" xfId="364" xr:uid="{00000000-0005-0000-0000-0000DB010000}"/>
    <cellStyle name="Percent 5 3" xfId="468" xr:uid="{00000000-0005-0000-0000-0000DC010000}"/>
    <cellStyle name="Percent 50" xfId="257" xr:uid="{00000000-0005-0000-0000-0000DD010000}"/>
    <cellStyle name="Percent 50 2" xfId="331" xr:uid="{00000000-0005-0000-0000-0000DE010000}"/>
    <cellStyle name="Percent 51" xfId="271" xr:uid="{00000000-0005-0000-0000-0000DF010000}"/>
    <cellStyle name="Percent 52" xfId="274" xr:uid="{00000000-0005-0000-0000-0000E0010000}"/>
    <cellStyle name="Percent 53" xfId="266" xr:uid="{00000000-0005-0000-0000-0000E1010000}"/>
    <cellStyle name="Percent 54" xfId="344" xr:uid="{00000000-0005-0000-0000-0000E2010000}"/>
    <cellStyle name="Percent 54 2" xfId="491" xr:uid="{00000000-0005-0000-0000-0000E3010000}"/>
    <cellStyle name="Percent 55" xfId="415" xr:uid="{00000000-0005-0000-0000-0000E4010000}"/>
    <cellStyle name="Percent 6" xfId="179" xr:uid="{00000000-0005-0000-0000-0000E5010000}"/>
    <cellStyle name="Percent 6 2" xfId="473" xr:uid="{00000000-0005-0000-0000-0000E6010000}"/>
    <cellStyle name="Percent 7" xfId="186" xr:uid="{00000000-0005-0000-0000-0000E7010000}"/>
    <cellStyle name="Percent 7 2" xfId="474" xr:uid="{00000000-0005-0000-0000-0000E8010000}"/>
    <cellStyle name="Percent 8" xfId="181" xr:uid="{00000000-0005-0000-0000-0000E9010000}"/>
    <cellStyle name="Percent 8 2" xfId="471" xr:uid="{00000000-0005-0000-0000-0000EA010000}"/>
    <cellStyle name="Percent 9" xfId="166" xr:uid="{00000000-0005-0000-0000-0000EB010000}"/>
    <cellStyle name="Percent 9 2" xfId="477" xr:uid="{00000000-0005-0000-0000-0000EC010000}"/>
    <cellStyle name="Title" xfId="53" builtinId="15" customBuiltin="1"/>
    <cellStyle name="Title 2" xfId="124" xr:uid="{00000000-0005-0000-0000-0000EE010000}"/>
    <cellStyle name="Total" xfId="54" builtinId="25" customBuiltin="1"/>
    <cellStyle name="Total 2" xfId="125" xr:uid="{00000000-0005-0000-0000-0000F0010000}"/>
    <cellStyle name="Warning Text" xfId="55" builtinId="11" customBuiltin="1"/>
    <cellStyle name="Warning Text 2" xfId="126" xr:uid="{00000000-0005-0000-0000-0000F2010000}"/>
  </cellStyles>
  <dxfs count="28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indexed="42"/>
        </patternFill>
      </fill>
    </dxf>
    <dxf>
      <fill>
        <patternFill>
          <bgColor indexed="42"/>
        </patternFill>
      </fill>
    </dxf>
    <dxf>
      <fill>
        <patternFill>
          <bgColor indexed="42"/>
        </patternFill>
      </fill>
    </dxf>
    <dxf>
      <fill>
        <patternFill>
          <bgColor indexed="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0" tint="-0.24994659260841701"/>
        </patternFill>
      </fill>
    </dxf>
    <dxf>
      <fill>
        <patternFill>
          <bgColor theme="6" tint="0.79998168889431442"/>
        </patternFill>
      </fill>
    </dxf>
    <dxf>
      <fill>
        <patternFill>
          <bgColor theme="0" tint="-0.24994659260841701"/>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0" tint="-0.24994659260841701"/>
        </patternFill>
      </fill>
    </dxf>
    <dxf>
      <fill>
        <patternFill>
          <bgColor theme="6" tint="0.79998168889431442"/>
        </patternFill>
      </fill>
    </dxf>
    <dxf>
      <fill>
        <patternFill>
          <bgColor theme="0" tint="-0.24994659260841701"/>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A6A6A6"/>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CC68" lockText="1" noThreeD="1"/>
</file>

<file path=xl/ctrlProps/ctrlProp10.xml><?xml version="1.0" encoding="utf-8"?>
<formControlPr xmlns="http://schemas.microsoft.com/office/spreadsheetml/2009/9/main" objectType="CheckBox" fmlaLink="CC65" lockText="1" noThreeD="1"/>
</file>

<file path=xl/ctrlProps/ctrlProp11.xml><?xml version="1.0" encoding="utf-8"?>
<formControlPr xmlns="http://schemas.microsoft.com/office/spreadsheetml/2009/9/main" objectType="CheckBox" fmlaLink="CC66" lockText="1" noThreeD="1"/>
</file>

<file path=xl/ctrlProps/ctrlProp12.xml><?xml version="1.0" encoding="utf-8"?>
<formControlPr xmlns="http://schemas.microsoft.com/office/spreadsheetml/2009/9/main" objectType="CheckBox" fmlaLink="CC69" lockText="1" noThreeD="1"/>
</file>

<file path=xl/ctrlProps/ctrlProp13.xml><?xml version="1.0" encoding="utf-8"?>
<formControlPr xmlns="http://schemas.microsoft.com/office/spreadsheetml/2009/9/main" objectType="CheckBox" fmlaLink="CC70" lockText="1" noThreeD="1"/>
</file>

<file path=xl/ctrlProps/ctrlProp14.xml><?xml version="1.0" encoding="utf-8"?>
<formControlPr xmlns="http://schemas.microsoft.com/office/spreadsheetml/2009/9/main" objectType="CheckBox" fmlaLink="CC67" lockText="1" noThreeD="1"/>
</file>

<file path=xl/ctrlProps/ctrlProp15.xml><?xml version="1.0" encoding="utf-8"?>
<formControlPr xmlns="http://schemas.microsoft.com/office/spreadsheetml/2009/9/main" objectType="CheckBox" fmlaLink="CQ71" lockText="1" noThreeD="1"/>
</file>

<file path=xl/ctrlProps/ctrlProp16.xml><?xml version="1.0" encoding="utf-8"?>
<formControlPr xmlns="http://schemas.microsoft.com/office/spreadsheetml/2009/9/main" objectType="CheckBox" fmlaLink="CQ61" lockText="1" noThreeD="1"/>
</file>

<file path=xl/ctrlProps/ctrlProp17.xml><?xml version="1.0" encoding="utf-8"?>
<formControlPr xmlns="http://schemas.microsoft.com/office/spreadsheetml/2009/9/main" objectType="CheckBox" fmlaLink="CQ62" lockText="1" noThreeD="1"/>
</file>

<file path=xl/ctrlProps/ctrlProp18.xml><?xml version="1.0" encoding="utf-8"?>
<formControlPr xmlns="http://schemas.microsoft.com/office/spreadsheetml/2009/9/main" objectType="CheckBox" fmlaLink="CQ63" lockText="1" noThreeD="1"/>
</file>

<file path=xl/ctrlProps/ctrlProp19.xml><?xml version="1.0" encoding="utf-8"?>
<formControlPr xmlns="http://schemas.microsoft.com/office/spreadsheetml/2009/9/main" objectType="CheckBox" fmlaLink="CQ64" lockText="1" noThreeD="1"/>
</file>

<file path=xl/ctrlProps/ctrlProp2.xml><?xml version="1.0" encoding="utf-8"?>
<formControlPr xmlns="http://schemas.microsoft.com/office/spreadsheetml/2009/9/main" objectType="Drop" dropStyle="combo" dx="22" fmlaLink="$F$1" fmlaRange="$B$23:$B$38" noThreeD="1" sel="16" val="8"/>
</file>

<file path=xl/ctrlProps/ctrlProp20.xml><?xml version="1.0" encoding="utf-8"?>
<formControlPr xmlns="http://schemas.microsoft.com/office/spreadsheetml/2009/9/main" objectType="CheckBox" fmlaLink="#REF!" lockText="1" noThreeD="1"/>
</file>

<file path=xl/ctrlProps/ctrlProp21.xml><?xml version="1.0" encoding="utf-8"?>
<formControlPr xmlns="http://schemas.microsoft.com/office/spreadsheetml/2009/9/main" objectType="CheckBox" fmlaLink="CQ66" lockText="1" noThreeD="1"/>
</file>

<file path=xl/ctrlProps/ctrlProp22.xml><?xml version="1.0" encoding="utf-8"?>
<formControlPr xmlns="http://schemas.microsoft.com/office/spreadsheetml/2009/9/main" objectType="CheckBox" fmlaLink="CQ67" lockText="1" noThreeD="1"/>
</file>

<file path=xl/ctrlProps/ctrlProp23.xml><?xml version="1.0" encoding="utf-8"?>
<formControlPr xmlns="http://schemas.microsoft.com/office/spreadsheetml/2009/9/main" objectType="CheckBox" fmlaLink="CQ68" lockText="1" noThreeD="1"/>
</file>

<file path=xl/ctrlProps/ctrlProp24.xml><?xml version="1.0" encoding="utf-8"?>
<formControlPr xmlns="http://schemas.microsoft.com/office/spreadsheetml/2009/9/main" objectType="CheckBox" fmlaLink="CQ69" lockText="1" noThreeD="1"/>
</file>

<file path=xl/ctrlProps/ctrlProp25.xml><?xml version="1.0" encoding="utf-8"?>
<formControlPr xmlns="http://schemas.microsoft.com/office/spreadsheetml/2009/9/main" objectType="CheckBox" fmlaLink="CQ72" lockText="1" noThreeD="1"/>
</file>

<file path=xl/ctrlProps/ctrlProp26.xml><?xml version="1.0" encoding="utf-8"?>
<formControlPr xmlns="http://schemas.microsoft.com/office/spreadsheetml/2009/9/main" objectType="CheckBox" fmlaLink="CQ73" lockText="1" noThreeD="1"/>
</file>

<file path=xl/ctrlProps/ctrlProp27.xml><?xml version="1.0" encoding="utf-8"?>
<formControlPr xmlns="http://schemas.microsoft.com/office/spreadsheetml/2009/9/main" objectType="CheckBox" fmlaLink="CQ70" lockText="1" noThreeD="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fmlaLink="CC58" lockText="1" noThreeD="1"/>
</file>

<file path=xl/ctrlProps/ctrlProp4.xml><?xml version="1.0" encoding="utf-8"?>
<formControlPr xmlns="http://schemas.microsoft.com/office/spreadsheetml/2009/9/main" objectType="CheckBox" fmlaLink="CC59" lockText="1" noThreeD="1"/>
</file>

<file path=xl/ctrlProps/ctrlProp5.xml><?xml version="1.0" encoding="utf-8"?>
<formControlPr xmlns="http://schemas.microsoft.com/office/spreadsheetml/2009/9/main" objectType="CheckBox" fmlaLink="CC60" lockText="1" noThreeD="1"/>
</file>

<file path=xl/ctrlProps/ctrlProp6.xml><?xml version="1.0" encoding="utf-8"?>
<formControlPr xmlns="http://schemas.microsoft.com/office/spreadsheetml/2009/9/main" objectType="CheckBox" fmlaLink="CC61" lockText="1" noThreeD="1"/>
</file>

<file path=xl/ctrlProps/ctrlProp7.xml><?xml version="1.0" encoding="utf-8"?>
<formControlPr xmlns="http://schemas.microsoft.com/office/spreadsheetml/2009/9/main" objectType="CheckBox" fmlaLink="CC62" lockText="1" noThreeD="1"/>
</file>

<file path=xl/ctrlProps/ctrlProp8.xml><?xml version="1.0" encoding="utf-8"?>
<formControlPr xmlns="http://schemas.microsoft.com/office/spreadsheetml/2009/9/main" objectType="CheckBox" fmlaLink="CC63" lockText="1" noThreeD="1"/>
</file>

<file path=xl/ctrlProps/ctrlProp9.xml><?xml version="1.0" encoding="utf-8"?>
<formControlPr xmlns="http://schemas.microsoft.com/office/spreadsheetml/2009/9/main" objectType="CheckBox" fmlaLink="CC64"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9524</xdr:colOff>
      <xdr:row>0</xdr:row>
      <xdr:rowOff>28575</xdr:rowOff>
    </xdr:from>
    <xdr:to>
      <xdr:col>5</xdr:col>
      <xdr:colOff>3086100</xdr:colOff>
      <xdr:row>10</xdr:row>
      <xdr:rowOff>1</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28575"/>
          <a:ext cx="8724901" cy="1685926"/>
        </a:xfrm>
        <a:prstGeom prst="rect">
          <a:avLst/>
        </a:prstGeom>
        <a:ln>
          <a:noFill/>
        </a:ln>
        <a:effectLst>
          <a:softEdge rad="112500"/>
        </a:effectLst>
      </xdr:spPr>
    </xdr:pic>
    <xdr:clientData/>
  </xdr:twoCellAnchor>
  <xdr:twoCellAnchor>
    <xdr:from>
      <xdr:col>0</xdr:col>
      <xdr:colOff>0</xdr:colOff>
      <xdr:row>5</xdr:row>
      <xdr:rowOff>19050</xdr:rowOff>
    </xdr:from>
    <xdr:to>
      <xdr:col>5</xdr:col>
      <xdr:colOff>2276475</xdr:colOff>
      <xdr:row>8</xdr:row>
      <xdr:rowOff>66675</xdr:rowOff>
    </xdr:to>
    <xdr:sp macro="" textlink="">
      <xdr:nvSpPr>
        <xdr:cNvPr id="7" name="Rectangle 6">
          <a:extLst>
            <a:ext uri="{FF2B5EF4-FFF2-40B4-BE49-F238E27FC236}">
              <a16:creationId xmlns:a16="http://schemas.microsoft.com/office/drawing/2014/main" id="{00000000-0008-0000-0200-000007000000}"/>
            </a:ext>
          </a:extLst>
        </xdr:cNvPr>
        <xdr:cNvSpPr/>
      </xdr:nvSpPr>
      <xdr:spPr>
        <a:xfrm>
          <a:off x="0" y="876300"/>
          <a:ext cx="7924800" cy="56197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2023 Deferral/Variance Account Workform</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666750</xdr:colOff>
      <xdr:row>1</xdr:row>
      <xdr:rowOff>57150</xdr:rowOff>
    </xdr:from>
    <xdr:to>
      <xdr:col>2</xdr:col>
      <xdr:colOff>1964089</xdr:colOff>
      <xdr:row>3</xdr:row>
      <xdr:rowOff>50500</xdr:rowOff>
    </xdr:to>
    <xdr:sp macro="" textlink="">
      <xdr:nvSpPr>
        <xdr:cNvPr id="8" name="Rectangle 7">
          <a:extLst>
            <a:ext uri="{FF2B5EF4-FFF2-40B4-BE49-F238E27FC236}">
              <a16:creationId xmlns:a16="http://schemas.microsoft.com/office/drawing/2014/main" id="{00000000-0008-0000-0200-000008000000}"/>
            </a:ext>
          </a:extLst>
        </xdr:cNvPr>
        <xdr:cNvSpPr/>
      </xdr:nvSpPr>
      <xdr:spPr>
        <a:xfrm>
          <a:off x="666750" y="228600"/>
          <a:ext cx="267846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0</xdr:col>
      <xdr:colOff>190500</xdr:colOff>
      <xdr:row>1</xdr:row>
      <xdr:rowOff>76200</xdr:rowOff>
    </xdr:from>
    <xdr:to>
      <xdr:col>0</xdr:col>
      <xdr:colOff>579782</xdr:colOff>
      <xdr:row>3</xdr:row>
      <xdr:rowOff>111445</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90500" y="247650"/>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295275</xdr:colOff>
      <xdr:row>0</xdr:row>
      <xdr:rowOff>0</xdr:rowOff>
    </xdr:from>
    <xdr:to>
      <xdr:col>6</xdr:col>
      <xdr:colOff>484945</xdr:colOff>
      <xdr:row>1</xdr:row>
      <xdr:rowOff>96491</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95275" y="0"/>
          <a:ext cx="9009820" cy="1915766"/>
        </a:xfrm>
        <a:prstGeom prst="rect">
          <a:avLst/>
        </a:prstGeom>
        <a:ln>
          <a:noFill/>
        </a:ln>
        <a:effectLst>
          <a:softEdge rad="112500"/>
        </a:effectLst>
      </xdr:spPr>
    </xdr:pic>
    <xdr:clientData/>
  </xdr:twoCellAnchor>
  <xdr:twoCellAnchor>
    <xdr:from>
      <xdr:col>1</xdr:col>
      <xdr:colOff>61011</xdr:colOff>
      <xdr:row>0</xdr:row>
      <xdr:rowOff>701561</xdr:rowOff>
    </xdr:from>
    <xdr:to>
      <xdr:col>6</xdr:col>
      <xdr:colOff>36031</xdr:colOff>
      <xdr:row>0</xdr:row>
      <xdr:rowOff>1248190</xdr:rowOff>
    </xdr:to>
    <xdr:sp macro="" textlink="">
      <xdr:nvSpPr>
        <xdr:cNvPr id="7" name="Rectangle 6">
          <a:extLst>
            <a:ext uri="{FF2B5EF4-FFF2-40B4-BE49-F238E27FC236}">
              <a16:creationId xmlns:a16="http://schemas.microsoft.com/office/drawing/2014/main" id="{00000000-0008-0000-0C00-000007000000}"/>
            </a:ext>
          </a:extLst>
        </xdr:cNvPr>
        <xdr:cNvSpPr/>
      </xdr:nvSpPr>
      <xdr:spPr>
        <a:xfrm>
          <a:off x="137211" y="70156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Account Workform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1</xdr:col>
      <xdr:colOff>129624</xdr:colOff>
      <xdr:row>0</xdr:row>
      <xdr:rowOff>188475</xdr:rowOff>
    </xdr:from>
    <xdr:to>
      <xdr:col>1</xdr:col>
      <xdr:colOff>518906</xdr:colOff>
      <xdr:row>0</xdr:row>
      <xdr:rowOff>566620</xdr:rowOff>
    </xdr:to>
    <xdr:pic>
      <xdr:nvPicPr>
        <xdr:cNvPr id="8" name="Picture 7">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05824" y="18847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470171</xdr:colOff>
      <xdr:row>0</xdr:row>
      <xdr:rowOff>158221</xdr:rowOff>
    </xdr:from>
    <xdr:to>
      <xdr:col>1</xdr:col>
      <xdr:colOff>3053385</xdr:colOff>
      <xdr:row>0</xdr:row>
      <xdr:rowOff>494471</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546371" y="15822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xdr:col>
      <xdr:colOff>19050</xdr:colOff>
      <xdr:row>63</xdr:row>
      <xdr:rowOff>361950</xdr:rowOff>
    </xdr:from>
    <xdr:to>
      <xdr:col>25</xdr:col>
      <xdr:colOff>19050</xdr:colOff>
      <xdr:row>63</xdr:row>
      <xdr:rowOff>457200</xdr:rowOff>
    </xdr:to>
    <xdr:sp macro="" textlink="">
      <xdr:nvSpPr>
        <xdr:cNvPr id="2" name="Rectangle 1">
          <a:extLst>
            <a:ext uri="{FF2B5EF4-FFF2-40B4-BE49-F238E27FC236}">
              <a16:creationId xmlns:a16="http://schemas.microsoft.com/office/drawing/2014/main" id="{00000000-0008-0000-0C00-000002000000}"/>
            </a:ext>
          </a:extLst>
        </xdr:cNvPr>
        <xdr:cNvSpPr/>
      </xdr:nvSpPr>
      <xdr:spPr bwMode="auto">
        <a:xfrm>
          <a:off x="19050" y="11058525"/>
          <a:ext cx="40233600" cy="95250"/>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295275</xdr:colOff>
      <xdr:row>0</xdr:row>
      <xdr:rowOff>0</xdr:rowOff>
    </xdr:from>
    <xdr:to>
      <xdr:col>6</xdr:col>
      <xdr:colOff>484945</xdr:colOff>
      <xdr:row>1</xdr:row>
      <xdr:rowOff>96491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10314745" cy="1915766"/>
        </a:xfrm>
        <a:prstGeom prst="rect">
          <a:avLst/>
        </a:prstGeom>
        <a:ln>
          <a:noFill/>
        </a:ln>
        <a:effectLst>
          <a:softEdge rad="112500"/>
        </a:effectLst>
      </xdr:spPr>
    </xdr:pic>
    <xdr:clientData/>
  </xdr:twoCellAnchor>
  <xdr:twoCellAnchor>
    <xdr:from>
      <xdr:col>1</xdr:col>
      <xdr:colOff>61011</xdr:colOff>
      <xdr:row>0</xdr:row>
      <xdr:rowOff>701561</xdr:rowOff>
    </xdr:from>
    <xdr:to>
      <xdr:col>6</xdr:col>
      <xdr:colOff>36031</xdr:colOff>
      <xdr:row>0</xdr:row>
      <xdr:rowOff>1248190</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61011" y="701561"/>
          <a:ext cx="980482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Account Workform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1</xdr:col>
      <xdr:colOff>129624</xdr:colOff>
      <xdr:row>0</xdr:row>
      <xdr:rowOff>188475</xdr:rowOff>
    </xdr:from>
    <xdr:to>
      <xdr:col>1</xdr:col>
      <xdr:colOff>518906</xdr:colOff>
      <xdr:row>0</xdr:row>
      <xdr:rowOff>566620</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9624" y="18847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470171</xdr:colOff>
      <xdr:row>0</xdr:row>
      <xdr:rowOff>158221</xdr:rowOff>
    </xdr:from>
    <xdr:to>
      <xdr:col>1</xdr:col>
      <xdr:colOff>3053385</xdr:colOff>
      <xdr:row>0</xdr:row>
      <xdr:rowOff>494471</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470171" y="15822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xdr:col>
      <xdr:colOff>19050</xdr:colOff>
      <xdr:row>63</xdr:row>
      <xdr:rowOff>361950</xdr:rowOff>
    </xdr:from>
    <xdr:to>
      <xdr:col>25</xdr:col>
      <xdr:colOff>19050</xdr:colOff>
      <xdr:row>63</xdr:row>
      <xdr:rowOff>457200</xdr:rowOff>
    </xdr:to>
    <xdr:sp macro="" textlink="">
      <xdr:nvSpPr>
        <xdr:cNvPr id="6" name="Rectangle 5">
          <a:extLst>
            <a:ext uri="{FF2B5EF4-FFF2-40B4-BE49-F238E27FC236}">
              <a16:creationId xmlns:a16="http://schemas.microsoft.com/office/drawing/2014/main" id="{00000000-0008-0000-0D00-000006000000}"/>
            </a:ext>
          </a:extLst>
        </xdr:cNvPr>
        <xdr:cNvSpPr/>
      </xdr:nvSpPr>
      <xdr:spPr bwMode="auto">
        <a:xfrm>
          <a:off x="19050" y="11058525"/>
          <a:ext cx="40233600" cy="95250"/>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0</xdr:rowOff>
    </xdr:from>
    <xdr:to>
      <xdr:col>4</xdr:col>
      <xdr:colOff>1276350</xdr:colOff>
      <xdr:row>11</xdr:row>
      <xdr:rowOff>47624</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1" y="0"/>
          <a:ext cx="12317878" cy="2102036"/>
          <a:chOff x="200024" y="4499942"/>
          <a:chExt cx="8891405" cy="1915766"/>
        </a:xfrm>
      </xdr:grpSpPr>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E00-000004000000}"/>
              </a:ext>
            </a:extLst>
          </xdr:cNvPr>
          <xdr:cNvSpPr txBox="1"/>
        </xdr:nvSpPr>
        <xdr:spPr>
          <a:xfrm>
            <a:off x="460952" y="526194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46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E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3</xdr:col>
          <xdr:colOff>508000</xdr:colOff>
          <xdr:row>24</xdr:row>
          <xdr:rowOff>31750</xdr:rowOff>
        </xdr:from>
        <xdr:to>
          <xdr:col>3</xdr:col>
          <xdr:colOff>2222500</xdr:colOff>
          <xdr:row>25</xdr:row>
          <xdr:rowOff>0</xdr:rowOff>
        </xdr:to>
        <xdr:sp macro="" textlink="">
          <xdr:nvSpPr>
            <xdr:cNvPr id="34817" name="Button 1" hidden="1">
              <a:extLst>
                <a:ext uri="{63B3BB69-23CF-44E3-9099-C40C66FF867C}">
                  <a14:compatExt spid="_x0000_s34817"/>
                </a:ext>
                <a:ext uri="{FF2B5EF4-FFF2-40B4-BE49-F238E27FC236}">
                  <a16:creationId xmlns:a16="http://schemas.microsoft.com/office/drawing/2014/main" id="{00000000-0008-0000-0E00-000001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100" b="0" i="0" u="none" strike="noStrike" baseline="0">
                  <a:solidFill>
                    <a:srgbClr val="000000"/>
                  </a:solidFill>
                  <a:latin typeface="Calibri"/>
                  <a:cs typeface="Calibri"/>
                </a:rPr>
                <a:t>Clear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476250</xdr:colOff>
          <xdr:row>486</xdr:row>
          <xdr:rowOff>184150</xdr:rowOff>
        </xdr:from>
        <xdr:to>
          <xdr:col>3</xdr:col>
          <xdr:colOff>2190750</xdr:colOff>
          <xdr:row>486</xdr:row>
          <xdr:rowOff>533400</xdr:rowOff>
        </xdr:to>
        <xdr:sp macro="" textlink="">
          <xdr:nvSpPr>
            <xdr:cNvPr id="34818" name="Button 2" hidden="1">
              <a:extLst>
                <a:ext uri="{63B3BB69-23CF-44E3-9099-C40C66FF867C}">
                  <a14:compatExt spid="_x0000_s34818"/>
                </a:ext>
                <a:ext uri="{FF2B5EF4-FFF2-40B4-BE49-F238E27FC236}">
                  <a16:creationId xmlns:a16="http://schemas.microsoft.com/office/drawing/2014/main" id="{00000000-0008-0000-0E00-000002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100" b="0" i="0" u="none" strike="noStrike" baseline="0">
                  <a:solidFill>
                    <a:srgbClr val="000000"/>
                  </a:solidFill>
                  <a:latin typeface="Calibri"/>
                  <a:cs typeface="Calibri"/>
                </a:rPr>
                <a:t>Clear All</a:t>
              </a:r>
            </a:p>
          </xdr:txBody>
        </xdr:sp>
        <xdr:clientData fPrintsWithSheet="0"/>
      </xdr:twoCellAnchor>
    </mc:Choice>
    <mc:Fallback/>
  </mc:AlternateContent>
  <xdr:twoCellAnchor>
    <xdr:from>
      <xdr:col>1</xdr:col>
      <xdr:colOff>457201</xdr:colOff>
      <xdr:row>3</xdr:row>
      <xdr:rowOff>38100</xdr:rowOff>
    </xdr:from>
    <xdr:to>
      <xdr:col>4</xdr:col>
      <xdr:colOff>151275</xdr:colOff>
      <xdr:row>6</xdr:row>
      <xdr:rowOff>4419</xdr:rowOff>
    </xdr:to>
    <xdr:sp macro="" textlink="">
      <xdr:nvSpPr>
        <xdr:cNvPr id="10" name="Rectangle 9">
          <a:extLst>
            <a:ext uri="{FF2B5EF4-FFF2-40B4-BE49-F238E27FC236}">
              <a16:creationId xmlns:a16="http://schemas.microsoft.com/office/drawing/2014/main" id="{00000000-0008-0000-0E00-00000A000000}"/>
            </a:ext>
          </a:extLst>
        </xdr:cNvPr>
        <xdr:cNvSpPr/>
      </xdr:nvSpPr>
      <xdr:spPr>
        <a:xfrm>
          <a:off x="1000126" y="609600"/>
          <a:ext cx="9323849" cy="53781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Account Workform</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1828800</xdr:colOff>
      <xdr:row>10</xdr:row>
      <xdr:rowOff>133350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1" y="0"/>
          <a:ext cx="10823221" cy="1967794"/>
          <a:chOff x="200024" y="4499942"/>
          <a:chExt cx="8857420" cy="1915766"/>
        </a:xfrm>
      </xdr:grpSpPr>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F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F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1219201</xdr:colOff>
      <xdr:row>3</xdr:row>
      <xdr:rowOff>95250</xdr:rowOff>
    </xdr:from>
    <xdr:to>
      <xdr:col>3</xdr:col>
      <xdr:colOff>809625</xdr:colOff>
      <xdr:row>6</xdr:row>
      <xdr:rowOff>70379</xdr:rowOff>
    </xdr:to>
    <xdr:sp macro="" textlink="">
      <xdr:nvSpPr>
        <xdr:cNvPr id="8" name="Rectangle 7">
          <a:extLst>
            <a:ext uri="{FF2B5EF4-FFF2-40B4-BE49-F238E27FC236}">
              <a16:creationId xmlns:a16="http://schemas.microsoft.com/office/drawing/2014/main" id="{00000000-0008-0000-0F00-000008000000}"/>
            </a:ext>
          </a:extLst>
        </xdr:cNvPr>
        <xdr:cNvSpPr/>
      </xdr:nvSpPr>
      <xdr:spPr>
        <a:xfrm>
          <a:off x="1219201" y="666750"/>
          <a:ext cx="6038849"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Account Workform</a:t>
          </a:r>
          <a:endParaRPr lang="en-CA" sz="30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47625</xdr:rowOff>
    </xdr:from>
    <xdr:to>
      <xdr:col>7</xdr:col>
      <xdr:colOff>0</xdr:colOff>
      <xdr:row>13</xdr:row>
      <xdr:rowOff>43391</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0" y="47625"/>
          <a:ext cx="9556750" cy="2084916"/>
          <a:chOff x="200024" y="4536847"/>
          <a:chExt cx="8857420" cy="1915766"/>
        </a:xfrm>
      </xdr:grpSpPr>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536847"/>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10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pic>
        <xdr:nvPicPr>
          <xdr:cNvPr id="6" name="Picture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0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xdr:col>
      <xdr:colOff>361950</xdr:colOff>
      <xdr:row>3</xdr:row>
      <xdr:rowOff>152400</xdr:rowOff>
    </xdr:from>
    <xdr:to>
      <xdr:col>3</xdr:col>
      <xdr:colOff>752474</xdr:colOff>
      <xdr:row>7</xdr:row>
      <xdr:rowOff>51329</xdr:rowOff>
    </xdr:to>
    <xdr:sp macro="" textlink="">
      <xdr:nvSpPr>
        <xdr:cNvPr id="8" name="Rectangle 7">
          <a:extLst>
            <a:ext uri="{FF2B5EF4-FFF2-40B4-BE49-F238E27FC236}">
              <a16:creationId xmlns:a16="http://schemas.microsoft.com/office/drawing/2014/main" id="{00000000-0008-0000-1000-000008000000}"/>
            </a:ext>
          </a:extLst>
        </xdr:cNvPr>
        <xdr:cNvSpPr/>
      </xdr:nvSpPr>
      <xdr:spPr>
        <a:xfrm>
          <a:off x="4086225" y="638175"/>
          <a:ext cx="3971924"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Account Workform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403412</xdr:colOff>
      <xdr:row>10</xdr:row>
      <xdr:rowOff>28575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1" y="0"/>
          <a:ext cx="11619099" cy="1854200"/>
          <a:chOff x="200024" y="4499942"/>
          <a:chExt cx="8857420" cy="1915766"/>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11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1100-000005000000}"/>
              </a:ext>
            </a:extLst>
          </xdr:cNvPr>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CA" sz="3600" b="1" i="0" u="none" strike="noStrike" kern="0" cap="none" spc="0" normalizeH="0" baseline="0" noProof="0">
                <a:ln w="11430">
                  <a:solidFill>
                    <a:prstClr val="black">
                      <a:lumMod val="95000"/>
                      <a:lumOff val="5000"/>
                    </a:prstClr>
                  </a:solidFill>
                </a:ln>
                <a:solidFill>
                  <a:prstClr val="black"/>
                </a:solidFill>
                <a:effectLst>
                  <a:outerShdw blurRad="60007" dist="200025" dir="15000000" sy="30000" kx="-1800000" algn="bl" rotWithShape="0">
                    <a:prstClr val="black">
                      <a:alpha val="32000"/>
                    </a:prstClr>
                  </a:outerShdw>
                </a:effectLst>
                <a:uLnTx/>
                <a:uFillTx/>
                <a:latin typeface="+mn-lt"/>
                <a:ea typeface="+mn-ea"/>
                <a:cs typeface="+mn-cs"/>
              </a:rPr>
              <a:t>2024 Deferral/Variance Account Workform</a:t>
            </a:r>
          </a:p>
        </xdr:txBody>
      </xdr:sp>
      <xdr:pic>
        <xdr:nvPicPr>
          <xdr:cNvPr id="6" name="Picture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1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19049</xdr:colOff>
      <xdr:row>0</xdr:row>
      <xdr:rowOff>0</xdr:rowOff>
    </xdr:from>
    <xdr:to>
      <xdr:col>8</xdr:col>
      <xdr:colOff>419099</xdr:colOff>
      <xdr:row>12</xdr:row>
      <xdr:rowOff>55074</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9049" y="0"/>
          <a:ext cx="8334375" cy="1998174"/>
        </a:xfrm>
        <a:prstGeom prst="rect">
          <a:avLst/>
        </a:prstGeom>
        <a:ln>
          <a:noFill/>
        </a:ln>
        <a:effectLst>
          <a:softEdge rad="112500"/>
        </a:effectLst>
      </xdr:spPr>
    </xdr:pic>
    <xdr:clientData/>
  </xdr:twoCellAnchor>
  <xdr:twoCellAnchor>
    <xdr:from>
      <xdr:col>0</xdr:col>
      <xdr:colOff>327711</xdr:colOff>
      <xdr:row>4</xdr:row>
      <xdr:rowOff>53861</xdr:rowOff>
    </xdr:from>
    <xdr:to>
      <xdr:col>8</xdr:col>
      <xdr:colOff>171450</xdr:colOff>
      <xdr:row>7</xdr:row>
      <xdr:rowOff>114715</xdr:rowOff>
    </xdr:to>
    <xdr:sp macro="" textlink="">
      <xdr:nvSpPr>
        <xdr:cNvPr id="7" name="Rectangle 6">
          <a:extLst>
            <a:ext uri="{FF2B5EF4-FFF2-40B4-BE49-F238E27FC236}">
              <a16:creationId xmlns:a16="http://schemas.microsoft.com/office/drawing/2014/main" id="{00000000-0008-0000-1200-000007000000}"/>
            </a:ext>
          </a:extLst>
        </xdr:cNvPr>
        <xdr:cNvSpPr/>
      </xdr:nvSpPr>
      <xdr:spPr>
        <a:xfrm>
          <a:off x="327711" y="701561"/>
          <a:ext cx="7778064"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CA" sz="3600" b="1" i="0" u="none" strike="noStrike" kern="0" cap="none" spc="0" normalizeH="0" baseline="0" noProof="0">
              <a:ln w="11430">
                <a:solidFill>
                  <a:prstClr val="black">
                    <a:lumMod val="95000"/>
                    <a:lumOff val="5000"/>
                  </a:prstClr>
                </a:solidFill>
              </a:ln>
              <a:solidFill>
                <a:prstClr val="black"/>
              </a:solidFill>
              <a:effectLst>
                <a:outerShdw blurRad="60007" dist="200025" dir="15000000" sy="30000" kx="-1800000" algn="bl" rotWithShape="0">
                  <a:prstClr val="black">
                    <a:alpha val="32000"/>
                  </a:prstClr>
                </a:outerShdw>
              </a:effectLst>
              <a:uLnTx/>
              <a:uFillTx/>
              <a:latin typeface="+mn-lt"/>
              <a:ea typeface="+mn-ea"/>
              <a:cs typeface="+mn-cs"/>
            </a:rPr>
            <a:t>2024 Deferral/Variance Account Workform</a:t>
          </a:r>
        </a:p>
      </xdr:txBody>
    </xdr:sp>
    <xdr:clientData/>
  </xdr:twoCellAnchor>
  <xdr:twoCellAnchor>
    <xdr:from>
      <xdr:col>0</xdr:col>
      <xdr:colOff>224874</xdr:colOff>
      <xdr:row>1</xdr:row>
      <xdr:rowOff>26550</xdr:rowOff>
    </xdr:from>
    <xdr:to>
      <xdr:col>1</xdr:col>
      <xdr:colOff>4556</xdr:colOff>
      <xdr:row>3</xdr:row>
      <xdr:rowOff>80845</xdr:rowOff>
    </xdr:to>
    <xdr:pic>
      <xdr:nvPicPr>
        <xdr:cNvPr id="8" name="Picture 7">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24874" y="18847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565421</xdr:colOff>
      <xdr:row>0</xdr:row>
      <xdr:rowOff>158221</xdr:rowOff>
    </xdr:from>
    <xdr:to>
      <xdr:col>2</xdr:col>
      <xdr:colOff>157785</xdr:colOff>
      <xdr:row>3</xdr:row>
      <xdr:rowOff>8696</xdr:rowOff>
    </xdr:to>
    <xdr:sp macro="" textlink="">
      <xdr:nvSpPr>
        <xdr:cNvPr id="9" name="Rectangle 8">
          <a:extLst>
            <a:ext uri="{FF2B5EF4-FFF2-40B4-BE49-F238E27FC236}">
              <a16:creationId xmlns:a16="http://schemas.microsoft.com/office/drawing/2014/main" id="{00000000-0008-0000-1200-000009000000}"/>
            </a:ext>
          </a:extLst>
        </xdr:cNvPr>
        <xdr:cNvSpPr/>
      </xdr:nvSpPr>
      <xdr:spPr>
        <a:xfrm>
          <a:off x="565421" y="15822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8</xdr:col>
      <xdr:colOff>733425</xdr:colOff>
      <xdr:row>150</xdr:row>
      <xdr:rowOff>123826</xdr:rowOff>
    </xdr:from>
    <xdr:to>
      <xdr:col>18</xdr:col>
      <xdr:colOff>361950</xdr:colOff>
      <xdr:row>154</xdr:row>
      <xdr:rowOff>114300</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8667750" y="18011776"/>
          <a:ext cx="3667125" cy="117157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b="0" i="0">
              <a:solidFill>
                <a:schemeClr val="dk1"/>
              </a:solidFill>
              <a:effectLst/>
              <a:latin typeface="+mn-lt"/>
              <a:ea typeface="+mn-ea"/>
              <a:cs typeface="+mn-cs"/>
            </a:rPr>
            <a:t>As per the Board's</a:t>
          </a:r>
          <a:r>
            <a:rPr lang="en-CA" sz="1100" b="0" i="0" baseline="0">
              <a:solidFill>
                <a:schemeClr val="dk1"/>
              </a:solidFill>
              <a:effectLst/>
              <a:latin typeface="+mn-lt"/>
              <a:ea typeface="+mn-ea"/>
              <a:cs typeface="+mn-cs"/>
            </a:rPr>
            <a:t> letter issued July 16, 2015 </a:t>
          </a:r>
          <a:r>
            <a:rPr lang="en-CA" sz="1100" b="0" i="0">
              <a:solidFill>
                <a:schemeClr val="dk1"/>
              </a:solidFill>
              <a:effectLst/>
              <a:latin typeface="+mn-lt"/>
              <a:ea typeface="+mn-ea"/>
              <a:cs typeface="+mn-cs"/>
            </a:rPr>
            <a:t>outlining details regarding the implementation of the transition to fully fixed distribution charges for residential customers,</a:t>
          </a:r>
          <a:r>
            <a:rPr lang="en-CA" sz="1100" b="0" i="0" baseline="0">
              <a:solidFill>
                <a:schemeClr val="dk1"/>
              </a:solidFill>
              <a:effectLst/>
              <a:latin typeface="+mn-lt"/>
              <a:ea typeface="+mn-ea"/>
              <a:cs typeface="+mn-cs"/>
            </a:rPr>
            <a:t> Residential rates for group 2 accounts are to be on a per customer basis.  Please choose "# of customers" for the </a:t>
          </a:r>
          <a:r>
            <a:rPr lang="en-CA" sz="1100" b="1" i="0" baseline="0">
              <a:solidFill>
                <a:schemeClr val="dk1"/>
              </a:solidFill>
              <a:effectLst/>
              <a:latin typeface="+mn-lt"/>
              <a:ea typeface="+mn-ea"/>
              <a:cs typeface="+mn-cs"/>
            </a:rPr>
            <a:t>Residential class.</a:t>
          </a:r>
          <a:endParaRPr lang="en-CA" sz="1100"/>
        </a:p>
      </xdr:txBody>
    </xdr:sp>
    <xdr:clientData/>
  </xdr:twoCellAnchor>
  <xdr:twoCellAnchor>
    <xdr:from>
      <xdr:col>8</xdr:col>
      <xdr:colOff>828675</xdr:colOff>
      <xdr:row>178</xdr:row>
      <xdr:rowOff>209550</xdr:rowOff>
    </xdr:from>
    <xdr:to>
      <xdr:col>18</xdr:col>
      <xdr:colOff>542925</xdr:colOff>
      <xdr:row>185</xdr:row>
      <xdr:rowOff>142875</xdr:rowOff>
    </xdr:to>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8763000" y="23298150"/>
          <a:ext cx="3752850" cy="12287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b="0" i="0">
              <a:solidFill>
                <a:schemeClr val="dk1"/>
              </a:solidFill>
              <a:effectLst/>
              <a:latin typeface="+mn-lt"/>
              <a:ea typeface="+mn-ea"/>
              <a:cs typeface="+mn-cs"/>
            </a:rPr>
            <a:t>As per the Board's</a:t>
          </a:r>
          <a:r>
            <a:rPr lang="en-CA" sz="1100" b="0" i="0" baseline="0">
              <a:solidFill>
                <a:schemeClr val="dk1"/>
              </a:solidFill>
              <a:effectLst/>
              <a:latin typeface="+mn-lt"/>
              <a:ea typeface="+mn-ea"/>
              <a:cs typeface="+mn-cs"/>
            </a:rPr>
            <a:t> letter issued July 16, 2015 </a:t>
          </a:r>
          <a:r>
            <a:rPr lang="en-CA" sz="1100" b="0" i="0">
              <a:solidFill>
                <a:schemeClr val="dk1"/>
              </a:solidFill>
              <a:effectLst/>
              <a:latin typeface="+mn-lt"/>
              <a:ea typeface="+mn-ea"/>
              <a:cs typeface="+mn-cs"/>
            </a:rPr>
            <a:t>outlining details regarding the implementation of the transition to fully fixed distribution charges for residential customers,</a:t>
          </a:r>
          <a:r>
            <a:rPr lang="en-CA" sz="1100" b="0" i="0" baseline="0">
              <a:solidFill>
                <a:schemeClr val="dk1"/>
              </a:solidFill>
              <a:effectLst/>
              <a:latin typeface="+mn-lt"/>
              <a:ea typeface="+mn-ea"/>
              <a:cs typeface="+mn-cs"/>
            </a:rPr>
            <a:t> Residential rates for group 2 accounts, including Accounts 1575 and 1576 are to be on a per customer basis.  Please choose "# of customers" for the </a:t>
          </a:r>
          <a:r>
            <a:rPr lang="en-CA" sz="1100" b="1" i="0" baseline="0">
              <a:solidFill>
                <a:schemeClr val="dk1"/>
              </a:solidFill>
              <a:effectLst/>
              <a:latin typeface="+mn-lt"/>
              <a:ea typeface="+mn-ea"/>
              <a:cs typeface="+mn-cs"/>
            </a:rPr>
            <a:t>Residential class.</a:t>
          </a:r>
          <a:endParaRPr lang="en-CA" sz="1100"/>
        </a:p>
      </xdr:txBody>
    </xdr:sp>
    <xdr:clientData/>
  </xdr:twoCellAnchor>
  <xdr:twoCellAnchor>
    <xdr:from>
      <xdr:col>8</xdr:col>
      <xdr:colOff>523875</xdr:colOff>
      <xdr:row>99</xdr:row>
      <xdr:rowOff>19051</xdr:rowOff>
    </xdr:from>
    <xdr:to>
      <xdr:col>12</xdr:col>
      <xdr:colOff>542925</xdr:colOff>
      <xdr:row>103</xdr:row>
      <xdr:rowOff>1</xdr:rowOff>
    </xdr:to>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9877425" y="18983326"/>
          <a:ext cx="4057650" cy="628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t>Rate riders for Global Adjustment is to be calculated on the basis of kWh for all classes.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182217</xdr:colOff>
      <xdr:row>76</xdr:row>
      <xdr:rowOff>8266</xdr:rowOff>
    </xdr:from>
    <xdr:to>
      <xdr:col>14</xdr:col>
      <xdr:colOff>157368</xdr:colOff>
      <xdr:row>81</xdr:row>
      <xdr:rowOff>24838</xdr:rowOff>
    </xdr:to>
    <xdr:sp macro="" textlink="">
      <xdr:nvSpPr>
        <xdr:cNvPr id="6" name="Text Box 50">
          <a:extLst>
            <a:ext uri="{FF2B5EF4-FFF2-40B4-BE49-F238E27FC236}">
              <a16:creationId xmlns:a16="http://schemas.microsoft.com/office/drawing/2014/main" id="{00000000-0008-0000-0300-000006000000}"/>
            </a:ext>
          </a:extLst>
        </xdr:cNvPr>
        <xdr:cNvSpPr txBox="1">
          <a:spLocks noChangeArrowheads="1"/>
        </xdr:cNvSpPr>
      </xdr:nvSpPr>
      <xdr:spPr bwMode="auto">
        <a:xfrm>
          <a:off x="182217" y="7123441"/>
          <a:ext cx="8785776" cy="969072"/>
        </a:xfrm>
        <a:prstGeom prst="rect">
          <a:avLst/>
        </a:prstGeom>
        <a:noFill/>
        <a:ln>
          <a:noFill/>
        </a:ln>
        <a:effectLst>
          <a:softEdge rad="31750"/>
        </a:effectLst>
      </xdr:spPr>
      <xdr:txBody>
        <a:bodyPr vertOverflow="clip" wrap="square" lIns="27432" tIns="22860" rIns="0" bIns="0" anchor="t" upright="1"/>
        <a:lstStyle/>
        <a:p>
          <a:pPr rtl="0"/>
          <a:r>
            <a:rPr lang="en-CA" sz="800" b="1" i="1" baseline="0">
              <a:effectLst/>
              <a:latin typeface="Arial" pitchFamily="34" charset="0"/>
              <a:ea typeface="+mn-ea"/>
              <a:cs typeface="Arial" pitchFamily="34" charset="0"/>
            </a:rPr>
            <a:t>This Workbook Model is protected by copyright and is being made available to you solely for the purpose of preparing your rate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or reviewing your draft rate order, you must ensure that the person understands and agrees to the restrictions noted above.</a:t>
          </a:r>
          <a:endParaRPr lang="en-CA" sz="800">
            <a:effectLst/>
            <a:latin typeface="Arial" pitchFamily="34" charset="0"/>
            <a:cs typeface="Arial" pitchFamily="34" charset="0"/>
          </a:endParaRPr>
        </a:p>
      </xdr:txBody>
    </xdr:sp>
    <xdr:clientData/>
  </xdr:twoCellAnchor>
  <xdr:twoCellAnchor>
    <xdr:from>
      <xdr:col>0</xdr:col>
      <xdr:colOff>0</xdr:colOff>
      <xdr:row>0</xdr:row>
      <xdr:rowOff>0</xdr:rowOff>
    </xdr:from>
    <xdr:to>
      <xdr:col>14</xdr:col>
      <xdr:colOff>46795</xdr:colOff>
      <xdr:row>10</xdr:row>
      <xdr:rowOff>10766</xdr:rowOff>
    </xdr:to>
    <xdr:grpSp>
      <xdr:nvGrpSpPr>
        <xdr:cNvPr id="11" name="Group 10">
          <a:extLst>
            <a:ext uri="{FF2B5EF4-FFF2-40B4-BE49-F238E27FC236}">
              <a16:creationId xmlns:a16="http://schemas.microsoft.com/office/drawing/2014/main" id="{00000000-0008-0000-0300-00000B000000}"/>
            </a:ext>
          </a:extLst>
        </xdr:cNvPr>
        <xdr:cNvGrpSpPr/>
      </xdr:nvGrpSpPr>
      <xdr:grpSpPr>
        <a:xfrm>
          <a:off x="0" y="0"/>
          <a:ext cx="9571795" cy="1845210"/>
          <a:chOff x="0" y="0"/>
          <a:chExt cx="8857420" cy="1915766"/>
        </a:xfrm>
      </xdr:grpSpPr>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300-000008000000}"/>
              </a:ext>
            </a:extLst>
          </xdr:cNvPr>
          <xdr:cNvSpPr/>
        </xdr:nvSpPr>
        <xdr:spPr>
          <a:xfrm>
            <a:off x="137211" y="70156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Account Workform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05824" y="18847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300-00000A000000}"/>
              </a:ext>
            </a:extLst>
          </xdr:cNvPr>
          <xdr:cNvSpPr/>
        </xdr:nvSpPr>
        <xdr:spPr>
          <a:xfrm>
            <a:off x="546371" y="15822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44823</xdr:rowOff>
    </xdr:from>
    <xdr:to>
      <xdr:col>5</xdr:col>
      <xdr:colOff>139053</xdr:colOff>
      <xdr:row>14</xdr:row>
      <xdr:rowOff>22411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44823"/>
          <a:ext cx="9664053" cy="2244538"/>
        </a:xfrm>
        <a:prstGeom prst="rect">
          <a:avLst/>
        </a:prstGeom>
        <a:ln>
          <a:noFill/>
        </a:ln>
        <a:effectLst>
          <a:softEdge rad="112500"/>
        </a:effectLst>
      </xdr:spPr>
    </xdr:pic>
    <xdr:clientData/>
  </xdr:twoCellAnchor>
  <xdr:twoCellAnchor>
    <xdr:from>
      <xdr:col>1</xdr:col>
      <xdr:colOff>1319894</xdr:colOff>
      <xdr:row>4</xdr:row>
      <xdr:rowOff>6634</xdr:rowOff>
    </xdr:from>
    <xdr:to>
      <xdr:col>2</xdr:col>
      <xdr:colOff>5293180</xdr:colOff>
      <xdr:row>11</xdr:row>
      <xdr:rowOff>98450</xdr:rowOff>
    </xdr:to>
    <xdr:sp macro="" textlink="">
      <xdr:nvSpPr>
        <xdr:cNvPr id="4" name="Rectangle 3">
          <a:extLst>
            <a:ext uri="{FF2B5EF4-FFF2-40B4-BE49-F238E27FC236}">
              <a16:creationId xmlns:a16="http://schemas.microsoft.com/office/drawing/2014/main" id="{00000000-0008-0000-0500-000004000000}"/>
            </a:ext>
          </a:extLst>
        </xdr:cNvPr>
        <xdr:cNvSpPr/>
      </xdr:nvSpPr>
      <xdr:spPr>
        <a:xfrm>
          <a:off x="1319894" y="659777"/>
          <a:ext cx="5429250" cy="12348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Account Workform</a:t>
          </a:r>
          <a:endParaRPr lang="en-CA" sz="30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205824</xdr:colOff>
      <xdr:row>1</xdr:row>
      <xdr:rowOff>26550</xdr:rowOff>
    </xdr:from>
    <xdr:to>
      <xdr:col>0</xdr:col>
      <xdr:colOff>595106</xdr:colOff>
      <xdr:row>3</xdr:row>
      <xdr:rowOff>80845</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0" y="188475"/>
          <a:ext cx="0"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638736</xdr:colOff>
      <xdr:row>1</xdr:row>
      <xdr:rowOff>57369</xdr:rowOff>
    </xdr:from>
    <xdr:to>
      <xdr:col>2</xdr:col>
      <xdr:colOff>2968221</xdr:colOff>
      <xdr:row>3</xdr:row>
      <xdr:rowOff>64726</xdr:rowOff>
    </xdr:to>
    <xdr:sp macro="" textlink="">
      <xdr:nvSpPr>
        <xdr:cNvPr id="6" name="Rectangle 5">
          <a:extLst>
            <a:ext uri="{FF2B5EF4-FFF2-40B4-BE49-F238E27FC236}">
              <a16:creationId xmlns:a16="http://schemas.microsoft.com/office/drawing/2014/main" id="{00000000-0008-0000-0500-000006000000}"/>
            </a:ext>
          </a:extLst>
        </xdr:cNvPr>
        <xdr:cNvSpPr/>
      </xdr:nvSpPr>
      <xdr:spPr>
        <a:xfrm>
          <a:off x="638736" y="219294"/>
          <a:ext cx="4558335" cy="331207"/>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xdr:col>
      <xdr:colOff>168088</xdr:colOff>
      <xdr:row>1</xdr:row>
      <xdr:rowOff>56029</xdr:rowOff>
    </xdr:from>
    <xdr:to>
      <xdr:col>1</xdr:col>
      <xdr:colOff>557370</xdr:colOff>
      <xdr:row>3</xdr:row>
      <xdr:rowOff>120409</xdr:rowOff>
    </xdr:to>
    <xdr:pic>
      <xdr:nvPicPr>
        <xdr:cNvPr id="44" name="Picture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68088" y="217954"/>
          <a:ext cx="389282" cy="38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6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xdr:twoCellAnchor>
    <xdr:from>
      <xdr:col>0</xdr:col>
      <xdr:colOff>0</xdr:colOff>
      <xdr:row>0</xdr:row>
      <xdr:rowOff>44823</xdr:rowOff>
    </xdr:from>
    <xdr:to>
      <xdr:col>5</xdr:col>
      <xdr:colOff>139053</xdr:colOff>
      <xdr:row>14</xdr:row>
      <xdr:rowOff>22411</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44823"/>
          <a:ext cx="8420200" cy="2173941"/>
        </a:xfrm>
        <a:prstGeom prst="rect">
          <a:avLst/>
        </a:prstGeom>
        <a:ln>
          <a:noFill/>
        </a:ln>
        <a:effectLst>
          <a:softEdge rad="112500"/>
        </a:effectLst>
      </xdr:spPr>
    </xdr:pic>
    <xdr:clientData/>
  </xdr:twoCellAnchor>
  <xdr:twoCellAnchor>
    <xdr:from>
      <xdr:col>0</xdr:col>
      <xdr:colOff>0</xdr:colOff>
      <xdr:row>5</xdr:row>
      <xdr:rowOff>20241</xdr:rowOff>
    </xdr:from>
    <xdr:to>
      <xdr:col>5</xdr:col>
      <xdr:colOff>0</xdr:colOff>
      <xdr:row>12</xdr:row>
      <xdr:rowOff>112057</xdr:rowOff>
    </xdr:to>
    <xdr:sp macro="" textlink="">
      <xdr:nvSpPr>
        <xdr:cNvPr id="7" name="Rectangle 6">
          <a:extLst>
            <a:ext uri="{FF2B5EF4-FFF2-40B4-BE49-F238E27FC236}">
              <a16:creationId xmlns:a16="http://schemas.microsoft.com/office/drawing/2014/main" id="{00000000-0008-0000-0600-000007000000}"/>
            </a:ext>
          </a:extLst>
        </xdr:cNvPr>
        <xdr:cNvSpPr/>
      </xdr:nvSpPr>
      <xdr:spPr>
        <a:xfrm>
          <a:off x="0" y="804653"/>
          <a:ext cx="9525000" cy="1189992"/>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Account Workform</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205824</xdr:colOff>
      <xdr:row>1</xdr:row>
      <xdr:rowOff>26550</xdr:rowOff>
    </xdr:from>
    <xdr:to>
      <xdr:col>0</xdr:col>
      <xdr:colOff>595106</xdr:colOff>
      <xdr:row>3</xdr:row>
      <xdr:rowOff>80845</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05824" y="18847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638736</xdr:colOff>
      <xdr:row>1</xdr:row>
      <xdr:rowOff>57369</xdr:rowOff>
    </xdr:from>
    <xdr:to>
      <xdr:col>2</xdr:col>
      <xdr:colOff>2968221</xdr:colOff>
      <xdr:row>3</xdr:row>
      <xdr:rowOff>64726</xdr:rowOff>
    </xdr:to>
    <xdr:sp macro="" textlink="">
      <xdr:nvSpPr>
        <xdr:cNvPr id="9" name="Rectangle 8">
          <a:extLst>
            <a:ext uri="{FF2B5EF4-FFF2-40B4-BE49-F238E27FC236}">
              <a16:creationId xmlns:a16="http://schemas.microsoft.com/office/drawing/2014/main" id="{00000000-0008-0000-0600-000009000000}"/>
            </a:ext>
          </a:extLst>
        </xdr:cNvPr>
        <xdr:cNvSpPr/>
      </xdr:nvSpPr>
      <xdr:spPr>
        <a:xfrm>
          <a:off x="638736" y="214251"/>
          <a:ext cx="4559456" cy="321122"/>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editAs="absolute">
    <xdr:from>
      <xdr:col>1</xdr:col>
      <xdr:colOff>98947</xdr:colOff>
      <xdr:row>47</xdr:row>
      <xdr:rowOff>98942</xdr:rowOff>
    </xdr:from>
    <xdr:to>
      <xdr:col>1</xdr:col>
      <xdr:colOff>1780782</xdr:colOff>
      <xdr:row>73</xdr:row>
      <xdr:rowOff>177732</xdr:rowOff>
    </xdr:to>
    <xdr:sp macro="" textlink="">
      <xdr:nvSpPr>
        <xdr:cNvPr id="24" name="Rounded Rectangle 23">
          <a:extLst>
            <a:ext uri="{FF2B5EF4-FFF2-40B4-BE49-F238E27FC236}">
              <a16:creationId xmlns:a16="http://schemas.microsoft.com/office/drawing/2014/main" id="{00000000-0008-0000-0600-000018000000}"/>
            </a:ext>
          </a:extLst>
        </xdr:cNvPr>
        <xdr:cNvSpPr/>
      </xdr:nvSpPr>
      <xdr:spPr>
        <a:xfrm>
          <a:off x="100855" y="5412438"/>
          <a:ext cx="1680881" cy="545726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CA" sz="1200">
              <a:solidFill>
                <a:schemeClr val="dk1"/>
              </a:solidFill>
              <a:effectLst/>
              <a:latin typeface="Arial" panose="020B0604020202020204" pitchFamily="34" charset="0"/>
              <a:ea typeface="+mn-ea"/>
              <a:cs typeface="Arial" panose="020B0604020202020204" pitchFamily="34" charset="0"/>
            </a:rPr>
            <a:t>Enter the number of utility</a:t>
          </a:r>
          <a:r>
            <a:rPr lang="en-CA" sz="1200" baseline="0">
              <a:solidFill>
                <a:schemeClr val="dk1"/>
              </a:solidFill>
              <a:effectLst/>
              <a:latin typeface="Arial" panose="020B0604020202020204" pitchFamily="34" charset="0"/>
              <a:ea typeface="+mn-ea"/>
              <a:cs typeface="Arial" panose="020B0604020202020204" pitchFamily="34" charset="0"/>
            </a:rPr>
            <a:t> specific Account 1508 sub-accounts that have been previously approved, regardless of whether disposition is being requested. If none, enter 1 and the generic sub-account will still be listed. </a:t>
          </a:r>
        </a:p>
        <a:p>
          <a:endParaRPr lang="en-CA" sz="1200" baseline="0">
            <a:solidFill>
              <a:schemeClr val="dk1"/>
            </a:solidFill>
            <a:effectLst/>
            <a:latin typeface="Arial" panose="020B0604020202020204" pitchFamily="34" charset="0"/>
            <a:ea typeface="+mn-ea"/>
            <a:cs typeface="Arial" panose="020B0604020202020204" pitchFamily="34" charset="0"/>
          </a:endParaRPr>
        </a:p>
        <a:p>
          <a:endParaRPr lang="en-CA" sz="1200" baseline="0">
            <a:solidFill>
              <a:schemeClr val="dk1"/>
            </a:solidFill>
            <a:effectLst/>
            <a:latin typeface="Arial" panose="020B0604020202020204" pitchFamily="34" charset="0"/>
            <a:ea typeface="+mn-ea"/>
            <a:cs typeface="Arial" panose="020B0604020202020204" pitchFamily="34" charset="0"/>
          </a:endParaRPr>
        </a:p>
        <a:p>
          <a:endParaRPr lang="en-CA" sz="1200" baseline="0">
            <a:solidFill>
              <a:schemeClr val="dk1"/>
            </a:solidFill>
            <a:effectLst/>
            <a:latin typeface="Arial" panose="020B0604020202020204" pitchFamily="34" charset="0"/>
            <a:ea typeface="+mn-ea"/>
            <a:cs typeface="Arial" panose="020B0604020202020204" pitchFamily="34" charset="0"/>
          </a:endParaRPr>
        </a:p>
        <a:p>
          <a:r>
            <a:rPr lang="en-CA" sz="1200" baseline="0">
              <a:solidFill>
                <a:schemeClr val="dk1"/>
              </a:solidFill>
              <a:effectLst/>
              <a:latin typeface="Arial" panose="020B0604020202020204" pitchFamily="34" charset="0"/>
              <a:ea typeface="+mn-ea"/>
              <a:cs typeface="Arial" panose="020B0604020202020204" pitchFamily="34" charset="0"/>
            </a:rPr>
            <a:t>Identify and name each sub-account and complete the continuity schedule in the line(s) generated in the continuity schedule. Indicate whether the sub-account is requested for disposition in column BT.</a:t>
          </a:r>
          <a:endParaRPr lang="en-CA" sz="1200">
            <a:effectLst/>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1</xdr:col>
          <xdr:colOff>342900</xdr:colOff>
          <xdr:row>59</xdr:row>
          <xdr:rowOff>88900</xdr:rowOff>
        </xdr:from>
        <xdr:to>
          <xdr:col>1</xdr:col>
          <xdr:colOff>1289050</xdr:colOff>
          <xdr:row>60</xdr:row>
          <xdr:rowOff>171450</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6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6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6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6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6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6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6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6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6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6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6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6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107950</xdr:colOff>
          <xdr:row>55</xdr:row>
          <xdr:rowOff>0</xdr:rowOff>
        </xdr:from>
        <xdr:to>
          <xdr:col>71</xdr:col>
          <xdr:colOff>2076450</xdr:colOff>
          <xdr:row>56</xdr:row>
          <xdr:rowOff>31750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6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xdr:twoCellAnchor>
    <xdr:from>
      <xdr:col>1</xdr:col>
      <xdr:colOff>168088</xdr:colOff>
      <xdr:row>1</xdr:row>
      <xdr:rowOff>56029</xdr:rowOff>
    </xdr:from>
    <xdr:to>
      <xdr:col>1</xdr:col>
      <xdr:colOff>557370</xdr:colOff>
      <xdr:row>3</xdr:row>
      <xdr:rowOff>120409</xdr:rowOff>
    </xdr:to>
    <xdr:pic>
      <xdr:nvPicPr>
        <xdr:cNvPr id="45" name="Picture 44">
          <a:extLst>
            <a:ext uri="{FF2B5EF4-FFF2-40B4-BE49-F238E27FC236}">
              <a16:creationId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68088" y="21291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2</xdr:col>
      <xdr:colOff>80010</xdr:colOff>
      <xdr:row>12</xdr:row>
      <xdr:rowOff>7620</xdr:rowOff>
    </xdr:from>
    <xdr:to>
      <xdr:col>5</xdr:col>
      <xdr:colOff>314330</xdr:colOff>
      <xdr:row>13</xdr:row>
      <xdr:rowOff>144780</xdr:rowOff>
    </xdr:to>
    <xdr:sp macro="" textlink="#REF!">
      <xdr:nvSpPr>
        <xdr:cNvPr id="12302" name="Text Box 14">
          <a:extLst>
            <a:ext uri="{FF2B5EF4-FFF2-40B4-BE49-F238E27FC236}">
              <a16:creationId xmlns:a16="http://schemas.microsoft.com/office/drawing/2014/main" id="{00000000-0008-0000-0700-00000E300000}"/>
            </a:ext>
          </a:extLst>
        </xdr:cNvPr>
        <xdr:cNvSpPr txBox="1">
          <a:spLocks noChangeArrowheads="1" noTextEdit="1"/>
        </xdr:cNvSpPr>
      </xdr:nvSpPr>
      <xdr:spPr bwMode="auto">
        <a:xfrm>
          <a:off x="1127760" y="2019300"/>
          <a:ext cx="8168640" cy="304800"/>
        </a:xfrm>
        <a:prstGeom prst="rect">
          <a:avLst/>
        </a:prstGeom>
        <a:noFill/>
        <a:ln w="9525">
          <a:noFill/>
          <a:miter lim="800000"/>
          <a:headEnd/>
          <a:tailEnd/>
        </a:ln>
      </xdr:spPr>
      <xdr:txBody>
        <a:bodyPr vertOverflow="clip" wrap="square" lIns="36576" tIns="32004" rIns="0" bIns="0" anchor="t" upright="1"/>
        <a:lstStyle/>
        <a:p>
          <a:pPr algn="l" rtl="0">
            <a:defRPr sz="1000"/>
          </a:pPr>
          <a:fld id="{806C0CFF-A928-4D4F-9047-D2845C89EA71}" type="TxLink">
            <a:rPr lang="en-CA" sz="1200" b="1" i="0" u="none" strike="noStrike" baseline="0">
              <a:solidFill>
                <a:srgbClr val="FFFFFF"/>
              </a:solidFill>
              <a:latin typeface="Book Antiqua"/>
              <a:cs typeface="Arial"/>
            </a:rPr>
            <a:pPr algn="l" rtl="0">
              <a:defRPr sz="1000"/>
            </a:pPr>
            <a:t>Canadian Niagara Power Inc. - Eastern Ontario Power</a:t>
          </a:fld>
          <a:endParaRPr lang="en-CA" sz="1200" b="1" i="0" u="none" strike="noStrike" baseline="0">
            <a:solidFill>
              <a:srgbClr val="FFFFFF"/>
            </a:solidFill>
            <a:latin typeface="Book Antiqua"/>
          </a:endParaRPr>
        </a:p>
      </xdr:txBody>
    </xdr:sp>
    <xdr:clientData/>
  </xdr:twoCellAnchor>
  <xdr:twoCellAnchor>
    <xdr:from>
      <xdr:col>0</xdr:col>
      <xdr:colOff>1066800</xdr:colOff>
      <xdr:row>0</xdr:row>
      <xdr:rowOff>0</xdr:rowOff>
    </xdr:from>
    <xdr:to>
      <xdr:col>5</xdr:col>
      <xdr:colOff>381100</xdr:colOff>
      <xdr:row>10</xdr:row>
      <xdr:rowOff>152400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66800" y="0"/>
          <a:ext cx="9106000" cy="1771650"/>
        </a:xfrm>
        <a:prstGeom prst="rect">
          <a:avLst/>
        </a:prstGeom>
        <a:ln>
          <a:noFill/>
        </a:ln>
        <a:effectLst>
          <a:softEdge rad="112500"/>
        </a:effectLst>
      </xdr:spPr>
    </xdr:pic>
    <xdr:clientData/>
  </xdr:twoCellAnchor>
  <xdr:twoCellAnchor>
    <xdr:from>
      <xdr:col>0</xdr:col>
      <xdr:colOff>442633</xdr:colOff>
      <xdr:row>2</xdr:row>
      <xdr:rowOff>28574</xdr:rowOff>
    </xdr:from>
    <xdr:to>
      <xdr:col>4</xdr:col>
      <xdr:colOff>794497</xdr:colOff>
      <xdr:row>7</xdr:row>
      <xdr:rowOff>131666</xdr:rowOff>
    </xdr:to>
    <xdr:sp macro="" textlink="">
      <xdr:nvSpPr>
        <xdr:cNvPr id="8" name="Rectangle 7">
          <a:extLst>
            <a:ext uri="{FF2B5EF4-FFF2-40B4-BE49-F238E27FC236}">
              <a16:creationId xmlns:a16="http://schemas.microsoft.com/office/drawing/2014/main" id="{00000000-0008-0000-0700-000008000000}"/>
            </a:ext>
          </a:extLst>
        </xdr:cNvPr>
        <xdr:cNvSpPr/>
      </xdr:nvSpPr>
      <xdr:spPr>
        <a:xfrm>
          <a:off x="442633" y="352424"/>
          <a:ext cx="8810064" cy="91271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Account Workform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1</xdr:col>
      <xdr:colOff>234399</xdr:colOff>
      <xdr:row>3</xdr:row>
      <xdr:rowOff>33834</xdr:rowOff>
    </xdr:from>
    <xdr:to>
      <xdr:col>2</xdr:col>
      <xdr:colOff>309356</xdr:colOff>
      <xdr:row>7</xdr:row>
      <xdr:rowOff>95250</xdr:rowOff>
    </xdr:to>
    <xdr:pic>
      <xdr:nvPicPr>
        <xdr:cNvPr id="9" name="Picture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320249" y="519609"/>
          <a:ext cx="1075082" cy="709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146321</xdr:colOff>
      <xdr:row>0</xdr:row>
      <xdr:rowOff>113398</xdr:rowOff>
    </xdr:from>
    <xdr:to>
      <xdr:col>2</xdr:col>
      <xdr:colOff>1724928</xdr:colOff>
      <xdr:row>2</xdr:row>
      <xdr:rowOff>110670</xdr:rowOff>
    </xdr:to>
    <xdr:sp macro="" textlink="">
      <xdr:nvSpPr>
        <xdr:cNvPr id="10" name="Rectangle 9">
          <a:extLst>
            <a:ext uri="{FF2B5EF4-FFF2-40B4-BE49-F238E27FC236}">
              <a16:creationId xmlns:a16="http://schemas.microsoft.com/office/drawing/2014/main" id="{00000000-0008-0000-0700-00000A000000}"/>
            </a:ext>
          </a:extLst>
        </xdr:cNvPr>
        <xdr:cNvSpPr/>
      </xdr:nvSpPr>
      <xdr:spPr>
        <a:xfrm>
          <a:off x="546371" y="113398"/>
          <a:ext cx="2578732" cy="321122"/>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44823</xdr:rowOff>
    </xdr:from>
    <xdr:to>
      <xdr:col>5</xdr:col>
      <xdr:colOff>139053</xdr:colOff>
      <xdr:row>14</xdr:row>
      <xdr:rowOff>22411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44823"/>
          <a:ext cx="8883003" cy="2244538"/>
        </a:xfrm>
        <a:prstGeom prst="rect">
          <a:avLst/>
        </a:prstGeom>
        <a:ln>
          <a:noFill/>
        </a:ln>
        <a:effectLst>
          <a:softEdge rad="112500"/>
        </a:effectLst>
      </xdr:spPr>
    </xdr:pic>
    <xdr:clientData/>
  </xdr:twoCellAnchor>
  <xdr:twoCellAnchor>
    <xdr:from>
      <xdr:col>1</xdr:col>
      <xdr:colOff>1319894</xdr:colOff>
      <xdr:row>4</xdr:row>
      <xdr:rowOff>6634</xdr:rowOff>
    </xdr:from>
    <xdr:to>
      <xdr:col>2</xdr:col>
      <xdr:colOff>5293180</xdr:colOff>
      <xdr:row>11</xdr:row>
      <xdr:rowOff>98450</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1319894" y="654334"/>
          <a:ext cx="5430611" cy="122529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Account Workform</a:t>
          </a:r>
          <a:endParaRPr lang="en-CA" sz="30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1</xdr:col>
      <xdr:colOff>638736</xdr:colOff>
      <xdr:row>1</xdr:row>
      <xdr:rowOff>57369</xdr:rowOff>
    </xdr:from>
    <xdr:to>
      <xdr:col>2</xdr:col>
      <xdr:colOff>2968221</xdr:colOff>
      <xdr:row>3</xdr:row>
      <xdr:rowOff>64726</xdr:rowOff>
    </xdr:to>
    <xdr:sp macro="" textlink="">
      <xdr:nvSpPr>
        <xdr:cNvPr id="4" name="Rectangle 3">
          <a:extLst>
            <a:ext uri="{FF2B5EF4-FFF2-40B4-BE49-F238E27FC236}">
              <a16:creationId xmlns:a16="http://schemas.microsoft.com/office/drawing/2014/main" id="{00000000-0008-0000-0800-000004000000}"/>
            </a:ext>
          </a:extLst>
        </xdr:cNvPr>
        <xdr:cNvSpPr/>
      </xdr:nvSpPr>
      <xdr:spPr>
        <a:xfrm>
          <a:off x="638736" y="219294"/>
          <a:ext cx="3786810" cy="331207"/>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xdr:col>
      <xdr:colOff>168088</xdr:colOff>
      <xdr:row>1</xdr:row>
      <xdr:rowOff>56029</xdr:rowOff>
    </xdr:from>
    <xdr:to>
      <xdr:col>1</xdr:col>
      <xdr:colOff>557370</xdr:colOff>
      <xdr:row>3</xdr:row>
      <xdr:rowOff>120409</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68088" y="217954"/>
          <a:ext cx="389282" cy="38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9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xdr:twoCellAnchor>
    <xdr:from>
      <xdr:col>0</xdr:col>
      <xdr:colOff>0</xdr:colOff>
      <xdr:row>0</xdr:row>
      <xdr:rowOff>44823</xdr:rowOff>
    </xdr:from>
    <xdr:to>
      <xdr:col>5</xdr:col>
      <xdr:colOff>139053</xdr:colOff>
      <xdr:row>14</xdr:row>
      <xdr:rowOff>22411</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44823"/>
          <a:ext cx="10302228" cy="2244538"/>
        </a:xfrm>
        <a:prstGeom prst="rect">
          <a:avLst/>
        </a:prstGeom>
        <a:ln>
          <a:noFill/>
        </a:ln>
        <a:effectLst>
          <a:softEdge rad="112500"/>
        </a:effectLst>
      </xdr:spPr>
    </xdr:pic>
    <xdr:clientData/>
  </xdr:twoCellAnchor>
  <xdr:twoCellAnchor>
    <xdr:from>
      <xdr:col>0</xdr:col>
      <xdr:colOff>0</xdr:colOff>
      <xdr:row>5</xdr:row>
      <xdr:rowOff>20241</xdr:rowOff>
    </xdr:from>
    <xdr:to>
      <xdr:col>5</xdr:col>
      <xdr:colOff>0</xdr:colOff>
      <xdr:row>12</xdr:row>
      <xdr:rowOff>112057</xdr:rowOff>
    </xdr:to>
    <xdr:sp macro="" textlink="">
      <xdr:nvSpPr>
        <xdr:cNvPr id="4" name="Rectangle 3">
          <a:extLst>
            <a:ext uri="{FF2B5EF4-FFF2-40B4-BE49-F238E27FC236}">
              <a16:creationId xmlns:a16="http://schemas.microsoft.com/office/drawing/2014/main" id="{00000000-0008-0000-0900-000004000000}"/>
            </a:ext>
          </a:extLst>
        </xdr:cNvPr>
        <xdr:cNvSpPr/>
      </xdr:nvSpPr>
      <xdr:spPr>
        <a:xfrm>
          <a:off x="0" y="829866"/>
          <a:ext cx="10163175" cy="122529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Account Workform</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205824</xdr:colOff>
      <xdr:row>1</xdr:row>
      <xdr:rowOff>26550</xdr:rowOff>
    </xdr:from>
    <xdr:to>
      <xdr:col>0</xdr:col>
      <xdr:colOff>595106</xdr:colOff>
      <xdr:row>3</xdr:row>
      <xdr:rowOff>80845</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05824" y="188475"/>
          <a:ext cx="14163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638736</xdr:colOff>
      <xdr:row>1</xdr:row>
      <xdr:rowOff>57369</xdr:rowOff>
    </xdr:from>
    <xdr:to>
      <xdr:col>2</xdr:col>
      <xdr:colOff>2968221</xdr:colOff>
      <xdr:row>3</xdr:row>
      <xdr:rowOff>64726</xdr:rowOff>
    </xdr:to>
    <xdr:sp macro="" textlink="">
      <xdr:nvSpPr>
        <xdr:cNvPr id="6" name="Rectangle 5">
          <a:extLst>
            <a:ext uri="{FF2B5EF4-FFF2-40B4-BE49-F238E27FC236}">
              <a16:creationId xmlns:a16="http://schemas.microsoft.com/office/drawing/2014/main" id="{00000000-0008-0000-0900-000006000000}"/>
            </a:ext>
          </a:extLst>
        </xdr:cNvPr>
        <xdr:cNvSpPr/>
      </xdr:nvSpPr>
      <xdr:spPr>
        <a:xfrm>
          <a:off x="981636" y="219294"/>
          <a:ext cx="4063035" cy="331207"/>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9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9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9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9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9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9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9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09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9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9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9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69850</xdr:colOff>
          <xdr:row>58</xdr:row>
          <xdr:rowOff>0</xdr:rowOff>
        </xdr:from>
        <xdr:to>
          <xdr:col>85</xdr:col>
          <xdr:colOff>1371600</xdr:colOff>
          <xdr:row>59</xdr:row>
          <xdr:rowOff>57150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9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xdr:twoCellAnchor>
    <xdr:from>
      <xdr:col>1</xdr:col>
      <xdr:colOff>168088</xdr:colOff>
      <xdr:row>1</xdr:row>
      <xdr:rowOff>56029</xdr:rowOff>
    </xdr:from>
    <xdr:to>
      <xdr:col>1</xdr:col>
      <xdr:colOff>557370</xdr:colOff>
      <xdr:row>3</xdr:row>
      <xdr:rowOff>120409</xdr:rowOff>
    </xdr:to>
    <xdr:pic>
      <xdr:nvPicPr>
        <xdr:cNvPr id="19" name="Picture 18">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510988" y="217954"/>
          <a:ext cx="389282" cy="38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1066800</xdr:colOff>
      <xdr:row>0</xdr:row>
      <xdr:rowOff>0</xdr:rowOff>
    </xdr:from>
    <xdr:to>
      <xdr:col>5</xdr:col>
      <xdr:colOff>381100</xdr:colOff>
      <xdr:row>10</xdr:row>
      <xdr:rowOff>152400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9050" y="0"/>
          <a:ext cx="9067900" cy="1771650"/>
        </a:xfrm>
        <a:prstGeom prst="rect">
          <a:avLst/>
        </a:prstGeom>
        <a:ln>
          <a:noFill/>
        </a:ln>
        <a:effectLst>
          <a:softEdge rad="112500"/>
        </a:effectLst>
      </xdr:spPr>
    </xdr:pic>
    <xdr:clientData/>
  </xdr:twoCellAnchor>
  <xdr:twoCellAnchor>
    <xdr:from>
      <xdr:col>0</xdr:col>
      <xdr:colOff>442633</xdr:colOff>
      <xdr:row>2</xdr:row>
      <xdr:rowOff>28574</xdr:rowOff>
    </xdr:from>
    <xdr:to>
      <xdr:col>4</xdr:col>
      <xdr:colOff>794497</xdr:colOff>
      <xdr:row>7</xdr:row>
      <xdr:rowOff>131666</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23533" y="352424"/>
          <a:ext cx="8143314" cy="91271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t>
          </a:r>
        </a:p>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Account Workform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1</xdr:col>
      <xdr:colOff>234399</xdr:colOff>
      <xdr:row>3</xdr:row>
      <xdr:rowOff>33834</xdr:rowOff>
    </xdr:from>
    <xdr:to>
      <xdr:col>2</xdr:col>
      <xdr:colOff>309356</xdr:colOff>
      <xdr:row>7</xdr:row>
      <xdr:rowOff>95250</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53449" y="519609"/>
          <a:ext cx="1075082" cy="709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146321</xdr:colOff>
      <xdr:row>0</xdr:row>
      <xdr:rowOff>113398</xdr:rowOff>
    </xdr:from>
    <xdr:to>
      <xdr:col>2</xdr:col>
      <xdr:colOff>1724928</xdr:colOff>
      <xdr:row>2</xdr:row>
      <xdr:rowOff>110670</xdr:rowOff>
    </xdr:to>
    <xdr:sp macro="" textlink="">
      <xdr:nvSpPr>
        <xdr:cNvPr id="5" name="Rectangle 4">
          <a:extLst>
            <a:ext uri="{FF2B5EF4-FFF2-40B4-BE49-F238E27FC236}">
              <a16:creationId xmlns:a16="http://schemas.microsoft.com/office/drawing/2014/main" id="{00000000-0008-0000-0A00-000005000000}"/>
            </a:ext>
          </a:extLst>
        </xdr:cNvPr>
        <xdr:cNvSpPr/>
      </xdr:nvSpPr>
      <xdr:spPr>
        <a:xfrm>
          <a:off x="165371" y="113398"/>
          <a:ext cx="2578732" cy="321122"/>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8</xdr:col>
      <xdr:colOff>371475</xdr:colOff>
      <xdr:row>13</xdr:row>
      <xdr:rowOff>10766</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47625" y="76200"/>
          <a:ext cx="10029825" cy="1915766"/>
        </a:xfrm>
        <a:prstGeom prst="rect">
          <a:avLst/>
        </a:prstGeom>
        <a:ln>
          <a:noFill/>
        </a:ln>
        <a:effectLst>
          <a:softEdge rad="112500"/>
        </a:effectLst>
      </xdr:spPr>
    </xdr:pic>
    <xdr:clientData/>
  </xdr:twoCellAnchor>
  <xdr:twoCellAnchor>
    <xdr:from>
      <xdr:col>0</xdr:col>
      <xdr:colOff>299136</xdr:colOff>
      <xdr:row>4</xdr:row>
      <xdr:rowOff>53861</xdr:rowOff>
    </xdr:from>
    <xdr:to>
      <xdr:col>7</xdr:col>
      <xdr:colOff>798031</xdr:colOff>
      <xdr:row>7</xdr:row>
      <xdr:rowOff>114715</xdr:rowOff>
    </xdr:to>
    <xdr:sp macro="" textlink="">
      <xdr:nvSpPr>
        <xdr:cNvPr id="7" name="Rectangle 6">
          <a:extLst>
            <a:ext uri="{FF2B5EF4-FFF2-40B4-BE49-F238E27FC236}">
              <a16:creationId xmlns:a16="http://schemas.microsoft.com/office/drawing/2014/main" id="{00000000-0008-0000-0B00-000007000000}"/>
            </a:ext>
          </a:extLst>
        </xdr:cNvPr>
        <xdr:cNvSpPr/>
      </xdr:nvSpPr>
      <xdr:spPr>
        <a:xfrm>
          <a:off x="299136" y="701561"/>
          <a:ext cx="79188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2024 Deferral/Variance Account Workform</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205824</xdr:colOff>
      <xdr:row>1</xdr:row>
      <xdr:rowOff>26550</xdr:rowOff>
    </xdr:from>
    <xdr:to>
      <xdr:col>0</xdr:col>
      <xdr:colOff>595106</xdr:colOff>
      <xdr:row>3</xdr:row>
      <xdr:rowOff>80845</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05824" y="18847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60596</xdr:colOff>
      <xdr:row>1</xdr:row>
      <xdr:rowOff>34396</xdr:rowOff>
    </xdr:from>
    <xdr:to>
      <xdr:col>1</xdr:col>
      <xdr:colOff>2643810</xdr:colOff>
      <xdr:row>3</xdr:row>
      <xdr:rowOff>46796</xdr:rowOff>
    </xdr:to>
    <xdr:sp macro="" textlink="">
      <xdr:nvSpPr>
        <xdr:cNvPr id="9" name="Rectangle 8">
          <a:extLst>
            <a:ext uri="{FF2B5EF4-FFF2-40B4-BE49-F238E27FC236}">
              <a16:creationId xmlns:a16="http://schemas.microsoft.com/office/drawing/2014/main" id="{00000000-0008-0000-0B00-000009000000}"/>
            </a:ext>
          </a:extLst>
        </xdr:cNvPr>
        <xdr:cNvSpPr/>
      </xdr:nvSpPr>
      <xdr:spPr>
        <a:xfrm>
          <a:off x="670196" y="19632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PS01\Home\KwanDo\Work\Rates%20Group\Filing%20Requirements\2020%20Filing%20Requirements\2019_DVA_Continuity_Schedule_CoS.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yhydro.torontohydro.com/divisions/regulatorylegal/2025RateApp/Exhibits/2024%20Interrogatories%20(IRs)/IRR%20Exhibit%209/0.%20OEB%20Staff/9-Staff-349/9-Staff-349-App%20A_DVA%20Continuity%20Schedule_2024_Ap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4">
          <cell r="E24">
            <v>2014</v>
          </cell>
        </row>
        <row r="26">
          <cell r="E26">
            <v>2013</v>
          </cell>
        </row>
        <row r="28">
          <cell r="E28">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1.1 Instruction Sheet"/>
      <sheetName val="2a. 2017 Continuity Schedule"/>
      <sheetName val="2b. 2017 Continuity Schedule"/>
      <sheetName val="3. Appendix A"/>
      <sheetName val="4. Billing Determinants"/>
      <sheetName val="5. Allocation of Balances"/>
      <sheetName val="6. Class A Consumption Data"/>
      <sheetName val="6.1a GA Allocation"/>
      <sheetName val="6.2a CBR B Allocation"/>
      <sheetName val="6.2 CBR B"/>
      <sheetName val="7. Rate Rider Calculations"/>
      <sheetName val="Summary Sheet"/>
      <sheetName val="2019_DVA_Continuity_Schedule_Co"/>
    </sheetNames>
    <sheetDataSet>
      <sheetData sheetId="0"/>
      <sheetData sheetId="1"/>
      <sheetData sheetId="2"/>
      <sheetData sheetId="3"/>
      <sheetData sheetId="4"/>
      <sheetData sheetId="5">
        <row r="21">
          <cell r="B21" t="str">
            <v>RESIDENTIAL</v>
          </cell>
        </row>
        <row r="22">
          <cell r="B22" t="str">
            <v>GS &lt;50 KW</v>
          </cell>
        </row>
        <row r="23">
          <cell r="B23" t="str">
            <v>GS 50 TO 4,999 KW</v>
          </cell>
        </row>
        <row r="24">
          <cell r="B24" t="str">
            <v>UNMETERED SCATTERED LOAD</v>
          </cell>
        </row>
        <row r="25">
          <cell r="B25" t="str">
            <v>SENTINEL LIGHTING</v>
          </cell>
        </row>
        <row r="26">
          <cell r="B26" t="str">
            <v>STREET LIGHTING</v>
          </cell>
        </row>
      </sheetData>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16 List"/>
      <sheetName val="1.1 Instruction Sheet"/>
      <sheetName val="1. Information Sheet"/>
      <sheetName val="2a. Continuity Schedule"/>
      <sheetName val="2b. Continuity Schedule"/>
      <sheetName val="3. Appendix A"/>
      <sheetName val="4. Billing Determinants"/>
      <sheetName val="5. Allocation of Balances"/>
      <sheetName val="6. Class A Consumption Data"/>
      <sheetName val="6.1a GA Allocation"/>
      <sheetName val="6.2a CBR B_Allocation"/>
      <sheetName val="6.2 CBR B"/>
      <sheetName val="7. Rate Rider Calculations"/>
      <sheetName val="old2.1.7 Filing"/>
      <sheetName val="2.1.7 Filing"/>
      <sheetName val="Summary Sheet"/>
    </sheetNames>
    <sheetDataSet>
      <sheetData sheetId="0"/>
      <sheetData sheetId="1"/>
      <sheetData sheetId="2"/>
      <sheetData sheetId="3"/>
      <sheetData sheetId="4">
        <row r="20">
          <cell r="C20" t="str">
            <v>Account Descriptions</v>
          </cell>
          <cell r="D20" t="str">
            <v>Account Number</v>
          </cell>
          <cell r="E20" t="str">
            <v>Opening Principal Amounts as of Jan-1-17</v>
          </cell>
          <cell r="F20" t="str">
            <v>Transactions(1) Debit / (Credit) during 2017</v>
          </cell>
          <cell r="G20" t="str">
            <v>OEB-Approved Disposition during 2017</v>
          </cell>
          <cell r="H20" t="str">
            <v>Principal Adjustments during 2017(1)</v>
          </cell>
          <cell r="I20" t="str">
            <v>Closing Principal Balance as of Dec-31-17</v>
          </cell>
          <cell r="J20" t="str">
            <v>Opening Interest Amounts as of Jan-1-17</v>
          </cell>
          <cell r="K20" t="str">
            <v>Interest Jan-1 to Dec-31-17</v>
          </cell>
          <cell r="L20" t="str">
            <v>OEB-Approved Disposition during 2017</v>
          </cell>
          <cell r="M20" t="str">
            <v>Interest Adjustments(1) during 2017</v>
          </cell>
          <cell r="N20" t="str">
            <v>Closing Interest Amounts as of Dec-31-17</v>
          </cell>
          <cell r="O20" t="str">
            <v>Opening Principal Amounts as of Jan-1-18</v>
          </cell>
          <cell r="P20" t="str">
            <v>Transactions Debit / (Credit) during 2018</v>
          </cell>
          <cell r="Q20" t="str">
            <v>OEB-Approved Disposition during 2018</v>
          </cell>
          <cell r="R20" t="str">
            <v>Principal Adjustments(1) during 2018</v>
          </cell>
          <cell r="S20" t="str">
            <v>Closing Principal Balance as of Dec-31-18</v>
          </cell>
          <cell r="T20" t="str">
            <v>Opening Interest Amounts as of Jan-1-18</v>
          </cell>
          <cell r="U20" t="str">
            <v>Interest Jan-1 to Dec-31-18</v>
          </cell>
          <cell r="V20" t="str">
            <v>OEB-Approved Disposition during 2018</v>
          </cell>
          <cell r="W20" t="str">
            <v>Interest Adjustments(1) during 2018</v>
          </cell>
          <cell r="X20" t="str">
            <v>Closing Interest Amounts as of Dec-31-18</v>
          </cell>
          <cell r="Y20" t="str">
            <v>Opening Principal Amounts as of Jan-1-19</v>
          </cell>
          <cell r="Z20" t="str">
            <v>Transactions Debit / (Credit) during 2019</v>
          </cell>
          <cell r="AA20" t="str">
            <v>OEB-Approved Disposition during 2019</v>
          </cell>
          <cell r="AB20" t="str">
            <v>Principal Adjustments(1) during 2019</v>
          </cell>
          <cell r="AC20" t="str">
            <v>Closing Principal Balance as of Dec-31-19</v>
          </cell>
          <cell r="AD20" t="str">
            <v>Opening Interest Amounts as of Jan-1-19</v>
          </cell>
          <cell r="AE20" t="str">
            <v>Interest Jan-1 to Dec-31-19</v>
          </cell>
          <cell r="AF20" t="str">
            <v>OEB-Approved Disposition during 2019</v>
          </cell>
          <cell r="AG20" t="str">
            <v>Interest Adjustments(1) during 2019</v>
          </cell>
          <cell r="AH20" t="str">
            <v>Closing Interest Amounts as of Dec-31-19</v>
          </cell>
          <cell r="AI20" t="str">
            <v>Opening Principal Amounts as of Jan-1-20</v>
          </cell>
          <cell r="AJ20" t="str">
            <v>Transactions(1) Debit / (Credit) during 2020</v>
          </cell>
          <cell r="AK20" t="str">
            <v>OEB-Approved Disposition during 2020</v>
          </cell>
          <cell r="AL20" t="str">
            <v>Principal Adjustments(1) during 2020</v>
          </cell>
          <cell r="AM20" t="str">
            <v>Closing Principal Balance as of Dec-31-20</v>
          </cell>
          <cell r="AN20" t="str">
            <v>Opening Interest Amounts as of Jan-1-20</v>
          </cell>
          <cell r="AO20" t="str">
            <v>Interest Jan-1 to Dec-31-20</v>
          </cell>
          <cell r="AP20" t="str">
            <v>OEB-Approved Disposition during 2020</v>
          </cell>
          <cell r="AQ20" t="str">
            <v>Interest Adjustments(1) during 2020</v>
          </cell>
          <cell r="AR20" t="str">
            <v>Closing Interest Amounts as of Dec-31-20</v>
          </cell>
          <cell r="AS20" t="str">
            <v>Opening Principal Amounts as of Jan-1-21</v>
          </cell>
          <cell r="AT20" t="str">
            <v>Transactions(1) Debit / (Credit) during 2021</v>
          </cell>
          <cell r="AU20" t="str">
            <v>OEB-Approved Disposition during 2021</v>
          </cell>
          <cell r="AV20" t="str">
            <v>Principal Adjustments(1) during 2021</v>
          </cell>
          <cell r="AW20" t="str">
            <v>Closing Principal Balance as of Dec-31-21</v>
          </cell>
          <cell r="AX20" t="str">
            <v>Opening Interest Amounts as of Jan-1-21</v>
          </cell>
          <cell r="AY20" t="str">
            <v>Interest Jan-1 to Dec-31-21</v>
          </cell>
          <cell r="AZ20" t="str">
            <v>OEB-Approved Disposition during 2021</v>
          </cell>
          <cell r="BA20" t="str">
            <v>Interest Adjustments(1) during 2021</v>
          </cell>
          <cell r="BB20" t="str">
            <v>Closing Interest Amounts as of Dec-31-21</v>
          </cell>
          <cell r="BC20" t="str">
            <v>Opening Principal Amounts as of Jan-1-22</v>
          </cell>
          <cell r="BD20" t="str">
            <v>Transactions Debit / (Credit) during 2022</v>
          </cell>
          <cell r="BE20" t="str">
            <v>OEB-Approved Disposition during 2022</v>
          </cell>
          <cell r="BF20" t="str">
            <v>Principal Adjustments(1) during 2022</v>
          </cell>
          <cell r="BG20" t="str">
            <v>Closing Principal Balance as of Dec-31-22</v>
          </cell>
          <cell r="BH20" t="str">
            <v>Opening Interest Amounts as of Jan-1-22</v>
          </cell>
          <cell r="BI20" t="str">
            <v>Interest Jan-1 to Dec-31-22</v>
          </cell>
          <cell r="BJ20" t="str">
            <v>OEB-Approved Disposition during 2022</v>
          </cell>
          <cell r="BK20" t="str">
            <v>Interest Adjustments(1) during 2022</v>
          </cell>
          <cell r="BL20" t="str">
            <v>Closing Interest Amounts as of Dec-31-22</v>
          </cell>
          <cell r="BM20" t="str">
            <v>Opening Principal Amounts as of Jan 1, 2023</v>
          </cell>
          <cell r="BN20" t="str">
            <v>Transactions Debit / (Credit) during 2023</v>
          </cell>
          <cell r="BO20" t="str">
            <v>OEB-Approved Disposition during 2023</v>
          </cell>
          <cell r="BP20" t="str">
            <v>Principal Adjustments1 during 2023</v>
          </cell>
          <cell r="BQ20" t="str">
            <v>Closing Principal Balance as of Dec 31, 2023</v>
          </cell>
          <cell r="BR20" t="str">
            <v>Opening Interest Amounts as of Jan 1, 2023</v>
          </cell>
          <cell r="BS20" t="str">
            <v>Interest Jan 1 to Dec 31, 2023</v>
          </cell>
          <cell r="BT20" t="str">
            <v>OEB-Approved Disposition during 2023</v>
          </cell>
          <cell r="BU20" t="str">
            <v>Interest Adjustments1 during 2023</v>
          </cell>
          <cell r="BV20" t="str">
            <v>Closing Interest Amounts as of Dec 31, 2023</v>
          </cell>
          <cell r="BW20" t="str">
            <v>Principal Disposition during 2024 - instructed by  OEB</v>
          </cell>
          <cell r="BX20" t="str">
            <v>Interest Disposition during 2024 - instructed by  OEB</v>
          </cell>
          <cell r="BY20" t="str">
            <v>Closing Principal Balances as of Dec 31-23 Adjusted for Dispositions during 2024</v>
          </cell>
          <cell r="BZ20" t="str">
            <v>Closing Interest Balances as of Dec 31-23 Adjusted for Dispositions during 2024</v>
          </cell>
          <cell r="CA20" t="str">
            <v>Projected Interest  from Jan 1, 2024 to December 31, 2024 on  Dec 31 -23 balance adjusted for disposition during 2024 (2)</v>
          </cell>
          <cell r="CB20" t="str">
            <v>Projected Interest from January 1, 2025 to April 30, 2025 on Dec 31 -22 balance adjusted for disposition during 2024  (2)</v>
          </cell>
          <cell r="CC20" t="str">
            <v>Total Interest</v>
          </cell>
          <cell r="CD20" t="str">
            <v>Total Claim</v>
          </cell>
          <cell r="CE20" t="str">
            <v>Accounts To Dispose
Yes/No</v>
          </cell>
          <cell r="CF20" t="str">
            <v>As of Dec 31-23</v>
          </cell>
          <cell r="CG20" t="str">
            <v>Variance                           RRR vs. 2023 Balance                        (Principal + Interest)</v>
          </cell>
        </row>
        <row r="21">
          <cell r="C21"/>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row>
        <row r="22">
          <cell r="B22"/>
          <cell r="C22"/>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t="str">
            <v>Claim before Forecasted Transactions</v>
          </cell>
          <cell r="CD22" t="str">
            <v>Claim before Forecasted Transactions</v>
          </cell>
          <cell r="CE22"/>
          <cell r="CF22"/>
          <cell r="CG22"/>
        </row>
        <row r="23">
          <cell r="A23"/>
          <cell r="B23">
            <v>1</v>
          </cell>
          <cell r="C23" t="str">
            <v>Group 1 Accounts</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row>
        <row r="24">
          <cell r="A24">
            <v>1</v>
          </cell>
          <cell r="B24">
            <v>2</v>
          </cell>
          <cell r="C24" t="str">
            <v>LV Variance Account</v>
          </cell>
          <cell r="D24">
            <v>1550</v>
          </cell>
          <cell r="E24">
            <v>1246899.2492833077</v>
          </cell>
          <cell r="F24">
            <v>394327.91071669274</v>
          </cell>
          <cell r="G24">
            <v>934874</v>
          </cell>
          <cell r="H24"/>
          <cell r="I24">
            <v>706353.16000000038</v>
          </cell>
          <cell r="J24">
            <v>21166.325194239602</v>
          </cell>
          <cell r="K24">
            <v>6808.1398892313664</v>
          </cell>
          <cell r="L24">
            <v>19906</v>
          </cell>
          <cell r="M24"/>
          <cell r="N24">
            <v>8068.4650834709682</v>
          </cell>
          <cell r="O24">
            <v>706353.16000000038</v>
          </cell>
          <cell r="P24">
            <v>319999.98928330734</v>
          </cell>
          <cell r="Q24">
            <v>312024.78928330727</v>
          </cell>
          <cell r="R24"/>
          <cell r="S24">
            <v>714328.36000000045</v>
          </cell>
          <cell r="T24">
            <v>8068.4650834709682</v>
          </cell>
          <cell r="U24">
            <v>10579.4893934792</v>
          </cell>
          <cell r="V24">
            <v>5861</v>
          </cell>
          <cell r="W24"/>
          <cell r="X24">
            <v>12786.954476950166</v>
          </cell>
          <cell r="Y24">
            <v>714328.36000000045</v>
          </cell>
          <cell r="Z24">
            <v>396112.01</v>
          </cell>
          <cell r="AA24">
            <v>394327.91</v>
          </cell>
          <cell r="AB24"/>
          <cell r="AC24">
            <v>716112.46000000066</v>
          </cell>
          <cell r="AD24">
            <v>12786.954476950166</v>
          </cell>
          <cell r="AE24">
            <v>11212.832224583335</v>
          </cell>
          <cell r="AF24">
            <v>9276</v>
          </cell>
          <cell r="AG24"/>
          <cell r="AH24">
            <v>14723.7867015335</v>
          </cell>
          <cell r="AI24">
            <v>716112.46000000066</v>
          </cell>
          <cell r="AJ24">
            <v>539673.42000000004</v>
          </cell>
          <cell r="AK24">
            <v>320000.45</v>
          </cell>
          <cell r="AL24"/>
          <cell r="AM24">
            <v>935785.43000000087</v>
          </cell>
          <cell r="AN24">
            <v>14723.7867015335</v>
          </cell>
          <cell r="AO24">
            <v>8847.4932984665029</v>
          </cell>
          <cell r="AP24">
            <v>11865.62</v>
          </cell>
          <cell r="AQ24"/>
          <cell r="AR24">
            <v>11705.660000000002</v>
          </cell>
          <cell r="AS24">
            <v>935785.43000000087</v>
          </cell>
          <cell r="AT24">
            <v>657379.73</v>
          </cell>
          <cell r="AU24">
            <v>396112.01</v>
          </cell>
          <cell r="AV24"/>
          <cell r="AW24">
            <v>1197053.1500000008</v>
          </cell>
          <cell r="AX24">
            <v>11705.660000000002</v>
          </cell>
          <cell r="AY24">
            <v>5219.6099999992266</v>
          </cell>
          <cell r="AZ24">
            <v>9467.3700000000008</v>
          </cell>
          <cell r="BA24"/>
          <cell r="BB24">
            <v>7457.8999999992284</v>
          </cell>
          <cell r="BC24">
            <v>1197053.1500000008</v>
          </cell>
          <cell r="BD24">
            <v>456990.45999999996</v>
          </cell>
          <cell r="BE24"/>
          <cell r="BF24"/>
          <cell r="BG24">
            <v>1654043.6100000008</v>
          </cell>
          <cell r="BH24">
            <v>7457.8999999992284</v>
          </cell>
          <cell r="BI24">
            <v>28687.552832583337</v>
          </cell>
          <cell r="BJ24"/>
          <cell r="BK24"/>
          <cell r="BL24">
            <v>36145.452832582567</v>
          </cell>
          <cell r="BM24">
            <v>1654043.6100000008</v>
          </cell>
          <cell r="BN24">
            <v>381853.74999999994</v>
          </cell>
          <cell r="BO24">
            <v>1197053.1499999999</v>
          </cell>
          <cell r="BP24"/>
          <cell r="BQ24">
            <v>838844.21000000089</v>
          </cell>
          <cell r="BR24">
            <v>36145.452832582567</v>
          </cell>
          <cell r="BS24">
            <v>42131.246596833342</v>
          </cell>
          <cell r="BT24">
            <v>25383.759999999998</v>
          </cell>
          <cell r="BU24"/>
          <cell r="BV24">
            <v>52892.939429415914</v>
          </cell>
          <cell r="BW24">
            <v>456990</v>
          </cell>
          <cell r="BX24">
            <v>43254</v>
          </cell>
          <cell r="BY24">
            <v>381854.21000000089</v>
          </cell>
          <cell r="BZ24">
            <v>9638.9394294159138</v>
          </cell>
          <cell r="CA24">
            <v>24101.694932999962</v>
          </cell>
          <cell r="CB24"/>
          <cell r="CC24">
            <v>33740.634362415876</v>
          </cell>
          <cell r="CD24">
            <v>415594.84436241677</v>
          </cell>
          <cell r="CE24"/>
          <cell r="CF24">
            <v>891737</v>
          </cell>
          <cell r="CG24">
            <v>-0.1494294167496264</v>
          </cell>
        </row>
        <row r="25">
          <cell r="A25">
            <v>2</v>
          </cell>
          <cell r="B25">
            <v>3</v>
          </cell>
          <cell r="C25" t="str">
            <v>Smart Metering Entity Charge Variance Account</v>
          </cell>
          <cell r="D25">
            <v>1551</v>
          </cell>
          <cell r="E25">
            <v>-688084.05800000078</v>
          </cell>
          <cell r="F25">
            <v>-113181.94600000005</v>
          </cell>
          <cell r="G25">
            <v>-308308</v>
          </cell>
          <cell r="H25"/>
          <cell r="I25">
            <v>-492958.00400000089</v>
          </cell>
          <cell r="J25">
            <v>10900.045714254777</v>
          </cell>
          <cell r="K25">
            <v>-15080.039335489095</v>
          </cell>
          <cell r="L25">
            <v>-7181</v>
          </cell>
          <cell r="M25"/>
          <cell r="N25">
            <v>3001.0063787656818</v>
          </cell>
          <cell r="O25">
            <v>-492958.00400000089</v>
          </cell>
          <cell r="P25">
            <v>-727041.92999999993</v>
          </cell>
          <cell r="Q25">
            <v>-379776</v>
          </cell>
          <cell r="R25"/>
          <cell r="S25">
            <v>-840223.93400000082</v>
          </cell>
          <cell r="T25">
            <v>3001.0063787656818</v>
          </cell>
          <cell r="U25">
            <v>-1168.5793780612112</v>
          </cell>
          <cell r="V25">
            <v>13241</v>
          </cell>
          <cell r="W25"/>
          <cell r="X25">
            <v>-11408.572999295529</v>
          </cell>
          <cell r="Y25">
            <v>-840223.93400000082</v>
          </cell>
          <cell r="Z25">
            <v>-40665.479999999778</v>
          </cell>
          <cell r="AA25">
            <v>-113182</v>
          </cell>
          <cell r="AB25"/>
          <cell r="AC25">
            <v>-767707.41400000057</v>
          </cell>
          <cell r="AD25">
            <v>-11408.572999295529</v>
          </cell>
          <cell r="AE25">
            <v>-37331.100577157194</v>
          </cell>
          <cell r="AF25">
            <v>-19076</v>
          </cell>
          <cell r="AG25"/>
          <cell r="AH25">
            <v>-29663.673576452726</v>
          </cell>
          <cell r="AI25">
            <v>-767707.41400000057</v>
          </cell>
          <cell r="AJ25">
            <v>-417085.24373747013</v>
          </cell>
          <cell r="AK25">
            <v>-727041.93400000106</v>
          </cell>
          <cell r="AL25"/>
          <cell r="AM25">
            <v>-457750.72373746964</v>
          </cell>
          <cell r="AN25">
            <v>-29663.673576452726</v>
          </cell>
          <cell r="AO25">
            <v>-23619.64577387286</v>
          </cell>
          <cell r="AP25">
            <v>-14319.823087795536</v>
          </cell>
          <cell r="AQ25"/>
          <cell r="AR25">
            <v>-38963.496262530054</v>
          </cell>
          <cell r="AS25">
            <v>-457750.72373746964</v>
          </cell>
          <cell r="AT25">
            <v>-37240.987336137041</v>
          </cell>
          <cell r="AU25">
            <v>-40665.479999999516</v>
          </cell>
          <cell r="AV25"/>
          <cell r="AW25">
            <v>-454326.23107360717</v>
          </cell>
          <cell r="AX25">
            <v>-38963.496262530054</v>
          </cell>
          <cell r="AY25">
            <v>-20631.011903553044</v>
          </cell>
          <cell r="AZ25">
            <v>-18544.519239690515</v>
          </cell>
          <cell r="BA25"/>
          <cell r="BB25">
            <v>-41049.988926392587</v>
          </cell>
          <cell r="BC25">
            <v>-454326.23107360717</v>
          </cell>
          <cell r="BD25">
            <v>-2052236.1896293177</v>
          </cell>
          <cell r="BE25"/>
          <cell r="BF25">
            <v>-89905.479182675655</v>
          </cell>
          <cell r="BG25">
            <v>-2596467.8998856004</v>
          </cell>
          <cell r="BH25">
            <v>-41049.988926392587</v>
          </cell>
          <cell r="BI25">
            <v>-22582.7335691878</v>
          </cell>
          <cell r="BJ25"/>
          <cell r="BK25">
            <v>38258.203103459236</v>
          </cell>
          <cell r="BL25">
            <v>-25374.519392121147</v>
          </cell>
          <cell r="BM25">
            <v>-2596467.8998856004</v>
          </cell>
          <cell r="BN25">
            <v>-1456777.49</v>
          </cell>
          <cell r="BO25">
            <v>-454326</v>
          </cell>
          <cell r="BP25">
            <v>-29744.380000000005</v>
          </cell>
          <cell r="BQ25">
            <v>-3628663.7698856005</v>
          </cell>
          <cell r="BR25">
            <v>-25374.519392121147</v>
          </cell>
          <cell r="BS25">
            <v>-137597.9148170806</v>
          </cell>
          <cell r="BT25">
            <v>-47853</v>
          </cell>
          <cell r="BU25">
            <v>29725.65016956965</v>
          </cell>
          <cell r="BV25">
            <v>-85393.784039632097</v>
          </cell>
          <cell r="BW25">
            <v>-2142142</v>
          </cell>
          <cell r="BX25">
            <v>-103977</v>
          </cell>
          <cell r="BY25">
            <v>-1486521.7698856005</v>
          </cell>
          <cell r="BZ25">
            <v>18583.215960367903</v>
          </cell>
          <cell r="CA25">
            <v>-93949.625769103965</v>
          </cell>
          <cell r="CB25"/>
          <cell r="CC25">
            <v>-75366.409808736062</v>
          </cell>
          <cell r="CD25">
            <v>-1561888.1796943366</v>
          </cell>
          <cell r="CE25"/>
          <cell r="CF25">
            <v>-3714042</v>
          </cell>
          <cell r="CG25">
            <v>15.553925232496113</v>
          </cell>
        </row>
        <row r="26">
          <cell r="A26">
            <v>3</v>
          </cell>
          <cell r="B26">
            <v>4</v>
          </cell>
          <cell r="C26" t="str">
            <v>RSVA - Wholesale Market Service Charge5</v>
          </cell>
          <cell r="D26">
            <v>1580</v>
          </cell>
          <cell r="E26">
            <v>-183272005.34548199</v>
          </cell>
          <cell r="F26">
            <v>-25199714.767243288</v>
          </cell>
          <cell r="G26">
            <v>-157236144</v>
          </cell>
          <cell r="H26"/>
          <cell r="I26">
            <v>-51235576.112725288</v>
          </cell>
          <cell r="J26">
            <v>-7417923.0831133118</v>
          </cell>
          <cell r="K26">
            <v>-555630.49962559715</v>
          </cell>
          <cell r="L26">
            <v>-7370570</v>
          </cell>
          <cell r="M26"/>
          <cell r="N26">
            <v>-602983.58273890894</v>
          </cell>
          <cell r="O26">
            <v>-51235576.112725288</v>
          </cell>
          <cell r="P26">
            <v>-4206092.4608710967</v>
          </cell>
          <cell r="Q26">
            <v>-26035862.109718811</v>
          </cell>
          <cell r="R26"/>
          <cell r="S26">
            <v>-29405806.463877577</v>
          </cell>
          <cell r="T26">
            <v>-602983.58273890894</v>
          </cell>
          <cell r="U26">
            <v>-497277.14133935183</v>
          </cell>
          <cell r="V26">
            <v>-498414</v>
          </cell>
          <cell r="W26"/>
          <cell r="X26">
            <v>-601846.72407826083</v>
          </cell>
          <cell r="Y26">
            <v>-29405806.463877577</v>
          </cell>
          <cell r="Z26">
            <v>-5295315.57889276</v>
          </cell>
          <cell r="AA26">
            <v>-25199714.77</v>
          </cell>
          <cell r="AB26"/>
          <cell r="AC26">
            <v>-9501407.2727703415</v>
          </cell>
          <cell r="AD26">
            <v>-601846.72407826083</v>
          </cell>
          <cell r="AE26">
            <v>-76408.903539122039</v>
          </cell>
          <cell r="AF26">
            <v>-556274</v>
          </cell>
          <cell r="AG26"/>
          <cell r="AH26">
            <v>-121981.62761738291</v>
          </cell>
          <cell r="AI26">
            <v>-9501407.2727703415</v>
          </cell>
          <cell r="AJ26">
            <v>-11119035.279999997</v>
          </cell>
          <cell r="AK26">
            <v>-4206091.6900000004</v>
          </cell>
          <cell r="AL26"/>
          <cell r="AM26">
            <v>-16414350.862770338</v>
          </cell>
          <cell r="AN26">
            <v>-121981.62761738291</v>
          </cell>
          <cell r="AO26">
            <v>-197745.20961235312</v>
          </cell>
          <cell r="AP26">
            <v>-155386.79</v>
          </cell>
          <cell r="AQ26"/>
          <cell r="AR26">
            <v>-164340.04722973602</v>
          </cell>
          <cell r="AS26">
            <v>-16414350.862770338</v>
          </cell>
          <cell r="AT26">
            <v>18825431.110000003</v>
          </cell>
          <cell r="AU26">
            <v>-5295315.58</v>
          </cell>
          <cell r="AV26"/>
          <cell r="AW26">
            <v>7706395.8272296656</v>
          </cell>
          <cell r="AX26">
            <v>-164340.04722973602</v>
          </cell>
          <cell r="AY26">
            <v>-26164.742116690722</v>
          </cell>
          <cell r="AZ26">
            <v>-54687.57</v>
          </cell>
          <cell r="BA26"/>
          <cell r="BB26">
            <v>-135817.21934642675</v>
          </cell>
          <cell r="BC26">
            <v>7706395.8272296656</v>
          </cell>
          <cell r="BD26">
            <v>52044467.109999992</v>
          </cell>
          <cell r="BE26"/>
          <cell r="BF26"/>
          <cell r="BG26">
            <v>59750862.937229656</v>
          </cell>
          <cell r="BH26">
            <v>-135817.21934642675</v>
          </cell>
          <cell r="BI26">
            <v>946847.83345256315</v>
          </cell>
          <cell r="BJ26"/>
          <cell r="BK26"/>
          <cell r="BL26">
            <v>811030.61410613637</v>
          </cell>
          <cell r="BM26">
            <v>59750862.937229656</v>
          </cell>
          <cell r="BN26">
            <v>-24051236.989999995</v>
          </cell>
          <cell r="BO26">
            <v>7706395.8300000001</v>
          </cell>
          <cell r="BP26"/>
          <cell r="BQ26">
            <v>27993230.117229663</v>
          </cell>
          <cell r="BR26">
            <v>811030.61410613637</v>
          </cell>
          <cell r="BS26">
            <v>2494521.7961765723</v>
          </cell>
          <cell r="BT26">
            <v>-20413.95</v>
          </cell>
          <cell r="BU26"/>
          <cell r="BV26">
            <v>3325966.3602827089</v>
          </cell>
          <cell r="BW26">
            <v>52044467</v>
          </cell>
          <cell r="BX26">
            <v>3517840</v>
          </cell>
          <cell r="BY26">
            <v>-24051236.882770337</v>
          </cell>
          <cell r="BZ26">
            <v>-191873.63971729111</v>
          </cell>
          <cell r="CA26">
            <v>-899750.51751002879</v>
          </cell>
          <cell r="CB26"/>
          <cell r="CC26">
            <v>-1091624.1572273199</v>
          </cell>
          <cell r="CD26">
            <v>-25142861.03999766</v>
          </cell>
          <cell r="CE26"/>
          <cell r="CF26">
            <v>31319197</v>
          </cell>
          <cell r="CG26">
            <v>0.52248762920498848</v>
          </cell>
        </row>
        <row r="27">
          <cell r="A27">
            <v>3.1</v>
          </cell>
          <cell r="B27">
            <v>5</v>
          </cell>
          <cell r="C27" t="str">
            <v>Variance WMS – Sub-account CBR Class A5</v>
          </cell>
          <cell r="D27">
            <v>1580</v>
          </cell>
          <cell r="E27">
            <v>0</v>
          </cell>
          <cell r="F27"/>
          <cell r="G27"/>
          <cell r="H27"/>
          <cell r="I27">
            <v>0</v>
          </cell>
          <cell r="J27">
            <v>0</v>
          </cell>
          <cell r="K27"/>
          <cell r="L27"/>
          <cell r="M27"/>
          <cell r="N27">
            <v>0</v>
          </cell>
          <cell r="O27">
            <v>0</v>
          </cell>
          <cell r="P27">
            <v>0</v>
          </cell>
          <cell r="Q27">
            <v>0</v>
          </cell>
          <cell r="R27"/>
          <cell r="S27">
            <v>0</v>
          </cell>
          <cell r="T27">
            <v>0</v>
          </cell>
          <cell r="U27">
            <v>0</v>
          </cell>
          <cell r="V27">
            <v>0</v>
          </cell>
          <cell r="W27"/>
          <cell r="X27">
            <v>0</v>
          </cell>
          <cell r="Y27">
            <v>0</v>
          </cell>
          <cell r="Z27"/>
          <cell r="AA27"/>
          <cell r="AB27"/>
          <cell r="AC27">
            <v>0</v>
          </cell>
          <cell r="AD27">
            <v>0</v>
          </cell>
          <cell r="AE27"/>
          <cell r="AF27"/>
          <cell r="AG27"/>
          <cell r="AH27">
            <v>0</v>
          </cell>
          <cell r="AI27">
            <v>0</v>
          </cell>
          <cell r="AJ27"/>
          <cell r="AK27"/>
          <cell r="AL27"/>
          <cell r="AM27">
            <v>0</v>
          </cell>
          <cell r="AN27">
            <v>0</v>
          </cell>
          <cell r="AO27"/>
          <cell r="AP27"/>
          <cell r="AQ27"/>
          <cell r="AR27">
            <v>0</v>
          </cell>
          <cell r="AS27">
            <v>0</v>
          </cell>
          <cell r="AT27"/>
          <cell r="AU27"/>
          <cell r="AV27"/>
          <cell r="AW27">
            <v>0</v>
          </cell>
          <cell r="AX27">
            <v>0</v>
          </cell>
          <cell r="AY27"/>
          <cell r="AZ27"/>
          <cell r="BA27"/>
          <cell r="BB27">
            <v>0</v>
          </cell>
          <cell r="BC27">
            <v>0</v>
          </cell>
          <cell r="BD27"/>
          <cell r="BE27"/>
          <cell r="BF27"/>
          <cell r="BG27">
            <v>0</v>
          </cell>
          <cell r="BH27">
            <v>0</v>
          </cell>
          <cell r="BI27"/>
          <cell r="BJ27"/>
          <cell r="BK27"/>
          <cell r="BL27">
            <v>0</v>
          </cell>
          <cell r="BM27">
            <v>0</v>
          </cell>
          <cell r="BN27"/>
          <cell r="BO27"/>
          <cell r="BP27"/>
          <cell r="BQ27">
            <v>0</v>
          </cell>
          <cell r="BR27">
            <v>0</v>
          </cell>
          <cell r="BS27"/>
          <cell r="BT27"/>
          <cell r="BU27"/>
          <cell r="BV27">
            <v>0</v>
          </cell>
          <cell r="BW27"/>
          <cell r="BX27"/>
          <cell r="BY27">
            <v>0</v>
          </cell>
          <cell r="BZ27">
            <v>0</v>
          </cell>
          <cell r="CA27"/>
          <cell r="CB27"/>
          <cell r="CC27">
            <v>0</v>
          </cell>
          <cell r="CD27">
            <v>0</v>
          </cell>
          <cell r="CE27"/>
          <cell r="CF27">
            <v>0</v>
          </cell>
          <cell r="CG27">
            <v>0</v>
          </cell>
        </row>
        <row r="28">
          <cell r="A28">
            <v>3.2</v>
          </cell>
          <cell r="B28">
            <v>6</v>
          </cell>
          <cell r="C28" t="str">
            <v>Variance WMS – Sub-account CBR Class B5</v>
          </cell>
          <cell r="D28">
            <v>1580</v>
          </cell>
          <cell r="E28">
            <v>7503243.533575207</v>
          </cell>
          <cell r="F28">
            <v>524230.65548498742</v>
          </cell>
          <cell r="G28">
            <v>5967910</v>
          </cell>
          <cell r="H28"/>
          <cell r="I28">
            <v>2059564.1890601944</v>
          </cell>
          <cell r="J28">
            <v>14281.645527931421</v>
          </cell>
          <cell r="K28">
            <v>20888.328430703092</v>
          </cell>
          <cell r="L28">
            <v>85385</v>
          </cell>
          <cell r="M28"/>
          <cell r="N28">
            <v>-50215.026041365491</v>
          </cell>
          <cell r="O28">
            <v>2059564.1890601944</v>
          </cell>
          <cell r="P28">
            <v>-570685.49548498401</v>
          </cell>
          <cell r="Q28">
            <v>1535333.9335752099</v>
          </cell>
          <cell r="R28"/>
          <cell r="S28">
            <v>-46455.239999999525</v>
          </cell>
          <cell r="T28">
            <v>-50215.026041365491</v>
          </cell>
          <cell r="U28">
            <v>6907.5659021127858</v>
          </cell>
          <cell r="V28">
            <v>-52680</v>
          </cell>
          <cell r="W28"/>
          <cell r="X28">
            <v>9372.5398607472962</v>
          </cell>
          <cell r="Y28">
            <v>-46455.239999999525</v>
          </cell>
          <cell r="Z28">
            <v>-1587252.2799999998</v>
          </cell>
          <cell r="AA28">
            <v>524230.66</v>
          </cell>
          <cell r="AB28"/>
          <cell r="AC28">
            <v>-2157938.1799999992</v>
          </cell>
          <cell r="AD28">
            <v>9372.5398607472962</v>
          </cell>
          <cell r="AE28">
            <v>-22803.875642166662</v>
          </cell>
          <cell r="AF28">
            <v>11862</v>
          </cell>
          <cell r="AG28"/>
          <cell r="AH28">
            <v>-25293.335781419366</v>
          </cell>
          <cell r="AI28">
            <v>-2157938.1799999992</v>
          </cell>
          <cell r="AJ28">
            <v>-498545.64999999973</v>
          </cell>
          <cell r="AK28">
            <v>-570685.9</v>
          </cell>
          <cell r="AL28"/>
          <cell r="AM28">
            <v>-2085797.9299999992</v>
          </cell>
          <cell r="AN28">
            <v>-25293.335781419366</v>
          </cell>
          <cell r="AO28">
            <v>57868.395781418556</v>
          </cell>
          <cell r="AP28">
            <v>-17389.11</v>
          </cell>
          <cell r="AQ28"/>
          <cell r="AR28">
            <v>49964.169999999191</v>
          </cell>
          <cell r="AS28">
            <v>-2085797.9299999992</v>
          </cell>
          <cell r="AT28">
            <v>-2100031.5500000003</v>
          </cell>
          <cell r="AU28">
            <v>-1587252.28</v>
          </cell>
          <cell r="AV28"/>
          <cell r="AW28">
            <v>-2598577.1999999993</v>
          </cell>
          <cell r="AX28">
            <v>49964.169999999191</v>
          </cell>
          <cell r="AY28">
            <v>-7862.4976967500033</v>
          </cell>
          <cell r="AZ28">
            <v>-31802.43</v>
          </cell>
          <cell r="BA28"/>
          <cell r="BB28">
            <v>73904.102303249179</v>
          </cell>
          <cell r="BC28">
            <v>-2598577.1999999993</v>
          </cell>
          <cell r="BD28">
            <v>-2086635.8400000003</v>
          </cell>
          <cell r="BE28"/>
          <cell r="BF28"/>
          <cell r="BG28">
            <v>-4685213.0399999991</v>
          </cell>
          <cell r="BH28">
            <v>73904.102303249179</v>
          </cell>
          <cell r="BI28">
            <v>-87990.493430833361</v>
          </cell>
          <cell r="BJ28"/>
          <cell r="BK28"/>
          <cell r="BL28">
            <v>-14086.391127584182</v>
          </cell>
          <cell r="BM28">
            <v>-4685213.0399999991</v>
          </cell>
          <cell r="BN28">
            <v>2929791.75</v>
          </cell>
          <cell r="BO28">
            <v>-2598577.2000000002</v>
          </cell>
          <cell r="BP28"/>
          <cell r="BQ28">
            <v>843155.91000000108</v>
          </cell>
          <cell r="BR28">
            <v>-14086.391127584182</v>
          </cell>
          <cell r="BS28">
            <v>-144266.6809358334</v>
          </cell>
          <cell r="BT28">
            <v>34990.410000000003</v>
          </cell>
          <cell r="BU28"/>
          <cell r="BV28">
            <v>-193343.48206341758</v>
          </cell>
          <cell r="BW28">
            <v>-2086636</v>
          </cell>
          <cell r="BX28">
            <v>-174833</v>
          </cell>
          <cell r="BY28">
            <v>2929791.9100000011</v>
          </cell>
          <cell r="BZ28">
            <v>-18510.482063417585</v>
          </cell>
          <cell r="CA28">
            <v>174551.77905974988</v>
          </cell>
          <cell r="CB28"/>
          <cell r="CC28">
            <v>156041.2969963323</v>
          </cell>
          <cell r="CD28">
            <v>3085833.2069963333</v>
          </cell>
          <cell r="CE28"/>
          <cell r="CF28">
            <v>649812</v>
          </cell>
          <cell r="CG28">
            <v>-0.42793658352456987</v>
          </cell>
        </row>
        <row r="29">
          <cell r="A29">
            <v>4</v>
          </cell>
          <cell r="B29">
            <v>7</v>
          </cell>
          <cell r="C29" t="str">
            <v>RSVA - Retail Transmission Network Charge</v>
          </cell>
          <cell r="D29">
            <v>1584</v>
          </cell>
          <cell r="E29">
            <v>50335903.568963751</v>
          </cell>
          <cell r="F29">
            <v>8096178.203731765</v>
          </cell>
          <cell r="G29">
            <v>66750304.709407873</v>
          </cell>
          <cell r="H29"/>
          <cell r="I29">
            <v>-8318222.9367123544</v>
          </cell>
          <cell r="J29">
            <v>3386608.3876394937</v>
          </cell>
          <cell r="K29">
            <v>-83172.774158902641</v>
          </cell>
          <cell r="L29">
            <v>3456545</v>
          </cell>
          <cell r="M29"/>
          <cell r="N29">
            <v>-153109.38651940878</v>
          </cell>
          <cell r="O29">
            <v>-8318222.9367123544</v>
          </cell>
          <cell r="P29">
            <v>8947315.3762682304</v>
          </cell>
          <cell r="Q29">
            <v>-16414402.159215026</v>
          </cell>
          <cell r="R29"/>
          <cell r="S29">
            <v>17043494.598770902</v>
          </cell>
          <cell r="T29">
            <v>-153109.38651940878</v>
          </cell>
          <cell r="U29">
            <v>200782.60115047341</v>
          </cell>
          <cell r="V29">
            <v>-205715</v>
          </cell>
          <cell r="W29"/>
          <cell r="X29">
            <v>253388.21463106462</v>
          </cell>
          <cell r="Y29">
            <v>17043494.598770902</v>
          </cell>
          <cell r="Z29">
            <v>8275361.957531401</v>
          </cell>
          <cell r="AA29">
            <v>8096178.2000000002</v>
          </cell>
          <cell r="AB29"/>
          <cell r="AC29">
            <v>17222678.356302302</v>
          </cell>
          <cell r="AD29">
            <v>253388.21463106462</v>
          </cell>
          <cell r="AE29">
            <v>281454.53035825398</v>
          </cell>
          <cell r="AF29">
            <v>197730</v>
          </cell>
          <cell r="AG29"/>
          <cell r="AH29">
            <v>337112.74498931854</v>
          </cell>
          <cell r="AI29">
            <v>17222678.356302302</v>
          </cell>
          <cell r="AJ29">
            <v>739237.16000000061</v>
          </cell>
          <cell r="AK29">
            <v>8947316.4000000004</v>
          </cell>
          <cell r="AL29"/>
          <cell r="AM29">
            <v>9014599.1163023021</v>
          </cell>
          <cell r="AN29">
            <v>337112.74498931854</v>
          </cell>
          <cell r="AO29">
            <v>147188.50383466668</v>
          </cell>
          <cell r="AP29">
            <v>289257.71000000002</v>
          </cell>
          <cell r="AQ29"/>
          <cell r="AR29">
            <v>195043.5388239852</v>
          </cell>
          <cell r="AS29">
            <v>9014599.1163023021</v>
          </cell>
          <cell r="AT29">
            <v>49849818.219999999</v>
          </cell>
          <cell r="AU29">
            <v>8275361.96</v>
          </cell>
          <cell r="AV29"/>
          <cell r="AW29">
            <v>50589055.376302302</v>
          </cell>
          <cell r="AX29">
            <v>195043.5388239852</v>
          </cell>
          <cell r="AY29">
            <v>140145.712337</v>
          </cell>
          <cell r="AZ29">
            <v>194149.83</v>
          </cell>
          <cell r="BA29"/>
          <cell r="BB29">
            <v>141039.42116098522</v>
          </cell>
          <cell r="BC29">
            <v>50589055.376302302</v>
          </cell>
          <cell r="BD29">
            <v>35362034.970000006</v>
          </cell>
          <cell r="BE29"/>
          <cell r="BF29"/>
          <cell r="BG29">
            <v>85951090.346302301</v>
          </cell>
          <cell r="BH29">
            <v>141039.42116098522</v>
          </cell>
          <cell r="BI29">
            <v>1405959.0237786665</v>
          </cell>
          <cell r="BJ29"/>
          <cell r="BK29"/>
          <cell r="BL29">
            <v>1546998.4449396518</v>
          </cell>
          <cell r="BM29">
            <v>85951090.346302301</v>
          </cell>
          <cell r="BN29">
            <v>20664835.690000001</v>
          </cell>
          <cell r="BO29">
            <v>50589055.380000003</v>
          </cell>
          <cell r="BP29"/>
          <cell r="BQ29">
            <v>56026870.656302296</v>
          </cell>
          <cell r="BR29">
            <v>1546998.4449396518</v>
          </cell>
          <cell r="BS29">
            <v>2711949.4402875812</v>
          </cell>
          <cell r="BT29">
            <v>898610.51</v>
          </cell>
          <cell r="BU29"/>
          <cell r="BV29">
            <v>3360337.3752272334</v>
          </cell>
          <cell r="BW29">
            <v>35362035</v>
          </cell>
          <cell r="BX29">
            <v>2831213</v>
          </cell>
          <cell r="BY29">
            <v>20664835.656302296</v>
          </cell>
          <cell r="BZ29">
            <v>529124.37522723339</v>
          </cell>
          <cell r="CA29">
            <v>1285267.8616785852</v>
          </cell>
          <cell r="CB29"/>
          <cell r="CC29">
            <v>1814392.2369058186</v>
          </cell>
          <cell r="CD29">
            <v>22479227.893208116</v>
          </cell>
          <cell r="CE29"/>
          <cell r="CF29">
            <v>59387208</v>
          </cell>
          <cell r="CG29">
            <v>-3.1529530882835388E-2</v>
          </cell>
        </row>
        <row r="30">
          <cell r="A30">
            <v>5</v>
          </cell>
          <cell r="B30">
            <v>8</v>
          </cell>
          <cell r="C30" t="str">
            <v>RSVA - Retail Transmission Connection Charge</v>
          </cell>
          <cell r="D30">
            <v>1586</v>
          </cell>
          <cell r="E30">
            <v>5587060.7928055152</v>
          </cell>
          <cell r="F30">
            <v>8333124.5715386411</v>
          </cell>
          <cell r="G30">
            <v>35536950.362278841</v>
          </cell>
          <cell r="H30"/>
          <cell r="I30">
            <v>-21616764.997934684</v>
          </cell>
          <cell r="J30">
            <v>1628432.1048781544</v>
          </cell>
          <cell r="K30">
            <v>-278307.06738128746</v>
          </cell>
          <cell r="L30">
            <v>1747948</v>
          </cell>
          <cell r="M30"/>
          <cell r="N30">
            <v>-397822.96250313311</v>
          </cell>
          <cell r="O30">
            <v>-21616764.997934684</v>
          </cell>
          <cell r="P30">
            <v>17363767.73846136</v>
          </cell>
          <cell r="Q30">
            <v>-29949889.607198089</v>
          </cell>
          <cell r="R30"/>
          <cell r="S30">
            <v>25696892.347724766</v>
          </cell>
          <cell r="T30">
            <v>-397822.96250313311</v>
          </cell>
          <cell r="U30">
            <v>277670.41875638819</v>
          </cell>
          <cell r="V30">
            <v>-446320</v>
          </cell>
          <cell r="W30"/>
          <cell r="X30">
            <v>326167.45625325508</v>
          </cell>
          <cell r="Y30">
            <v>25696892.347724766</v>
          </cell>
          <cell r="Z30">
            <v>-5718031.2467185305</v>
          </cell>
          <cell r="AA30">
            <v>8333124.5700000003</v>
          </cell>
          <cell r="AB30"/>
          <cell r="AC30">
            <v>11645736.531006236</v>
          </cell>
          <cell r="AD30">
            <v>326167.45625325508</v>
          </cell>
          <cell r="AE30">
            <v>350503.54691500199</v>
          </cell>
          <cell r="AF30">
            <v>197868</v>
          </cell>
          <cell r="AG30"/>
          <cell r="AH30">
            <v>478803.00316825707</v>
          </cell>
          <cell r="AI30">
            <v>11645736.531006236</v>
          </cell>
          <cell r="AJ30">
            <v>-6832963.3799999999</v>
          </cell>
          <cell r="AK30">
            <v>17363767.780000001</v>
          </cell>
          <cell r="AL30"/>
          <cell r="AM30">
            <v>-12550994.628993765</v>
          </cell>
          <cell r="AN30">
            <v>478803.00316825707</v>
          </cell>
          <cell r="AO30">
            <v>-47615.731637916695</v>
          </cell>
          <cell r="AP30">
            <v>581638.49</v>
          </cell>
          <cell r="AQ30"/>
          <cell r="AR30">
            <v>-150451.21846965962</v>
          </cell>
          <cell r="AS30">
            <v>-12550994.628993765</v>
          </cell>
          <cell r="AT30">
            <v>8118617.2299999921</v>
          </cell>
          <cell r="AU30">
            <v>-5718031.25</v>
          </cell>
          <cell r="AV30"/>
          <cell r="AW30">
            <v>1285653.8510062275</v>
          </cell>
          <cell r="AX30">
            <v>-150451.21846965962</v>
          </cell>
          <cell r="AY30">
            <v>-26119.223121250026</v>
          </cell>
          <cell r="AZ30">
            <v>-118370.06</v>
          </cell>
          <cell r="BA30"/>
          <cell r="BB30">
            <v>-58200.381590909645</v>
          </cell>
          <cell r="BC30">
            <v>1285653.8510062275</v>
          </cell>
          <cell r="BD30">
            <v>17359200.380000003</v>
          </cell>
          <cell r="BE30"/>
          <cell r="BF30"/>
          <cell r="BG30">
            <v>18644854.231006231</v>
          </cell>
          <cell r="BH30">
            <v>-58200.381590909645</v>
          </cell>
          <cell r="BI30">
            <v>261241.96051299988</v>
          </cell>
          <cell r="BJ30"/>
          <cell r="BK30"/>
          <cell r="BL30">
            <v>203041.57892209024</v>
          </cell>
          <cell r="BM30">
            <v>18644854.231006231</v>
          </cell>
          <cell r="BN30">
            <v>20655064.840000007</v>
          </cell>
          <cell r="BO30">
            <v>1285653.8500000001</v>
          </cell>
          <cell r="BP30"/>
          <cell r="BQ30">
            <v>38014265.221006237</v>
          </cell>
          <cell r="BR30">
            <v>203041.57892209024</v>
          </cell>
          <cell r="BS30">
            <v>1455396.7561195828</v>
          </cell>
          <cell r="BT30">
            <v>-38947.72</v>
          </cell>
          <cell r="BU30"/>
          <cell r="BV30">
            <v>1697386.0550416729</v>
          </cell>
          <cell r="BW30">
            <v>17359200</v>
          </cell>
          <cell r="BX30">
            <v>1127896</v>
          </cell>
          <cell r="BY30">
            <v>20655065.221006237</v>
          </cell>
          <cell r="BZ30">
            <v>569490.05504167289</v>
          </cell>
          <cell r="CA30">
            <v>1212395.6929946109</v>
          </cell>
          <cell r="CB30"/>
          <cell r="CC30">
            <v>1781885.7480362838</v>
          </cell>
          <cell r="CD30">
            <v>22436950.969042521</v>
          </cell>
          <cell r="CE30"/>
          <cell r="CF30">
            <v>39711651</v>
          </cell>
          <cell r="CG30">
            <v>-0.27604790776968002</v>
          </cell>
        </row>
        <row r="31">
          <cell r="A31">
            <v>6</v>
          </cell>
          <cell r="B31">
            <v>9</v>
          </cell>
          <cell r="C31" t="str">
            <v>RSVA - Power (excluding Global Adjustment)4</v>
          </cell>
          <cell r="D31">
            <v>1588</v>
          </cell>
          <cell r="E31">
            <v>-27338360.671684034</v>
          </cell>
          <cell r="F31">
            <v>-3337116.0474950555</v>
          </cell>
          <cell r="G31">
            <v>-22433618.37520016</v>
          </cell>
          <cell r="H31"/>
          <cell r="I31">
            <v>-8241858.3439789303</v>
          </cell>
          <cell r="J31">
            <v>-527632.79395650199</v>
          </cell>
          <cell r="K31">
            <v>-93593.480829242719</v>
          </cell>
          <cell r="L31">
            <v>-508476.90967543662</v>
          </cell>
          <cell r="M31"/>
          <cell r="N31">
            <v>-112749.36511030811</v>
          </cell>
          <cell r="O31">
            <v>-8241858.3439789303</v>
          </cell>
          <cell r="P31">
            <v>-5431100.2225049734</v>
          </cell>
          <cell r="Q31">
            <v>-4904742.2964838743</v>
          </cell>
          <cell r="R31"/>
          <cell r="S31">
            <v>-8768216.2700000294</v>
          </cell>
          <cell r="T31">
            <v>-112749.36511030811</v>
          </cell>
          <cell r="U31">
            <v>-152662.42620717076</v>
          </cell>
          <cell r="V31">
            <v>-98572</v>
          </cell>
          <cell r="W31"/>
          <cell r="X31">
            <v>-166839.79131747887</v>
          </cell>
          <cell r="Y31">
            <v>-8768216.2700000294</v>
          </cell>
          <cell r="Z31">
            <v>-2501345.2026892249</v>
          </cell>
          <cell r="AA31">
            <v>-3337116.05</v>
          </cell>
          <cell r="AB31">
            <v>11758215.795371056</v>
          </cell>
          <cell r="AC31">
            <v>3825770.3726818012</v>
          </cell>
          <cell r="AD31">
            <v>-166839.79131747887</v>
          </cell>
          <cell r="AE31">
            <v>-127472.46049559918</v>
          </cell>
          <cell r="AF31">
            <v>-73995</v>
          </cell>
          <cell r="AG31"/>
          <cell r="AH31">
            <v>-220317.25181307807</v>
          </cell>
          <cell r="AI31">
            <v>3825770.3726818012</v>
          </cell>
          <cell r="AJ31">
            <v>12261250.36000004</v>
          </cell>
          <cell r="AK31">
            <v>-5431100.2199999997</v>
          </cell>
          <cell r="AL31">
            <v>-5377148.3767781258</v>
          </cell>
          <cell r="AM31">
            <v>16140972.575903714</v>
          </cell>
          <cell r="AN31">
            <v>-220317.25181307807</v>
          </cell>
          <cell r="AO31">
            <v>-39560.333159414324</v>
          </cell>
          <cell r="AP31">
            <v>-234641.77</v>
          </cell>
          <cell r="AQ31"/>
          <cell r="AR31">
            <v>-25235.814972492401</v>
          </cell>
          <cell r="AS31">
            <v>16140972.575903714</v>
          </cell>
          <cell r="AT31">
            <v>14039804.759999977</v>
          </cell>
          <cell r="AU31">
            <v>9256870.5899999999</v>
          </cell>
          <cell r="AV31">
            <v>-7482299.1374692917</v>
          </cell>
          <cell r="AW31">
            <v>13441607.608434398</v>
          </cell>
          <cell r="AX31">
            <v>-25235.814972492401</v>
          </cell>
          <cell r="AY31">
            <v>71403.543771004712</v>
          </cell>
          <cell r="AZ31">
            <v>121873.49</v>
          </cell>
          <cell r="BA31"/>
          <cell r="BB31">
            <v>-75705.761201487694</v>
          </cell>
          <cell r="BC31">
            <v>13441607.608434398</v>
          </cell>
          <cell r="BD31">
            <v>9702343.5500000417</v>
          </cell>
          <cell r="BE31"/>
          <cell r="BF31">
            <v>13073337.380000001</v>
          </cell>
          <cell r="BG31">
            <v>36217288.538434438</v>
          </cell>
          <cell r="BH31">
            <v>-75705.761201487694</v>
          </cell>
          <cell r="BI31">
            <v>526517.79671598552</v>
          </cell>
          <cell r="BJ31"/>
          <cell r="BK31"/>
          <cell r="BL31">
            <v>450812.03551449784</v>
          </cell>
          <cell r="BM31">
            <v>36217288.538434438</v>
          </cell>
          <cell r="BN31">
            <v>21073510.370000001</v>
          </cell>
          <cell r="BO31">
            <v>13441607.609999999</v>
          </cell>
          <cell r="BP31">
            <v>-8576243.2138066292</v>
          </cell>
          <cell r="BQ31">
            <v>35272948.084627807</v>
          </cell>
          <cell r="BR31">
            <v>450812.03551449784</v>
          </cell>
          <cell r="BS31">
            <v>1438496.1785054964</v>
          </cell>
          <cell r="BT31">
            <v>125582.31</v>
          </cell>
          <cell r="BU31"/>
          <cell r="BV31">
            <v>1763725.9040199942</v>
          </cell>
          <cell r="BW31"/>
          <cell r="BX31"/>
          <cell r="BY31">
            <v>35272948.084627807</v>
          </cell>
          <cell r="BZ31">
            <v>1763725.9040199942</v>
          </cell>
          <cell r="CA31">
            <v>1710533.73789581</v>
          </cell>
          <cell r="CB31"/>
          <cell r="CC31">
            <v>3474259.6419158042</v>
          </cell>
          <cell r="CD31">
            <v>38747207.726543613</v>
          </cell>
          <cell r="CE31" t="str">
            <v>Yes</v>
          </cell>
          <cell r="CF31">
            <v>33640812</v>
          </cell>
          <cell r="CG31">
            <v>-3395861.9886478037</v>
          </cell>
        </row>
        <row r="32">
          <cell r="A32">
            <v>7</v>
          </cell>
          <cell r="B32">
            <v>10</v>
          </cell>
          <cell r="C32" t="str">
            <v>RSVA - Global Adjustment 4</v>
          </cell>
          <cell r="D32">
            <v>1589</v>
          </cell>
          <cell r="E32">
            <v>81084945.187807471</v>
          </cell>
          <cell r="F32">
            <v>56920193.873523325</v>
          </cell>
          <cell r="G32">
            <v>94368615.590372935</v>
          </cell>
          <cell r="H32"/>
          <cell r="I32">
            <v>43636523.47095786</v>
          </cell>
          <cell r="J32">
            <v>4942712.4797376487</v>
          </cell>
          <cell r="K32">
            <v>274057.45635962492</v>
          </cell>
          <cell r="L32">
            <v>4812604.2228053827</v>
          </cell>
          <cell r="M32"/>
          <cell r="N32">
            <v>404165.71329189092</v>
          </cell>
          <cell r="O32">
            <v>43636523.47095786</v>
          </cell>
          <cell r="P32">
            <v>-23898524.263523288</v>
          </cell>
          <cell r="Q32">
            <v>-13283671.27407369</v>
          </cell>
          <cell r="R32">
            <v>-50366169.329999998</v>
          </cell>
          <cell r="S32">
            <v>-17344498.848491736</v>
          </cell>
          <cell r="T32">
            <v>404165.71329189092</v>
          </cell>
          <cell r="U32">
            <v>274389.79210044688</v>
          </cell>
          <cell r="V32">
            <v>57211</v>
          </cell>
          <cell r="W32">
            <v>-127587</v>
          </cell>
          <cell r="X32">
            <v>493757.5053923378</v>
          </cell>
          <cell r="Y32">
            <v>-17344498.848491736</v>
          </cell>
          <cell r="Z32">
            <v>8529428.2015040368</v>
          </cell>
          <cell r="AA32">
            <v>6554024.54</v>
          </cell>
          <cell r="AB32">
            <v>10097235.810689449</v>
          </cell>
          <cell r="AC32">
            <v>-5271859.3762982488</v>
          </cell>
          <cell r="AD32">
            <v>493757.5053923378</v>
          </cell>
          <cell r="AE32">
            <v>136360.50407909352</v>
          </cell>
          <cell r="AF32">
            <v>341438</v>
          </cell>
          <cell r="AG32"/>
          <cell r="AH32">
            <v>288680.00947143137</v>
          </cell>
          <cell r="AI32">
            <v>-5271859.3762982488</v>
          </cell>
          <cell r="AJ32">
            <v>10649938.070000006</v>
          </cell>
          <cell r="AK32">
            <v>-23898523.390000001</v>
          </cell>
          <cell r="AL32">
            <v>-12259094.529281616</v>
          </cell>
          <cell r="AM32">
            <v>17017507.554420143</v>
          </cell>
          <cell r="AN32">
            <v>288680.00947143137</v>
          </cell>
          <cell r="AO32">
            <v>356177.99008652871</v>
          </cell>
          <cell r="AP32">
            <v>-471631.13</v>
          </cell>
          <cell r="AQ32"/>
          <cell r="AR32">
            <v>1116489.1295579602</v>
          </cell>
          <cell r="AS32">
            <v>17017507.554420143</v>
          </cell>
          <cell r="AT32">
            <v>-16614609.520000033</v>
          </cell>
          <cell r="AU32">
            <v>18626664.010000002</v>
          </cell>
          <cell r="AV32">
            <v>368713.57101094723</v>
          </cell>
          <cell r="AW32">
            <v>-17855052.404568944</v>
          </cell>
          <cell r="AX32">
            <v>1116489.1295579602</v>
          </cell>
          <cell r="AY32">
            <v>-54970.93972256827</v>
          </cell>
          <cell r="AZ32">
            <v>929596.46</v>
          </cell>
          <cell r="BA32"/>
          <cell r="BB32">
            <v>131921.72983539198</v>
          </cell>
          <cell r="BC32">
            <v>-17855052.404568944</v>
          </cell>
          <cell r="BD32">
            <v>-3942240.4100000188</v>
          </cell>
          <cell r="BE32"/>
          <cell r="BF32">
            <v>-3461256.9808706669</v>
          </cell>
          <cell r="BG32">
            <v>-25258549.795439631</v>
          </cell>
          <cell r="BH32">
            <v>131921.72983539198</v>
          </cell>
          <cell r="BI32">
            <v>-384596.11208813754</v>
          </cell>
          <cell r="BJ32"/>
          <cell r="BK32"/>
          <cell r="BL32">
            <v>-252674.38225274556</v>
          </cell>
          <cell r="BM32">
            <v>-25258549.795439631</v>
          </cell>
          <cell r="BN32">
            <v>6714087.8900000043</v>
          </cell>
          <cell r="BO32">
            <v>-17855052.399999999</v>
          </cell>
          <cell r="BP32">
            <v>8311651.9811402559</v>
          </cell>
          <cell r="BQ32">
            <v>7622242.475700628</v>
          </cell>
          <cell r="BR32">
            <v>-252674.38225274556</v>
          </cell>
          <cell r="BS32">
            <v>976282.8961326225</v>
          </cell>
          <cell r="BT32">
            <v>-135457.69</v>
          </cell>
          <cell r="BU32"/>
          <cell r="BV32">
            <v>859066.20387987699</v>
          </cell>
          <cell r="BW32"/>
          <cell r="BX32"/>
          <cell r="BY32">
            <v>7622242.475700628</v>
          </cell>
          <cell r="BZ32">
            <v>859066.20387987699</v>
          </cell>
          <cell r="CA32">
            <v>13567.910911551673</v>
          </cell>
          <cell r="CB32"/>
          <cell r="CC32">
            <v>872634.11479142867</v>
          </cell>
          <cell r="CD32">
            <v>8494876.5904920567</v>
          </cell>
          <cell r="CE32" t="str">
            <v>Yes</v>
          </cell>
          <cell r="CF32">
            <v>5424059</v>
          </cell>
          <cell r="CG32">
            <v>-3057249.6795805059</v>
          </cell>
        </row>
        <row r="33">
          <cell r="A33">
            <v>8</v>
          </cell>
          <cell r="B33">
            <v>11</v>
          </cell>
          <cell r="C33" t="str">
            <v>Disposition and Recovery/Refund of Regulatory Balances (2009)7</v>
          </cell>
          <cell r="D33">
            <v>1595</v>
          </cell>
          <cell r="E33"/>
          <cell r="F33"/>
          <cell r="G33"/>
          <cell r="H33"/>
          <cell r="I33">
            <v>0</v>
          </cell>
          <cell r="J33"/>
          <cell r="K33"/>
          <cell r="L33"/>
          <cell r="M33"/>
          <cell r="N33">
            <v>0</v>
          </cell>
          <cell r="O33">
            <v>0</v>
          </cell>
          <cell r="P33"/>
          <cell r="Q33"/>
          <cell r="R33"/>
          <cell r="S33">
            <v>0</v>
          </cell>
          <cell r="T33">
            <v>0</v>
          </cell>
          <cell r="U33"/>
          <cell r="V33"/>
          <cell r="W33"/>
          <cell r="X33">
            <v>0</v>
          </cell>
          <cell r="Y33">
            <v>0</v>
          </cell>
          <cell r="Z33"/>
          <cell r="AA33"/>
          <cell r="AB33"/>
          <cell r="AC33">
            <v>0</v>
          </cell>
          <cell r="AD33">
            <v>0</v>
          </cell>
          <cell r="AE33"/>
          <cell r="AF33"/>
          <cell r="AG33"/>
          <cell r="AH33">
            <v>0</v>
          </cell>
          <cell r="AI33">
            <v>0</v>
          </cell>
          <cell r="AJ33"/>
          <cell r="AK33"/>
          <cell r="AL33"/>
          <cell r="AM33">
            <v>0</v>
          </cell>
          <cell r="AN33">
            <v>0</v>
          </cell>
          <cell r="AO33"/>
          <cell r="AP33"/>
          <cell r="AQ33"/>
          <cell r="AR33">
            <v>0</v>
          </cell>
          <cell r="AS33">
            <v>0</v>
          </cell>
          <cell r="AT33"/>
          <cell r="AU33"/>
          <cell r="AV33"/>
          <cell r="AW33">
            <v>0</v>
          </cell>
          <cell r="AX33">
            <v>0</v>
          </cell>
          <cell r="AY33"/>
          <cell r="AZ33"/>
          <cell r="BA33"/>
          <cell r="BB33">
            <v>0</v>
          </cell>
          <cell r="BC33">
            <v>0</v>
          </cell>
          <cell r="BD33"/>
          <cell r="BE33"/>
          <cell r="BF33"/>
          <cell r="BG33">
            <v>0</v>
          </cell>
          <cell r="BH33">
            <v>0</v>
          </cell>
          <cell r="BI33"/>
          <cell r="BJ33"/>
          <cell r="BK33"/>
          <cell r="BL33">
            <v>0</v>
          </cell>
          <cell r="BM33">
            <v>0</v>
          </cell>
          <cell r="BN33"/>
          <cell r="BO33"/>
          <cell r="BP33"/>
          <cell r="BQ33">
            <v>0</v>
          </cell>
          <cell r="BR33">
            <v>0</v>
          </cell>
          <cell r="BS33"/>
          <cell r="BT33"/>
          <cell r="BU33"/>
          <cell r="BV33">
            <v>0</v>
          </cell>
          <cell r="BW33"/>
          <cell r="BX33"/>
          <cell r="BY33">
            <v>0</v>
          </cell>
          <cell r="BZ33">
            <v>0</v>
          </cell>
          <cell r="CA33"/>
          <cell r="CB33"/>
          <cell r="CC33">
            <v>0</v>
          </cell>
          <cell r="CD33">
            <v>0</v>
          </cell>
          <cell r="CE33"/>
          <cell r="CF33">
            <v>0</v>
          </cell>
          <cell r="CG33">
            <v>0</v>
          </cell>
        </row>
        <row r="34">
          <cell r="A34">
            <v>9</v>
          </cell>
          <cell r="B34">
            <v>12</v>
          </cell>
          <cell r="C34" t="str">
            <v>Disposition and Recovery/Refund of Regulatory Balances (2017 and pre-2017)3</v>
          </cell>
          <cell r="D34">
            <v>1595</v>
          </cell>
          <cell r="E34">
            <v>53445012.408352517</v>
          </cell>
          <cell r="F34">
            <v>-11037516.835210837</v>
          </cell>
          <cell r="G34">
            <v>95890</v>
          </cell>
          <cell r="H34"/>
          <cell r="I34">
            <v>42311605.573141679</v>
          </cell>
          <cell r="J34">
            <v>-100312.63692866238</v>
          </cell>
          <cell r="K34">
            <v>123347.37845358496</v>
          </cell>
          <cell r="L34">
            <v>-53433</v>
          </cell>
          <cell r="M34">
            <v>-184466.37839828493</v>
          </cell>
          <cell r="N34">
            <v>-107998.63687336235</v>
          </cell>
          <cell r="O34">
            <v>42311605.573141679</v>
          </cell>
          <cell r="P34">
            <v>-17583427.998502463</v>
          </cell>
          <cell r="Q34"/>
          <cell r="R34"/>
          <cell r="S34">
            <v>24728177.574639216</v>
          </cell>
          <cell r="T34">
            <v>-107998.63687336235</v>
          </cell>
          <cell r="U34">
            <v>-126193.63107888009</v>
          </cell>
          <cell r="V34"/>
          <cell r="W34"/>
          <cell r="X34">
            <v>-234192.26795224246</v>
          </cell>
          <cell r="Y34">
            <v>24728177.574639216</v>
          </cell>
          <cell r="Z34">
            <v>-21786516.684192095</v>
          </cell>
          <cell r="AA34"/>
          <cell r="AB34"/>
          <cell r="AC34">
            <v>2941660.8904471211</v>
          </cell>
          <cell r="AD34">
            <v>-234192.26795224246</v>
          </cell>
          <cell r="AE34">
            <v>-49608.302524491635</v>
          </cell>
          <cell r="AF34"/>
          <cell r="AG34"/>
          <cell r="AH34">
            <v>-283800.57047673408</v>
          </cell>
          <cell r="AI34">
            <v>2941660.8904471211</v>
          </cell>
          <cell r="AJ34">
            <v>-1601617.8512565775</v>
          </cell>
          <cell r="AK34"/>
          <cell r="AL34"/>
          <cell r="AM34">
            <v>1340043.0391905436</v>
          </cell>
          <cell r="AN34">
            <v>-283800.57047673408</v>
          </cell>
          <cell r="AO34">
            <v>-30142.153010000373</v>
          </cell>
          <cell r="AP34"/>
          <cell r="AQ34"/>
          <cell r="AR34">
            <v>-313942.72348673444</v>
          </cell>
          <cell r="AS34">
            <v>1340043.0391905436</v>
          </cell>
          <cell r="AT34">
            <v>-148123.20168872806</v>
          </cell>
          <cell r="AU34"/>
          <cell r="AV34"/>
          <cell r="AW34">
            <v>1191919.8375018155</v>
          </cell>
          <cell r="AX34">
            <v>-313942.72348673444</v>
          </cell>
          <cell r="AY34">
            <v>-33963.964041323925</v>
          </cell>
          <cell r="AZ34"/>
          <cell r="BA34"/>
          <cell r="BB34">
            <v>-347906.68752805836</v>
          </cell>
          <cell r="BC34">
            <v>1191919.8375018155</v>
          </cell>
          <cell r="BD34">
            <v>47.389999999999965</v>
          </cell>
          <cell r="BE34"/>
          <cell r="BF34">
            <v>-538765.79249450704</v>
          </cell>
          <cell r="BG34">
            <v>653201.43500730838</v>
          </cell>
          <cell r="BH34">
            <v>-347906.68752805836</v>
          </cell>
          <cell r="BI34">
            <v>-2430.2926099166725</v>
          </cell>
          <cell r="BJ34"/>
          <cell r="BK34">
            <v>538765.79249450704</v>
          </cell>
          <cell r="BL34">
            <v>188428.81235653203</v>
          </cell>
          <cell r="BM34">
            <v>653201.43500730838</v>
          </cell>
          <cell r="BN34">
            <v>-47.389999999999972</v>
          </cell>
          <cell r="BO34">
            <v>1191919.8508470578</v>
          </cell>
          <cell r="BP34">
            <v>538765.79249450704</v>
          </cell>
          <cell r="BQ34">
            <v>-1.3345242361538112E-2</v>
          </cell>
          <cell r="BR34">
            <v>188428.81235653203</v>
          </cell>
          <cell r="BS34">
            <v>2430.2926099166843</v>
          </cell>
          <cell r="BT34">
            <v>-347906.67605409154</v>
          </cell>
          <cell r="BU34">
            <v>-538765.79249450704</v>
          </cell>
          <cell r="BV34">
            <v>-1.1473966762423515E-2</v>
          </cell>
          <cell r="BW34"/>
          <cell r="BX34"/>
          <cell r="BY34">
            <v>-1.3345242361538112E-2</v>
          </cell>
          <cell r="BZ34">
            <v>-1.1473966762423515E-2</v>
          </cell>
          <cell r="CA34"/>
          <cell r="CB34"/>
          <cell r="CC34">
            <v>-1.1473966762423515E-2</v>
          </cell>
          <cell r="CD34">
            <v>0</v>
          </cell>
          <cell r="CE34" t="str">
            <v>No</v>
          </cell>
          <cell r="CF34">
            <v>0</v>
          </cell>
          <cell r="CG34">
            <v>2.4819209123961627E-2</v>
          </cell>
        </row>
        <row r="35">
          <cell r="A35">
            <v>10</v>
          </cell>
          <cell r="B35">
            <v>13</v>
          </cell>
          <cell r="C35" t="str">
            <v>Disposition and Recovery/Refund of Regulatory Balances (2018)3</v>
          </cell>
          <cell r="D35">
            <v>1595</v>
          </cell>
          <cell r="E35"/>
          <cell r="F35"/>
          <cell r="G35"/>
          <cell r="H35"/>
          <cell r="I35">
            <v>0</v>
          </cell>
          <cell r="J35"/>
          <cell r="K35"/>
          <cell r="L35"/>
          <cell r="M35"/>
          <cell r="N35">
            <v>0</v>
          </cell>
          <cell r="O35">
            <v>0</v>
          </cell>
          <cell r="P35">
            <v>77183859.693830907</v>
          </cell>
          <cell r="Q35">
            <v>82293661</v>
          </cell>
          <cell r="R35"/>
          <cell r="S35">
            <v>-5109801.3061690927</v>
          </cell>
          <cell r="T35">
            <v>0</v>
          </cell>
          <cell r="U35">
            <v>-833590.66334518814</v>
          </cell>
          <cell r="V35">
            <v>1116820</v>
          </cell>
          <cell r="W35"/>
          <cell r="X35">
            <v>-1950410.6633451881</v>
          </cell>
          <cell r="Y35">
            <v>-5109801.3061690927</v>
          </cell>
          <cell r="Z35">
            <v>5866558.9027808569</v>
          </cell>
          <cell r="AA35"/>
          <cell r="AB35"/>
          <cell r="AC35">
            <v>756757.59661176428</v>
          </cell>
          <cell r="AD35">
            <v>-1950410.6633451881</v>
          </cell>
          <cell r="AE35">
            <v>5229.6394564245029</v>
          </cell>
          <cell r="AF35"/>
          <cell r="AG35"/>
          <cell r="AH35">
            <v>-1945181.0238887637</v>
          </cell>
          <cell r="AI35">
            <v>756757.59661176428</v>
          </cell>
          <cell r="AJ35">
            <v>242567.29109738726</v>
          </cell>
          <cell r="AK35"/>
          <cell r="AL35"/>
          <cell r="AM35">
            <v>999324.88770915149</v>
          </cell>
          <cell r="AN35">
            <v>-1945181.0238887637</v>
          </cell>
          <cell r="AO35">
            <v>12592.018580286265</v>
          </cell>
          <cell r="AP35"/>
          <cell r="AQ35"/>
          <cell r="AR35">
            <v>-1932589.0053084774</v>
          </cell>
          <cell r="AS35">
            <v>999324.88770915149</v>
          </cell>
          <cell r="AT35">
            <v>-450.62080084325549</v>
          </cell>
          <cell r="AU35"/>
          <cell r="AV35"/>
          <cell r="AW35">
            <v>998874.26690830826</v>
          </cell>
          <cell r="AX35">
            <v>-1932589.0053084774</v>
          </cell>
          <cell r="AY35">
            <v>5892.1495660746778</v>
          </cell>
          <cell r="AZ35"/>
          <cell r="BA35"/>
          <cell r="BB35">
            <v>-1926696.8557424028</v>
          </cell>
          <cell r="BC35">
            <v>998874.26690830826</v>
          </cell>
          <cell r="BD35">
            <v>-169.41044730142804</v>
          </cell>
          <cell r="BE35"/>
          <cell r="BF35">
            <v>121812</v>
          </cell>
          <cell r="BG35">
            <v>1120516.8564610067</v>
          </cell>
          <cell r="BH35">
            <v>-1926696.8557424028</v>
          </cell>
          <cell r="BI35">
            <v>19780.110660792601</v>
          </cell>
          <cell r="BJ35"/>
          <cell r="BK35">
            <v>-121812</v>
          </cell>
          <cell r="BL35">
            <v>-2028728.7450816103</v>
          </cell>
          <cell r="BM35">
            <v>1120516.8564610067</v>
          </cell>
          <cell r="BN35">
            <v>169.41044730142801</v>
          </cell>
          <cell r="BO35">
            <v>998874.26690830826</v>
          </cell>
          <cell r="BP35">
            <v>-121812</v>
          </cell>
          <cell r="BQ35">
            <v>-2.3283064365386963E-10</v>
          </cell>
          <cell r="BR35">
            <v>-2028728.7450816103</v>
          </cell>
          <cell r="BS35">
            <v>-19780.110660792605</v>
          </cell>
          <cell r="BT35">
            <v>-1926696.8557424028</v>
          </cell>
          <cell r="BU35">
            <v>121812</v>
          </cell>
          <cell r="BV35">
            <v>0</v>
          </cell>
          <cell r="BW35"/>
          <cell r="BX35"/>
          <cell r="BY35">
            <v>-2.3283064365386963E-10</v>
          </cell>
          <cell r="BZ35">
            <v>0</v>
          </cell>
          <cell r="CA35"/>
          <cell r="CB35"/>
          <cell r="CC35">
            <v>0</v>
          </cell>
          <cell r="CD35">
            <v>0</v>
          </cell>
          <cell r="CE35" t="str">
            <v>No</v>
          </cell>
          <cell r="CF35">
            <v>0</v>
          </cell>
          <cell r="CG35">
            <v>2.3283064365386963E-10</v>
          </cell>
        </row>
        <row r="36">
          <cell r="A36">
            <v>11</v>
          </cell>
          <cell r="B36">
            <v>14</v>
          </cell>
          <cell r="C36" t="str">
            <v>Disposition and Recovery/Refund of Regulatory Balances (2019)3</v>
          </cell>
          <cell r="D36">
            <v>1595</v>
          </cell>
          <cell r="E36"/>
          <cell r="F36"/>
          <cell r="G36"/>
          <cell r="H36"/>
          <cell r="I36">
            <v>0</v>
          </cell>
          <cell r="J36"/>
          <cell r="K36"/>
          <cell r="L36"/>
          <cell r="M36"/>
          <cell r="N36">
            <v>0</v>
          </cell>
          <cell r="O36">
            <v>0</v>
          </cell>
          <cell r="P36"/>
          <cell r="Q36"/>
          <cell r="R36"/>
          <cell r="S36">
            <v>0</v>
          </cell>
          <cell r="T36">
            <v>0</v>
          </cell>
          <cell r="U36"/>
          <cell r="V36"/>
          <cell r="W36"/>
          <cell r="X36">
            <v>0</v>
          </cell>
          <cell r="Y36">
            <v>0</v>
          </cell>
          <cell r="Z36">
            <v>-7849164.3386699203</v>
          </cell>
          <cell r="AA36">
            <v>-7413269</v>
          </cell>
          <cell r="AB36"/>
          <cell r="AC36">
            <v>-435895.33866992034</v>
          </cell>
          <cell r="AD36">
            <v>0</v>
          </cell>
          <cell r="AE36">
            <v>-67869.146416420772</v>
          </cell>
          <cell r="AF36">
            <v>-423087</v>
          </cell>
          <cell r="AG36"/>
          <cell r="AH36">
            <v>355217.85358357924</v>
          </cell>
          <cell r="AI36">
            <v>-435895.33866992034</v>
          </cell>
          <cell r="AJ36">
            <v>-529885.9500849226</v>
          </cell>
          <cell r="AK36"/>
          <cell r="AL36"/>
          <cell r="AM36">
            <v>-965781.28875484294</v>
          </cell>
          <cell r="AN36">
            <v>355217.85358357924</v>
          </cell>
          <cell r="AO36">
            <v>-9432.3468549499303</v>
          </cell>
          <cell r="AP36"/>
          <cell r="AQ36"/>
          <cell r="AR36">
            <v>345785.50672862929</v>
          </cell>
          <cell r="AS36">
            <v>-965781.28875484294</v>
          </cell>
          <cell r="AT36">
            <v>-366.14369752038215</v>
          </cell>
          <cell r="AU36"/>
          <cell r="AV36"/>
          <cell r="AW36">
            <v>-966147.43245236331</v>
          </cell>
          <cell r="AX36">
            <v>345785.50672862929</v>
          </cell>
          <cell r="AY36">
            <v>-3272.7226099510935</v>
          </cell>
          <cell r="AZ36"/>
          <cell r="BA36"/>
          <cell r="BB36">
            <v>342512.78411867819</v>
          </cell>
          <cell r="BC36">
            <v>-966147.43245236331</v>
          </cell>
          <cell r="BD36">
            <v>-322.33109519515972</v>
          </cell>
          <cell r="BE36"/>
          <cell r="BF36"/>
          <cell r="BG36">
            <v>-966469.76354755845</v>
          </cell>
          <cell r="BH36">
            <v>342512.78411867819</v>
          </cell>
          <cell r="BI36">
            <v>-10996.769271880185</v>
          </cell>
          <cell r="BJ36"/>
          <cell r="BK36"/>
          <cell r="BL36">
            <v>331516.01484679803</v>
          </cell>
          <cell r="BM36">
            <v>-966469.76354755845</v>
          </cell>
          <cell r="BN36">
            <v>322.33109519515972</v>
          </cell>
          <cell r="BO36">
            <v>-966147.43245236331</v>
          </cell>
          <cell r="BP36"/>
          <cell r="BQ36">
            <v>0</v>
          </cell>
          <cell r="BR36">
            <v>331516.01484679803</v>
          </cell>
          <cell r="BS36">
            <v>10996.769271880181</v>
          </cell>
          <cell r="BT36">
            <v>342512.78411867819</v>
          </cell>
          <cell r="BU36"/>
          <cell r="BV36">
            <v>0</v>
          </cell>
          <cell r="BW36"/>
          <cell r="BX36"/>
          <cell r="BY36">
            <v>0</v>
          </cell>
          <cell r="BZ36">
            <v>0</v>
          </cell>
          <cell r="CA36"/>
          <cell r="CB36"/>
          <cell r="CC36">
            <v>0</v>
          </cell>
          <cell r="CD36">
            <v>0</v>
          </cell>
          <cell r="CE36" t="str">
            <v>No</v>
          </cell>
          <cell r="CF36">
            <v>0</v>
          </cell>
          <cell r="CG36">
            <v>0</v>
          </cell>
        </row>
        <row r="37">
          <cell r="A37">
            <v>12</v>
          </cell>
          <cell r="B37">
            <v>15</v>
          </cell>
          <cell r="C37" t="str">
            <v>Disposition and Recovery/Refund of Regulatory Balances (2020)3</v>
          </cell>
          <cell r="D37">
            <v>1595</v>
          </cell>
          <cell r="E37"/>
          <cell r="F37"/>
          <cell r="G37"/>
          <cell r="H37"/>
          <cell r="I37">
            <v>0</v>
          </cell>
          <cell r="J37"/>
          <cell r="K37"/>
          <cell r="L37"/>
          <cell r="M37"/>
          <cell r="N37">
            <v>0</v>
          </cell>
          <cell r="O37">
            <v>0</v>
          </cell>
          <cell r="P37"/>
          <cell r="Q37"/>
          <cell r="R37"/>
          <cell r="S37">
            <v>0</v>
          </cell>
          <cell r="T37">
            <v>0</v>
          </cell>
          <cell r="U37"/>
          <cell r="V37"/>
          <cell r="W37"/>
          <cell r="X37">
            <v>0</v>
          </cell>
          <cell r="Y37">
            <v>0</v>
          </cell>
          <cell r="Z37"/>
          <cell r="AA37"/>
          <cell r="AB37"/>
          <cell r="AC37">
            <v>0</v>
          </cell>
          <cell r="AD37">
            <v>0</v>
          </cell>
          <cell r="AE37"/>
          <cell r="AF37"/>
          <cell r="AG37"/>
          <cell r="AH37">
            <v>0</v>
          </cell>
          <cell r="AI37">
            <v>0</v>
          </cell>
          <cell r="AJ37">
            <v>25890096.36328746</v>
          </cell>
          <cell r="AK37">
            <v>70380410.352973074</v>
          </cell>
          <cell r="AL37"/>
          <cell r="AM37">
            <v>-44490313.98968561</v>
          </cell>
          <cell r="AN37">
            <v>0</v>
          </cell>
          <cell r="AO37">
            <v>-742533.23945787072</v>
          </cell>
          <cell r="AP37">
            <v>1975065.3908565242</v>
          </cell>
          <cell r="AQ37"/>
          <cell r="AR37">
            <v>-2717598.6303143948</v>
          </cell>
          <cell r="AS37">
            <v>-44490313.98968561</v>
          </cell>
          <cell r="AT37">
            <v>45648966.474132769</v>
          </cell>
          <cell r="AU37"/>
          <cell r="AV37"/>
          <cell r="AW37">
            <v>1158652.4844471589</v>
          </cell>
          <cell r="AX37">
            <v>-2717598.6303143948</v>
          </cell>
          <cell r="AY37">
            <v>-135972.33430722356</v>
          </cell>
          <cell r="AZ37"/>
          <cell r="BA37"/>
          <cell r="BB37">
            <v>-2853570.9646216184</v>
          </cell>
          <cell r="BC37">
            <v>1158652.4844471589</v>
          </cell>
          <cell r="BD37">
            <v>-421081.86584577529</v>
          </cell>
          <cell r="BE37"/>
          <cell r="BF37">
            <v>-1401834.7257008387</v>
          </cell>
          <cell r="BG37">
            <v>-664264.10709945508</v>
          </cell>
          <cell r="BH37">
            <v>-2853570.9646216184</v>
          </cell>
          <cell r="BI37">
            <v>33673.021575023209</v>
          </cell>
          <cell r="BJ37"/>
          <cell r="BK37">
            <v>2265983.2492866726</v>
          </cell>
          <cell r="BL37">
            <v>-553914.6937599224</v>
          </cell>
          <cell r="BM37">
            <v>-664264.10709945508</v>
          </cell>
          <cell r="BN37">
            <v>-251680.26043402191</v>
          </cell>
          <cell r="BO37"/>
          <cell r="BP37">
            <v>-1773961.7802500352</v>
          </cell>
          <cell r="BQ37">
            <v>-2689906.1477835122</v>
          </cell>
          <cell r="BR37">
            <v>-553914.6937599224</v>
          </cell>
          <cell r="BS37">
            <v>-71384.528979232127</v>
          </cell>
          <cell r="BT37"/>
          <cell r="BU37">
            <v>-173914.38299375027</v>
          </cell>
          <cell r="BV37">
            <v>-799213.60573290475</v>
          </cell>
          <cell r="BW37"/>
          <cell r="BX37"/>
          <cell r="BY37">
            <v>-2689906.1477835122</v>
          </cell>
          <cell r="BZ37">
            <v>-799213.60573290475</v>
          </cell>
          <cell r="CA37"/>
          <cell r="CB37"/>
          <cell r="CC37">
            <v>-799213.60573290475</v>
          </cell>
          <cell r="CD37">
            <v>0</v>
          </cell>
          <cell r="CE37" t="str">
            <v>No</v>
          </cell>
          <cell r="CF37">
            <v>-3489113</v>
          </cell>
          <cell r="CG37">
            <v>6.7535164169967175</v>
          </cell>
        </row>
        <row r="38">
          <cell r="A38">
            <v>13</v>
          </cell>
          <cell r="B38">
            <v>16</v>
          </cell>
          <cell r="C38" t="str">
            <v>Disposition and Recovery/Refund of Regulatory Balances (2021)3</v>
          </cell>
          <cell r="D38">
            <v>1595</v>
          </cell>
          <cell r="E38"/>
          <cell r="F38"/>
          <cell r="G38"/>
          <cell r="H38"/>
          <cell r="I38">
            <v>0</v>
          </cell>
          <cell r="J38"/>
          <cell r="K38"/>
          <cell r="L38"/>
          <cell r="M38"/>
          <cell r="N38">
            <v>0</v>
          </cell>
          <cell r="O38">
            <v>0</v>
          </cell>
          <cell r="P38"/>
          <cell r="Q38"/>
          <cell r="R38"/>
          <cell r="S38">
            <v>0</v>
          </cell>
          <cell r="T38">
            <v>0</v>
          </cell>
          <cell r="U38"/>
          <cell r="V38"/>
          <cell r="W38"/>
          <cell r="X38">
            <v>0</v>
          </cell>
          <cell r="Y38">
            <v>0</v>
          </cell>
          <cell r="Z38"/>
          <cell r="AA38"/>
          <cell r="AB38"/>
          <cell r="AC38">
            <v>0</v>
          </cell>
          <cell r="AD38">
            <v>0</v>
          </cell>
          <cell r="AE38"/>
          <cell r="AF38"/>
          <cell r="AG38"/>
          <cell r="AH38">
            <v>0</v>
          </cell>
          <cell r="AI38">
            <v>0</v>
          </cell>
          <cell r="AJ38"/>
          <cell r="AK38"/>
          <cell r="AL38"/>
          <cell r="AM38">
            <v>0</v>
          </cell>
          <cell r="AN38">
            <v>0</v>
          </cell>
          <cell r="AO38"/>
          <cell r="AP38"/>
          <cell r="AQ38"/>
          <cell r="AR38">
            <v>0</v>
          </cell>
          <cell r="AS38">
            <v>0</v>
          </cell>
          <cell r="AT38">
            <v>-47443445.987087108</v>
          </cell>
          <cell r="AU38">
            <v>-43217479.884977572</v>
          </cell>
          <cell r="AV38"/>
          <cell r="AW38">
            <v>-4225966.1021095365</v>
          </cell>
          <cell r="AX38">
            <v>0</v>
          </cell>
          <cell r="AY38">
            <v>-68131.733550012141</v>
          </cell>
          <cell r="AZ38">
            <v>36115.51011903584</v>
          </cell>
          <cell r="BA38"/>
          <cell r="BB38">
            <v>-104247.24366904798</v>
          </cell>
          <cell r="BC38">
            <v>-4225966.1021095365</v>
          </cell>
          <cell r="BD38">
            <v>-480828.14683241257</v>
          </cell>
          <cell r="BE38"/>
          <cell r="BF38">
            <v>-373200.57954730577</v>
          </cell>
          <cell r="BG38">
            <v>-5079994.8284892542</v>
          </cell>
          <cell r="BH38">
            <v>-104247.24366904798</v>
          </cell>
          <cell r="BI38">
            <v>-148121.9560145617</v>
          </cell>
          <cell r="BJ38"/>
          <cell r="BK38">
            <v>355333.94562652434</v>
          </cell>
          <cell r="BL38">
            <v>102964.74594291465</v>
          </cell>
          <cell r="BM38">
            <v>-5079994.8284892542</v>
          </cell>
          <cell r="BN38">
            <v>3693130.9763197666</v>
          </cell>
          <cell r="BO38"/>
          <cell r="BP38">
            <v>390103.77999999945</v>
          </cell>
          <cell r="BQ38">
            <v>-996760.07216948818</v>
          </cell>
          <cell r="BR38">
            <v>102964.74594291465</v>
          </cell>
          <cell r="BS38">
            <v>-210039.45411288246</v>
          </cell>
          <cell r="BT38"/>
          <cell r="BU38">
            <v>-203684.66925474996</v>
          </cell>
          <cell r="BV38">
            <v>-310759.37742471776</v>
          </cell>
          <cell r="BW38"/>
          <cell r="BX38"/>
          <cell r="BY38">
            <v>-996760.07216948818</v>
          </cell>
          <cell r="BZ38">
            <v>-310759.37742471776</v>
          </cell>
          <cell r="CA38"/>
          <cell r="CB38"/>
          <cell r="CC38">
            <v>-310759.37742471776</v>
          </cell>
          <cell r="CD38">
            <v>0</v>
          </cell>
          <cell r="CE38" t="str">
            <v>No</v>
          </cell>
          <cell r="CF38">
            <v>-1307522.1795798568</v>
          </cell>
          <cell r="CG38">
            <v>-2.7299856508616358</v>
          </cell>
        </row>
        <row r="39">
          <cell r="A39">
            <v>14</v>
          </cell>
          <cell r="B39">
            <v>17</v>
          </cell>
          <cell r="C39" t="str">
            <v>Disposition and Recovery/Refund of Regulatory Balances (2022)3</v>
          </cell>
          <cell r="D39">
            <v>1595</v>
          </cell>
          <cell r="E39"/>
          <cell r="F39"/>
          <cell r="G39"/>
          <cell r="H39"/>
          <cell r="I39">
            <v>0</v>
          </cell>
          <cell r="J39"/>
          <cell r="K39"/>
          <cell r="L39"/>
          <cell r="M39"/>
          <cell r="N39">
            <v>0</v>
          </cell>
          <cell r="O39">
            <v>0</v>
          </cell>
          <cell r="P39"/>
          <cell r="Q39"/>
          <cell r="R39"/>
          <cell r="S39">
            <v>0</v>
          </cell>
          <cell r="T39">
            <v>0</v>
          </cell>
          <cell r="U39"/>
          <cell r="V39"/>
          <cell r="W39"/>
          <cell r="X39">
            <v>0</v>
          </cell>
          <cell r="Y39">
            <v>0</v>
          </cell>
          <cell r="Z39"/>
          <cell r="AA39"/>
          <cell r="AB39"/>
          <cell r="AC39">
            <v>0</v>
          </cell>
          <cell r="AD39">
            <v>0</v>
          </cell>
          <cell r="AE39"/>
          <cell r="AF39"/>
          <cell r="AG39"/>
          <cell r="AH39">
            <v>0</v>
          </cell>
          <cell r="AI39">
            <v>0</v>
          </cell>
          <cell r="AJ39"/>
          <cell r="AK39"/>
          <cell r="AL39"/>
          <cell r="AM39">
            <v>0</v>
          </cell>
          <cell r="AN39">
            <v>0</v>
          </cell>
          <cell r="AO39"/>
          <cell r="AP39"/>
          <cell r="AQ39"/>
          <cell r="AR39">
            <v>0</v>
          </cell>
          <cell r="AS39">
            <v>0</v>
          </cell>
          <cell r="AT39"/>
          <cell r="AU39"/>
          <cell r="AV39"/>
          <cell r="AW39">
            <v>0</v>
          </cell>
          <cell r="AX39">
            <v>0</v>
          </cell>
          <cell r="AY39"/>
          <cell r="AZ39"/>
          <cell r="BA39"/>
          <cell r="BB39">
            <v>0</v>
          </cell>
          <cell r="BC39">
            <v>0</v>
          </cell>
          <cell r="BD39">
            <v>31169512.060000002</v>
          </cell>
          <cell r="BE39">
            <v>31422955.32</v>
          </cell>
          <cell r="BF39"/>
          <cell r="BG39">
            <v>-253443.25999999791</v>
          </cell>
          <cell r="BH39">
            <v>0</v>
          </cell>
          <cell r="BI39">
            <v>-220011.7946323792</v>
          </cell>
          <cell r="BJ39">
            <v>1993945.3096311707</v>
          </cell>
          <cell r="BK39"/>
          <cell r="BL39">
            <v>-2213957.1042635497</v>
          </cell>
          <cell r="BM39">
            <v>-253443.25999999791</v>
          </cell>
          <cell r="BN39">
            <v>2375403.3700000006</v>
          </cell>
          <cell r="BO39"/>
          <cell r="BP39">
            <v>0</v>
          </cell>
          <cell r="BQ39">
            <v>2121960.1100000027</v>
          </cell>
          <cell r="BR39">
            <v>-2213957.1042635497</v>
          </cell>
          <cell r="BS39">
            <v>135059.53961510726</v>
          </cell>
          <cell r="BT39"/>
          <cell r="BU39">
            <v>0</v>
          </cell>
          <cell r="BV39">
            <v>-2078897.5646484424</v>
          </cell>
          <cell r="BW39"/>
          <cell r="BX39"/>
          <cell r="BY39">
            <v>2121960.1100000027</v>
          </cell>
          <cell r="BZ39">
            <v>-2078897.5646484424</v>
          </cell>
          <cell r="CA39"/>
          <cell r="CB39"/>
          <cell r="CC39">
            <v>-2078897.5646484424</v>
          </cell>
          <cell r="CD39">
            <v>0</v>
          </cell>
          <cell r="CE39" t="str">
            <v>No</v>
          </cell>
          <cell r="CF39">
            <v>43062</v>
          </cell>
          <cell r="CG39">
            <v>-0.54535156022757292</v>
          </cell>
        </row>
        <row r="40">
          <cell r="A40">
            <v>15</v>
          </cell>
          <cell r="B40">
            <v>18</v>
          </cell>
          <cell r="C40" t="str">
            <v>Disposition and Recovery/Refund of Regulatory Balances (2023)3</v>
          </cell>
          <cell r="D40">
            <v>1595</v>
          </cell>
          <cell r="E40"/>
          <cell r="F40"/>
          <cell r="G40"/>
          <cell r="H40"/>
          <cell r="I40">
            <v>0</v>
          </cell>
          <cell r="J40"/>
          <cell r="K40"/>
          <cell r="L40"/>
          <cell r="M40"/>
          <cell r="N40">
            <v>0</v>
          </cell>
          <cell r="O40">
            <v>0</v>
          </cell>
          <cell r="P40"/>
          <cell r="Q40"/>
          <cell r="R40"/>
          <cell r="S40">
            <v>0</v>
          </cell>
          <cell r="T40">
            <v>0</v>
          </cell>
          <cell r="U40"/>
          <cell r="V40"/>
          <cell r="W40"/>
          <cell r="X40">
            <v>0</v>
          </cell>
          <cell r="Y40">
            <v>0</v>
          </cell>
          <cell r="Z40"/>
          <cell r="AA40"/>
          <cell r="AB40"/>
          <cell r="AC40">
            <v>0</v>
          </cell>
          <cell r="AD40">
            <v>0</v>
          </cell>
          <cell r="AE40"/>
          <cell r="AF40"/>
          <cell r="AG40"/>
          <cell r="AH40">
            <v>0</v>
          </cell>
          <cell r="AI40">
            <v>0</v>
          </cell>
          <cell r="AJ40"/>
          <cell r="AK40"/>
          <cell r="AL40"/>
          <cell r="AM40">
            <v>0</v>
          </cell>
          <cell r="AN40">
            <v>0</v>
          </cell>
          <cell r="AO40"/>
          <cell r="AP40"/>
          <cell r="AQ40"/>
          <cell r="AR40">
            <v>0</v>
          </cell>
          <cell r="AS40">
            <v>0</v>
          </cell>
          <cell r="AT40"/>
          <cell r="AU40"/>
          <cell r="AV40"/>
          <cell r="AW40">
            <v>0</v>
          </cell>
          <cell r="AX40">
            <v>0</v>
          </cell>
          <cell r="AY40"/>
          <cell r="AZ40"/>
          <cell r="BA40"/>
          <cell r="BB40">
            <v>0</v>
          </cell>
          <cell r="BC40">
            <v>0</v>
          </cell>
          <cell r="BD40"/>
          <cell r="BE40"/>
          <cell r="BF40"/>
          <cell r="BG40">
            <v>0</v>
          </cell>
          <cell r="BH40">
            <v>0</v>
          </cell>
          <cell r="BI40"/>
          <cell r="BJ40"/>
          <cell r="BK40"/>
          <cell r="BL40">
            <v>0</v>
          </cell>
          <cell r="BM40">
            <v>0</v>
          </cell>
          <cell r="BN40">
            <v>-7557369.3254363732</v>
          </cell>
          <cell r="BO40">
            <v>27836697.137823395</v>
          </cell>
          <cell r="BP40">
            <v>0</v>
          </cell>
          <cell r="BQ40">
            <v>-35394066.463259771</v>
          </cell>
          <cell r="BR40">
            <v>0</v>
          </cell>
          <cell r="BS40">
            <v>-1987384.6448572788</v>
          </cell>
          <cell r="BT40">
            <v>9014365.5699999984</v>
          </cell>
          <cell r="BU40">
            <v>0</v>
          </cell>
          <cell r="BV40">
            <v>-11001750.214857277</v>
          </cell>
          <cell r="BW40"/>
          <cell r="BX40"/>
          <cell r="BY40">
            <v>-35394066.463259771</v>
          </cell>
          <cell r="BZ40">
            <v>-11001750.214857277</v>
          </cell>
          <cell r="CA40"/>
          <cell r="CB40"/>
          <cell r="CC40">
            <v>-11001750.214857277</v>
          </cell>
          <cell r="CD40">
            <v>0</v>
          </cell>
          <cell r="CE40" t="str">
            <v>No</v>
          </cell>
          <cell r="CF40">
            <v>-46395815.820420146</v>
          </cell>
          <cell r="CG40">
            <v>0.85769690573215485</v>
          </cell>
        </row>
        <row r="41">
          <cell r="A41"/>
          <cell r="B41">
            <v>19</v>
          </cell>
          <cell r="C41" t="str">
            <v>Refer to the Filing Requirements for Account 1595 disposition eligibility.</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row>
        <row r="42">
          <cell r="A42"/>
          <cell r="B42">
            <v>20</v>
          </cell>
          <cell r="C42"/>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row>
        <row r="43">
          <cell r="A43"/>
          <cell r="B43"/>
          <cell r="C43" t="str">
            <v>Group 1 total (including Account 1589)</v>
          </cell>
          <cell r="D43"/>
          <cell r="E43">
            <v>-12095385.33437825</v>
          </cell>
          <cell r="F43">
            <v>34580525.619046226</v>
          </cell>
          <cell r="G43">
            <v>23676474.286859483</v>
          </cell>
          <cell r="H43">
            <v>0</v>
          </cell>
          <cell r="I43">
            <v>-1191334.0021915138</v>
          </cell>
          <cell r="J43">
            <v>1958232.4746932469</v>
          </cell>
          <cell r="K43">
            <v>-600682.55819737457</v>
          </cell>
          <cell r="L43">
            <v>2182727.3131299461</v>
          </cell>
          <cell r="M43">
            <v>-184466.37839828493</v>
          </cell>
          <cell r="N43">
            <v>-1009643.7750323592</v>
          </cell>
          <cell r="O43">
            <v>-1191334.0021915138</v>
          </cell>
          <cell r="P43">
            <v>51398070.426956996</v>
          </cell>
          <cell r="Q43">
            <v>-6827323.7238309681</v>
          </cell>
          <cell r="R43">
            <v>-50366169.329999998</v>
          </cell>
          <cell r="S43">
            <v>6667890.8185964487</v>
          </cell>
          <cell r="T43">
            <v>-1009643.7750323592</v>
          </cell>
          <cell r="U43">
            <v>-840562.57404575159</v>
          </cell>
          <cell r="V43">
            <v>-108568</v>
          </cell>
          <cell r="W43">
            <v>-127587</v>
          </cell>
          <cell r="X43">
            <v>-1869225.3490781109</v>
          </cell>
          <cell r="Y43">
            <v>6667890.8185964487</v>
          </cell>
          <cell r="Z43">
            <v>-21710829.739346236</v>
          </cell>
          <cell r="AA43">
            <v>-12161395.940000001</v>
          </cell>
          <cell r="AB43">
            <v>21855451.606060505</v>
          </cell>
          <cell r="AC43">
            <v>18973908.625310712</v>
          </cell>
          <cell r="AD43">
            <v>-1869225.3490781109</v>
          </cell>
          <cell r="AE43">
            <v>403267.26383839984</v>
          </cell>
          <cell r="AF43">
            <v>-314258</v>
          </cell>
          <cell r="AG43">
            <v>0</v>
          </cell>
          <cell r="AH43">
            <v>-1151700.0852397112</v>
          </cell>
          <cell r="AI43">
            <v>18973908.625310712</v>
          </cell>
          <cell r="AJ43">
            <v>29323629.309305929</v>
          </cell>
          <cell r="AK43">
            <v>62178051.848973073</v>
          </cell>
          <cell r="AL43">
            <v>-17636242.906059742</v>
          </cell>
          <cell r="AM43">
            <v>-31516756.820416167</v>
          </cell>
          <cell r="AN43">
            <v>-1151700.0852397112</v>
          </cell>
          <cell r="AO43">
            <v>-507974.25792501133</v>
          </cell>
          <cell r="AP43">
            <v>1964458.5877687288</v>
          </cell>
          <cell r="AQ43">
            <v>0</v>
          </cell>
          <cell r="AR43">
            <v>-3624132.9309334508</v>
          </cell>
          <cell r="AS43">
            <v>-31516756.820416167</v>
          </cell>
          <cell r="AT43">
            <v>70795749.513522387</v>
          </cell>
          <cell r="AU43">
            <v>-19303735.904977571</v>
          </cell>
          <cell r="AV43">
            <v>-7113585.5664583445</v>
          </cell>
          <cell r="AW43">
            <v>51469143.031625427</v>
          </cell>
          <cell r="AX43">
            <v>-3624132.9309334508</v>
          </cell>
          <cell r="AY43">
            <v>-154428.15339524415</v>
          </cell>
          <cell r="AZ43">
            <v>1067798.0808793453</v>
          </cell>
          <cell r="BA43">
            <v>0</v>
          </cell>
          <cell r="BB43">
            <v>-4846359.1652080407</v>
          </cell>
          <cell r="BC43">
            <v>51469143.031625427</v>
          </cell>
          <cell r="BD43">
            <v>137111081.72615004</v>
          </cell>
          <cell r="BE43">
            <v>31422955.32</v>
          </cell>
          <cell r="BF43">
            <v>7330185.8222040078</v>
          </cell>
          <cell r="BG43">
            <v>164487455.25997949</v>
          </cell>
          <cell r="BH43">
            <v>-4846359.1652080407</v>
          </cell>
          <cell r="BI43">
            <v>2345977.147911719</v>
          </cell>
          <cell r="BJ43">
            <v>1993945.3096311707</v>
          </cell>
          <cell r="BK43">
            <v>3076529.1905111633</v>
          </cell>
          <cell r="BL43">
            <v>-1417798.1364163305</v>
          </cell>
          <cell r="BM43">
            <v>164487455.25997949</v>
          </cell>
          <cell r="BN43">
            <v>45171058.921991877</v>
          </cell>
          <cell r="BO43">
            <v>82373154.043126404</v>
          </cell>
          <cell r="BP43">
            <v>-1261239.8204219029</v>
          </cell>
          <cell r="BQ43">
            <v>126024120.31842302</v>
          </cell>
          <cell r="BR43">
            <v>-1417798.1364163305</v>
          </cell>
          <cell r="BS43">
            <v>6696811.5809524925</v>
          </cell>
          <cell r="BT43">
            <v>7924169.4523221822</v>
          </cell>
          <cell r="BU43">
            <v>-764827.19457343756</v>
          </cell>
          <cell r="BV43">
            <v>-3409983.2023594528</v>
          </cell>
          <cell r="BW43">
            <v>100993914</v>
          </cell>
          <cell r="BX43">
            <v>7241393</v>
          </cell>
          <cell r="BY43">
            <v>25030206.318423018</v>
          </cell>
          <cell r="BZ43">
            <v>-10651376.202359457</v>
          </cell>
          <cell r="CA43">
            <v>3426718.5341941752</v>
          </cell>
          <cell r="CB43">
            <v>0</v>
          </cell>
          <cell r="CC43">
            <v>-7224657.6681652814</v>
          </cell>
          <cell r="CD43">
            <v>68954942.010953054</v>
          </cell>
          <cell r="CE43"/>
          <cell r="CF43">
            <v>116161045</v>
          </cell>
          <cell r="CG43">
            <v>-6453092.116063565</v>
          </cell>
        </row>
        <row r="44">
          <cell r="A44"/>
          <cell r="B44"/>
          <cell r="C44" t="str">
            <v>Group 1 total  (excluding Account 1589)</v>
          </cell>
          <cell r="D44"/>
          <cell r="E44">
            <v>-93180330.522185713</v>
          </cell>
          <cell r="F44">
            <v>-22339668.254477099</v>
          </cell>
          <cell r="G44">
            <v>-70692141.303513452</v>
          </cell>
          <cell r="H44">
            <v>0</v>
          </cell>
          <cell r="I44">
            <v>-44827857.473149374</v>
          </cell>
          <cell r="J44">
            <v>-2984480.0050444016</v>
          </cell>
          <cell r="K44">
            <v>-874740.01455699955</v>
          </cell>
          <cell r="L44">
            <v>-2629876.9096754366</v>
          </cell>
          <cell r="M44">
            <v>-184466.37839828493</v>
          </cell>
          <cell r="N44">
            <v>-1413809.4883242501</v>
          </cell>
          <cell r="O44">
            <v>-44827857.473149374</v>
          </cell>
          <cell r="P44">
            <v>75296594.690480292</v>
          </cell>
          <cell r="Q44">
            <v>6456347.550242722</v>
          </cell>
          <cell r="R44">
            <v>0</v>
          </cell>
          <cell r="S44">
            <v>24012389.667088185</v>
          </cell>
          <cell r="T44">
            <v>-1413809.4883242501</v>
          </cell>
          <cell r="U44">
            <v>-1114952.3661461985</v>
          </cell>
          <cell r="V44">
            <v>-165779</v>
          </cell>
          <cell r="W44">
            <v>0</v>
          </cell>
          <cell r="X44">
            <v>-2362982.8544704486</v>
          </cell>
          <cell r="Y44">
            <v>24012389.667088185</v>
          </cell>
          <cell r="Z44">
            <v>-30240257.940850273</v>
          </cell>
          <cell r="AA44">
            <v>-18715420.48</v>
          </cell>
          <cell r="AB44">
            <v>11758215.795371056</v>
          </cell>
          <cell r="AC44">
            <v>24245768.00160896</v>
          </cell>
          <cell r="AD44">
            <v>-2362982.8544704486</v>
          </cell>
          <cell r="AE44">
            <v>266906.75975930633</v>
          </cell>
          <cell r="AF44">
            <v>-655696</v>
          </cell>
          <cell r="AG44">
            <v>0</v>
          </cell>
          <cell r="AH44">
            <v>-1440380.0947111426</v>
          </cell>
          <cell r="AI44">
            <v>24245768.00160896</v>
          </cell>
          <cell r="AJ44">
            <v>18673691.239305921</v>
          </cell>
          <cell r="AK44">
            <v>86076575.238973081</v>
          </cell>
          <cell r="AL44">
            <v>-5377148.3767781258</v>
          </cell>
          <cell r="AM44">
            <v>-48534264.374836311</v>
          </cell>
          <cell r="AN44">
            <v>-1440380.0947111426</v>
          </cell>
          <cell r="AO44">
            <v>-864152.24801154004</v>
          </cell>
          <cell r="AP44">
            <v>2436089.7177687287</v>
          </cell>
          <cell r="AQ44">
            <v>0</v>
          </cell>
          <cell r="AR44">
            <v>-4740622.060491411</v>
          </cell>
          <cell r="AS44">
            <v>-48534264.374836311</v>
          </cell>
          <cell r="AT44">
            <v>87410359.033522427</v>
          </cell>
          <cell r="AU44">
            <v>-37930399.914977573</v>
          </cell>
          <cell r="AV44">
            <v>-7482299.1374692917</v>
          </cell>
          <cell r="AW44">
            <v>69324195.436194375</v>
          </cell>
          <cell r="AX44">
            <v>-4740622.060491411</v>
          </cell>
          <cell r="AY44">
            <v>-99457.213672675891</v>
          </cell>
          <cell r="AZ44">
            <v>138201.62087934534</v>
          </cell>
          <cell r="BA44">
            <v>0</v>
          </cell>
          <cell r="BB44">
            <v>-4978280.8950434327</v>
          </cell>
          <cell r="BC44">
            <v>69324195.436194375</v>
          </cell>
          <cell r="BD44">
            <v>141053322.13615006</v>
          </cell>
          <cell r="BE44">
            <v>31422955.32</v>
          </cell>
          <cell r="BF44">
            <v>10791442.803074675</v>
          </cell>
          <cell r="BG44">
            <v>189746005.05541912</v>
          </cell>
          <cell r="BH44">
            <v>-4978280.8950434327</v>
          </cell>
          <cell r="BI44">
            <v>2730573.2599998564</v>
          </cell>
          <cell r="BJ44">
            <v>1993945.3096311707</v>
          </cell>
          <cell r="BK44">
            <v>3076529.1905111633</v>
          </cell>
          <cell r="BL44">
            <v>-1165123.7541635849</v>
          </cell>
          <cell r="BM44">
            <v>189746005.05541912</v>
          </cell>
          <cell r="BN44">
            <v>38456971.031991869</v>
          </cell>
          <cell r="BO44">
            <v>100228206.44312641</v>
          </cell>
          <cell r="BP44">
            <v>-9572891.8015621584</v>
          </cell>
          <cell r="BQ44">
            <v>118401877.84272239</v>
          </cell>
          <cell r="BR44">
            <v>-1165123.7541635849</v>
          </cell>
          <cell r="BS44">
            <v>5720528.6848198697</v>
          </cell>
          <cell r="BT44">
            <v>8059627.1423221827</v>
          </cell>
          <cell r="BU44">
            <v>-764827.19457343756</v>
          </cell>
          <cell r="BV44">
            <v>-4269049.4062393298</v>
          </cell>
          <cell r="BW44">
            <v>100993914</v>
          </cell>
          <cell r="BX44">
            <v>7241393</v>
          </cell>
          <cell r="BY44">
            <v>17407963.84272239</v>
          </cell>
          <cell r="BZ44">
            <v>-11510442.406239334</v>
          </cell>
          <cell r="CA44">
            <v>3413150.6232826235</v>
          </cell>
          <cell r="CB44">
            <v>0</v>
          </cell>
          <cell r="CC44">
            <v>-8097291.7829567101</v>
          </cell>
          <cell r="CD44">
            <v>60460065.420460999</v>
          </cell>
          <cell r="CE44"/>
          <cell r="CF44">
            <v>110736986</v>
          </cell>
          <cell r="CG44">
            <v>-3395842.4364830554</v>
          </cell>
        </row>
        <row r="45">
          <cell r="A45"/>
          <cell r="B45"/>
          <cell r="C45" t="str">
            <v xml:space="preserve">RSVA - Global Adjustment </v>
          </cell>
          <cell r="D45">
            <v>1589</v>
          </cell>
          <cell r="E45">
            <v>81084945.187807471</v>
          </cell>
          <cell r="F45">
            <v>56920193.873523325</v>
          </cell>
          <cell r="G45">
            <v>94368615.590372935</v>
          </cell>
          <cell r="H45">
            <v>0</v>
          </cell>
          <cell r="I45">
            <v>43636523.47095786</v>
          </cell>
          <cell r="J45">
            <v>4942712.4797376487</v>
          </cell>
          <cell r="K45">
            <v>274057.45635962492</v>
          </cell>
          <cell r="L45">
            <v>4812604.2228053827</v>
          </cell>
          <cell r="M45">
            <v>0</v>
          </cell>
          <cell r="N45">
            <v>404165.71329189092</v>
          </cell>
          <cell r="O45">
            <v>43636523.47095786</v>
          </cell>
          <cell r="P45">
            <v>-23898524.263523288</v>
          </cell>
          <cell r="Q45">
            <v>-13283671.27407369</v>
          </cell>
          <cell r="R45">
            <v>-50366169.329999998</v>
          </cell>
          <cell r="S45">
            <v>-17344498.848491736</v>
          </cell>
          <cell r="T45">
            <v>404165.71329189092</v>
          </cell>
          <cell r="U45">
            <v>274389.79210044688</v>
          </cell>
          <cell r="V45">
            <v>57211</v>
          </cell>
          <cell r="W45">
            <v>-127587</v>
          </cell>
          <cell r="X45">
            <v>493757.5053923378</v>
          </cell>
          <cell r="Y45">
            <v>-17344498.848491736</v>
          </cell>
          <cell r="Z45">
            <v>8529428.2015040368</v>
          </cell>
          <cell r="AA45">
            <v>6554024.54</v>
          </cell>
          <cell r="AB45">
            <v>10097235.810689449</v>
          </cell>
          <cell r="AC45">
            <v>-5271859.3762982488</v>
          </cell>
          <cell r="AD45">
            <v>493757.5053923378</v>
          </cell>
          <cell r="AE45">
            <v>136360.50407909352</v>
          </cell>
          <cell r="AF45">
            <v>341438</v>
          </cell>
          <cell r="AG45">
            <v>0</v>
          </cell>
          <cell r="AH45">
            <v>288680.00947143137</v>
          </cell>
          <cell r="AI45">
            <v>-5271859.3762982488</v>
          </cell>
          <cell r="AJ45">
            <v>10649938.070000006</v>
          </cell>
          <cell r="AK45">
            <v>-23898523.390000001</v>
          </cell>
          <cell r="AL45">
            <v>-12259094.529281616</v>
          </cell>
          <cell r="AM45">
            <v>17017507.554420143</v>
          </cell>
          <cell r="AN45">
            <v>288680.00947143137</v>
          </cell>
          <cell r="AO45">
            <v>356177.99008652871</v>
          </cell>
          <cell r="AP45">
            <v>-471631.13</v>
          </cell>
          <cell r="AQ45">
            <v>0</v>
          </cell>
          <cell r="AR45">
            <v>1116489.1295579602</v>
          </cell>
          <cell r="AS45">
            <v>17017507.554420143</v>
          </cell>
          <cell r="AT45">
            <v>-16614609.520000033</v>
          </cell>
          <cell r="AU45">
            <v>18626664.010000002</v>
          </cell>
          <cell r="AV45">
            <v>368713.57101094723</v>
          </cell>
          <cell r="AW45">
            <v>-17855052.404568944</v>
          </cell>
          <cell r="AX45">
            <v>1116489.1295579602</v>
          </cell>
          <cell r="AY45">
            <v>-54970.93972256827</v>
          </cell>
          <cell r="AZ45">
            <v>929596.46</v>
          </cell>
          <cell r="BA45">
            <v>0</v>
          </cell>
          <cell r="BB45">
            <v>131921.72983539198</v>
          </cell>
          <cell r="BC45">
            <v>-17855052.404568944</v>
          </cell>
          <cell r="BD45">
            <v>-3942240.4100000188</v>
          </cell>
          <cell r="BE45">
            <v>0</v>
          </cell>
          <cell r="BF45">
            <v>-3461256.9808706669</v>
          </cell>
          <cell r="BG45">
            <v>-25258549.795439631</v>
          </cell>
          <cell r="BH45">
            <v>131921.72983539198</v>
          </cell>
          <cell r="BI45">
            <v>-384596.11208813754</v>
          </cell>
          <cell r="BJ45">
            <v>0</v>
          </cell>
          <cell r="BK45">
            <v>0</v>
          </cell>
          <cell r="BL45">
            <v>-252674.38225274556</v>
          </cell>
          <cell r="BM45">
            <v>-25258549.795439631</v>
          </cell>
          <cell r="BN45">
            <v>6714087.8900000043</v>
          </cell>
          <cell r="BO45">
            <v>-17855052.399999999</v>
          </cell>
          <cell r="BP45">
            <v>8311651.9811402559</v>
          </cell>
          <cell r="BQ45">
            <v>7622242.475700628</v>
          </cell>
          <cell r="BR45">
            <v>-252674.38225274556</v>
          </cell>
          <cell r="BS45">
            <v>976282.8961326225</v>
          </cell>
          <cell r="BT45">
            <v>-135457.69</v>
          </cell>
          <cell r="BU45">
            <v>0</v>
          </cell>
          <cell r="BV45">
            <v>859066.20387987699</v>
          </cell>
          <cell r="BW45">
            <v>0</v>
          </cell>
          <cell r="BX45">
            <v>0</v>
          </cell>
          <cell r="BY45">
            <v>7622242.475700628</v>
          </cell>
          <cell r="BZ45">
            <v>859066.20387987699</v>
          </cell>
          <cell r="CA45">
            <v>13567.910911551673</v>
          </cell>
          <cell r="CB45">
            <v>0</v>
          </cell>
          <cell r="CC45">
            <v>872634.11479142867</v>
          </cell>
          <cell r="CD45">
            <v>8494876.5904920567</v>
          </cell>
          <cell r="CE45"/>
          <cell r="CF45">
            <v>5424059</v>
          </cell>
          <cell r="CG45">
            <v>-3057249.6795805059</v>
          </cell>
        </row>
        <row r="46">
          <cell r="A46"/>
          <cell r="B46"/>
          <cell r="C46"/>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row>
        <row r="47">
          <cell r="A47"/>
          <cell r="B47"/>
          <cell r="C47" t="str">
            <v>Group 1 total (including Account 1589)</v>
          </cell>
          <cell r="D47"/>
          <cell r="E47">
            <v>-12095385.33437825</v>
          </cell>
          <cell r="F47">
            <v>34580525.619046226</v>
          </cell>
          <cell r="G47">
            <v>23676474.286859483</v>
          </cell>
          <cell r="H47">
            <v>0</v>
          </cell>
          <cell r="I47">
            <v>-1191334.0021915138</v>
          </cell>
          <cell r="J47">
            <v>1958232.4746932469</v>
          </cell>
          <cell r="K47">
            <v>-600682.55819737457</v>
          </cell>
          <cell r="L47">
            <v>2182727.3131299461</v>
          </cell>
          <cell r="M47">
            <v>-184466.37839828493</v>
          </cell>
          <cell r="N47">
            <v>-1009643.7750323592</v>
          </cell>
          <cell r="O47">
            <v>-1191334.0021915138</v>
          </cell>
          <cell r="P47">
            <v>51398070.426956996</v>
          </cell>
          <cell r="Q47">
            <v>-6827323.7238309681</v>
          </cell>
          <cell r="R47">
            <v>-50366169.329999998</v>
          </cell>
          <cell r="S47">
            <v>6667890.8185964487</v>
          </cell>
          <cell r="T47">
            <v>-1009643.7750323592</v>
          </cell>
          <cell r="U47">
            <v>-840562.57404575159</v>
          </cell>
          <cell r="V47">
            <v>-108568</v>
          </cell>
          <cell r="W47">
            <v>-127587</v>
          </cell>
          <cell r="X47">
            <v>-1869225.3490781109</v>
          </cell>
          <cell r="Y47">
            <v>6667890.8185964487</v>
          </cell>
          <cell r="Z47">
            <v>-21710829.739346236</v>
          </cell>
          <cell r="AA47">
            <v>-12161395.940000001</v>
          </cell>
          <cell r="AB47">
            <v>21855451.606060505</v>
          </cell>
          <cell r="AC47">
            <v>18973908.625310712</v>
          </cell>
          <cell r="AD47">
            <v>-1869225.3490781109</v>
          </cell>
          <cell r="AE47">
            <v>403267.26383839984</v>
          </cell>
          <cell r="AF47">
            <v>-314258</v>
          </cell>
          <cell r="AG47">
            <v>0</v>
          </cell>
          <cell r="AH47">
            <v>-1151700.0852397112</v>
          </cell>
          <cell r="AI47">
            <v>18973908.625310712</v>
          </cell>
          <cell r="AJ47">
            <v>29323629.309305929</v>
          </cell>
          <cell r="AK47">
            <v>62178051.848973073</v>
          </cell>
          <cell r="AL47">
            <v>-17636242.906059742</v>
          </cell>
          <cell r="AM47">
            <v>-31516756.820416167</v>
          </cell>
          <cell r="AN47">
            <v>-1151700.0852397112</v>
          </cell>
          <cell r="AO47">
            <v>-507974.25792501133</v>
          </cell>
          <cell r="AP47">
            <v>1964458.5877687288</v>
          </cell>
          <cell r="AQ47">
            <v>0</v>
          </cell>
          <cell r="AR47">
            <v>-3624132.9309334508</v>
          </cell>
          <cell r="AS47">
            <v>-31516756.820416167</v>
          </cell>
          <cell r="AT47">
            <v>70795749.513522387</v>
          </cell>
          <cell r="AU47">
            <v>-19303735.904977571</v>
          </cell>
          <cell r="AV47">
            <v>-7113585.5664583445</v>
          </cell>
          <cell r="AW47">
            <v>51469143.031625427</v>
          </cell>
          <cell r="AX47">
            <v>-3624132.9309334508</v>
          </cell>
          <cell r="AY47">
            <v>-154428.15339524415</v>
          </cell>
          <cell r="AZ47">
            <v>1067798.0808793453</v>
          </cell>
          <cell r="BA47">
            <v>0</v>
          </cell>
          <cell r="BB47">
            <v>-4846359.1652080407</v>
          </cell>
          <cell r="BC47">
            <v>51469143.031625427</v>
          </cell>
          <cell r="BD47">
            <v>137111081.72615004</v>
          </cell>
          <cell r="BE47">
            <v>31422955.32</v>
          </cell>
          <cell r="BF47">
            <v>7330185.8222040078</v>
          </cell>
          <cell r="BG47">
            <v>164487455.25997949</v>
          </cell>
          <cell r="BH47">
            <v>-4846359.1652080407</v>
          </cell>
          <cell r="BI47">
            <v>2345977.147911719</v>
          </cell>
          <cell r="BJ47">
            <v>1993945.3096311707</v>
          </cell>
          <cell r="BK47">
            <v>3076529.1905111633</v>
          </cell>
          <cell r="BL47">
            <v>-1417798.1364163305</v>
          </cell>
          <cell r="BM47"/>
          <cell r="BN47"/>
          <cell r="BO47"/>
          <cell r="BP47"/>
          <cell r="BQ47"/>
          <cell r="BR47"/>
          <cell r="BS47"/>
          <cell r="BT47"/>
          <cell r="BU47"/>
          <cell r="BV47"/>
          <cell r="BW47">
            <v>100993914</v>
          </cell>
          <cell r="BX47">
            <v>7241393</v>
          </cell>
          <cell r="BY47">
            <v>25030206.318423018</v>
          </cell>
          <cell r="BZ47">
            <v>-10651376.202359457</v>
          </cell>
          <cell r="CA47">
            <v>3426718.5341941752</v>
          </cell>
          <cell r="CB47">
            <v>0</v>
          </cell>
          <cell r="CC47">
            <v>-7224657.6681652814</v>
          </cell>
          <cell r="CD47"/>
          <cell r="CE47"/>
          <cell r="CF47"/>
          <cell r="CG47"/>
        </row>
        <row r="48">
          <cell r="A48"/>
          <cell r="B48"/>
          <cell r="C48" t="str">
            <v>Group 1 total  (excluding Account 1589)</v>
          </cell>
          <cell r="D48"/>
          <cell r="E48">
            <v>-93180330.522185713</v>
          </cell>
          <cell r="F48">
            <v>-22339668.254477099</v>
          </cell>
          <cell r="G48">
            <v>-70692141.303513452</v>
          </cell>
          <cell r="H48">
            <v>0</v>
          </cell>
          <cell r="I48">
            <v>-44827857.473149374</v>
          </cell>
          <cell r="J48">
            <v>-2984480.0050444016</v>
          </cell>
          <cell r="K48">
            <v>-874740.01455699955</v>
          </cell>
          <cell r="L48">
            <v>-2629876.9096754366</v>
          </cell>
          <cell r="M48">
            <v>-184466.37839828493</v>
          </cell>
          <cell r="N48">
            <v>-1413809.4883242501</v>
          </cell>
          <cell r="O48">
            <v>-44827857.473149374</v>
          </cell>
          <cell r="P48">
            <v>75296594.690480292</v>
          </cell>
          <cell r="Q48">
            <v>6456347.550242722</v>
          </cell>
          <cell r="R48">
            <v>0</v>
          </cell>
          <cell r="S48">
            <v>24012389.667088185</v>
          </cell>
          <cell r="T48">
            <v>-1413809.4883242501</v>
          </cell>
          <cell r="U48">
            <v>-1114952.3661461985</v>
          </cell>
          <cell r="V48">
            <v>-165779</v>
          </cell>
          <cell r="W48">
            <v>0</v>
          </cell>
          <cell r="X48">
            <v>-2362982.8544704486</v>
          </cell>
          <cell r="Y48">
            <v>24012389.667088185</v>
          </cell>
          <cell r="Z48">
            <v>-30240257.940850273</v>
          </cell>
          <cell r="AA48">
            <v>-18715420.48</v>
          </cell>
          <cell r="AB48">
            <v>11758215.795371056</v>
          </cell>
          <cell r="AC48">
            <v>24245768.00160896</v>
          </cell>
          <cell r="AD48">
            <v>-2362982.8544704486</v>
          </cell>
          <cell r="AE48">
            <v>266906.75975930633</v>
          </cell>
          <cell r="AF48">
            <v>-655696</v>
          </cell>
          <cell r="AG48">
            <v>0</v>
          </cell>
          <cell r="AH48">
            <v>-1440380.0947111426</v>
          </cell>
          <cell r="AI48">
            <v>24245768.00160896</v>
          </cell>
          <cell r="AJ48">
            <v>18673691.239305921</v>
          </cell>
          <cell r="AK48">
            <v>86076575.238973081</v>
          </cell>
          <cell r="AL48">
            <v>-5377148.3767781258</v>
          </cell>
          <cell r="AM48">
            <v>-48534264.374836311</v>
          </cell>
          <cell r="AN48">
            <v>-1440380.0947111426</v>
          </cell>
          <cell r="AO48">
            <v>-864152.24801154004</v>
          </cell>
          <cell r="AP48">
            <v>2436089.7177687287</v>
          </cell>
          <cell r="AQ48">
            <v>0</v>
          </cell>
          <cell r="AR48">
            <v>-4740622.060491411</v>
          </cell>
          <cell r="AS48">
            <v>-48534264.374836311</v>
          </cell>
          <cell r="AT48">
            <v>87410359.033522427</v>
          </cell>
          <cell r="AU48">
            <v>-37930399.914977573</v>
          </cell>
          <cell r="AV48">
            <v>-7482299.1374692917</v>
          </cell>
          <cell r="AW48">
            <v>69324195.436194375</v>
          </cell>
          <cell r="AX48">
            <v>-4740622.060491411</v>
          </cell>
          <cell r="AY48">
            <v>-99457.213672675891</v>
          </cell>
          <cell r="AZ48">
            <v>138201.62087934534</v>
          </cell>
          <cell r="BA48">
            <v>0</v>
          </cell>
          <cell r="BB48">
            <v>-4978280.8950434327</v>
          </cell>
          <cell r="BC48">
            <v>69324195.436194375</v>
          </cell>
          <cell r="BD48">
            <v>141053322.13615006</v>
          </cell>
          <cell r="BE48">
            <v>31422955.32</v>
          </cell>
          <cell r="BF48">
            <v>10791442.803074675</v>
          </cell>
          <cell r="BG48">
            <v>189746005.05541912</v>
          </cell>
          <cell r="BH48">
            <v>-4978280.8950434327</v>
          </cell>
          <cell r="BI48">
            <v>2730573.2599998564</v>
          </cell>
          <cell r="BJ48">
            <v>1993945.3096311707</v>
          </cell>
          <cell r="BK48">
            <v>3076529.1905111633</v>
          </cell>
          <cell r="BL48">
            <v>-1165123.7541635849</v>
          </cell>
          <cell r="BM48"/>
          <cell r="BN48"/>
          <cell r="BO48"/>
          <cell r="BP48"/>
          <cell r="BQ48"/>
          <cell r="BR48"/>
          <cell r="BS48"/>
          <cell r="BT48"/>
          <cell r="BU48"/>
          <cell r="BV48"/>
          <cell r="BW48">
            <v>100993914</v>
          </cell>
          <cell r="BX48">
            <v>7241393</v>
          </cell>
          <cell r="BY48">
            <v>17407963.84272239</v>
          </cell>
          <cell r="BZ48">
            <v>-11510442.406239334</v>
          </cell>
          <cell r="CA48">
            <v>3413150.6232826235</v>
          </cell>
          <cell r="CB48">
            <v>0</v>
          </cell>
          <cell r="CC48">
            <v>-8097291.7829567101</v>
          </cell>
          <cell r="CD48"/>
          <cell r="CE48"/>
          <cell r="CF48"/>
          <cell r="CG48"/>
        </row>
        <row r="49">
          <cell r="A49"/>
          <cell r="B49"/>
          <cell r="C49" t="str">
            <v xml:space="preserve">RSVA - Global Adjustment </v>
          </cell>
          <cell r="D49">
            <v>1589</v>
          </cell>
          <cell r="E49">
            <v>81084945.187807471</v>
          </cell>
          <cell r="F49">
            <v>56920193.873523325</v>
          </cell>
          <cell r="G49">
            <v>94368615.590372935</v>
          </cell>
          <cell r="H49">
            <v>0</v>
          </cell>
          <cell r="I49">
            <v>43636523.47095786</v>
          </cell>
          <cell r="J49">
            <v>4942712.4797376487</v>
          </cell>
          <cell r="K49">
            <v>274057.45635962492</v>
          </cell>
          <cell r="L49">
            <v>4812604.2228053827</v>
          </cell>
          <cell r="M49">
            <v>0</v>
          </cell>
          <cell r="N49">
            <v>404165.71329189092</v>
          </cell>
          <cell r="O49">
            <v>43636523.47095786</v>
          </cell>
          <cell r="P49">
            <v>-23898524.263523288</v>
          </cell>
          <cell r="Q49">
            <v>-13283671.27407369</v>
          </cell>
          <cell r="R49">
            <v>-50366169.329999998</v>
          </cell>
          <cell r="S49">
            <v>-17344498.848491736</v>
          </cell>
          <cell r="T49">
            <v>404165.71329189092</v>
          </cell>
          <cell r="U49">
            <v>274389.79210044688</v>
          </cell>
          <cell r="V49">
            <v>57211</v>
          </cell>
          <cell r="W49">
            <v>-127587</v>
          </cell>
          <cell r="X49">
            <v>493757.5053923378</v>
          </cell>
          <cell r="Y49">
            <v>-17344498.848491736</v>
          </cell>
          <cell r="Z49">
            <v>8529428.2015040368</v>
          </cell>
          <cell r="AA49">
            <v>6554024.54</v>
          </cell>
          <cell r="AB49">
            <v>10097235.810689449</v>
          </cell>
          <cell r="AC49">
            <v>-5271859.3762982488</v>
          </cell>
          <cell r="AD49">
            <v>493757.5053923378</v>
          </cell>
          <cell r="AE49">
            <v>136360.50407909352</v>
          </cell>
          <cell r="AF49">
            <v>341438</v>
          </cell>
          <cell r="AG49">
            <v>0</v>
          </cell>
          <cell r="AH49">
            <v>288680.00947143137</v>
          </cell>
          <cell r="AI49">
            <v>-5271859.3762982488</v>
          </cell>
          <cell r="AJ49">
            <v>10649938.070000006</v>
          </cell>
          <cell r="AK49">
            <v>-23898523.390000001</v>
          </cell>
          <cell r="AL49">
            <v>-12259094.529281616</v>
          </cell>
          <cell r="AM49">
            <v>17017507.554420143</v>
          </cell>
          <cell r="AN49">
            <v>288680.00947143137</v>
          </cell>
          <cell r="AO49">
            <v>356177.99008652871</v>
          </cell>
          <cell r="AP49">
            <v>-471631.13</v>
          </cell>
          <cell r="AQ49">
            <v>0</v>
          </cell>
          <cell r="AR49">
            <v>1116489.1295579602</v>
          </cell>
          <cell r="AS49">
            <v>17017507.554420143</v>
          </cell>
          <cell r="AT49">
            <v>-16614609.520000033</v>
          </cell>
          <cell r="AU49">
            <v>18626664.010000002</v>
          </cell>
          <cell r="AV49">
            <v>368713.57101094723</v>
          </cell>
          <cell r="AW49">
            <v>-17855052.404568944</v>
          </cell>
          <cell r="AX49">
            <v>1116489.1295579602</v>
          </cell>
          <cell r="AY49">
            <v>-54970.93972256827</v>
          </cell>
          <cell r="AZ49">
            <v>929596.46</v>
          </cell>
          <cell r="BA49">
            <v>0</v>
          </cell>
          <cell r="BB49">
            <v>131921.72983539198</v>
          </cell>
          <cell r="BC49">
            <v>-17855052.404568944</v>
          </cell>
          <cell r="BD49">
            <v>-3942240.4100000188</v>
          </cell>
          <cell r="BE49">
            <v>0</v>
          </cell>
          <cell r="BF49">
            <v>-3461256.9808706669</v>
          </cell>
          <cell r="BG49">
            <v>-25258549.795439631</v>
          </cell>
          <cell r="BH49">
            <v>131921.72983539198</v>
          </cell>
          <cell r="BI49">
            <v>-384596.11208813754</v>
          </cell>
          <cell r="BJ49">
            <v>0</v>
          </cell>
          <cell r="BK49">
            <v>0</v>
          </cell>
          <cell r="BL49">
            <v>-252674.38225274556</v>
          </cell>
          <cell r="BM49"/>
          <cell r="BN49"/>
          <cell r="BO49"/>
          <cell r="BP49"/>
          <cell r="BQ49"/>
          <cell r="BR49"/>
          <cell r="BS49"/>
          <cell r="BT49"/>
          <cell r="BU49"/>
          <cell r="BV49"/>
          <cell r="BW49">
            <v>0</v>
          </cell>
          <cell r="BX49">
            <v>0</v>
          </cell>
          <cell r="BY49">
            <v>7622242.475700628</v>
          </cell>
          <cell r="BZ49">
            <v>859066.20387987699</v>
          </cell>
          <cell r="CA49">
            <v>13567.910911551673</v>
          </cell>
          <cell r="CB49">
            <v>0</v>
          </cell>
          <cell r="CC49">
            <v>872634.11479142867</v>
          </cell>
          <cell r="CD49"/>
          <cell r="CE49"/>
          <cell r="CF49"/>
          <cell r="CG49"/>
        </row>
        <row r="50">
          <cell r="A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row>
        <row r="53">
          <cell r="B53"/>
          <cell r="C53" t="str">
            <v>For all OEB-Approved dispositions, please ensure that the disposition amount has the same sign (e.g: debit balances are to have a positive figure and credit balance are to have a negative figure) as per the related OEB decision.</v>
          </cell>
          <cell r="D53"/>
          <cell r="E53"/>
          <cell r="F53"/>
          <cell r="G53"/>
          <cell r="H53"/>
          <cell r="I53"/>
        </row>
        <row r="54">
          <cell r="A54"/>
          <cell r="B54"/>
          <cell r="E54"/>
          <cell r="F54"/>
          <cell r="G54"/>
          <cell r="H54"/>
          <cell r="I54"/>
          <cell r="L54"/>
          <cell r="M54"/>
          <cell r="V54"/>
          <cell r="W54"/>
          <cell r="AF54"/>
          <cell r="AG54"/>
          <cell r="AP54"/>
          <cell r="AQ54"/>
          <cell r="AZ54"/>
          <cell r="BA54"/>
          <cell r="BJ54"/>
          <cell r="BK54"/>
          <cell r="BW54"/>
          <cell r="BX54"/>
          <cell r="BY54"/>
          <cell r="BZ54"/>
        </row>
        <row r="55">
          <cell r="A55"/>
          <cell r="B55">
            <v>1</v>
          </cell>
          <cell r="C55" t="str">
            <v xml:space="preserve"> Please provide explanations for the nature of the adjustments.  If the adjustment relates to previously OEB-Approved disposed balances, please provide amounts for adjustments and include supporting documentations.</v>
          </cell>
          <cell r="D55"/>
          <cell r="E55"/>
          <cell r="F55"/>
          <cell r="G55"/>
          <cell r="H55"/>
          <cell r="I55"/>
          <cell r="L55"/>
          <cell r="M55"/>
          <cell r="V55"/>
          <cell r="W55"/>
          <cell r="AF55"/>
          <cell r="AG55"/>
          <cell r="AP55"/>
          <cell r="AQ55"/>
          <cell r="AZ55"/>
          <cell r="BA55"/>
          <cell r="BJ55"/>
          <cell r="BK55"/>
          <cell r="BW55"/>
          <cell r="BX55"/>
          <cell r="BY55"/>
          <cell r="BZ55"/>
        </row>
        <row r="56">
          <cell r="A56"/>
          <cell r="B56">
            <v>2</v>
          </cell>
          <cell r="C56" t="str">
            <v>1) If the LDC’s rate year begins on January 1, 2023, the projected interest is recorded from January 1, 2022 to December 31, 2022 on the December 31, 2021 balances, adjusted to remove balances approved for disposition in the 2022 rate decision. 
 2) If the LDC’s rate year begins on May 1, 2023, the projected interest is recorded from January 1, 2022 to April 30, 2023 on the December 31, 2021 balances, adjusted to remove balances approved for disposition in the 2022 rate decision.</v>
          </cell>
          <cell r="D56"/>
          <cell r="E56"/>
          <cell r="F56"/>
          <cell r="G56"/>
          <cell r="H56"/>
          <cell r="I56"/>
          <cell r="L56"/>
          <cell r="M56"/>
          <cell r="V56"/>
          <cell r="W56"/>
          <cell r="AF56"/>
          <cell r="AG56"/>
          <cell r="AP56"/>
          <cell r="AQ56"/>
          <cell r="AZ56"/>
          <cell r="BA56"/>
          <cell r="BJ56"/>
          <cell r="BK56"/>
          <cell r="BW56"/>
          <cell r="BX56"/>
          <cell r="BY56"/>
          <cell r="BZ56"/>
        </row>
        <row r="57">
          <cell r="A57"/>
          <cell r="B57">
            <v>3</v>
          </cell>
          <cell r="C57" t="str">
            <v>The individual sub-accounts as well as the total for all Account 1595 sub-accounts is to agree to the RRR data.  Differences need to be explained. For each Account 1595 sub-account, the transfer of the balance approved for disposition into Account 1595 is to be recorded in "OEB Approved Disposition" column. The recovery/refund is to be recorded in the "Transaction" column. Any vintage year of Account 1595 is only to be disposed once on a final basis. No further dispositions of these accounts are generally expected thereafter, unless justified by the distributor.
Refer to Filing Requirements for disposition eligibility of the sub-accounts. Select "yes" column BU if the sub-account is requested for disposition. Note that Accounts 1595 (2020), (2021) and (2022) will not be eligilble for disposition in the 2023 rate application.</v>
          </cell>
          <cell r="D57"/>
          <cell r="E57"/>
          <cell r="F57"/>
          <cell r="G57"/>
          <cell r="H57"/>
          <cell r="I57"/>
          <cell r="L57"/>
          <cell r="M57"/>
          <cell r="V57"/>
          <cell r="W57"/>
          <cell r="AF57"/>
          <cell r="AG57"/>
          <cell r="AP57"/>
          <cell r="AQ57"/>
          <cell r="AZ57"/>
          <cell r="BA57"/>
          <cell r="BJ57"/>
          <cell r="BK57"/>
          <cell r="BW57"/>
          <cell r="BX57"/>
          <cell r="BY57"/>
          <cell r="BZ57"/>
        </row>
        <row r="58">
          <cell r="A58"/>
          <cell r="B58">
            <v>4</v>
          </cell>
          <cell r="C58" t="str">
            <v>New accounting guidance effective January 1, 2019 for Accounts 1588 and 1589 was issued Feb. 21, 2019 titled Accounting Procedures Handbook Update - Accounting Guidance Related to Commodity Pass-Through Accounts 1588 &amp; 1589. The amount in the "Transactions" column in this DVA Continuity Schedule are to equal the transactions in the General Ledger (excluding any amounts approved for disposition, which is shown separately in the "OEB Approved Disposition" columns). Any true-ups/adjustments/reversals needed to derive the claim amount must be shown separately in the "Principal Adjustments" columns of this DVA Continuity Schedule.</v>
          </cell>
          <cell r="D58"/>
          <cell r="E58"/>
          <cell r="F58"/>
          <cell r="G58"/>
          <cell r="H58"/>
          <cell r="I58"/>
        </row>
        <row r="59">
          <cell r="A59"/>
          <cell r="B59">
            <v>5</v>
          </cell>
          <cell r="C59" t="str">
            <v>Account 1580 RSVA WMS balance inputted into this schedule is to exclude any amounts relating to CBR. CBR amounts are to be inputted into Account 1580, sub-accounts CBR Class A and Class B separately.  There is no disposition of Account 1580, sub-account CBR Class A, accounting guidance for this sub-account is to be followed. If a balance exists for Account 1580, sub-account CBR Class A at the December year-end, the balance must be explained.</v>
          </cell>
          <cell r="D59"/>
          <cell r="E59"/>
          <cell r="F59"/>
          <cell r="G59"/>
          <cell r="H59"/>
          <cell r="I59"/>
        </row>
        <row r="60">
          <cell r="A60"/>
          <cell r="B60">
            <v>6</v>
          </cell>
          <cell r="C60" t="str">
            <v>RRR balance for Account 1580 RSVA - Wholesale Market Service Charge should equal to the control account as reported in the RRR. This would include the balance for Account 1580,Variance WMS – Sub-account CBR Class B.</v>
          </cell>
          <cell r="D60"/>
          <cell r="E60"/>
          <cell r="F60"/>
          <cell r="G60"/>
          <cell r="H60"/>
          <cell r="I60"/>
        </row>
      </sheetData>
      <sheetData sheetId="5">
        <row r="19">
          <cell r="BC19">
            <v>2022</v>
          </cell>
        </row>
        <row r="20">
          <cell r="C20" t="str">
            <v>Account Descriptions</v>
          </cell>
          <cell r="D20" t="str">
            <v>Account Number</v>
          </cell>
          <cell r="E20" t="str">
            <v>Opening Principal Amounts as of Jan-1-17</v>
          </cell>
          <cell r="F20" t="str">
            <v>Transactions Debit / (Credit) during 2017</v>
          </cell>
          <cell r="G20" t="str">
            <v>OEB-Approved Disposition during 2017</v>
          </cell>
          <cell r="H20" t="str">
            <v>Principal Adjustments(1) during 2017</v>
          </cell>
          <cell r="I20" t="str">
            <v>Closing Principal Balance as of Dec-31-17</v>
          </cell>
          <cell r="J20" t="str">
            <v>Opening Interest Amounts as of Jan-1-17</v>
          </cell>
          <cell r="K20" t="str">
            <v>Interest Jan-1 to Dec-31-17</v>
          </cell>
          <cell r="L20" t="str">
            <v>OEB-Approved Disposition during 2017</v>
          </cell>
          <cell r="M20" t="str">
            <v>Interest Adjustments(1) during 2017</v>
          </cell>
          <cell r="N20" t="str">
            <v>Closing Interest Amounts as of Dec-31-17</v>
          </cell>
          <cell r="O20" t="str">
            <v>Opening Principal Amounts as of Jan-1-18</v>
          </cell>
          <cell r="P20" t="str">
            <v>Transactions Debit / (Credit) during 2018</v>
          </cell>
          <cell r="Q20" t="str">
            <v>OEB-Approved Disposition during 2018</v>
          </cell>
          <cell r="R20" t="str">
            <v>Principal Adjustments(1) during 2018</v>
          </cell>
          <cell r="S20" t="str">
            <v>Closing Principal Balance as of Dec-31-18</v>
          </cell>
          <cell r="T20" t="str">
            <v>Opening Interest Amounts as of Jan-1-18</v>
          </cell>
          <cell r="U20" t="str">
            <v>Interest Jan-1 to Dec-31-18</v>
          </cell>
          <cell r="V20" t="str">
            <v>OEB-Approved Disposition during 2018</v>
          </cell>
          <cell r="W20" t="str">
            <v>Interest Adjustments(1) during 2018</v>
          </cell>
          <cell r="X20" t="str">
            <v>Closing Interest Amounts as of Dec-31-18</v>
          </cell>
          <cell r="Y20" t="str">
            <v>Opening Principal Amounts as of Jan-1-19</v>
          </cell>
          <cell r="Z20" t="str">
            <v>Transactions(1) Debit / (Credit) during 2019</v>
          </cell>
          <cell r="AA20" t="str">
            <v>OEB-Approved Disposition during 2019</v>
          </cell>
          <cell r="AB20" t="str">
            <v>Principal Adjustments(1) during 2019</v>
          </cell>
          <cell r="AC20" t="str">
            <v>Closing Principal Balance as of Dec-31-19</v>
          </cell>
          <cell r="AD20" t="str">
            <v>Opening Interest Amounts as of Jan-1-19</v>
          </cell>
          <cell r="AE20" t="str">
            <v>Interest Jan-1 to Dec-31-19</v>
          </cell>
          <cell r="AF20" t="str">
            <v>OEB-Approved Disposition during 2019</v>
          </cell>
          <cell r="AG20" t="str">
            <v>Interest Adjustments(1) during 2019</v>
          </cell>
          <cell r="AH20" t="str">
            <v>Closing Interest Amounts as of Dec-31-19</v>
          </cell>
          <cell r="AI20" t="str">
            <v>Opening Principal Amounts as of Jan-1-20</v>
          </cell>
          <cell r="AJ20" t="str">
            <v>Transactions(1) Debit / (Credit) during 2020</v>
          </cell>
          <cell r="AK20" t="str">
            <v>OEB-Approved Disposition during 2020</v>
          </cell>
          <cell r="AL20" t="str">
            <v>Principal Adjustments(1) during 2020</v>
          </cell>
          <cell r="AM20" t="str">
            <v>Closing Principal Balance as of Dec-31-20</v>
          </cell>
          <cell r="AN20" t="str">
            <v>Opening Interest Amounts as of Jan-1-20</v>
          </cell>
          <cell r="AO20" t="str">
            <v>Interest Jan-1 to Dec-31-20</v>
          </cell>
          <cell r="AP20" t="str">
            <v>OEB-Approved Disposition during 2020</v>
          </cell>
          <cell r="AQ20" t="str">
            <v>Interest Adjustments(1) during 2020</v>
          </cell>
          <cell r="AR20" t="str">
            <v>Closing Interest Amounts as of Dec-31-20</v>
          </cell>
          <cell r="AS20" t="str">
            <v>Opening Principal Amounts as of Jan-1-21</v>
          </cell>
          <cell r="AT20" t="str">
            <v>Transactions Debit / (Credit) during 2021</v>
          </cell>
          <cell r="AU20" t="str">
            <v>OEB-Approved Disposition during 2021</v>
          </cell>
          <cell r="AV20" t="str">
            <v>Principal Adjustments(1) during 2021</v>
          </cell>
          <cell r="AW20" t="str">
            <v>Closing Principal Balance as of Dec-31-21</v>
          </cell>
          <cell r="AX20" t="str">
            <v>Opening Interest Amounts as of Jan-1-21</v>
          </cell>
          <cell r="AY20" t="str">
            <v>Interest Jan-1 to Dec-31-21</v>
          </cell>
          <cell r="AZ20" t="str">
            <v>OEB-Approved Disposition during 2021</v>
          </cell>
          <cell r="BA20" t="str">
            <v>Interest Adjustments(1) during 2021</v>
          </cell>
          <cell r="BB20" t="str">
            <v>Closing Interest Amounts as of Dec-31-21</v>
          </cell>
          <cell r="BC20" t="str">
            <v>Opening Principal Amounts as of Jan-1-22</v>
          </cell>
          <cell r="BD20" t="str">
            <v>Transactions Debit / (Credit) during 2022</v>
          </cell>
          <cell r="BE20" t="str">
            <v>OEB-Approved Disposition during 2022</v>
          </cell>
          <cell r="BF20" t="str">
            <v>Principal Adjustments(1) during 2022</v>
          </cell>
          <cell r="BG20" t="str">
            <v>Closing Principal Balance as of Dec-31-22</v>
          </cell>
          <cell r="BH20" t="str">
            <v>Opening Interest Amounts as of Jan-1-22</v>
          </cell>
          <cell r="BI20" t="str">
            <v>Interest Jan-1 to Dec-31-22</v>
          </cell>
          <cell r="BJ20" t="str">
            <v>OEB-Approved Disposition during 2022</v>
          </cell>
          <cell r="BK20" t="str">
            <v>Interest Adjustments(1) during 2022</v>
          </cell>
          <cell r="BL20" t="str">
            <v>Closing Interest Amounts as of Dec-31-22</v>
          </cell>
          <cell r="BM20" t="str">
            <v>Opening Principal Amounts as of Jan-1-23</v>
          </cell>
          <cell r="BN20" t="str">
            <v>Transactions Debit / (Credit) during 2023</v>
          </cell>
          <cell r="BO20" t="str">
            <v>OEB-Approved Disposition during 2023</v>
          </cell>
          <cell r="BP20" t="str">
            <v>Principal Adjustments(1) during 2023</v>
          </cell>
          <cell r="BQ20" t="str">
            <v>Closing Principal Balance as of Dec-31-23</v>
          </cell>
          <cell r="BR20" t="str">
            <v>Opening Interest Amounts as of Jan-1-23</v>
          </cell>
          <cell r="BS20" t="str">
            <v>Interest Jan-1 to Dec-31-23</v>
          </cell>
          <cell r="BT20" t="str">
            <v>OEB-Approved Disposition during 2023</v>
          </cell>
          <cell r="BU20" t="str">
            <v>Interest Adjustments(1) during 2023</v>
          </cell>
          <cell r="BV20" t="str">
            <v>Closing Interest Amounts as of Dec-31-23</v>
          </cell>
          <cell r="BW20" t="str">
            <v>Forecast Principal Amount - 2024</v>
          </cell>
          <cell r="BX20" t="str">
            <v>Forecast Interest Amount - 2024</v>
          </cell>
          <cell r="BY20" t="str">
            <v>Closing Principal Balances as of Dec 31-23 Adjusted for Dispositions during 2024</v>
          </cell>
          <cell r="BZ20" t="str">
            <v>Closing Interest Balances as of Dec 31-23 Adjusted for Dispositions during 2024</v>
          </cell>
          <cell r="CA20" t="str">
            <v>Principal Disposition during 2024 - instructed by  OEB</v>
          </cell>
          <cell r="CB20" t="str">
            <v>Interest Disposition during 2024 - instructed by  OEB</v>
          </cell>
          <cell r="CC20" t="str">
            <v>Closing Principal Balances as of Dec 31-23 Adjusted for Dispositions during 2024</v>
          </cell>
          <cell r="CD20" t="str">
            <v>Closing Interest Balances as of Dec 31-23 Adjusted for Dispositions during 2024</v>
          </cell>
          <cell r="CE20" t="str">
            <v>Projected Interest  from Jan 1, 2024 to December 31, 2024 on  Dec 31 -23 balance adjusted for disposition during 2024 (2)</v>
          </cell>
          <cell r="CF20" t="str">
            <v>Projected Interest from January 1, 2025 to April 30, 2025 on Dec 31 -22 balance adjusted for disposition during 2024  (2)</v>
          </cell>
          <cell r="CG20" t="str">
            <v>Total Interest</v>
          </cell>
          <cell r="CH20" t="str">
            <v>Total Claim</v>
          </cell>
          <cell r="CI20" t="str">
            <v>Accounts to Dispose
Yes/No</v>
          </cell>
          <cell r="CJ20" t="str">
            <v>As of Dec 31-22</v>
          </cell>
          <cell r="CK20" t="str">
            <v>Variance                           RRR vs. 2022 Balance                        (Principal + Interest)</v>
          </cell>
        </row>
        <row r="21">
          <cell r="C21"/>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row>
        <row r="22">
          <cell r="B22"/>
          <cell r="C22"/>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t="str">
            <v>Claim before Forecasted Transactions</v>
          </cell>
          <cell r="CH22" t="str">
            <v>Claim before Forecasted Transactions</v>
          </cell>
          <cell r="CI22"/>
          <cell r="CJ22"/>
          <cell r="CK22"/>
        </row>
        <row r="23">
          <cell r="A23"/>
          <cell r="B23">
            <v>1</v>
          </cell>
          <cell r="C23" t="str">
            <v>Group 1 Accounts</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row>
        <row r="24">
          <cell r="A24">
            <v>1</v>
          </cell>
          <cell r="B24">
            <v>2</v>
          </cell>
          <cell r="C24" t="str">
            <v>LV Variance Account</v>
          </cell>
          <cell r="D24">
            <v>1550</v>
          </cell>
          <cell r="E24"/>
          <cell r="F24"/>
          <cell r="G24"/>
          <cell r="H24"/>
          <cell r="I24">
            <v>0</v>
          </cell>
          <cell r="J24"/>
          <cell r="K24"/>
          <cell r="L24"/>
          <cell r="M24"/>
          <cell r="N24">
            <v>0</v>
          </cell>
          <cell r="O24">
            <v>0</v>
          </cell>
          <cell r="P24"/>
          <cell r="Q24"/>
          <cell r="R24"/>
          <cell r="S24">
            <v>0</v>
          </cell>
          <cell r="T24">
            <v>0</v>
          </cell>
          <cell r="U24"/>
          <cell r="V24"/>
          <cell r="W24"/>
          <cell r="X24">
            <v>0</v>
          </cell>
          <cell r="Y24">
            <v>0</v>
          </cell>
          <cell r="Z24"/>
          <cell r="AA24"/>
          <cell r="AB24"/>
          <cell r="AC24">
            <v>0</v>
          </cell>
          <cell r="AD24">
            <v>0</v>
          </cell>
          <cell r="AE24"/>
          <cell r="AF24"/>
          <cell r="AG24"/>
          <cell r="AH24">
            <v>0</v>
          </cell>
          <cell r="AI24">
            <v>0</v>
          </cell>
          <cell r="AJ24"/>
          <cell r="AK24"/>
          <cell r="AL24"/>
          <cell r="AM24">
            <v>0</v>
          </cell>
          <cell r="AN24">
            <v>0</v>
          </cell>
          <cell r="AO24"/>
          <cell r="AP24"/>
          <cell r="AQ24"/>
          <cell r="AR24">
            <v>0</v>
          </cell>
          <cell r="AS24">
            <v>0</v>
          </cell>
          <cell r="AT24"/>
          <cell r="AU24"/>
          <cell r="AV24"/>
          <cell r="AW24">
            <v>0</v>
          </cell>
          <cell r="AX24">
            <v>0</v>
          </cell>
          <cell r="AY24"/>
          <cell r="AZ24"/>
          <cell r="BA24"/>
          <cell r="BB24">
            <v>0</v>
          </cell>
          <cell r="BC24">
            <v>0</v>
          </cell>
          <cell r="BD24"/>
          <cell r="BE24"/>
          <cell r="BF24"/>
          <cell r="BG24">
            <v>0</v>
          </cell>
          <cell r="BH24">
            <v>0</v>
          </cell>
          <cell r="BI24"/>
          <cell r="BJ24"/>
          <cell r="BK24"/>
          <cell r="BL24">
            <v>0</v>
          </cell>
          <cell r="BM24">
            <v>0</v>
          </cell>
          <cell r="BN24"/>
          <cell r="BO24"/>
          <cell r="BP24"/>
          <cell r="BQ24">
            <v>0</v>
          </cell>
          <cell r="BR24">
            <v>0</v>
          </cell>
          <cell r="BS24"/>
          <cell r="BT24"/>
          <cell r="BU24"/>
          <cell r="BV24"/>
          <cell r="BW24"/>
          <cell r="BX24"/>
          <cell r="BY24">
            <v>0</v>
          </cell>
          <cell r="BZ24">
            <v>0</v>
          </cell>
          <cell r="CA24"/>
          <cell r="CB24"/>
          <cell r="CC24">
            <v>0</v>
          </cell>
          <cell r="CD24">
            <v>0</v>
          </cell>
          <cell r="CE24"/>
          <cell r="CF24"/>
          <cell r="CG24">
            <v>0</v>
          </cell>
          <cell r="CH24">
            <v>0</v>
          </cell>
          <cell r="CI24"/>
          <cell r="CJ24"/>
          <cell r="CK24">
            <v>0</v>
          </cell>
        </row>
        <row r="25">
          <cell r="A25">
            <v>2</v>
          </cell>
          <cell r="B25">
            <v>3</v>
          </cell>
          <cell r="C25" t="str">
            <v>Smart Metering Entity Charge Variance Account</v>
          </cell>
          <cell r="D25">
            <v>1551</v>
          </cell>
          <cell r="E25"/>
          <cell r="F25"/>
          <cell r="G25"/>
          <cell r="H25"/>
          <cell r="I25"/>
          <cell r="J25"/>
          <cell r="K25"/>
          <cell r="L25"/>
          <cell r="M25"/>
          <cell r="N25"/>
          <cell r="O25"/>
          <cell r="P25"/>
          <cell r="Q25"/>
          <cell r="R25"/>
          <cell r="S25"/>
          <cell r="T25"/>
          <cell r="U25"/>
          <cell r="V25"/>
          <cell r="W25"/>
          <cell r="X25"/>
          <cell r="Y25">
            <v>0</v>
          </cell>
          <cell r="Z25"/>
          <cell r="AA25"/>
          <cell r="AB25"/>
          <cell r="AC25">
            <v>0</v>
          </cell>
          <cell r="AD25">
            <v>0</v>
          </cell>
          <cell r="AE25"/>
          <cell r="AF25"/>
          <cell r="AG25"/>
          <cell r="AH25">
            <v>0</v>
          </cell>
          <cell r="AI25">
            <v>0</v>
          </cell>
          <cell r="AJ25"/>
          <cell r="AK25"/>
          <cell r="AL25"/>
          <cell r="AM25">
            <v>0</v>
          </cell>
          <cell r="AN25">
            <v>0</v>
          </cell>
          <cell r="AO25"/>
          <cell r="AP25"/>
          <cell r="AQ25"/>
          <cell r="AR25">
            <v>0</v>
          </cell>
          <cell r="AS25">
            <v>0</v>
          </cell>
          <cell r="AT25"/>
          <cell r="AU25"/>
          <cell r="AV25"/>
          <cell r="AW25">
            <v>0</v>
          </cell>
          <cell r="AX25">
            <v>0</v>
          </cell>
          <cell r="AY25"/>
          <cell r="AZ25"/>
          <cell r="BA25"/>
          <cell r="BB25">
            <v>0</v>
          </cell>
          <cell r="BC25">
            <v>0</v>
          </cell>
          <cell r="BD25"/>
          <cell r="BE25"/>
          <cell r="BF25"/>
          <cell r="BG25">
            <v>0</v>
          </cell>
          <cell r="BH25">
            <v>0</v>
          </cell>
          <cell r="BI25"/>
          <cell r="BJ25"/>
          <cell r="BK25"/>
          <cell r="BL25">
            <v>0</v>
          </cell>
          <cell r="BM25">
            <v>0</v>
          </cell>
          <cell r="BN25"/>
          <cell r="BO25"/>
          <cell r="BP25"/>
          <cell r="BQ25">
            <v>0</v>
          </cell>
          <cell r="BR25">
            <v>0</v>
          </cell>
          <cell r="BS25"/>
          <cell r="BT25"/>
          <cell r="BU25"/>
          <cell r="BV25"/>
          <cell r="BW25"/>
          <cell r="BX25"/>
          <cell r="BY25">
            <v>0</v>
          </cell>
          <cell r="BZ25">
            <v>0</v>
          </cell>
          <cell r="CA25"/>
          <cell r="CB25"/>
          <cell r="CC25">
            <v>0</v>
          </cell>
          <cell r="CD25">
            <v>0</v>
          </cell>
          <cell r="CE25"/>
          <cell r="CF25"/>
          <cell r="CG25">
            <v>0</v>
          </cell>
          <cell r="CH25">
            <v>0</v>
          </cell>
          <cell r="CI25"/>
          <cell r="CJ25"/>
          <cell r="CK25">
            <v>0</v>
          </cell>
        </row>
        <row r="26">
          <cell r="A26">
            <v>3</v>
          </cell>
          <cell r="B26">
            <v>4</v>
          </cell>
          <cell r="C26" t="str">
            <v>RSVA - Wholesale Market Service Charge9</v>
          </cell>
          <cell r="D26">
            <v>1580</v>
          </cell>
          <cell r="E26"/>
          <cell r="F26"/>
          <cell r="G26"/>
          <cell r="H26"/>
          <cell r="I26">
            <v>0</v>
          </cell>
          <cell r="J26"/>
          <cell r="K26"/>
          <cell r="L26"/>
          <cell r="M26"/>
          <cell r="N26">
            <v>0</v>
          </cell>
          <cell r="O26">
            <v>0</v>
          </cell>
          <cell r="P26"/>
          <cell r="Q26"/>
          <cell r="R26"/>
          <cell r="S26">
            <v>0</v>
          </cell>
          <cell r="T26">
            <v>0</v>
          </cell>
          <cell r="U26"/>
          <cell r="V26"/>
          <cell r="W26"/>
          <cell r="X26">
            <v>0</v>
          </cell>
          <cell r="Y26">
            <v>0</v>
          </cell>
          <cell r="Z26"/>
          <cell r="AA26"/>
          <cell r="AB26"/>
          <cell r="AC26">
            <v>0</v>
          </cell>
          <cell r="AD26">
            <v>0</v>
          </cell>
          <cell r="AE26"/>
          <cell r="AF26"/>
          <cell r="AG26"/>
          <cell r="AH26">
            <v>0</v>
          </cell>
          <cell r="AI26">
            <v>0</v>
          </cell>
          <cell r="AJ26"/>
          <cell r="AK26"/>
          <cell r="AL26"/>
          <cell r="AM26">
            <v>0</v>
          </cell>
          <cell r="AN26">
            <v>0</v>
          </cell>
          <cell r="AO26"/>
          <cell r="AP26"/>
          <cell r="AQ26"/>
          <cell r="AR26">
            <v>0</v>
          </cell>
          <cell r="AS26">
            <v>0</v>
          </cell>
          <cell r="AT26"/>
          <cell r="AU26"/>
          <cell r="AV26"/>
          <cell r="AW26">
            <v>0</v>
          </cell>
          <cell r="AX26">
            <v>0</v>
          </cell>
          <cell r="AY26"/>
          <cell r="AZ26"/>
          <cell r="BA26"/>
          <cell r="BB26">
            <v>0</v>
          </cell>
          <cell r="BC26">
            <v>0</v>
          </cell>
          <cell r="BD26"/>
          <cell r="BE26"/>
          <cell r="BF26"/>
          <cell r="BG26">
            <v>0</v>
          </cell>
          <cell r="BH26">
            <v>0</v>
          </cell>
          <cell r="BI26"/>
          <cell r="BJ26"/>
          <cell r="BK26"/>
          <cell r="BL26">
            <v>0</v>
          </cell>
          <cell r="BM26">
            <v>0</v>
          </cell>
          <cell r="BN26"/>
          <cell r="BO26"/>
          <cell r="BP26"/>
          <cell r="BQ26">
            <v>0</v>
          </cell>
          <cell r="BR26">
            <v>0</v>
          </cell>
          <cell r="BS26"/>
          <cell r="BT26"/>
          <cell r="BU26"/>
          <cell r="BV26"/>
          <cell r="BW26"/>
          <cell r="BX26"/>
          <cell r="BY26">
            <v>0</v>
          </cell>
          <cell r="BZ26">
            <v>0</v>
          </cell>
          <cell r="CA26"/>
          <cell r="CB26"/>
          <cell r="CC26">
            <v>0</v>
          </cell>
          <cell r="CD26">
            <v>0</v>
          </cell>
          <cell r="CE26"/>
          <cell r="CF26"/>
          <cell r="CG26">
            <v>0</v>
          </cell>
          <cell r="CH26">
            <v>0</v>
          </cell>
          <cell r="CI26"/>
          <cell r="CJ26"/>
          <cell r="CK26">
            <v>0</v>
          </cell>
        </row>
        <row r="27">
          <cell r="A27">
            <v>3.1</v>
          </cell>
          <cell r="B27">
            <v>5</v>
          </cell>
          <cell r="C27" t="str">
            <v>Variance WMS – Sub-account CBR Class A9</v>
          </cell>
          <cell r="D27">
            <v>1580</v>
          </cell>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v>0</v>
          </cell>
          <cell r="AT27"/>
          <cell r="AU27"/>
          <cell r="AV27"/>
          <cell r="AW27">
            <v>0</v>
          </cell>
          <cell r="AX27">
            <v>0</v>
          </cell>
          <cell r="AY27"/>
          <cell r="AZ27"/>
          <cell r="BA27"/>
          <cell r="BB27">
            <v>0</v>
          </cell>
          <cell r="BC27">
            <v>0</v>
          </cell>
          <cell r="BD27"/>
          <cell r="BE27"/>
          <cell r="BF27"/>
          <cell r="BG27">
            <v>0</v>
          </cell>
          <cell r="BH27">
            <v>0</v>
          </cell>
          <cell r="BI27"/>
          <cell r="BJ27"/>
          <cell r="BK27"/>
          <cell r="BL27">
            <v>0</v>
          </cell>
          <cell r="BM27">
            <v>0</v>
          </cell>
          <cell r="BN27"/>
          <cell r="BO27"/>
          <cell r="BP27"/>
          <cell r="BQ27">
            <v>0</v>
          </cell>
          <cell r="BR27">
            <v>0</v>
          </cell>
          <cell r="BS27"/>
          <cell r="BT27"/>
          <cell r="BU27"/>
          <cell r="BV27">
            <v>0</v>
          </cell>
          <cell r="BW27"/>
          <cell r="BX27"/>
          <cell r="BY27">
            <v>0</v>
          </cell>
          <cell r="BZ27">
            <v>0</v>
          </cell>
          <cell r="CA27"/>
          <cell r="CB27"/>
          <cell r="CC27">
            <v>0</v>
          </cell>
          <cell r="CD27">
            <v>0</v>
          </cell>
          <cell r="CE27"/>
          <cell r="CF27"/>
          <cell r="CG27">
            <v>0</v>
          </cell>
          <cell r="CH27">
            <v>0</v>
          </cell>
          <cell r="CI27"/>
          <cell r="CJ27">
            <v>0</v>
          </cell>
          <cell r="CK27">
            <v>0</v>
          </cell>
        </row>
        <row r="28">
          <cell r="A28">
            <v>3.2</v>
          </cell>
          <cell r="B28">
            <v>6</v>
          </cell>
          <cell r="C28" t="str">
            <v>Variance WMS – Sub-account CBR Class B9</v>
          </cell>
          <cell r="D28">
            <v>1580</v>
          </cell>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v>0</v>
          </cell>
          <cell r="AT28"/>
          <cell r="AU28"/>
          <cell r="AV28"/>
          <cell r="AW28">
            <v>0</v>
          </cell>
          <cell r="AX28">
            <v>0</v>
          </cell>
          <cell r="AY28"/>
          <cell r="AZ28"/>
          <cell r="BA28"/>
          <cell r="BB28">
            <v>0</v>
          </cell>
          <cell r="BC28">
            <v>0</v>
          </cell>
          <cell r="BD28"/>
          <cell r="BE28"/>
          <cell r="BF28"/>
          <cell r="BG28">
            <v>0</v>
          </cell>
          <cell r="BH28">
            <v>0</v>
          </cell>
          <cell r="BI28"/>
          <cell r="BJ28"/>
          <cell r="BK28"/>
          <cell r="BL28">
            <v>0</v>
          </cell>
          <cell r="BM28">
            <v>0</v>
          </cell>
          <cell r="BN28"/>
          <cell r="BO28"/>
          <cell r="BP28"/>
          <cell r="BQ28">
            <v>0</v>
          </cell>
          <cell r="BR28">
            <v>0</v>
          </cell>
          <cell r="BS28"/>
          <cell r="BT28"/>
          <cell r="BU28"/>
          <cell r="BV28">
            <v>0</v>
          </cell>
          <cell r="BW28"/>
          <cell r="BX28"/>
          <cell r="BY28">
            <v>0</v>
          </cell>
          <cell r="BZ28">
            <v>0</v>
          </cell>
          <cell r="CA28"/>
          <cell r="CB28"/>
          <cell r="CC28">
            <v>0</v>
          </cell>
          <cell r="CD28">
            <v>0</v>
          </cell>
          <cell r="CE28"/>
          <cell r="CF28"/>
          <cell r="CG28">
            <v>0</v>
          </cell>
          <cell r="CH28">
            <v>0</v>
          </cell>
          <cell r="CI28"/>
          <cell r="CJ28">
            <v>0</v>
          </cell>
          <cell r="CK28">
            <v>0</v>
          </cell>
        </row>
        <row r="29">
          <cell r="A29">
            <v>4</v>
          </cell>
          <cell r="B29">
            <v>7</v>
          </cell>
          <cell r="C29" t="str">
            <v>RSVA - Retail Transmission Network Charge</v>
          </cell>
          <cell r="D29">
            <v>1584</v>
          </cell>
          <cell r="E29"/>
          <cell r="F29"/>
          <cell r="G29"/>
          <cell r="H29"/>
          <cell r="I29">
            <v>0</v>
          </cell>
          <cell r="J29"/>
          <cell r="K29"/>
          <cell r="L29"/>
          <cell r="M29"/>
          <cell r="N29">
            <v>0</v>
          </cell>
          <cell r="O29">
            <v>0</v>
          </cell>
          <cell r="P29"/>
          <cell r="Q29"/>
          <cell r="R29"/>
          <cell r="S29">
            <v>0</v>
          </cell>
          <cell r="T29">
            <v>0</v>
          </cell>
          <cell r="U29"/>
          <cell r="V29"/>
          <cell r="W29"/>
          <cell r="X29">
            <v>0</v>
          </cell>
          <cell r="Y29">
            <v>0</v>
          </cell>
          <cell r="Z29"/>
          <cell r="AA29"/>
          <cell r="AB29"/>
          <cell r="AC29">
            <v>0</v>
          </cell>
          <cell r="AD29">
            <v>0</v>
          </cell>
          <cell r="AE29"/>
          <cell r="AF29"/>
          <cell r="AG29"/>
          <cell r="AH29">
            <v>0</v>
          </cell>
          <cell r="AI29">
            <v>0</v>
          </cell>
          <cell r="AJ29"/>
          <cell r="AK29"/>
          <cell r="AL29"/>
          <cell r="AM29">
            <v>0</v>
          </cell>
          <cell r="AN29">
            <v>0</v>
          </cell>
          <cell r="AO29"/>
          <cell r="AP29"/>
          <cell r="AQ29"/>
          <cell r="AR29">
            <v>0</v>
          </cell>
          <cell r="AS29">
            <v>0</v>
          </cell>
          <cell r="AT29"/>
          <cell r="AU29"/>
          <cell r="AV29"/>
          <cell r="AW29">
            <v>0</v>
          </cell>
          <cell r="AX29">
            <v>0</v>
          </cell>
          <cell r="AY29"/>
          <cell r="AZ29"/>
          <cell r="BA29"/>
          <cell r="BB29">
            <v>0</v>
          </cell>
          <cell r="BC29">
            <v>0</v>
          </cell>
          <cell r="BD29"/>
          <cell r="BE29"/>
          <cell r="BF29"/>
          <cell r="BG29">
            <v>0</v>
          </cell>
          <cell r="BH29">
            <v>0</v>
          </cell>
          <cell r="BI29"/>
          <cell r="BJ29"/>
          <cell r="BK29"/>
          <cell r="BL29">
            <v>0</v>
          </cell>
          <cell r="BM29">
            <v>0</v>
          </cell>
          <cell r="BN29"/>
          <cell r="BO29"/>
          <cell r="BP29"/>
          <cell r="BQ29">
            <v>0</v>
          </cell>
          <cell r="BR29">
            <v>0</v>
          </cell>
          <cell r="BS29"/>
          <cell r="BT29"/>
          <cell r="BU29"/>
          <cell r="BV29"/>
          <cell r="BW29"/>
          <cell r="BX29"/>
          <cell r="BY29">
            <v>0</v>
          </cell>
          <cell r="BZ29">
            <v>0</v>
          </cell>
          <cell r="CA29"/>
          <cell r="CB29"/>
          <cell r="CC29">
            <v>0</v>
          </cell>
          <cell r="CD29">
            <v>0</v>
          </cell>
          <cell r="CE29"/>
          <cell r="CF29"/>
          <cell r="CG29">
            <v>0</v>
          </cell>
          <cell r="CH29">
            <v>0</v>
          </cell>
          <cell r="CI29"/>
          <cell r="CJ29"/>
          <cell r="CK29">
            <v>0</v>
          </cell>
        </row>
        <row r="30">
          <cell r="A30">
            <v>5</v>
          </cell>
          <cell r="B30">
            <v>8</v>
          </cell>
          <cell r="C30" t="str">
            <v>RSVA - Retail Transmission Connection Charge</v>
          </cell>
          <cell r="D30">
            <v>1586</v>
          </cell>
          <cell r="E30"/>
          <cell r="F30"/>
          <cell r="G30"/>
          <cell r="H30"/>
          <cell r="I30">
            <v>0</v>
          </cell>
          <cell r="J30"/>
          <cell r="K30"/>
          <cell r="L30"/>
          <cell r="M30"/>
          <cell r="N30">
            <v>0</v>
          </cell>
          <cell r="O30">
            <v>0</v>
          </cell>
          <cell r="P30"/>
          <cell r="Q30"/>
          <cell r="R30"/>
          <cell r="S30">
            <v>0</v>
          </cell>
          <cell r="T30">
            <v>0</v>
          </cell>
          <cell r="U30"/>
          <cell r="V30"/>
          <cell r="W30"/>
          <cell r="X30">
            <v>0</v>
          </cell>
          <cell r="Y30">
            <v>0</v>
          </cell>
          <cell r="Z30"/>
          <cell r="AA30"/>
          <cell r="AB30"/>
          <cell r="AC30">
            <v>0</v>
          </cell>
          <cell r="AD30">
            <v>0</v>
          </cell>
          <cell r="AE30"/>
          <cell r="AF30"/>
          <cell r="AG30"/>
          <cell r="AH30">
            <v>0</v>
          </cell>
          <cell r="AI30">
            <v>0</v>
          </cell>
          <cell r="AJ30"/>
          <cell r="AK30"/>
          <cell r="AL30"/>
          <cell r="AM30">
            <v>0</v>
          </cell>
          <cell r="AN30">
            <v>0</v>
          </cell>
          <cell r="AO30"/>
          <cell r="AP30"/>
          <cell r="AQ30"/>
          <cell r="AR30">
            <v>0</v>
          </cell>
          <cell r="AS30">
            <v>0</v>
          </cell>
          <cell r="AT30"/>
          <cell r="AU30"/>
          <cell r="AV30"/>
          <cell r="AW30">
            <v>0</v>
          </cell>
          <cell r="AX30">
            <v>0</v>
          </cell>
          <cell r="AY30"/>
          <cell r="AZ30"/>
          <cell r="BA30"/>
          <cell r="BB30">
            <v>0</v>
          </cell>
          <cell r="BC30">
            <v>0</v>
          </cell>
          <cell r="BD30"/>
          <cell r="BE30"/>
          <cell r="BF30"/>
          <cell r="BG30">
            <v>0</v>
          </cell>
          <cell r="BH30">
            <v>0</v>
          </cell>
          <cell r="BI30"/>
          <cell r="BJ30"/>
          <cell r="BK30"/>
          <cell r="BL30">
            <v>0</v>
          </cell>
          <cell r="BM30">
            <v>0</v>
          </cell>
          <cell r="BN30"/>
          <cell r="BO30"/>
          <cell r="BP30"/>
          <cell r="BQ30">
            <v>0</v>
          </cell>
          <cell r="BR30">
            <v>0</v>
          </cell>
          <cell r="BS30"/>
          <cell r="BT30"/>
          <cell r="BU30"/>
          <cell r="BV30"/>
          <cell r="BW30"/>
          <cell r="BX30"/>
          <cell r="BY30">
            <v>0</v>
          </cell>
          <cell r="BZ30">
            <v>0</v>
          </cell>
          <cell r="CA30"/>
          <cell r="CB30"/>
          <cell r="CC30">
            <v>0</v>
          </cell>
          <cell r="CD30">
            <v>0</v>
          </cell>
          <cell r="CE30"/>
          <cell r="CF30"/>
          <cell r="CG30">
            <v>0</v>
          </cell>
          <cell r="CH30">
            <v>0</v>
          </cell>
          <cell r="CI30"/>
          <cell r="CJ30"/>
          <cell r="CK30">
            <v>0</v>
          </cell>
        </row>
        <row r="31">
          <cell r="A31">
            <v>6</v>
          </cell>
          <cell r="B31">
            <v>9</v>
          </cell>
          <cell r="C31" t="str">
            <v>RSVA - Power (excluding Global Adjustment)12</v>
          </cell>
          <cell r="D31">
            <v>1588</v>
          </cell>
          <cell r="E31"/>
          <cell r="F31"/>
          <cell r="G31"/>
          <cell r="H31"/>
          <cell r="I31">
            <v>0</v>
          </cell>
          <cell r="J31"/>
          <cell r="K31"/>
          <cell r="L31"/>
          <cell r="M31"/>
          <cell r="N31">
            <v>0</v>
          </cell>
          <cell r="O31">
            <v>0</v>
          </cell>
          <cell r="P31"/>
          <cell r="Q31"/>
          <cell r="R31"/>
          <cell r="S31">
            <v>0</v>
          </cell>
          <cell r="T31">
            <v>0</v>
          </cell>
          <cell r="U31"/>
          <cell r="V31"/>
          <cell r="W31"/>
          <cell r="X31">
            <v>0</v>
          </cell>
          <cell r="Y31">
            <v>0</v>
          </cell>
          <cell r="Z31"/>
          <cell r="AA31"/>
          <cell r="AB31"/>
          <cell r="AC31">
            <v>0</v>
          </cell>
          <cell r="AD31">
            <v>0</v>
          </cell>
          <cell r="AE31"/>
          <cell r="AF31"/>
          <cell r="AG31"/>
          <cell r="AH31">
            <v>0</v>
          </cell>
          <cell r="AI31">
            <v>0</v>
          </cell>
          <cell r="AJ31"/>
          <cell r="AK31"/>
          <cell r="AL31"/>
          <cell r="AM31">
            <v>0</v>
          </cell>
          <cell r="AN31">
            <v>0</v>
          </cell>
          <cell r="AO31"/>
          <cell r="AP31"/>
          <cell r="AQ31"/>
          <cell r="AR31">
            <v>0</v>
          </cell>
          <cell r="AS31">
            <v>0</v>
          </cell>
          <cell r="AT31"/>
          <cell r="AU31"/>
          <cell r="AV31"/>
          <cell r="AW31">
            <v>0</v>
          </cell>
          <cell r="AX31">
            <v>0</v>
          </cell>
          <cell r="AY31"/>
          <cell r="AZ31"/>
          <cell r="BA31"/>
          <cell r="BB31">
            <v>0</v>
          </cell>
          <cell r="BC31">
            <v>0</v>
          </cell>
          <cell r="BD31"/>
          <cell r="BE31"/>
          <cell r="BF31"/>
          <cell r="BG31">
            <v>0</v>
          </cell>
          <cell r="BH31">
            <v>0</v>
          </cell>
          <cell r="BI31"/>
          <cell r="BJ31"/>
          <cell r="BK31"/>
          <cell r="BL31">
            <v>0</v>
          </cell>
          <cell r="BM31">
            <v>0</v>
          </cell>
          <cell r="BN31"/>
          <cell r="BO31"/>
          <cell r="BP31"/>
          <cell r="BQ31">
            <v>0</v>
          </cell>
          <cell r="BR31">
            <v>0</v>
          </cell>
          <cell r="BS31"/>
          <cell r="BT31"/>
          <cell r="BU31"/>
          <cell r="BV31"/>
          <cell r="BW31"/>
          <cell r="BX31"/>
          <cell r="BY31">
            <v>0</v>
          </cell>
          <cell r="BZ31">
            <v>0</v>
          </cell>
          <cell r="CA31"/>
          <cell r="CB31"/>
          <cell r="CC31">
            <v>0</v>
          </cell>
          <cell r="CD31">
            <v>0</v>
          </cell>
          <cell r="CE31"/>
          <cell r="CF31"/>
          <cell r="CG31">
            <v>0</v>
          </cell>
          <cell r="CH31">
            <v>0</v>
          </cell>
          <cell r="CI31"/>
          <cell r="CJ31"/>
          <cell r="CK31">
            <v>0</v>
          </cell>
        </row>
        <row r="32">
          <cell r="A32">
            <v>7</v>
          </cell>
          <cell r="B32">
            <v>10</v>
          </cell>
          <cell r="C32" t="str">
            <v>RSVA - Global Adjustment 12</v>
          </cell>
          <cell r="D32">
            <v>1589</v>
          </cell>
          <cell r="E32"/>
          <cell r="F32"/>
          <cell r="G32"/>
          <cell r="H32"/>
          <cell r="I32">
            <v>0</v>
          </cell>
          <cell r="J32"/>
          <cell r="K32"/>
          <cell r="L32"/>
          <cell r="M32"/>
          <cell r="N32">
            <v>0</v>
          </cell>
          <cell r="O32">
            <v>0</v>
          </cell>
          <cell r="P32"/>
          <cell r="Q32"/>
          <cell r="R32"/>
          <cell r="S32">
            <v>0</v>
          </cell>
          <cell r="T32">
            <v>0</v>
          </cell>
          <cell r="U32"/>
          <cell r="V32"/>
          <cell r="W32"/>
          <cell r="X32">
            <v>0</v>
          </cell>
          <cell r="Y32">
            <v>0</v>
          </cell>
          <cell r="Z32"/>
          <cell r="AA32"/>
          <cell r="AB32"/>
          <cell r="AC32">
            <v>0</v>
          </cell>
          <cell r="AD32">
            <v>0</v>
          </cell>
          <cell r="AE32"/>
          <cell r="AF32"/>
          <cell r="AG32"/>
          <cell r="AH32">
            <v>0</v>
          </cell>
          <cell r="AI32">
            <v>0</v>
          </cell>
          <cell r="AJ32"/>
          <cell r="AK32"/>
          <cell r="AL32"/>
          <cell r="AM32">
            <v>0</v>
          </cell>
          <cell r="AN32">
            <v>0</v>
          </cell>
          <cell r="AO32"/>
          <cell r="AP32"/>
          <cell r="AQ32"/>
          <cell r="AR32">
            <v>0</v>
          </cell>
          <cell r="AS32">
            <v>0</v>
          </cell>
          <cell r="AT32"/>
          <cell r="AU32"/>
          <cell r="AV32"/>
          <cell r="AW32">
            <v>0</v>
          </cell>
          <cell r="AX32">
            <v>0</v>
          </cell>
          <cell r="AY32"/>
          <cell r="AZ32"/>
          <cell r="BA32"/>
          <cell r="BB32">
            <v>0</v>
          </cell>
          <cell r="BC32">
            <v>0</v>
          </cell>
          <cell r="BD32"/>
          <cell r="BE32"/>
          <cell r="BF32"/>
          <cell r="BG32">
            <v>0</v>
          </cell>
          <cell r="BH32">
            <v>0</v>
          </cell>
          <cell r="BI32"/>
          <cell r="BJ32"/>
          <cell r="BK32"/>
          <cell r="BL32">
            <v>0</v>
          </cell>
          <cell r="BM32">
            <v>0</v>
          </cell>
          <cell r="BN32"/>
          <cell r="BO32"/>
          <cell r="BP32"/>
          <cell r="BQ32">
            <v>0</v>
          </cell>
          <cell r="BR32">
            <v>0</v>
          </cell>
          <cell r="BS32"/>
          <cell r="BT32"/>
          <cell r="BU32"/>
          <cell r="BV32"/>
          <cell r="BW32"/>
          <cell r="BX32"/>
          <cell r="BY32">
            <v>0</v>
          </cell>
          <cell r="BZ32">
            <v>0</v>
          </cell>
          <cell r="CA32"/>
          <cell r="CB32"/>
          <cell r="CC32">
            <v>0</v>
          </cell>
          <cell r="CD32">
            <v>0</v>
          </cell>
          <cell r="CE32"/>
          <cell r="CF32"/>
          <cell r="CG32">
            <v>0</v>
          </cell>
          <cell r="CH32">
            <v>0</v>
          </cell>
          <cell r="CI32"/>
          <cell r="CJ32"/>
          <cell r="CK32">
            <v>0</v>
          </cell>
        </row>
        <row r="33">
          <cell r="A33">
            <v>8</v>
          </cell>
          <cell r="B33">
            <v>11</v>
          </cell>
          <cell r="C33" t="str">
            <v>Disposition and Recovery/Refund of Regulatory Balances (2009)7</v>
          </cell>
          <cell r="D33">
            <v>1595</v>
          </cell>
          <cell r="E33"/>
          <cell r="F33"/>
          <cell r="G33"/>
          <cell r="H33"/>
          <cell r="I33">
            <v>0</v>
          </cell>
          <cell r="J33"/>
          <cell r="K33"/>
          <cell r="L33"/>
          <cell r="M33"/>
          <cell r="N33">
            <v>0</v>
          </cell>
          <cell r="O33">
            <v>0</v>
          </cell>
          <cell r="P33"/>
          <cell r="Q33"/>
          <cell r="R33"/>
          <cell r="S33">
            <v>0</v>
          </cell>
          <cell r="T33">
            <v>0</v>
          </cell>
          <cell r="U33"/>
          <cell r="V33"/>
          <cell r="W33"/>
          <cell r="X33">
            <v>0</v>
          </cell>
          <cell r="Y33">
            <v>0</v>
          </cell>
          <cell r="Z33"/>
          <cell r="AA33"/>
          <cell r="AB33"/>
          <cell r="AC33">
            <v>0</v>
          </cell>
          <cell r="AD33">
            <v>0</v>
          </cell>
          <cell r="AE33"/>
          <cell r="AF33"/>
          <cell r="AG33"/>
          <cell r="AH33">
            <v>0</v>
          </cell>
          <cell r="AI33">
            <v>0</v>
          </cell>
          <cell r="AJ33"/>
          <cell r="AK33"/>
          <cell r="AL33"/>
          <cell r="AM33">
            <v>0</v>
          </cell>
          <cell r="AN33">
            <v>0</v>
          </cell>
          <cell r="AO33"/>
          <cell r="AP33"/>
          <cell r="AQ33"/>
          <cell r="AR33">
            <v>0</v>
          </cell>
          <cell r="AS33">
            <v>0</v>
          </cell>
          <cell r="AT33"/>
          <cell r="AU33"/>
          <cell r="AV33"/>
          <cell r="AW33">
            <v>0</v>
          </cell>
          <cell r="AX33">
            <v>0</v>
          </cell>
          <cell r="AY33"/>
          <cell r="AZ33"/>
          <cell r="BA33"/>
          <cell r="BB33">
            <v>0</v>
          </cell>
          <cell r="BC33">
            <v>0</v>
          </cell>
          <cell r="BD33"/>
          <cell r="BE33"/>
          <cell r="BF33"/>
          <cell r="BG33">
            <v>0</v>
          </cell>
          <cell r="BH33">
            <v>0</v>
          </cell>
          <cell r="BI33"/>
          <cell r="BJ33"/>
          <cell r="BK33"/>
          <cell r="BL33">
            <v>0</v>
          </cell>
          <cell r="BM33">
            <v>0</v>
          </cell>
          <cell r="BN33"/>
          <cell r="BO33"/>
          <cell r="BP33"/>
          <cell r="BQ33">
            <v>0</v>
          </cell>
          <cell r="BR33">
            <v>0</v>
          </cell>
          <cell r="BS33"/>
          <cell r="BT33"/>
          <cell r="BU33"/>
          <cell r="BV33"/>
          <cell r="BW33"/>
          <cell r="BX33"/>
          <cell r="BY33">
            <v>0</v>
          </cell>
          <cell r="BZ33">
            <v>0</v>
          </cell>
          <cell r="CA33"/>
          <cell r="CB33"/>
          <cell r="CC33">
            <v>0</v>
          </cell>
          <cell r="CD33">
            <v>0</v>
          </cell>
          <cell r="CE33"/>
          <cell r="CF33"/>
          <cell r="CG33">
            <v>0</v>
          </cell>
          <cell r="CH33">
            <v>0</v>
          </cell>
          <cell r="CI33"/>
          <cell r="CJ33"/>
          <cell r="CK33">
            <v>0</v>
          </cell>
        </row>
        <row r="34">
          <cell r="A34">
            <v>9</v>
          </cell>
          <cell r="B34">
            <v>12</v>
          </cell>
          <cell r="C34" t="str">
            <v>Disposition and Recovery/Refund of Regulatory Balances (2010)7</v>
          </cell>
          <cell r="D34">
            <v>1595</v>
          </cell>
          <cell r="E34"/>
          <cell r="F34"/>
          <cell r="G34"/>
          <cell r="H34"/>
          <cell r="I34">
            <v>0</v>
          </cell>
          <cell r="J34"/>
          <cell r="K34"/>
          <cell r="L34"/>
          <cell r="M34"/>
          <cell r="N34">
            <v>0</v>
          </cell>
          <cell r="O34">
            <v>0</v>
          </cell>
          <cell r="P34"/>
          <cell r="Q34"/>
          <cell r="R34"/>
          <cell r="S34">
            <v>0</v>
          </cell>
          <cell r="T34">
            <v>0</v>
          </cell>
          <cell r="U34"/>
          <cell r="V34"/>
          <cell r="W34"/>
          <cell r="X34">
            <v>0</v>
          </cell>
          <cell r="Y34">
            <v>0</v>
          </cell>
          <cell r="Z34"/>
          <cell r="AA34"/>
          <cell r="AB34"/>
          <cell r="AC34">
            <v>0</v>
          </cell>
          <cell r="AD34">
            <v>0</v>
          </cell>
          <cell r="AE34"/>
          <cell r="AF34"/>
          <cell r="AG34"/>
          <cell r="AH34">
            <v>0</v>
          </cell>
          <cell r="AI34">
            <v>0</v>
          </cell>
          <cell r="AJ34"/>
          <cell r="AK34"/>
          <cell r="AL34"/>
          <cell r="AM34">
            <v>0</v>
          </cell>
          <cell r="AN34">
            <v>0</v>
          </cell>
          <cell r="AO34"/>
          <cell r="AP34"/>
          <cell r="AQ34"/>
          <cell r="AR34">
            <v>0</v>
          </cell>
          <cell r="AS34">
            <v>0</v>
          </cell>
          <cell r="AT34"/>
          <cell r="AU34"/>
          <cell r="AV34"/>
          <cell r="AW34">
            <v>0</v>
          </cell>
          <cell r="AX34">
            <v>0</v>
          </cell>
          <cell r="AY34"/>
          <cell r="AZ34"/>
          <cell r="BA34"/>
          <cell r="BB34">
            <v>0</v>
          </cell>
          <cell r="BC34">
            <v>0</v>
          </cell>
          <cell r="BD34"/>
          <cell r="BE34"/>
          <cell r="BF34"/>
          <cell r="BG34">
            <v>0</v>
          </cell>
          <cell r="BH34">
            <v>0</v>
          </cell>
          <cell r="BI34"/>
          <cell r="BJ34"/>
          <cell r="BK34"/>
          <cell r="BL34">
            <v>0</v>
          </cell>
          <cell r="BM34">
            <v>0</v>
          </cell>
          <cell r="BN34"/>
          <cell r="BO34"/>
          <cell r="BP34"/>
          <cell r="BQ34">
            <v>0</v>
          </cell>
          <cell r="BR34">
            <v>0</v>
          </cell>
          <cell r="BS34"/>
          <cell r="BT34"/>
          <cell r="BU34"/>
          <cell r="BV34"/>
          <cell r="BW34"/>
          <cell r="BX34"/>
          <cell r="BY34">
            <v>0</v>
          </cell>
          <cell r="BZ34">
            <v>0</v>
          </cell>
          <cell r="CA34"/>
          <cell r="CB34"/>
          <cell r="CC34">
            <v>0</v>
          </cell>
          <cell r="CD34">
            <v>0</v>
          </cell>
          <cell r="CE34"/>
          <cell r="CF34"/>
          <cell r="CG34">
            <v>0</v>
          </cell>
          <cell r="CH34">
            <v>0</v>
          </cell>
          <cell r="CI34"/>
          <cell r="CJ34"/>
          <cell r="CK34">
            <v>0</v>
          </cell>
        </row>
        <row r="35">
          <cell r="A35">
            <v>10</v>
          </cell>
          <cell r="B35">
            <v>13</v>
          </cell>
          <cell r="C35" t="str">
            <v>Disposition and Recovery/Refund of Regulatory Balances (2011)7</v>
          </cell>
          <cell r="D35">
            <v>1595</v>
          </cell>
          <cell r="E35"/>
          <cell r="F35"/>
          <cell r="G35"/>
          <cell r="H35"/>
          <cell r="I35">
            <v>0</v>
          </cell>
          <cell r="J35"/>
          <cell r="K35"/>
          <cell r="L35"/>
          <cell r="M35"/>
          <cell r="N35">
            <v>0</v>
          </cell>
          <cell r="O35">
            <v>0</v>
          </cell>
          <cell r="P35"/>
          <cell r="Q35"/>
          <cell r="R35"/>
          <cell r="S35">
            <v>0</v>
          </cell>
          <cell r="T35">
            <v>0</v>
          </cell>
          <cell r="U35"/>
          <cell r="V35"/>
          <cell r="W35"/>
          <cell r="X35">
            <v>0</v>
          </cell>
          <cell r="Y35">
            <v>0</v>
          </cell>
          <cell r="Z35"/>
          <cell r="AA35"/>
          <cell r="AB35"/>
          <cell r="AC35">
            <v>0</v>
          </cell>
          <cell r="AD35">
            <v>0</v>
          </cell>
          <cell r="AE35"/>
          <cell r="AF35"/>
          <cell r="AG35"/>
          <cell r="AH35">
            <v>0</v>
          </cell>
          <cell r="AI35">
            <v>0</v>
          </cell>
          <cell r="AJ35"/>
          <cell r="AK35"/>
          <cell r="AL35"/>
          <cell r="AM35">
            <v>0</v>
          </cell>
          <cell r="AN35">
            <v>0</v>
          </cell>
          <cell r="AO35"/>
          <cell r="AP35"/>
          <cell r="AQ35"/>
          <cell r="AR35">
            <v>0</v>
          </cell>
          <cell r="AS35">
            <v>0</v>
          </cell>
          <cell r="AT35"/>
          <cell r="AU35"/>
          <cell r="AV35"/>
          <cell r="AW35">
            <v>0</v>
          </cell>
          <cell r="AX35">
            <v>0</v>
          </cell>
          <cell r="AY35"/>
          <cell r="AZ35"/>
          <cell r="BA35"/>
          <cell r="BB35">
            <v>0</v>
          </cell>
          <cell r="BC35">
            <v>0</v>
          </cell>
          <cell r="BD35"/>
          <cell r="BE35"/>
          <cell r="BF35"/>
          <cell r="BG35">
            <v>0</v>
          </cell>
          <cell r="BH35">
            <v>0</v>
          </cell>
          <cell r="BI35"/>
          <cell r="BJ35"/>
          <cell r="BK35"/>
          <cell r="BL35">
            <v>0</v>
          </cell>
          <cell r="BM35">
            <v>0</v>
          </cell>
          <cell r="BN35"/>
          <cell r="BO35"/>
          <cell r="BP35"/>
          <cell r="BQ35">
            <v>0</v>
          </cell>
          <cell r="BR35">
            <v>0</v>
          </cell>
          <cell r="BS35"/>
          <cell r="BT35"/>
          <cell r="BU35"/>
          <cell r="BV35"/>
          <cell r="BW35"/>
          <cell r="BX35"/>
          <cell r="BY35">
            <v>0</v>
          </cell>
          <cell r="BZ35">
            <v>0</v>
          </cell>
          <cell r="CA35"/>
          <cell r="CB35"/>
          <cell r="CC35">
            <v>0</v>
          </cell>
          <cell r="CD35">
            <v>0</v>
          </cell>
          <cell r="CE35"/>
          <cell r="CF35"/>
          <cell r="CG35">
            <v>0</v>
          </cell>
          <cell r="CH35">
            <v>0</v>
          </cell>
          <cell r="CI35"/>
          <cell r="CJ35"/>
          <cell r="CK35">
            <v>0</v>
          </cell>
        </row>
        <row r="36">
          <cell r="A36">
            <v>11</v>
          </cell>
          <cell r="B36">
            <v>14</v>
          </cell>
          <cell r="C36" t="str">
            <v>Disposition and Recovery/Refund of Regulatory Balances (2012)7</v>
          </cell>
          <cell r="D36">
            <v>1595</v>
          </cell>
          <cell r="E36"/>
          <cell r="F36"/>
          <cell r="G36"/>
          <cell r="H36"/>
          <cell r="I36">
            <v>0</v>
          </cell>
          <cell r="J36"/>
          <cell r="K36"/>
          <cell r="L36"/>
          <cell r="M36"/>
          <cell r="N36">
            <v>0</v>
          </cell>
          <cell r="O36">
            <v>0</v>
          </cell>
          <cell r="P36"/>
          <cell r="Q36"/>
          <cell r="R36"/>
          <cell r="S36">
            <v>0</v>
          </cell>
          <cell r="T36">
            <v>0</v>
          </cell>
          <cell r="U36"/>
          <cell r="V36"/>
          <cell r="W36"/>
          <cell r="X36">
            <v>0</v>
          </cell>
          <cell r="Y36">
            <v>0</v>
          </cell>
          <cell r="Z36"/>
          <cell r="AA36"/>
          <cell r="AB36"/>
          <cell r="AC36">
            <v>0</v>
          </cell>
          <cell r="AD36">
            <v>0</v>
          </cell>
          <cell r="AE36"/>
          <cell r="AF36"/>
          <cell r="AG36"/>
          <cell r="AH36">
            <v>0</v>
          </cell>
          <cell r="AI36">
            <v>0</v>
          </cell>
          <cell r="AJ36"/>
          <cell r="AK36"/>
          <cell r="AL36"/>
          <cell r="AM36">
            <v>0</v>
          </cell>
          <cell r="AN36">
            <v>0</v>
          </cell>
          <cell r="AO36"/>
          <cell r="AP36"/>
          <cell r="AQ36"/>
          <cell r="AR36">
            <v>0</v>
          </cell>
          <cell r="AS36">
            <v>0</v>
          </cell>
          <cell r="AT36"/>
          <cell r="AU36"/>
          <cell r="AV36"/>
          <cell r="AW36">
            <v>0</v>
          </cell>
          <cell r="AX36">
            <v>0</v>
          </cell>
          <cell r="AY36"/>
          <cell r="AZ36"/>
          <cell r="BA36"/>
          <cell r="BB36">
            <v>0</v>
          </cell>
          <cell r="BC36">
            <v>0</v>
          </cell>
          <cell r="BD36"/>
          <cell r="BE36"/>
          <cell r="BF36"/>
          <cell r="BG36">
            <v>0</v>
          </cell>
          <cell r="BH36">
            <v>0</v>
          </cell>
          <cell r="BI36"/>
          <cell r="BJ36"/>
          <cell r="BK36"/>
          <cell r="BL36">
            <v>0</v>
          </cell>
          <cell r="BM36">
            <v>0</v>
          </cell>
          <cell r="BN36"/>
          <cell r="BO36"/>
          <cell r="BP36"/>
          <cell r="BQ36">
            <v>0</v>
          </cell>
          <cell r="BR36">
            <v>0</v>
          </cell>
          <cell r="BS36"/>
          <cell r="BT36"/>
          <cell r="BU36"/>
          <cell r="BV36"/>
          <cell r="BW36"/>
          <cell r="BX36"/>
          <cell r="BY36">
            <v>0</v>
          </cell>
          <cell r="BZ36">
            <v>0</v>
          </cell>
          <cell r="CA36"/>
          <cell r="CB36"/>
          <cell r="CC36">
            <v>0</v>
          </cell>
          <cell r="CD36">
            <v>0</v>
          </cell>
          <cell r="CE36"/>
          <cell r="CF36"/>
          <cell r="CG36">
            <v>0</v>
          </cell>
          <cell r="CH36">
            <v>0</v>
          </cell>
          <cell r="CI36"/>
          <cell r="CJ36"/>
          <cell r="CK36">
            <v>0</v>
          </cell>
        </row>
        <row r="37">
          <cell r="A37">
            <v>12</v>
          </cell>
          <cell r="B37">
            <v>15</v>
          </cell>
          <cell r="C37" t="str">
            <v>Disposition and Recovery/Refund of Regulatory Balances (2013)7</v>
          </cell>
          <cell r="D37">
            <v>1595</v>
          </cell>
          <cell r="E37"/>
          <cell r="F37"/>
          <cell r="G37"/>
          <cell r="H37"/>
          <cell r="I37">
            <v>0</v>
          </cell>
          <cell r="J37"/>
          <cell r="K37"/>
          <cell r="L37"/>
          <cell r="M37"/>
          <cell r="N37">
            <v>0</v>
          </cell>
          <cell r="O37">
            <v>0</v>
          </cell>
          <cell r="P37"/>
          <cell r="Q37"/>
          <cell r="R37"/>
          <cell r="S37">
            <v>0</v>
          </cell>
          <cell r="T37">
            <v>0</v>
          </cell>
          <cell r="U37"/>
          <cell r="V37"/>
          <cell r="W37"/>
          <cell r="X37">
            <v>0</v>
          </cell>
          <cell r="Y37">
            <v>0</v>
          </cell>
          <cell r="Z37"/>
          <cell r="AA37"/>
          <cell r="AB37"/>
          <cell r="AC37">
            <v>0</v>
          </cell>
          <cell r="AD37">
            <v>0</v>
          </cell>
          <cell r="AE37"/>
          <cell r="AF37"/>
          <cell r="AG37"/>
          <cell r="AH37">
            <v>0</v>
          </cell>
          <cell r="AI37">
            <v>0</v>
          </cell>
          <cell r="AJ37"/>
          <cell r="AK37"/>
          <cell r="AL37"/>
          <cell r="AM37">
            <v>0</v>
          </cell>
          <cell r="AN37">
            <v>0</v>
          </cell>
          <cell r="AO37"/>
          <cell r="AP37"/>
          <cell r="AQ37"/>
          <cell r="AR37">
            <v>0</v>
          </cell>
          <cell r="AS37">
            <v>0</v>
          </cell>
          <cell r="AT37"/>
          <cell r="AU37"/>
          <cell r="AV37"/>
          <cell r="AW37">
            <v>0</v>
          </cell>
          <cell r="AX37">
            <v>0</v>
          </cell>
          <cell r="AY37"/>
          <cell r="AZ37"/>
          <cell r="BA37"/>
          <cell r="BB37">
            <v>0</v>
          </cell>
          <cell r="BC37">
            <v>0</v>
          </cell>
          <cell r="BD37"/>
          <cell r="BE37"/>
          <cell r="BF37"/>
          <cell r="BG37">
            <v>0</v>
          </cell>
          <cell r="BH37">
            <v>0</v>
          </cell>
          <cell r="BI37"/>
          <cell r="BJ37"/>
          <cell r="BK37"/>
          <cell r="BL37">
            <v>0</v>
          </cell>
          <cell r="BM37">
            <v>0</v>
          </cell>
          <cell r="BN37"/>
          <cell r="BO37"/>
          <cell r="BP37"/>
          <cell r="BQ37">
            <v>0</v>
          </cell>
          <cell r="BR37">
            <v>0</v>
          </cell>
          <cell r="BS37"/>
          <cell r="BT37"/>
          <cell r="BU37"/>
          <cell r="BV37"/>
          <cell r="BW37"/>
          <cell r="BX37"/>
          <cell r="BY37">
            <v>0</v>
          </cell>
          <cell r="BZ37">
            <v>0</v>
          </cell>
          <cell r="CA37"/>
          <cell r="CB37"/>
          <cell r="CC37">
            <v>0</v>
          </cell>
          <cell r="CD37">
            <v>0</v>
          </cell>
          <cell r="CE37"/>
          <cell r="CF37"/>
          <cell r="CG37">
            <v>0</v>
          </cell>
          <cell r="CH37">
            <v>0</v>
          </cell>
          <cell r="CI37"/>
          <cell r="CJ37"/>
          <cell r="CK37">
            <v>0</v>
          </cell>
        </row>
        <row r="38">
          <cell r="A38">
            <v>13</v>
          </cell>
          <cell r="B38">
            <v>16</v>
          </cell>
          <cell r="C38" t="str">
            <v>Disposition and Recovery/Refund of Regulatory Balances (2014)7</v>
          </cell>
          <cell r="D38">
            <v>1595</v>
          </cell>
          <cell r="E38"/>
          <cell r="F38"/>
          <cell r="G38"/>
          <cell r="H38"/>
          <cell r="I38">
            <v>0</v>
          </cell>
          <cell r="J38"/>
          <cell r="K38"/>
          <cell r="L38"/>
          <cell r="M38"/>
          <cell r="N38">
            <v>0</v>
          </cell>
          <cell r="O38">
            <v>0</v>
          </cell>
          <cell r="P38"/>
          <cell r="Q38"/>
          <cell r="R38"/>
          <cell r="S38">
            <v>0</v>
          </cell>
          <cell r="T38">
            <v>0</v>
          </cell>
          <cell r="U38"/>
          <cell r="V38"/>
          <cell r="W38"/>
          <cell r="X38">
            <v>0</v>
          </cell>
          <cell r="Y38">
            <v>0</v>
          </cell>
          <cell r="Z38"/>
          <cell r="AA38"/>
          <cell r="AB38"/>
          <cell r="AC38">
            <v>0</v>
          </cell>
          <cell r="AD38">
            <v>0</v>
          </cell>
          <cell r="AE38"/>
          <cell r="AF38"/>
          <cell r="AG38"/>
          <cell r="AH38">
            <v>0</v>
          </cell>
          <cell r="AI38">
            <v>0</v>
          </cell>
          <cell r="AJ38"/>
          <cell r="AK38"/>
          <cell r="AL38"/>
          <cell r="AM38">
            <v>0</v>
          </cell>
          <cell r="AN38">
            <v>0</v>
          </cell>
          <cell r="AO38"/>
          <cell r="AP38"/>
          <cell r="AQ38"/>
          <cell r="AR38">
            <v>0</v>
          </cell>
          <cell r="AS38">
            <v>0</v>
          </cell>
          <cell r="AT38"/>
          <cell r="AU38"/>
          <cell r="AV38"/>
          <cell r="AW38">
            <v>0</v>
          </cell>
          <cell r="AX38">
            <v>0</v>
          </cell>
          <cell r="AY38"/>
          <cell r="AZ38"/>
          <cell r="BA38"/>
          <cell r="BB38">
            <v>0</v>
          </cell>
          <cell r="BC38">
            <v>0</v>
          </cell>
          <cell r="BD38"/>
          <cell r="BE38"/>
          <cell r="BF38"/>
          <cell r="BG38">
            <v>0</v>
          </cell>
          <cell r="BH38">
            <v>0</v>
          </cell>
          <cell r="BI38"/>
          <cell r="BJ38"/>
          <cell r="BK38"/>
          <cell r="BL38">
            <v>0</v>
          </cell>
          <cell r="BM38">
            <v>0</v>
          </cell>
          <cell r="BN38"/>
          <cell r="BO38"/>
          <cell r="BP38"/>
          <cell r="BQ38">
            <v>0</v>
          </cell>
          <cell r="BR38">
            <v>0</v>
          </cell>
          <cell r="BS38"/>
          <cell r="BT38"/>
          <cell r="BU38"/>
          <cell r="BV38"/>
          <cell r="BW38"/>
          <cell r="BX38"/>
          <cell r="BY38">
            <v>0</v>
          </cell>
          <cell r="BZ38">
            <v>0</v>
          </cell>
          <cell r="CA38"/>
          <cell r="CB38"/>
          <cell r="CC38">
            <v>0</v>
          </cell>
          <cell r="CD38">
            <v>0</v>
          </cell>
          <cell r="CE38"/>
          <cell r="CF38"/>
          <cell r="CG38">
            <v>0</v>
          </cell>
          <cell r="CH38">
            <v>0</v>
          </cell>
          <cell r="CI38"/>
          <cell r="CJ38"/>
          <cell r="CK38">
            <v>0</v>
          </cell>
        </row>
        <row r="39">
          <cell r="A39">
            <v>14</v>
          </cell>
          <cell r="B39">
            <v>17</v>
          </cell>
          <cell r="C39" t="str">
            <v>Disposition and Recovery/Refund of Regulatory Balances (2015)7</v>
          </cell>
          <cell r="D39">
            <v>1595</v>
          </cell>
          <cell r="E39"/>
          <cell r="F39"/>
          <cell r="G39"/>
          <cell r="H39"/>
          <cell r="I39">
            <v>0</v>
          </cell>
          <cell r="J39"/>
          <cell r="K39"/>
          <cell r="L39"/>
          <cell r="M39"/>
          <cell r="N39">
            <v>0</v>
          </cell>
          <cell r="O39">
            <v>0</v>
          </cell>
          <cell r="P39"/>
          <cell r="Q39"/>
          <cell r="R39"/>
          <cell r="S39">
            <v>0</v>
          </cell>
          <cell r="T39">
            <v>0</v>
          </cell>
          <cell r="U39"/>
          <cell r="V39"/>
          <cell r="W39"/>
          <cell r="X39">
            <v>0</v>
          </cell>
          <cell r="Y39">
            <v>0</v>
          </cell>
          <cell r="Z39"/>
          <cell r="AA39"/>
          <cell r="AB39"/>
          <cell r="AC39">
            <v>0</v>
          </cell>
          <cell r="AD39">
            <v>0</v>
          </cell>
          <cell r="AE39"/>
          <cell r="AF39"/>
          <cell r="AG39"/>
          <cell r="AH39">
            <v>0</v>
          </cell>
          <cell r="AI39">
            <v>0</v>
          </cell>
          <cell r="AJ39"/>
          <cell r="AK39"/>
          <cell r="AL39"/>
          <cell r="AM39">
            <v>0</v>
          </cell>
          <cell r="AN39">
            <v>0</v>
          </cell>
          <cell r="AO39"/>
          <cell r="AP39"/>
          <cell r="AQ39"/>
          <cell r="AR39">
            <v>0</v>
          </cell>
          <cell r="AS39">
            <v>0</v>
          </cell>
          <cell r="AT39"/>
          <cell r="AU39"/>
          <cell r="AV39"/>
          <cell r="AW39">
            <v>0</v>
          </cell>
          <cell r="AX39">
            <v>0</v>
          </cell>
          <cell r="AY39"/>
          <cell r="AZ39"/>
          <cell r="BA39"/>
          <cell r="BB39">
            <v>0</v>
          </cell>
          <cell r="BC39">
            <v>0</v>
          </cell>
          <cell r="BD39"/>
          <cell r="BE39"/>
          <cell r="BF39"/>
          <cell r="BG39">
            <v>0</v>
          </cell>
          <cell r="BH39">
            <v>0</v>
          </cell>
          <cell r="BI39"/>
          <cell r="BJ39"/>
          <cell r="BK39"/>
          <cell r="BL39">
            <v>0</v>
          </cell>
          <cell r="BM39">
            <v>0</v>
          </cell>
          <cell r="BN39"/>
          <cell r="BO39"/>
          <cell r="BP39"/>
          <cell r="BQ39">
            <v>0</v>
          </cell>
          <cell r="BR39">
            <v>0</v>
          </cell>
          <cell r="BS39"/>
          <cell r="BT39"/>
          <cell r="BU39"/>
          <cell r="BV39"/>
          <cell r="BW39"/>
          <cell r="BX39"/>
          <cell r="BY39">
            <v>0</v>
          </cell>
          <cell r="BZ39">
            <v>0</v>
          </cell>
          <cell r="CA39"/>
          <cell r="CB39"/>
          <cell r="CC39">
            <v>0</v>
          </cell>
          <cell r="CD39">
            <v>0</v>
          </cell>
          <cell r="CE39"/>
          <cell r="CF39"/>
          <cell r="CG39">
            <v>0</v>
          </cell>
          <cell r="CH39">
            <v>0</v>
          </cell>
          <cell r="CI39"/>
          <cell r="CJ39"/>
          <cell r="CK39">
            <v>0</v>
          </cell>
        </row>
        <row r="40">
          <cell r="A40">
            <v>15</v>
          </cell>
          <cell r="B40">
            <v>18</v>
          </cell>
          <cell r="C40" t="str">
            <v>Disposition and Recovery/Refund of Regulatory Balances (2016)7</v>
          </cell>
          <cell r="D40">
            <v>1595</v>
          </cell>
          <cell r="E40"/>
          <cell r="F40"/>
          <cell r="G40"/>
          <cell r="H40"/>
          <cell r="I40">
            <v>0</v>
          </cell>
          <cell r="J40"/>
          <cell r="K40"/>
          <cell r="L40"/>
          <cell r="M40"/>
          <cell r="N40">
            <v>0</v>
          </cell>
          <cell r="O40">
            <v>0</v>
          </cell>
          <cell r="P40"/>
          <cell r="Q40"/>
          <cell r="R40"/>
          <cell r="S40">
            <v>0</v>
          </cell>
          <cell r="T40">
            <v>0</v>
          </cell>
          <cell r="U40"/>
          <cell r="V40"/>
          <cell r="W40"/>
          <cell r="X40">
            <v>0</v>
          </cell>
          <cell r="Y40">
            <v>0</v>
          </cell>
          <cell r="Z40"/>
          <cell r="AA40"/>
          <cell r="AB40"/>
          <cell r="AC40">
            <v>0</v>
          </cell>
          <cell r="AD40">
            <v>0</v>
          </cell>
          <cell r="AE40"/>
          <cell r="AF40"/>
          <cell r="AG40"/>
          <cell r="AH40">
            <v>0</v>
          </cell>
          <cell r="AI40">
            <v>0</v>
          </cell>
          <cell r="AJ40"/>
          <cell r="AK40"/>
          <cell r="AL40"/>
          <cell r="AM40">
            <v>0</v>
          </cell>
          <cell r="AN40">
            <v>0</v>
          </cell>
          <cell r="AO40"/>
          <cell r="AP40"/>
          <cell r="AQ40"/>
          <cell r="AR40">
            <v>0</v>
          </cell>
          <cell r="AS40">
            <v>0</v>
          </cell>
          <cell r="AT40"/>
          <cell r="AU40"/>
          <cell r="AV40"/>
          <cell r="AW40">
            <v>0</v>
          </cell>
          <cell r="AX40">
            <v>0</v>
          </cell>
          <cell r="AY40"/>
          <cell r="AZ40"/>
          <cell r="BA40"/>
          <cell r="BB40">
            <v>0</v>
          </cell>
          <cell r="BC40">
            <v>0</v>
          </cell>
          <cell r="BD40"/>
          <cell r="BE40"/>
          <cell r="BF40"/>
          <cell r="BG40">
            <v>0</v>
          </cell>
          <cell r="BH40">
            <v>0</v>
          </cell>
          <cell r="BI40"/>
          <cell r="BJ40"/>
          <cell r="BK40"/>
          <cell r="BL40">
            <v>0</v>
          </cell>
          <cell r="BM40">
            <v>0</v>
          </cell>
          <cell r="BN40"/>
          <cell r="BO40"/>
          <cell r="BP40"/>
          <cell r="BQ40">
            <v>0</v>
          </cell>
          <cell r="BR40">
            <v>0</v>
          </cell>
          <cell r="BS40"/>
          <cell r="BT40"/>
          <cell r="BU40"/>
          <cell r="BV40"/>
          <cell r="BW40"/>
          <cell r="BX40"/>
          <cell r="BY40">
            <v>0</v>
          </cell>
          <cell r="BZ40">
            <v>0</v>
          </cell>
          <cell r="CA40"/>
          <cell r="CB40"/>
          <cell r="CC40">
            <v>0</v>
          </cell>
          <cell r="CD40">
            <v>0</v>
          </cell>
          <cell r="CE40"/>
          <cell r="CF40"/>
          <cell r="CG40">
            <v>0</v>
          </cell>
          <cell r="CH40">
            <v>0</v>
          </cell>
          <cell r="CI40"/>
          <cell r="CJ40"/>
          <cell r="CK40">
            <v>0</v>
          </cell>
        </row>
        <row r="41">
          <cell r="A41"/>
          <cell r="B41">
            <v>19</v>
          </cell>
          <cell r="C41" t="str">
            <v>Not to be disposed of until a year after rate rider has expired and that balance has been audited</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row>
        <row r="42">
          <cell r="A42"/>
          <cell r="B42">
            <v>20</v>
          </cell>
          <cell r="C42"/>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row>
        <row r="43">
          <cell r="A43"/>
          <cell r="B43"/>
          <cell r="C43" t="str">
            <v>Group 1 Sub-Total (including Account 1589 - Global Adjustment)</v>
          </cell>
          <cell r="D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cell r="CJ43"/>
          <cell r="CK43">
            <v>0</v>
          </cell>
        </row>
        <row r="44">
          <cell r="A44"/>
          <cell r="B44"/>
          <cell r="C44" t="str">
            <v>Group 1 Sub-Total (excluding Account 1589 - Global Adjustment)</v>
          </cell>
          <cell r="D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cell r="CJ44">
            <v>0</v>
          </cell>
          <cell r="CK44">
            <v>0</v>
          </cell>
        </row>
        <row r="45">
          <cell r="A45"/>
          <cell r="B45"/>
          <cell r="C45" t="str">
            <v>RSVA - Global Adjustment 12</v>
          </cell>
          <cell r="D45">
            <v>1589</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cell r="CJ45">
            <v>0</v>
          </cell>
          <cell r="CK45">
            <v>0</v>
          </cell>
        </row>
        <row r="46">
          <cell r="A46"/>
          <cell r="B46"/>
          <cell r="C46"/>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row>
        <row r="47">
          <cell r="A47"/>
          <cell r="B47"/>
          <cell r="C47" t="str">
            <v>Group 2 Accounts</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row>
        <row r="48">
          <cell r="A48">
            <v>16</v>
          </cell>
          <cell r="B48"/>
          <cell r="C48" t="str">
            <v>Deferred IFRS Transition Costs</v>
          </cell>
          <cell r="D48">
            <v>1508</v>
          </cell>
          <cell r="E48"/>
          <cell r="F48"/>
          <cell r="G48"/>
          <cell r="H48"/>
          <cell r="I48">
            <v>0</v>
          </cell>
          <cell r="J48"/>
          <cell r="K48"/>
          <cell r="L48"/>
          <cell r="M48"/>
          <cell r="N48">
            <v>0</v>
          </cell>
          <cell r="O48">
            <v>0</v>
          </cell>
          <cell r="P48"/>
          <cell r="Q48"/>
          <cell r="R48"/>
          <cell r="S48">
            <v>0</v>
          </cell>
          <cell r="T48">
            <v>0</v>
          </cell>
          <cell r="U48"/>
          <cell r="V48"/>
          <cell r="W48"/>
          <cell r="X48">
            <v>0</v>
          </cell>
          <cell r="Y48">
            <v>0</v>
          </cell>
          <cell r="Z48"/>
          <cell r="AA48"/>
          <cell r="AB48"/>
          <cell r="AC48">
            <v>0</v>
          </cell>
          <cell r="AD48">
            <v>0</v>
          </cell>
          <cell r="AE48"/>
          <cell r="AF48"/>
          <cell r="AG48"/>
          <cell r="AH48">
            <v>0</v>
          </cell>
          <cell r="AI48">
            <v>0</v>
          </cell>
          <cell r="AJ48"/>
          <cell r="AK48"/>
          <cell r="AL48"/>
          <cell r="AM48">
            <v>0</v>
          </cell>
          <cell r="AN48">
            <v>0</v>
          </cell>
          <cell r="AO48"/>
          <cell r="AP48"/>
          <cell r="AQ48"/>
          <cell r="AR48">
            <v>0</v>
          </cell>
          <cell r="AS48">
            <v>0</v>
          </cell>
          <cell r="AT48"/>
          <cell r="AU48"/>
          <cell r="AV48"/>
          <cell r="AW48">
            <v>0</v>
          </cell>
          <cell r="AX48">
            <v>0</v>
          </cell>
          <cell r="AY48"/>
          <cell r="AZ48"/>
          <cell r="BA48"/>
          <cell r="BB48">
            <v>0</v>
          </cell>
          <cell r="BC48">
            <v>0</v>
          </cell>
          <cell r="BD48"/>
          <cell r="BE48"/>
          <cell r="BF48"/>
          <cell r="BG48">
            <v>0</v>
          </cell>
          <cell r="BH48">
            <v>0</v>
          </cell>
          <cell r="BI48"/>
          <cell r="BJ48"/>
          <cell r="BK48"/>
          <cell r="BL48">
            <v>0</v>
          </cell>
          <cell r="BM48">
            <v>0</v>
          </cell>
          <cell r="BN48"/>
          <cell r="BO48"/>
          <cell r="BP48"/>
          <cell r="BQ48">
            <v>0</v>
          </cell>
          <cell r="BR48">
            <v>0</v>
          </cell>
          <cell r="BS48"/>
          <cell r="BT48"/>
          <cell r="BU48"/>
          <cell r="BV48">
            <v>0</v>
          </cell>
          <cell r="BW48"/>
          <cell r="BX48"/>
          <cell r="BY48">
            <v>0</v>
          </cell>
          <cell r="BZ48">
            <v>0</v>
          </cell>
          <cell r="CA48"/>
          <cell r="CB48"/>
          <cell r="CC48">
            <v>0</v>
          </cell>
          <cell r="CD48">
            <v>0</v>
          </cell>
          <cell r="CE48"/>
          <cell r="CF48"/>
          <cell r="CG48">
            <v>0</v>
          </cell>
          <cell r="CH48">
            <v>0</v>
          </cell>
          <cell r="CI48" t="str">
            <v>No</v>
          </cell>
          <cell r="CJ48">
            <v>0</v>
          </cell>
          <cell r="CK48">
            <v>0</v>
          </cell>
        </row>
        <row r="49">
          <cell r="A49">
            <v>17</v>
          </cell>
          <cell r="B49"/>
          <cell r="C49" t="str">
            <v>Pole Attachment Revenue Variance5</v>
          </cell>
          <cell r="D49">
            <v>1508</v>
          </cell>
          <cell r="E49"/>
          <cell r="F49"/>
          <cell r="G49"/>
          <cell r="H49"/>
          <cell r="I49">
            <v>0</v>
          </cell>
          <cell r="J49"/>
          <cell r="K49"/>
          <cell r="L49"/>
          <cell r="M49"/>
          <cell r="N49">
            <v>0</v>
          </cell>
          <cell r="O49">
            <v>0</v>
          </cell>
          <cell r="P49"/>
          <cell r="Q49"/>
          <cell r="R49"/>
          <cell r="S49">
            <v>0</v>
          </cell>
          <cell r="T49">
            <v>0</v>
          </cell>
          <cell r="U49"/>
          <cell r="V49"/>
          <cell r="W49"/>
          <cell r="X49">
            <v>0</v>
          </cell>
          <cell r="Y49">
            <v>0</v>
          </cell>
          <cell r="Z49"/>
          <cell r="AA49"/>
          <cell r="AB49"/>
          <cell r="AC49">
            <v>0</v>
          </cell>
          <cell r="AD49">
            <v>0</v>
          </cell>
          <cell r="AE49"/>
          <cell r="AF49"/>
          <cell r="AG49"/>
          <cell r="AH49">
            <v>0</v>
          </cell>
          <cell r="AI49">
            <v>0</v>
          </cell>
          <cell r="AJ49"/>
          <cell r="AK49"/>
          <cell r="AL49"/>
          <cell r="AM49">
            <v>0</v>
          </cell>
          <cell r="AN49">
            <v>0</v>
          </cell>
          <cell r="AO49"/>
          <cell r="AP49"/>
          <cell r="AQ49"/>
          <cell r="AR49">
            <v>0</v>
          </cell>
          <cell r="AS49">
            <v>0</v>
          </cell>
          <cell r="AT49"/>
          <cell r="AU49"/>
          <cell r="AV49"/>
          <cell r="AW49">
            <v>0</v>
          </cell>
          <cell r="AX49">
            <v>0</v>
          </cell>
          <cell r="AY49"/>
          <cell r="AZ49"/>
          <cell r="BA49"/>
          <cell r="BB49">
            <v>0</v>
          </cell>
          <cell r="BC49">
            <v>0</v>
          </cell>
          <cell r="BD49">
            <v>1106756.19</v>
          </cell>
          <cell r="BE49"/>
          <cell r="BF49"/>
          <cell r="BG49">
            <v>1106756.19</v>
          </cell>
          <cell r="BH49">
            <v>0</v>
          </cell>
          <cell r="BI49">
            <v>8923.2218302500005</v>
          </cell>
          <cell r="BJ49"/>
          <cell r="BK49"/>
          <cell r="BL49">
            <v>8923.2218302500005</v>
          </cell>
          <cell r="BM49">
            <v>1106756.19</v>
          </cell>
          <cell r="BN49">
            <v>1562413.2450000006</v>
          </cell>
          <cell r="BO49"/>
          <cell r="BP49"/>
          <cell r="BQ49">
            <v>2669169.4350000005</v>
          </cell>
          <cell r="BR49">
            <v>8923.2218302500005</v>
          </cell>
          <cell r="BS49">
            <v>74685.266101125017</v>
          </cell>
          <cell r="BT49"/>
          <cell r="BU49"/>
          <cell r="BV49">
            <v>83608.487931375013</v>
          </cell>
          <cell r="BW49">
            <v>1374923</v>
          </cell>
          <cell r="BX49"/>
          <cell r="BY49">
            <v>4044092.4350000005</v>
          </cell>
          <cell r="BZ49">
            <v>83608.487931375013</v>
          </cell>
          <cell r="CA49"/>
          <cell r="CB49"/>
          <cell r="CC49">
            <v>4044092.4350000005</v>
          </cell>
          <cell r="CD49">
            <v>83608.487931375013</v>
          </cell>
          <cell r="CE49">
            <v>174843.62924399998</v>
          </cell>
          <cell r="CF49"/>
          <cell r="CG49">
            <v>258452.11717537499</v>
          </cell>
          <cell r="CH49">
            <v>4302544.5521753756</v>
          </cell>
          <cell r="CI49" t="str">
            <v>Yes</v>
          </cell>
          <cell r="CJ49">
            <v>2752778</v>
          </cell>
          <cell r="CK49">
            <v>7.7068624552339315E-2</v>
          </cell>
        </row>
        <row r="50">
          <cell r="A50">
            <v>18</v>
          </cell>
          <cell r="B50"/>
          <cell r="C50" t="str">
            <v>Retail Service Charge Incremental Revenue6</v>
          </cell>
          <cell r="D50">
            <v>1508</v>
          </cell>
          <cell r="E50"/>
          <cell r="F50"/>
          <cell r="G50"/>
          <cell r="H50"/>
          <cell r="I50">
            <v>0</v>
          </cell>
          <cell r="J50"/>
          <cell r="K50"/>
          <cell r="L50"/>
          <cell r="M50"/>
          <cell r="N50">
            <v>0</v>
          </cell>
          <cell r="O50">
            <v>0</v>
          </cell>
          <cell r="P50"/>
          <cell r="Q50"/>
          <cell r="R50"/>
          <cell r="S50">
            <v>0</v>
          </cell>
          <cell r="T50">
            <v>0</v>
          </cell>
          <cell r="U50"/>
          <cell r="V50"/>
          <cell r="W50"/>
          <cell r="X50">
            <v>0</v>
          </cell>
          <cell r="Y50">
            <v>0</v>
          </cell>
          <cell r="Z50"/>
          <cell r="AA50"/>
          <cell r="AB50"/>
          <cell r="AC50">
            <v>0</v>
          </cell>
          <cell r="AD50">
            <v>0</v>
          </cell>
          <cell r="AE50"/>
          <cell r="AF50"/>
          <cell r="AG50"/>
          <cell r="AH50">
            <v>0</v>
          </cell>
          <cell r="AI50">
            <v>0</v>
          </cell>
          <cell r="AJ50"/>
          <cell r="AK50"/>
          <cell r="AL50"/>
          <cell r="AM50">
            <v>0</v>
          </cell>
          <cell r="AN50">
            <v>0</v>
          </cell>
          <cell r="AO50"/>
          <cell r="AP50"/>
          <cell r="AQ50"/>
          <cell r="AR50">
            <v>0</v>
          </cell>
          <cell r="AS50">
            <v>0</v>
          </cell>
          <cell r="AT50"/>
          <cell r="AU50"/>
          <cell r="AV50"/>
          <cell r="AW50">
            <v>0</v>
          </cell>
          <cell r="AX50">
            <v>0</v>
          </cell>
          <cell r="AY50"/>
          <cell r="AZ50"/>
          <cell r="BA50"/>
          <cell r="BB50">
            <v>0</v>
          </cell>
          <cell r="BC50">
            <v>0</v>
          </cell>
          <cell r="BD50"/>
          <cell r="BE50"/>
          <cell r="BF50"/>
          <cell r="BG50">
            <v>0</v>
          </cell>
          <cell r="BH50">
            <v>0</v>
          </cell>
          <cell r="BI50"/>
          <cell r="BJ50"/>
          <cell r="BK50"/>
          <cell r="BL50">
            <v>0</v>
          </cell>
          <cell r="BM50">
            <v>0</v>
          </cell>
          <cell r="BN50"/>
          <cell r="BO50"/>
          <cell r="BP50"/>
          <cell r="BQ50">
            <v>0</v>
          </cell>
          <cell r="BR50">
            <v>0</v>
          </cell>
          <cell r="BS50"/>
          <cell r="BT50"/>
          <cell r="BU50"/>
          <cell r="BV50">
            <v>0</v>
          </cell>
          <cell r="BW50"/>
          <cell r="BX50"/>
          <cell r="BY50">
            <v>0</v>
          </cell>
          <cell r="BZ50">
            <v>0</v>
          </cell>
          <cell r="CA50"/>
          <cell r="CB50"/>
          <cell r="CC50">
            <v>0</v>
          </cell>
          <cell r="CD50">
            <v>0</v>
          </cell>
          <cell r="CE50"/>
          <cell r="CF50"/>
          <cell r="CG50">
            <v>0</v>
          </cell>
          <cell r="CH50">
            <v>0</v>
          </cell>
          <cell r="CI50" t="str">
            <v>No</v>
          </cell>
          <cell r="CJ50"/>
          <cell r="CK50">
            <v>0</v>
          </cell>
        </row>
        <row r="51">
          <cell r="A51">
            <v>19</v>
          </cell>
          <cell r="B51"/>
          <cell r="C51" t="str">
            <v>Customer Choice Initiative Costs7</v>
          </cell>
          <cell r="D51">
            <v>1508</v>
          </cell>
          <cell r="E51"/>
          <cell r="F51"/>
          <cell r="G51"/>
          <cell r="H51"/>
          <cell r="I51">
            <v>0</v>
          </cell>
          <cell r="J51"/>
          <cell r="K51"/>
          <cell r="L51"/>
          <cell r="M51"/>
          <cell r="N51">
            <v>0</v>
          </cell>
          <cell r="O51">
            <v>0</v>
          </cell>
          <cell r="P51"/>
          <cell r="Q51"/>
          <cell r="R51"/>
          <cell r="S51">
            <v>0</v>
          </cell>
          <cell r="T51">
            <v>0</v>
          </cell>
          <cell r="U51"/>
          <cell r="V51"/>
          <cell r="W51"/>
          <cell r="X51">
            <v>0</v>
          </cell>
          <cell r="Y51">
            <v>0</v>
          </cell>
          <cell r="Z51"/>
          <cell r="AA51"/>
          <cell r="AB51"/>
          <cell r="AC51">
            <v>0</v>
          </cell>
          <cell r="AD51">
            <v>0</v>
          </cell>
          <cell r="AE51"/>
          <cell r="AF51"/>
          <cell r="AG51"/>
          <cell r="AH51">
            <v>0</v>
          </cell>
          <cell r="AI51">
            <v>0</v>
          </cell>
          <cell r="AJ51"/>
          <cell r="AK51"/>
          <cell r="AL51"/>
          <cell r="AM51">
            <v>0</v>
          </cell>
          <cell r="AN51">
            <v>0</v>
          </cell>
          <cell r="AO51"/>
          <cell r="AP51"/>
          <cell r="AQ51"/>
          <cell r="AR51">
            <v>0</v>
          </cell>
          <cell r="AS51">
            <v>0</v>
          </cell>
          <cell r="AT51">
            <v>-206981</v>
          </cell>
          <cell r="AU51"/>
          <cell r="AV51"/>
          <cell r="AW51">
            <v>-206981</v>
          </cell>
          <cell r="AX51">
            <v>0</v>
          </cell>
          <cell r="AY51">
            <v>-98.315975000000009</v>
          </cell>
          <cell r="AZ51"/>
          <cell r="BA51"/>
          <cell r="BB51">
            <v>-98.315975000000009</v>
          </cell>
          <cell r="BC51">
            <v>-206981</v>
          </cell>
          <cell r="BD51">
            <v>264547.59000000003</v>
          </cell>
          <cell r="BE51"/>
          <cell r="BF51"/>
          <cell r="BG51">
            <v>57566.590000000026</v>
          </cell>
          <cell r="BH51">
            <v>-98.315975000000009</v>
          </cell>
          <cell r="BI51">
            <v>-725.73326249999923</v>
          </cell>
          <cell r="BJ51"/>
          <cell r="BK51"/>
          <cell r="BL51">
            <v>-824.04923749999921</v>
          </cell>
          <cell r="BM51">
            <v>57566.590000000026</v>
          </cell>
          <cell r="BN51">
            <v>253399.79052930372</v>
          </cell>
          <cell r="BO51"/>
          <cell r="BP51"/>
          <cell r="BQ51">
            <v>310966.38052930374</v>
          </cell>
          <cell r="BR51">
            <v>-824.04923749999921</v>
          </cell>
          <cell r="BS51">
            <v>8944.1256687147343</v>
          </cell>
          <cell r="BT51"/>
          <cell r="BU51"/>
          <cell r="BV51">
            <v>8120.0764312147348</v>
          </cell>
          <cell r="BW51">
            <v>242251.95956068067</v>
          </cell>
          <cell r="BX51"/>
          <cell r="BY51">
            <v>553218.34008998447</v>
          </cell>
          <cell r="BZ51">
            <v>8120.0764312147348</v>
          </cell>
          <cell r="CA51"/>
          <cell r="CB51"/>
          <cell r="CC51">
            <v>553218.34008998447</v>
          </cell>
          <cell r="CD51">
            <v>8120.0764312147348</v>
          </cell>
          <cell r="CE51">
            <v>23167.720870504403</v>
          </cell>
          <cell r="CF51"/>
          <cell r="CG51">
            <v>31287.79730171914</v>
          </cell>
          <cell r="CH51">
            <v>584506.13739170355</v>
          </cell>
          <cell r="CI51" t="str">
            <v>Yes</v>
          </cell>
          <cell r="CJ51">
            <v>319086</v>
          </cell>
          <cell r="CK51">
            <v>-0.45696051849517971</v>
          </cell>
        </row>
        <row r="52">
          <cell r="A52">
            <v>20</v>
          </cell>
          <cell r="B52"/>
          <cell r="C52" t="str">
            <v>Local Initiatives Program Costs9</v>
          </cell>
          <cell r="D52">
            <v>1508</v>
          </cell>
          <cell r="E52"/>
          <cell r="F52"/>
          <cell r="G52"/>
          <cell r="H52"/>
          <cell r="I52">
            <v>0</v>
          </cell>
          <cell r="J52"/>
          <cell r="K52"/>
          <cell r="L52"/>
          <cell r="M52"/>
          <cell r="N52">
            <v>0</v>
          </cell>
          <cell r="O52">
            <v>0</v>
          </cell>
          <cell r="P52"/>
          <cell r="Q52"/>
          <cell r="R52"/>
          <cell r="S52">
            <v>0</v>
          </cell>
          <cell r="T52">
            <v>0</v>
          </cell>
          <cell r="U52"/>
          <cell r="V52"/>
          <cell r="W52"/>
          <cell r="X52">
            <v>0</v>
          </cell>
          <cell r="Y52">
            <v>0</v>
          </cell>
          <cell r="Z52"/>
          <cell r="AA52"/>
          <cell r="AB52"/>
          <cell r="AC52">
            <v>0</v>
          </cell>
          <cell r="AD52">
            <v>0</v>
          </cell>
          <cell r="AE52"/>
          <cell r="AF52"/>
          <cell r="AG52"/>
          <cell r="AH52">
            <v>0</v>
          </cell>
          <cell r="AI52">
            <v>0</v>
          </cell>
          <cell r="AJ52"/>
          <cell r="AK52"/>
          <cell r="AL52"/>
          <cell r="AM52">
            <v>0</v>
          </cell>
          <cell r="AN52">
            <v>0</v>
          </cell>
          <cell r="AO52"/>
          <cell r="AP52"/>
          <cell r="AQ52"/>
          <cell r="AR52">
            <v>0</v>
          </cell>
          <cell r="AS52">
            <v>0</v>
          </cell>
          <cell r="AT52">
            <v>1339.42</v>
          </cell>
          <cell r="AU52"/>
          <cell r="AV52"/>
          <cell r="AW52">
            <v>1339.42</v>
          </cell>
          <cell r="AX52">
            <v>0</v>
          </cell>
          <cell r="AY52">
            <v>0.63622450000000008</v>
          </cell>
          <cell r="AZ52"/>
          <cell r="BA52"/>
          <cell r="BB52">
            <v>0.63622450000000008</v>
          </cell>
          <cell r="BC52">
            <v>1339.42</v>
          </cell>
          <cell r="BD52">
            <v>2269.395</v>
          </cell>
          <cell r="BE52"/>
          <cell r="BF52"/>
          <cell r="BG52">
            <v>3608.8150000000001</v>
          </cell>
          <cell r="BH52">
            <v>0.63622450000000008</v>
          </cell>
          <cell r="BI52">
            <v>63.678385374999984</v>
          </cell>
          <cell r="BJ52"/>
          <cell r="BK52"/>
          <cell r="BL52">
            <v>64.314609874999988</v>
          </cell>
          <cell r="BM52">
            <v>3608.8150000000001</v>
          </cell>
          <cell r="BN52"/>
          <cell r="BO52"/>
          <cell r="BP52"/>
          <cell r="BQ52">
            <v>3608.8150000000001</v>
          </cell>
          <cell r="BR52">
            <v>64.314609874999988</v>
          </cell>
          <cell r="BS52">
            <v>182.06471674999997</v>
          </cell>
          <cell r="BT52"/>
          <cell r="BU52"/>
          <cell r="BV52">
            <v>246.37932662499998</v>
          </cell>
          <cell r="BW52"/>
          <cell r="BX52"/>
          <cell r="BY52">
            <v>3608.8150000000001</v>
          </cell>
          <cell r="BZ52">
            <v>246.37932662499998</v>
          </cell>
          <cell r="CA52"/>
          <cell r="CB52"/>
          <cell r="CC52">
            <v>3608.8150000000001</v>
          </cell>
          <cell r="CD52">
            <v>246.37932662499998</v>
          </cell>
          <cell r="CE52">
            <v>198.1239435</v>
          </cell>
          <cell r="CF52"/>
          <cell r="CG52">
            <v>444.50327012499997</v>
          </cell>
          <cell r="CH52">
            <v>4053.3182701249998</v>
          </cell>
          <cell r="CI52" t="str">
            <v>No</v>
          </cell>
          <cell r="CJ52">
            <v>3855</v>
          </cell>
          <cell r="CK52">
            <v>-0.19432662500003062</v>
          </cell>
        </row>
        <row r="53">
          <cell r="A53"/>
          <cell r="B53"/>
          <cell r="C53" t="str">
            <v>Ultra-Low Overnight Rate Costs</v>
          </cell>
          <cell r="D53">
            <v>1508</v>
          </cell>
          <cell r="E53"/>
          <cell r="F53"/>
          <cell r="G53"/>
          <cell r="H53"/>
          <cell r="I53">
            <v>0</v>
          </cell>
          <cell r="J53"/>
          <cell r="K53"/>
          <cell r="L53"/>
          <cell r="M53"/>
          <cell r="N53">
            <v>0</v>
          </cell>
          <cell r="O53">
            <v>0</v>
          </cell>
          <cell r="P53"/>
          <cell r="Q53"/>
          <cell r="R53"/>
          <cell r="S53">
            <v>0</v>
          </cell>
          <cell r="T53">
            <v>0</v>
          </cell>
          <cell r="U53"/>
          <cell r="V53"/>
          <cell r="W53"/>
          <cell r="X53">
            <v>0</v>
          </cell>
          <cell r="Y53">
            <v>0</v>
          </cell>
          <cell r="Z53"/>
          <cell r="AA53"/>
          <cell r="AB53"/>
          <cell r="AC53">
            <v>0</v>
          </cell>
          <cell r="AD53">
            <v>0</v>
          </cell>
          <cell r="AE53"/>
          <cell r="AF53"/>
          <cell r="AG53"/>
          <cell r="AH53">
            <v>0</v>
          </cell>
          <cell r="AI53">
            <v>0</v>
          </cell>
          <cell r="AJ53"/>
          <cell r="AK53"/>
          <cell r="AL53"/>
          <cell r="AM53">
            <v>0</v>
          </cell>
          <cell r="AN53">
            <v>0</v>
          </cell>
          <cell r="AO53"/>
          <cell r="AP53"/>
          <cell r="AQ53"/>
          <cell r="AR53">
            <v>0</v>
          </cell>
          <cell r="AS53">
            <v>0</v>
          </cell>
          <cell r="AT53"/>
          <cell r="AU53"/>
          <cell r="AV53"/>
          <cell r="AW53">
            <v>0</v>
          </cell>
          <cell r="AX53">
            <v>0</v>
          </cell>
          <cell r="AY53"/>
          <cell r="AZ53"/>
          <cell r="BA53"/>
          <cell r="BB53">
            <v>0</v>
          </cell>
          <cell r="BC53">
            <v>0</v>
          </cell>
          <cell r="BD53"/>
          <cell r="BE53"/>
          <cell r="BF53"/>
          <cell r="BG53">
            <v>0</v>
          </cell>
          <cell r="BH53">
            <v>0</v>
          </cell>
          <cell r="BI53"/>
          <cell r="BJ53"/>
          <cell r="BK53"/>
          <cell r="BL53">
            <v>0</v>
          </cell>
          <cell r="BM53">
            <v>0</v>
          </cell>
          <cell r="BN53">
            <v>-630705.16</v>
          </cell>
          <cell r="BO53"/>
          <cell r="BP53"/>
          <cell r="BQ53">
            <v>-630705.16</v>
          </cell>
          <cell r="BR53">
            <v>0</v>
          </cell>
          <cell r="BS53">
            <v>-1442.7380535000002</v>
          </cell>
          <cell r="BT53"/>
          <cell r="BU53"/>
          <cell r="BV53">
            <v>-1442.7380535000002</v>
          </cell>
          <cell r="BW53">
            <v>746370.48058810842</v>
          </cell>
          <cell r="BX53"/>
          <cell r="BY53">
            <v>115665.32058810838</v>
          </cell>
          <cell r="BZ53">
            <v>-1442.7380535000002</v>
          </cell>
          <cell r="CA53"/>
          <cell r="CB53"/>
          <cell r="CC53">
            <v>115665.32058810838</v>
          </cell>
          <cell r="CD53">
            <v>-1442.7380535000002</v>
          </cell>
          <cell r="CE53">
            <v>-15845.520538547024</v>
          </cell>
          <cell r="CF53"/>
          <cell r="CG53">
            <v>-17288.258592047023</v>
          </cell>
          <cell r="CH53">
            <v>98377.061996061369</v>
          </cell>
          <cell r="CI53" t="str">
            <v>Yes</v>
          </cell>
          <cell r="CJ53">
            <v>-632148</v>
          </cell>
          <cell r="CK53">
            <v>-0.10194650001358241</v>
          </cell>
        </row>
        <row r="54">
          <cell r="A54">
            <v>21</v>
          </cell>
          <cell r="B54"/>
          <cell r="C54" t="str">
            <v>Green Button Initiative Costs10</v>
          </cell>
          <cell r="D54">
            <v>1508</v>
          </cell>
          <cell r="E54"/>
          <cell r="F54"/>
          <cell r="G54"/>
          <cell r="H54"/>
          <cell r="I54">
            <v>0</v>
          </cell>
          <cell r="J54"/>
          <cell r="K54"/>
          <cell r="L54"/>
          <cell r="M54"/>
          <cell r="N54">
            <v>0</v>
          </cell>
          <cell r="O54">
            <v>0</v>
          </cell>
          <cell r="P54"/>
          <cell r="Q54"/>
          <cell r="R54"/>
          <cell r="S54">
            <v>0</v>
          </cell>
          <cell r="T54">
            <v>0</v>
          </cell>
          <cell r="U54"/>
          <cell r="V54"/>
          <cell r="W54"/>
          <cell r="X54">
            <v>0</v>
          </cell>
          <cell r="Y54">
            <v>0</v>
          </cell>
          <cell r="Z54"/>
          <cell r="AA54"/>
          <cell r="AB54"/>
          <cell r="AC54">
            <v>0</v>
          </cell>
          <cell r="AD54">
            <v>0</v>
          </cell>
          <cell r="AE54"/>
          <cell r="AF54"/>
          <cell r="AG54"/>
          <cell r="AH54">
            <v>0</v>
          </cell>
          <cell r="AI54">
            <v>0</v>
          </cell>
          <cell r="AJ54"/>
          <cell r="AK54"/>
          <cell r="AL54"/>
          <cell r="AM54">
            <v>0</v>
          </cell>
          <cell r="AN54">
            <v>0</v>
          </cell>
          <cell r="AO54"/>
          <cell r="AP54"/>
          <cell r="AQ54"/>
          <cell r="AR54">
            <v>0</v>
          </cell>
          <cell r="AS54">
            <v>0</v>
          </cell>
          <cell r="AT54"/>
          <cell r="AU54"/>
          <cell r="AV54"/>
          <cell r="AW54">
            <v>0</v>
          </cell>
          <cell r="AX54">
            <v>0</v>
          </cell>
          <cell r="AY54"/>
          <cell r="AZ54"/>
          <cell r="BA54"/>
          <cell r="BB54">
            <v>0</v>
          </cell>
          <cell r="BC54">
            <v>0</v>
          </cell>
          <cell r="BD54"/>
          <cell r="BE54"/>
          <cell r="BF54"/>
          <cell r="BG54">
            <v>0</v>
          </cell>
          <cell r="BH54">
            <v>0</v>
          </cell>
          <cell r="BI54"/>
          <cell r="BJ54"/>
          <cell r="BK54"/>
          <cell r="BL54">
            <v>0</v>
          </cell>
          <cell r="BM54">
            <v>0</v>
          </cell>
          <cell r="BN54"/>
          <cell r="BO54"/>
          <cell r="BP54"/>
          <cell r="BQ54">
            <v>0</v>
          </cell>
          <cell r="BR54">
            <v>0</v>
          </cell>
          <cell r="BS54"/>
          <cell r="BT54"/>
          <cell r="BU54"/>
          <cell r="BV54">
            <v>0</v>
          </cell>
          <cell r="BW54">
            <v>-405843.37700459082</v>
          </cell>
          <cell r="BX54"/>
          <cell r="BY54">
            <v>-405843.37700459082</v>
          </cell>
          <cell r="BZ54">
            <v>0</v>
          </cell>
          <cell r="CA54"/>
          <cell r="CB54"/>
          <cell r="CC54">
            <v>-405843.37700459082</v>
          </cell>
          <cell r="CD54">
            <v>0</v>
          </cell>
          <cell r="CE54">
            <v>-5570.2003493880093</v>
          </cell>
          <cell r="CF54"/>
          <cell r="CG54">
            <v>-5570.2003493880093</v>
          </cell>
          <cell r="CH54">
            <v>-411413.57735397882</v>
          </cell>
          <cell r="CI54" t="str">
            <v>Yes</v>
          </cell>
          <cell r="CJ54"/>
          <cell r="CK54">
            <v>0</v>
          </cell>
        </row>
        <row r="55">
          <cell r="A55"/>
          <cell r="B55"/>
          <cell r="C55" t="str">
            <v>Cloud Computing Costs</v>
          </cell>
          <cell r="D55">
            <v>1511</v>
          </cell>
          <cell r="E55"/>
          <cell r="F55"/>
          <cell r="G55"/>
          <cell r="H55"/>
          <cell r="I55">
            <v>0</v>
          </cell>
          <cell r="J55"/>
          <cell r="K55"/>
          <cell r="L55"/>
          <cell r="M55"/>
          <cell r="N55">
            <v>0</v>
          </cell>
          <cell r="O55">
            <v>0</v>
          </cell>
          <cell r="P55"/>
          <cell r="Q55"/>
          <cell r="R55"/>
          <cell r="S55">
            <v>0</v>
          </cell>
          <cell r="T55">
            <v>0</v>
          </cell>
          <cell r="U55"/>
          <cell r="V55"/>
          <cell r="W55"/>
          <cell r="X55">
            <v>0</v>
          </cell>
          <cell r="Y55">
            <v>0</v>
          </cell>
          <cell r="Z55"/>
          <cell r="AA55"/>
          <cell r="AB55"/>
          <cell r="AC55">
            <v>0</v>
          </cell>
          <cell r="AD55">
            <v>0</v>
          </cell>
          <cell r="AE55"/>
          <cell r="AF55"/>
          <cell r="AG55"/>
          <cell r="AH55">
            <v>0</v>
          </cell>
          <cell r="AI55">
            <v>0</v>
          </cell>
          <cell r="AJ55"/>
          <cell r="AK55"/>
          <cell r="AL55"/>
          <cell r="AM55">
            <v>0</v>
          </cell>
          <cell r="AN55">
            <v>0</v>
          </cell>
          <cell r="AO55"/>
          <cell r="AP55"/>
          <cell r="AQ55"/>
          <cell r="AR55">
            <v>0</v>
          </cell>
          <cell r="AS55">
            <v>0</v>
          </cell>
          <cell r="AT55"/>
          <cell r="AU55"/>
          <cell r="AV55"/>
          <cell r="AW55">
            <v>0</v>
          </cell>
          <cell r="AX55">
            <v>0</v>
          </cell>
          <cell r="AY55"/>
          <cell r="AZ55"/>
          <cell r="BA55"/>
          <cell r="BB55">
            <v>0</v>
          </cell>
          <cell r="BC55">
            <v>0</v>
          </cell>
          <cell r="BD55"/>
          <cell r="BE55"/>
          <cell r="BF55"/>
          <cell r="BG55">
            <v>0</v>
          </cell>
          <cell r="BH55">
            <v>0</v>
          </cell>
          <cell r="BI55"/>
          <cell r="BJ55"/>
          <cell r="BK55"/>
          <cell r="BL55">
            <v>0</v>
          </cell>
          <cell r="BM55">
            <v>0</v>
          </cell>
          <cell r="BN55">
            <v>491543.65000000008</v>
          </cell>
          <cell r="BO55"/>
          <cell r="BP55"/>
          <cell r="BQ55">
            <v>491543.65000000008</v>
          </cell>
          <cell r="BR55">
            <v>0</v>
          </cell>
          <cell r="BS55"/>
          <cell r="BT55"/>
          <cell r="BU55"/>
          <cell r="BV55">
            <v>0</v>
          </cell>
          <cell r="BW55">
            <v>3500000.0000004</v>
          </cell>
          <cell r="BX55"/>
          <cell r="BY55">
            <v>3991543.6500003999</v>
          </cell>
          <cell r="BZ55">
            <v>0</v>
          </cell>
          <cell r="CA55"/>
          <cell r="CB55"/>
          <cell r="CC55">
            <v>3991543.6500003999</v>
          </cell>
          <cell r="CD55">
            <v>0</v>
          </cell>
          <cell r="CE55">
            <v>115054.49638501006</v>
          </cell>
          <cell r="CF55"/>
          <cell r="CG55">
            <v>115054.49638501006</v>
          </cell>
          <cell r="CH55">
            <v>4106598.1463854099</v>
          </cell>
          <cell r="CI55" t="str">
            <v>Yes</v>
          </cell>
          <cell r="CJ55">
            <v>491544</v>
          </cell>
          <cell r="CK55">
            <v>0.34999999991850927</v>
          </cell>
        </row>
        <row r="56">
          <cell r="A56"/>
          <cell r="B56"/>
          <cell r="C56" t="str">
            <v>Getting Ontario Connected Act Variance Account</v>
          </cell>
          <cell r="D56">
            <v>1508</v>
          </cell>
          <cell r="E56"/>
          <cell r="F56"/>
          <cell r="G56"/>
          <cell r="H56"/>
          <cell r="I56">
            <v>0</v>
          </cell>
          <cell r="J56"/>
          <cell r="K56"/>
          <cell r="L56"/>
          <cell r="M56"/>
          <cell r="N56">
            <v>0</v>
          </cell>
          <cell r="O56">
            <v>0</v>
          </cell>
          <cell r="P56"/>
          <cell r="Q56"/>
          <cell r="R56"/>
          <cell r="S56">
            <v>0</v>
          </cell>
          <cell r="T56">
            <v>0</v>
          </cell>
          <cell r="U56"/>
          <cell r="V56"/>
          <cell r="W56"/>
          <cell r="X56">
            <v>0</v>
          </cell>
          <cell r="Y56">
            <v>0</v>
          </cell>
          <cell r="Z56"/>
          <cell r="AA56"/>
          <cell r="AB56"/>
          <cell r="AC56">
            <v>0</v>
          </cell>
          <cell r="AD56">
            <v>0</v>
          </cell>
          <cell r="AE56"/>
          <cell r="AF56"/>
          <cell r="AG56"/>
          <cell r="AH56">
            <v>0</v>
          </cell>
          <cell r="AI56">
            <v>0</v>
          </cell>
          <cell r="AJ56"/>
          <cell r="AK56"/>
          <cell r="AL56"/>
          <cell r="AM56">
            <v>0</v>
          </cell>
          <cell r="AN56">
            <v>0</v>
          </cell>
          <cell r="AO56"/>
          <cell r="AP56"/>
          <cell r="AQ56"/>
          <cell r="AR56">
            <v>0</v>
          </cell>
          <cell r="AS56">
            <v>0</v>
          </cell>
          <cell r="AT56"/>
          <cell r="AU56"/>
          <cell r="AV56"/>
          <cell r="AW56">
            <v>0</v>
          </cell>
          <cell r="AX56">
            <v>0</v>
          </cell>
          <cell r="AY56"/>
          <cell r="AZ56"/>
          <cell r="BA56"/>
          <cell r="BB56">
            <v>0</v>
          </cell>
          <cell r="BC56">
            <v>0</v>
          </cell>
          <cell r="BD56"/>
          <cell r="BE56"/>
          <cell r="BF56"/>
          <cell r="BG56">
            <v>0</v>
          </cell>
          <cell r="BH56">
            <v>0</v>
          </cell>
          <cell r="BI56"/>
          <cell r="BJ56"/>
          <cell r="BK56"/>
          <cell r="BL56">
            <v>0</v>
          </cell>
          <cell r="BM56">
            <v>0</v>
          </cell>
          <cell r="BN56">
            <v>910558.40453901468</v>
          </cell>
          <cell r="BO56"/>
          <cell r="BP56"/>
          <cell r="BQ56">
            <v>910558.40453901468</v>
          </cell>
          <cell r="BR56">
            <v>0</v>
          </cell>
          <cell r="BS56"/>
          <cell r="BT56"/>
          <cell r="BU56"/>
          <cell r="BV56">
            <v>0</v>
          </cell>
          <cell r="BW56">
            <v>1517482.4608405645</v>
          </cell>
          <cell r="BX56"/>
          <cell r="BY56">
            <v>2428040.8653795794</v>
          </cell>
          <cell r="BZ56">
            <v>0</v>
          </cell>
          <cell r="CA56"/>
          <cell r="CB56"/>
          <cell r="CC56">
            <v>2428040.8653795794</v>
          </cell>
          <cell r="CD56">
            <v>0</v>
          </cell>
          <cell r="CE56">
            <v>88173.308830092603</v>
          </cell>
          <cell r="CF56"/>
          <cell r="CG56">
            <v>88173.308830092603</v>
          </cell>
          <cell r="CH56">
            <v>2516214.174209672</v>
          </cell>
          <cell r="CI56" t="str">
            <v>Yes</v>
          </cell>
          <cell r="CJ56">
            <v>910558</v>
          </cell>
          <cell r="CK56">
            <v>-0.40453901467844844</v>
          </cell>
        </row>
        <row r="57">
          <cell r="A57">
            <v>22</v>
          </cell>
          <cell r="B57"/>
          <cell r="C57" t="str">
            <v>Other Regulatory Assets, Sub-account Designated Broadband Project Impacts13</v>
          </cell>
          <cell r="D57">
            <v>1508</v>
          </cell>
          <cell r="E57"/>
          <cell r="F57"/>
          <cell r="G57"/>
          <cell r="H57"/>
          <cell r="I57">
            <v>0</v>
          </cell>
          <cell r="J57"/>
          <cell r="K57"/>
          <cell r="L57"/>
          <cell r="M57"/>
          <cell r="N57">
            <v>0</v>
          </cell>
          <cell r="O57">
            <v>0</v>
          </cell>
          <cell r="P57"/>
          <cell r="Q57"/>
          <cell r="R57"/>
          <cell r="S57">
            <v>0</v>
          </cell>
          <cell r="T57">
            <v>0</v>
          </cell>
          <cell r="U57"/>
          <cell r="V57"/>
          <cell r="W57"/>
          <cell r="X57">
            <v>0</v>
          </cell>
          <cell r="Y57">
            <v>0</v>
          </cell>
          <cell r="Z57"/>
          <cell r="AA57"/>
          <cell r="AB57"/>
          <cell r="AC57">
            <v>0</v>
          </cell>
          <cell r="AD57">
            <v>0</v>
          </cell>
          <cell r="AE57"/>
          <cell r="AF57"/>
          <cell r="AG57"/>
          <cell r="AH57">
            <v>0</v>
          </cell>
          <cell r="AI57">
            <v>0</v>
          </cell>
          <cell r="AJ57"/>
          <cell r="AK57"/>
          <cell r="AL57"/>
          <cell r="AM57">
            <v>0</v>
          </cell>
          <cell r="AN57">
            <v>0</v>
          </cell>
          <cell r="AO57"/>
          <cell r="AP57"/>
          <cell r="AQ57"/>
          <cell r="AR57">
            <v>0</v>
          </cell>
          <cell r="AS57">
            <v>0</v>
          </cell>
          <cell r="AT57"/>
          <cell r="AU57"/>
          <cell r="AV57"/>
          <cell r="AW57">
            <v>0</v>
          </cell>
          <cell r="AX57">
            <v>0</v>
          </cell>
          <cell r="AY57"/>
          <cell r="AZ57"/>
          <cell r="BA57"/>
          <cell r="BB57">
            <v>0</v>
          </cell>
          <cell r="BC57">
            <v>0</v>
          </cell>
          <cell r="BD57"/>
          <cell r="BE57"/>
          <cell r="BF57"/>
          <cell r="BG57">
            <v>0</v>
          </cell>
          <cell r="BH57">
            <v>0</v>
          </cell>
          <cell r="BI57"/>
          <cell r="BJ57"/>
          <cell r="BK57"/>
          <cell r="BL57">
            <v>0</v>
          </cell>
          <cell r="BM57">
            <v>0</v>
          </cell>
          <cell r="BN57"/>
          <cell r="BO57"/>
          <cell r="BP57"/>
          <cell r="BQ57">
            <v>0</v>
          </cell>
          <cell r="BR57">
            <v>0</v>
          </cell>
          <cell r="BS57"/>
          <cell r="BT57"/>
          <cell r="BU57"/>
          <cell r="BV57">
            <v>0</v>
          </cell>
          <cell r="BW57"/>
          <cell r="BX57"/>
          <cell r="BY57">
            <v>0</v>
          </cell>
          <cell r="BZ57">
            <v>0</v>
          </cell>
          <cell r="CA57"/>
          <cell r="CB57"/>
          <cell r="CC57">
            <v>0</v>
          </cell>
          <cell r="CD57">
            <v>0</v>
          </cell>
          <cell r="CE57"/>
          <cell r="CF57"/>
          <cell r="CG57">
            <v>0</v>
          </cell>
          <cell r="CH57">
            <v>0</v>
          </cell>
          <cell r="CI57"/>
          <cell r="CJ57"/>
          <cell r="CK57">
            <v>0</v>
          </cell>
        </row>
        <row r="58">
          <cell r="A58">
            <v>23</v>
          </cell>
          <cell r="B58"/>
          <cell r="C58" t="str">
            <v>Other Regulatory Assets - Sub-Account - Impact for USGAAP Deferral</v>
          </cell>
          <cell r="D58">
            <v>1508</v>
          </cell>
          <cell r="E58">
            <v>60167576</v>
          </cell>
          <cell r="F58">
            <v>25093000</v>
          </cell>
          <cell r="G58"/>
          <cell r="H58"/>
          <cell r="I58">
            <v>85260576</v>
          </cell>
          <cell r="J58"/>
          <cell r="K58"/>
          <cell r="L58"/>
          <cell r="M58"/>
          <cell r="N58">
            <v>0</v>
          </cell>
          <cell r="O58">
            <v>85260576</v>
          </cell>
          <cell r="P58">
            <v>-37157000</v>
          </cell>
          <cell r="Q58"/>
          <cell r="R58"/>
          <cell r="S58">
            <v>48103576</v>
          </cell>
          <cell r="T58">
            <v>0</v>
          </cell>
          <cell r="U58"/>
          <cell r="V58"/>
          <cell r="W58"/>
          <cell r="X58">
            <v>0</v>
          </cell>
          <cell r="Y58">
            <v>48103576</v>
          </cell>
          <cell r="Z58">
            <v>38175000</v>
          </cell>
          <cell r="AA58"/>
          <cell r="AB58"/>
          <cell r="AC58">
            <v>86278576</v>
          </cell>
          <cell r="AD58">
            <v>0</v>
          </cell>
          <cell r="AE58"/>
          <cell r="AF58"/>
          <cell r="AG58"/>
          <cell r="AH58">
            <v>0</v>
          </cell>
          <cell r="AI58">
            <v>86278576</v>
          </cell>
          <cell r="AJ58">
            <v>-5066000</v>
          </cell>
          <cell r="AK58">
            <v>6441836.6399999997</v>
          </cell>
          <cell r="AL58"/>
          <cell r="AM58">
            <v>74770739.359999999</v>
          </cell>
          <cell r="AN58">
            <v>0</v>
          </cell>
          <cell r="AO58"/>
          <cell r="AP58"/>
          <cell r="AQ58"/>
          <cell r="AR58">
            <v>0</v>
          </cell>
          <cell r="AS58">
            <v>74770739.359999999</v>
          </cell>
          <cell r="AT58">
            <v>-26913000</v>
          </cell>
          <cell r="AU58"/>
          <cell r="AV58"/>
          <cell r="AW58">
            <v>47857739.359999999</v>
          </cell>
          <cell r="AX58">
            <v>0</v>
          </cell>
          <cell r="AY58"/>
          <cell r="AZ58"/>
          <cell r="BA58"/>
          <cell r="BB58">
            <v>0</v>
          </cell>
          <cell r="BC58">
            <v>47857739.359999999</v>
          </cell>
          <cell r="BD58">
            <v>-76636000</v>
          </cell>
          <cell r="BE58"/>
          <cell r="BF58"/>
          <cell r="BG58">
            <v>-28778260.640000001</v>
          </cell>
          <cell r="BH58">
            <v>0</v>
          </cell>
          <cell r="BI58"/>
          <cell r="BJ58"/>
          <cell r="BK58"/>
          <cell r="BL58">
            <v>0</v>
          </cell>
          <cell r="BM58">
            <v>-28778260.640000001</v>
          </cell>
          <cell r="BN58">
            <v>19087000</v>
          </cell>
          <cell r="BO58"/>
          <cell r="BP58"/>
          <cell r="BQ58">
            <v>-9691260.6400000006</v>
          </cell>
          <cell r="BR58">
            <v>0</v>
          </cell>
          <cell r="BS58"/>
          <cell r="BT58"/>
          <cell r="BU58"/>
          <cell r="BV58">
            <v>0</v>
          </cell>
          <cell r="BW58"/>
          <cell r="BX58"/>
          <cell r="BY58">
            <v>-9691260.6400000006</v>
          </cell>
          <cell r="BZ58">
            <v>0</v>
          </cell>
          <cell r="CA58"/>
          <cell r="CB58"/>
          <cell r="CC58">
            <v>-9691260.6400000006</v>
          </cell>
          <cell r="CD58">
            <v>0</v>
          </cell>
          <cell r="CE58"/>
          <cell r="CF58"/>
          <cell r="CG58">
            <v>0</v>
          </cell>
          <cell r="CH58">
            <v>0</v>
          </cell>
          <cell r="CI58" t="str">
            <v>No</v>
          </cell>
          <cell r="CJ58">
            <v>-9691261</v>
          </cell>
          <cell r="CK58">
            <v>-0.35999999940395355</v>
          </cell>
        </row>
        <row r="59">
          <cell r="A59">
            <v>24</v>
          </cell>
          <cell r="B59"/>
          <cell r="C59" t="str">
            <v>Other Regulatory Assets - Sub-Account - CRRRVA</v>
          </cell>
          <cell r="D59">
            <v>1508</v>
          </cell>
          <cell r="E59">
            <v>-8470557.6971209683</v>
          </cell>
          <cell r="F59">
            <v>-14277068.525615066</v>
          </cell>
          <cell r="G59"/>
          <cell r="H59"/>
          <cell r="I59">
            <v>-22747626.222736035</v>
          </cell>
          <cell r="J59">
            <v>-68245.2</v>
          </cell>
          <cell r="K59">
            <v>-208681.82</v>
          </cell>
          <cell r="L59"/>
          <cell r="M59"/>
          <cell r="N59">
            <v>-276927.02</v>
          </cell>
          <cell r="O59">
            <v>-22747626.222736035</v>
          </cell>
          <cell r="P59">
            <v>-30124132.207263965</v>
          </cell>
          <cell r="Q59"/>
          <cell r="R59"/>
          <cell r="S59">
            <v>-52871758.43</v>
          </cell>
          <cell r="T59">
            <v>-276927.02</v>
          </cell>
          <cell r="U59">
            <v>-630950.24114118225</v>
          </cell>
          <cell r="V59"/>
          <cell r="W59"/>
          <cell r="X59">
            <v>-907877.26114118227</v>
          </cell>
          <cell r="Y59">
            <v>-52871758.43</v>
          </cell>
          <cell r="Z59">
            <v>-21790194.209999997</v>
          </cell>
          <cell r="AA59"/>
          <cell r="AB59"/>
          <cell r="AC59">
            <v>-74661952.640000001</v>
          </cell>
          <cell r="AD59">
            <v>-907877.26114118227</v>
          </cell>
          <cell r="AE59">
            <v>-1462218.8018338336</v>
          </cell>
          <cell r="AF59"/>
          <cell r="AG59"/>
          <cell r="AH59">
            <v>-2370096.062975016</v>
          </cell>
          <cell r="AI59">
            <v>-74661952.640000001</v>
          </cell>
          <cell r="AJ59">
            <v>243993.67000000062</v>
          </cell>
          <cell r="AK59"/>
          <cell r="AL59"/>
          <cell r="AM59">
            <v>-74417958.969999999</v>
          </cell>
          <cell r="AN59">
            <v>-2370096.062975016</v>
          </cell>
          <cell r="AO59">
            <v>-1087409.3602960834</v>
          </cell>
          <cell r="AP59"/>
          <cell r="AQ59"/>
          <cell r="AR59">
            <v>-3457505.4232710991</v>
          </cell>
          <cell r="AS59">
            <v>-74417958.969999999</v>
          </cell>
          <cell r="AT59"/>
          <cell r="AU59"/>
          <cell r="AV59"/>
          <cell r="AW59">
            <v>-74417958.969999999</v>
          </cell>
          <cell r="AX59">
            <v>-3457505.4232710991</v>
          </cell>
          <cell r="AY59">
            <v>-424182.36612900009</v>
          </cell>
          <cell r="AZ59"/>
          <cell r="BA59"/>
          <cell r="BB59">
            <v>-3881687.7894000993</v>
          </cell>
          <cell r="BC59">
            <v>-74417958.969999999</v>
          </cell>
          <cell r="BD59"/>
          <cell r="BE59"/>
          <cell r="BF59"/>
          <cell r="BG59">
            <v>-74417958.969999999</v>
          </cell>
          <cell r="BH59">
            <v>-3881687.7894000993</v>
          </cell>
          <cell r="BI59">
            <v>-1425103.9142755005</v>
          </cell>
          <cell r="BJ59"/>
          <cell r="BK59"/>
          <cell r="BL59">
            <v>-5306791.7036755998</v>
          </cell>
          <cell r="BM59">
            <v>-74417958.969999999</v>
          </cell>
          <cell r="BN59"/>
          <cell r="BO59">
            <v>-74661953.060000002</v>
          </cell>
          <cell r="BP59">
            <v>-243993.88</v>
          </cell>
          <cell r="BQ59">
            <v>0.21000000357162207</v>
          </cell>
          <cell r="BR59">
            <v>-5306791.7036755998</v>
          </cell>
          <cell r="BS59"/>
          <cell r="BT59">
            <v>-7174468.6600000001</v>
          </cell>
          <cell r="BU59">
            <v>-1867676.9578167074</v>
          </cell>
          <cell r="BV59">
            <v>-1.4923070557415485E-3</v>
          </cell>
          <cell r="BW59"/>
          <cell r="BX59"/>
          <cell r="BY59">
            <v>0.21000000357162207</v>
          </cell>
          <cell r="BZ59">
            <v>-1.4923070557415485E-3</v>
          </cell>
          <cell r="CA59"/>
          <cell r="CB59"/>
          <cell r="CC59">
            <v>0.21000000357162207</v>
          </cell>
          <cell r="CD59">
            <v>-1.4923070557415485E-3</v>
          </cell>
          <cell r="CE59"/>
          <cell r="CF59"/>
          <cell r="CG59">
            <v>-1.4923070557415485E-3</v>
          </cell>
          <cell r="CH59">
            <v>0</v>
          </cell>
          <cell r="CI59" t="str">
            <v>No</v>
          </cell>
          <cell r="CJ59">
            <v>0</v>
          </cell>
          <cell r="CK59">
            <v>-0.20850769651588053</v>
          </cell>
        </row>
        <row r="60">
          <cell r="A60">
            <v>25</v>
          </cell>
          <cell r="B60"/>
          <cell r="C60" t="str">
            <v>Other Regulatory Assets - Sub-Account - Externally Driven Capital Variance Account (“EDCVA”)</v>
          </cell>
          <cell r="D60">
            <v>1508</v>
          </cell>
          <cell r="E60">
            <v>-627897.3452226338</v>
          </cell>
          <cell r="F60">
            <v>-698387.32492605923</v>
          </cell>
          <cell r="G60"/>
          <cell r="H60"/>
          <cell r="I60">
            <v>-1326284.670148693</v>
          </cell>
          <cell r="J60">
            <v>-1153.92</v>
          </cell>
          <cell r="K60">
            <v>-3252.08</v>
          </cell>
          <cell r="L60"/>
          <cell r="M60"/>
          <cell r="N60">
            <v>-4406</v>
          </cell>
          <cell r="O60">
            <v>-1326284.670148693</v>
          </cell>
          <cell r="P60">
            <v>-918436.87000000011</v>
          </cell>
          <cell r="Q60"/>
          <cell r="R60"/>
          <cell r="S60">
            <v>-2244721.5401486931</v>
          </cell>
          <cell r="T60">
            <v>-4406</v>
          </cell>
          <cell r="U60">
            <v>-30653.243224749996</v>
          </cell>
          <cell r="V60"/>
          <cell r="W60"/>
          <cell r="X60">
            <v>-35059.243224749996</v>
          </cell>
          <cell r="Y60">
            <v>-2244721.5401486931</v>
          </cell>
          <cell r="Z60">
            <v>-823883.29</v>
          </cell>
          <cell r="AA60"/>
          <cell r="AB60"/>
          <cell r="AC60">
            <v>-3068604.8301486932</v>
          </cell>
          <cell r="AD60">
            <v>-35059.243224749996</v>
          </cell>
          <cell r="AE60">
            <v>-57170.341026500006</v>
          </cell>
          <cell r="AF60"/>
          <cell r="AG60"/>
          <cell r="AH60">
            <v>-92229.584251249995</v>
          </cell>
          <cell r="AI60">
            <v>-3068604.8301486932</v>
          </cell>
          <cell r="AJ60">
            <v>-788388.29</v>
          </cell>
          <cell r="AK60">
            <v>-3068604.83</v>
          </cell>
          <cell r="AL60"/>
          <cell r="AM60">
            <v>-788388.29014869314</v>
          </cell>
          <cell r="AN60">
            <v>-92229.584251249995</v>
          </cell>
          <cell r="AO60">
            <v>-10710.97520266667</v>
          </cell>
          <cell r="AP60">
            <v>-103378.85</v>
          </cell>
          <cell r="AQ60"/>
          <cell r="AR60">
            <v>438.29054608334263</v>
          </cell>
          <cell r="AS60">
            <v>-788388.29014869314</v>
          </cell>
          <cell r="AT60">
            <v>47552.35</v>
          </cell>
          <cell r="AU60"/>
          <cell r="AV60"/>
          <cell r="AW60">
            <v>-740835.94014869316</v>
          </cell>
          <cell r="AX60">
            <v>438.29054608334263</v>
          </cell>
          <cell r="AY60">
            <v>-4554.1607347500021</v>
          </cell>
          <cell r="AZ60"/>
          <cell r="BA60"/>
          <cell r="BB60">
            <v>-4115.8701886666595</v>
          </cell>
          <cell r="BC60">
            <v>-740835.94014869316</v>
          </cell>
          <cell r="BD60">
            <v>442036.92999999993</v>
          </cell>
          <cell r="BE60"/>
          <cell r="BF60"/>
          <cell r="BG60">
            <v>-298799.01014869323</v>
          </cell>
          <cell r="BH60">
            <v>-4115.8701886666595</v>
          </cell>
          <cell r="BI60">
            <v>-22809.89064225</v>
          </cell>
          <cell r="BJ60"/>
          <cell r="BK60"/>
          <cell r="BL60">
            <v>-26925.760830916661</v>
          </cell>
          <cell r="BM60">
            <v>-298799.01014869323</v>
          </cell>
          <cell r="BN60">
            <v>5454729.6599999983</v>
          </cell>
          <cell r="BO60"/>
          <cell r="BP60"/>
          <cell r="BQ60">
            <v>5155930.6498513054</v>
          </cell>
          <cell r="BR60">
            <v>-26925.760830916661</v>
          </cell>
          <cell r="BS60">
            <v>1788.6491594999843</v>
          </cell>
          <cell r="BT60"/>
          <cell r="BU60"/>
          <cell r="BV60">
            <v>-25137.111671416678</v>
          </cell>
          <cell r="BW60">
            <v>3134560.7883491525</v>
          </cell>
          <cell r="BX60"/>
          <cell r="BY60">
            <v>8290491.438200458</v>
          </cell>
          <cell r="BZ60">
            <v>-25137.111671416678</v>
          </cell>
          <cell r="CA60"/>
          <cell r="CB60"/>
          <cell r="CC60">
            <v>8290491.438200458</v>
          </cell>
          <cell r="CD60">
            <v>-25137.111671416678</v>
          </cell>
          <cell r="CE60">
            <v>345946.99783363799</v>
          </cell>
          <cell r="CF60"/>
          <cell r="CG60">
            <v>320809.88616222132</v>
          </cell>
          <cell r="CH60">
            <v>8611301.3243626785</v>
          </cell>
          <cell r="CI60" t="str">
            <v>Yes</v>
          </cell>
          <cell r="CJ60">
            <v>5130794</v>
          </cell>
          <cell r="CK60">
            <v>0.46182011160999537</v>
          </cell>
        </row>
        <row r="61">
          <cell r="A61">
            <v>26</v>
          </cell>
          <cell r="B61"/>
          <cell r="C61" t="str">
            <v>Other Regulatory Assets - Sub-Account - Derecognition</v>
          </cell>
          <cell r="D61">
            <v>1508</v>
          </cell>
          <cell r="E61">
            <v>-11623285.378092123</v>
          </cell>
          <cell r="F61">
            <v>-3870967.9526412748</v>
          </cell>
          <cell r="G61"/>
          <cell r="H61"/>
          <cell r="I61">
            <v>-15494253.330733398</v>
          </cell>
          <cell r="J61">
            <v>-211231.3</v>
          </cell>
          <cell r="K61">
            <v>-192636.08000000002</v>
          </cell>
          <cell r="L61"/>
          <cell r="M61"/>
          <cell r="N61">
            <v>-403867.38</v>
          </cell>
          <cell r="O61">
            <v>-15494253.330733398</v>
          </cell>
          <cell r="P61">
            <v>-5487866.3043931453</v>
          </cell>
          <cell r="Q61"/>
          <cell r="R61"/>
          <cell r="S61">
            <v>-20982119.635126542</v>
          </cell>
          <cell r="T61">
            <v>-403867.38</v>
          </cell>
          <cell r="U61">
            <v>-383862.21822814073</v>
          </cell>
          <cell r="V61"/>
          <cell r="W61"/>
          <cell r="X61">
            <v>-787729.59822814073</v>
          </cell>
          <cell r="Y61">
            <v>-20982119.635126542</v>
          </cell>
          <cell r="Z61">
            <v>-10440835.676249947</v>
          </cell>
          <cell r="AA61"/>
          <cell r="AB61"/>
          <cell r="AC61">
            <v>-31422955.31137649</v>
          </cell>
          <cell r="AD61">
            <v>-787729.59822814073</v>
          </cell>
          <cell r="AE61">
            <v>-595039.22840420029</v>
          </cell>
          <cell r="AF61"/>
          <cell r="AG61"/>
          <cell r="AH61">
            <v>-1382768.8266323409</v>
          </cell>
          <cell r="AI61">
            <v>-31422955.31137649</v>
          </cell>
          <cell r="AJ61"/>
          <cell r="AK61">
            <v>-31422955.32</v>
          </cell>
          <cell r="AL61"/>
          <cell r="AM61">
            <v>8.6235105991363525E-3</v>
          </cell>
          <cell r="AN61">
            <v>-1382768.8266323409</v>
          </cell>
          <cell r="AO61">
            <v>-432065.63565000019</v>
          </cell>
          <cell r="AP61">
            <v>-2755383.74</v>
          </cell>
          <cell r="AQ61"/>
          <cell r="AR61">
            <v>940549.27771765925</v>
          </cell>
          <cell r="AS61">
            <v>8.6235105991363525E-3</v>
          </cell>
          <cell r="AT61"/>
          <cell r="AU61"/>
          <cell r="AV61"/>
          <cell r="AW61">
            <v>8.6235105991363525E-3</v>
          </cell>
          <cell r="AX61">
            <v>940549.27771765925</v>
          </cell>
          <cell r="AY61">
            <v>-179110.84532399999</v>
          </cell>
          <cell r="AZ61"/>
          <cell r="BA61"/>
          <cell r="BB61">
            <v>761438.43239365926</v>
          </cell>
          <cell r="BC61">
            <v>8.6235105991363525E-3</v>
          </cell>
          <cell r="BD61"/>
          <cell r="BE61"/>
          <cell r="BF61"/>
          <cell r="BG61">
            <v>8.6235105991363525E-3</v>
          </cell>
          <cell r="BH61">
            <v>761438.43239365926</v>
          </cell>
          <cell r="BI61"/>
          <cell r="BJ61"/>
          <cell r="BK61">
            <v>-761438.43</v>
          </cell>
          <cell r="BL61">
            <v>2.3936592042446136E-3</v>
          </cell>
          <cell r="BM61">
            <v>8.6235105991363525E-3</v>
          </cell>
          <cell r="BN61"/>
          <cell r="BO61"/>
          <cell r="BP61"/>
          <cell r="BQ61">
            <v>8.6235105991363525E-3</v>
          </cell>
          <cell r="BR61">
            <v>2.3936592042446136E-3</v>
          </cell>
          <cell r="BS61"/>
          <cell r="BT61"/>
          <cell r="BU61"/>
          <cell r="BV61">
            <v>2.3936592042446136E-3</v>
          </cell>
          <cell r="BW61"/>
          <cell r="BX61"/>
          <cell r="BY61">
            <v>8.6235105991363525E-3</v>
          </cell>
          <cell r="BZ61">
            <v>2.3936592042446136E-3</v>
          </cell>
          <cell r="CA61"/>
          <cell r="CB61"/>
          <cell r="CC61">
            <v>8.6235105991363525E-3</v>
          </cell>
          <cell r="CD61">
            <v>2.3936592042446136E-3</v>
          </cell>
          <cell r="CE61"/>
          <cell r="CF61"/>
          <cell r="CG61">
            <v>2.3936592042446136E-3</v>
          </cell>
          <cell r="CH61">
            <v>0</v>
          </cell>
          <cell r="CI61" t="str">
            <v>No</v>
          </cell>
          <cell r="CJ61">
            <v>0</v>
          </cell>
          <cell r="CK61">
            <v>-1.1017169803380966E-2</v>
          </cell>
        </row>
        <row r="62">
          <cell r="A62">
            <v>27</v>
          </cell>
          <cell r="B62"/>
          <cell r="C62" t="str">
            <v>Other Regulatory Assets - Sub-Account - Wireless Attachments</v>
          </cell>
          <cell r="D62">
            <v>1508</v>
          </cell>
          <cell r="E62">
            <v>-312158.44</v>
          </cell>
          <cell r="F62">
            <v>-100000</v>
          </cell>
          <cell r="G62"/>
          <cell r="H62"/>
          <cell r="I62">
            <v>-412158.44</v>
          </cell>
          <cell r="J62">
            <v>-5332.9779231417542</v>
          </cell>
          <cell r="K62">
            <v>-4395.647451854511</v>
          </cell>
          <cell r="L62"/>
          <cell r="M62"/>
          <cell r="N62">
            <v>-9728.6253749962652</v>
          </cell>
          <cell r="O62">
            <v>-412158.44</v>
          </cell>
          <cell r="P62">
            <v>-100000</v>
          </cell>
          <cell r="Q62"/>
          <cell r="R62"/>
          <cell r="S62">
            <v>-512158.44</v>
          </cell>
          <cell r="T62">
            <v>-9728.6253749962652</v>
          </cell>
          <cell r="U62">
            <v>-8376.4513174999975</v>
          </cell>
          <cell r="V62"/>
          <cell r="W62"/>
          <cell r="X62">
            <v>-18105.076692496263</v>
          </cell>
          <cell r="Y62">
            <v>-512158.44</v>
          </cell>
          <cell r="Z62">
            <v>-134305.59999999998</v>
          </cell>
          <cell r="AA62"/>
          <cell r="AB62"/>
          <cell r="AC62">
            <v>-646464.04</v>
          </cell>
          <cell r="AD62">
            <v>-18105.076692496263</v>
          </cell>
          <cell r="AE62">
            <v>-12782.428055166667</v>
          </cell>
          <cell r="AF62"/>
          <cell r="AG62"/>
          <cell r="AH62">
            <v>-30887.50474766293</v>
          </cell>
          <cell r="AI62">
            <v>-646464.04</v>
          </cell>
          <cell r="AJ62">
            <v>-570237.53</v>
          </cell>
          <cell r="AK62"/>
          <cell r="AL62"/>
          <cell r="AM62">
            <v>-1216701.57</v>
          </cell>
          <cell r="AN62">
            <v>-30887.50474766293</v>
          </cell>
          <cell r="AO62">
            <v>-3366.5816098333321</v>
          </cell>
          <cell r="AP62"/>
          <cell r="AQ62"/>
          <cell r="AR62">
            <v>-34254.086357496264</v>
          </cell>
          <cell r="AS62">
            <v>-1216701.57</v>
          </cell>
          <cell r="AT62">
            <v>-702713.36</v>
          </cell>
          <cell r="AU62">
            <v>-646464.06000000006</v>
          </cell>
          <cell r="AV62"/>
          <cell r="AW62">
            <v>-1272950.8700000001</v>
          </cell>
          <cell r="AX62">
            <v>-34254.086357496264</v>
          </cell>
          <cell r="AY62">
            <v>-4722.2354377499996</v>
          </cell>
          <cell r="AZ62">
            <v>-47839.85</v>
          </cell>
          <cell r="BA62"/>
          <cell r="BB62">
            <v>8863.528204753733</v>
          </cell>
          <cell r="BC62">
            <v>-1272950.8700000001</v>
          </cell>
          <cell r="BD62">
            <v>-447745.1399999999</v>
          </cell>
          <cell r="BE62"/>
          <cell r="BF62"/>
          <cell r="BG62">
            <v>-1720696.01</v>
          </cell>
          <cell r="BH62">
            <v>8863.528204753733</v>
          </cell>
          <cell r="BI62">
            <v>-25151.121490249992</v>
          </cell>
          <cell r="BJ62"/>
          <cell r="BK62">
            <v>-8292.2099999999991</v>
          </cell>
          <cell r="BL62">
            <v>-24579.803285496258</v>
          </cell>
          <cell r="BM62">
            <v>-1720696.01</v>
          </cell>
          <cell r="BN62">
            <v>-709389.2899999998</v>
          </cell>
          <cell r="BO62"/>
          <cell r="BP62"/>
          <cell r="BQ62">
            <v>-2430085.2999999998</v>
          </cell>
          <cell r="BR62">
            <v>-24579.803285496258</v>
          </cell>
          <cell r="BS62">
            <v>-99797.312481500005</v>
          </cell>
          <cell r="BT62"/>
          <cell r="BU62"/>
          <cell r="BV62">
            <v>-124377.11576699626</v>
          </cell>
          <cell r="BW62">
            <v>-846900</v>
          </cell>
          <cell r="BX62"/>
          <cell r="BY62">
            <v>-3276985.3</v>
          </cell>
          <cell r="BZ62">
            <v>-124377.11576699626</v>
          </cell>
          <cell r="CA62"/>
          <cell r="CB62"/>
          <cell r="CC62">
            <v>-3276985.3</v>
          </cell>
          <cell r="CD62">
            <v>-124377.11576699626</v>
          </cell>
          <cell r="CE62">
            <v>-150847.23781799999</v>
          </cell>
          <cell r="CF62"/>
          <cell r="CG62">
            <v>-275224.35358499625</v>
          </cell>
          <cell r="CH62">
            <v>-3552209.6535849958</v>
          </cell>
          <cell r="CI62" t="str">
            <v>Yes</v>
          </cell>
          <cell r="CJ62">
            <v>-2554463</v>
          </cell>
          <cell r="CK62">
            <v>-0.58423300413414836</v>
          </cell>
        </row>
        <row r="63">
          <cell r="A63">
            <v>28</v>
          </cell>
          <cell r="B63"/>
          <cell r="C63" t="str">
            <v>Other Regulatory Assets - Sub-Account - Monthly Billing</v>
          </cell>
          <cell r="D63">
            <v>1508</v>
          </cell>
          <cell r="E63">
            <v>1993372.583333333</v>
          </cell>
          <cell r="F63">
            <v>2024793.3716281536</v>
          </cell>
          <cell r="G63"/>
          <cell r="H63"/>
          <cell r="I63">
            <v>4018165.9549614866</v>
          </cell>
          <cell r="J63">
            <v>7871.2288681542059</v>
          </cell>
          <cell r="K63">
            <v>37270.484693391503</v>
          </cell>
          <cell r="L63"/>
          <cell r="M63"/>
          <cell r="N63">
            <v>45141.713561545708</v>
          </cell>
          <cell r="O63">
            <v>4018165.9549614866</v>
          </cell>
          <cell r="P63">
            <v>3332692.2399999993</v>
          </cell>
          <cell r="Q63"/>
          <cell r="R63"/>
          <cell r="S63">
            <v>7350858.1949614864</v>
          </cell>
          <cell r="T63">
            <v>45141.713561545708</v>
          </cell>
          <cell r="U63">
            <v>106106.25943246229</v>
          </cell>
          <cell r="V63"/>
          <cell r="W63"/>
          <cell r="X63">
            <v>151247.97299400799</v>
          </cell>
          <cell r="Y63">
            <v>7350858.1949614864</v>
          </cell>
          <cell r="Z63">
            <v>3681448.9670641106</v>
          </cell>
          <cell r="AA63"/>
          <cell r="AB63"/>
          <cell r="AC63">
            <v>11032307.162025597</v>
          </cell>
          <cell r="AD63">
            <v>151247.97299400799</v>
          </cell>
          <cell r="AE63">
            <v>201941.07970225002</v>
          </cell>
          <cell r="AF63"/>
          <cell r="AG63"/>
          <cell r="AH63">
            <v>353189.052696258</v>
          </cell>
          <cell r="AI63">
            <v>11032307.162025597</v>
          </cell>
          <cell r="AJ63"/>
          <cell r="AK63">
            <v>11032307.16</v>
          </cell>
          <cell r="AL63"/>
          <cell r="AM63">
            <v>2.0255967974662781E-3</v>
          </cell>
          <cell r="AN63">
            <v>353189.052696258</v>
          </cell>
          <cell r="AO63">
            <v>39634.557789666273</v>
          </cell>
          <cell r="AP63">
            <v>393257.31</v>
          </cell>
          <cell r="AQ63"/>
          <cell r="AR63">
            <v>-433.69951407570625</v>
          </cell>
          <cell r="AS63">
            <v>2.0255967974662781E-3</v>
          </cell>
          <cell r="AT63"/>
          <cell r="AU63"/>
          <cell r="AV63"/>
          <cell r="AW63">
            <v>2.0255967974662781E-3</v>
          </cell>
          <cell r="AX63">
            <v>-433.69951407570625</v>
          </cell>
          <cell r="AY63"/>
          <cell r="AZ63"/>
          <cell r="BA63"/>
          <cell r="BB63">
            <v>-433.69951407570625</v>
          </cell>
          <cell r="BC63">
            <v>2.0255967974662781E-3</v>
          </cell>
          <cell r="BD63"/>
          <cell r="BE63"/>
          <cell r="BF63"/>
          <cell r="BG63">
            <v>2.0255967974662781E-3</v>
          </cell>
          <cell r="BH63">
            <v>-433.69951407570625</v>
          </cell>
          <cell r="BI63"/>
          <cell r="BJ63"/>
          <cell r="BK63"/>
          <cell r="BL63">
            <v>-433.69951407570625</v>
          </cell>
          <cell r="BM63">
            <v>2.0255967974662781E-3</v>
          </cell>
          <cell r="BN63"/>
          <cell r="BO63"/>
          <cell r="BP63"/>
          <cell r="BQ63">
            <v>2.0255967974662781E-3</v>
          </cell>
          <cell r="BR63">
            <v>-433.69951407570625</v>
          </cell>
          <cell r="BS63"/>
          <cell r="BT63"/>
          <cell r="BU63">
            <v>433.72</v>
          </cell>
          <cell r="BV63">
            <v>2.0485924293780045E-2</v>
          </cell>
          <cell r="BW63"/>
          <cell r="BX63"/>
          <cell r="BY63">
            <v>2.0255967974662781E-3</v>
          </cell>
          <cell r="BZ63">
            <v>2.0485924293780045E-2</v>
          </cell>
          <cell r="CA63"/>
          <cell r="CB63"/>
          <cell r="CC63">
            <v>2.0255967974662781E-3</v>
          </cell>
          <cell r="CD63">
            <v>2.0485924293780045E-2</v>
          </cell>
          <cell r="CE63"/>
          <cell r="CF63"/>
          <cell r="CG63">
            <v>2.0485924293780045E-2</v>
          </cell>
          <cell r="CH63">
            <v>0</v>
          </cell>
          <cell r="CI63" t="str">
            <v>No</v>
          </cell>
          <cell r="CJ63">
            <v>0</v>
          </cell>
          <cell r="CK63">
            <v>-2.2511521091246323E-2</v>
          </cell>
        </row>
        <row r="64">
          <cell r="A64">
            <v>29</v>
          </cell>
          <cell r="B64"/>
          <cell r="C64" t="str">
            <v>Other Regulatory Assets - Sub-Account - Operating Centers Consolidation Program (“OCCP”)</v>
          </cell>
          <cell r="D64">
            <v>1508</v>
          </cell>
          <cell r="E64">
            <v>8642559.5006500036</v>
          </cell>
          <cell r="F64">
            <v>18394133.83935</v>
          </cell>
          <cell r="G64"/>
          <cell r="H64"/>
          <cell r="I64">
            <v>27036693.340000004</v>
          </cell>
          <cell r="J64">
            <v>-77409.332052156285</v>
          </cell>
          <cell r="K64">
            <v>212644.59703742253</v>
          </cell>
          <cell r="L64"/>
          <cell r="M64"/>
          <cell r="N64">
            <v>135235.26498526626</v>
          </cell>
          <cell r="O64">
            <v>27036693.340000004</v>
          </cell>
          <cell r="P64">
            <v>-79824823.594649985</v>
          </cell>
          <cell r="Q64"/>
          <cell r="R64"/>
          <cell r="S64">
            <v>-52788130.254649982</v>
          </cell>
          <cell r="T64">
            <v>135235.26498526626</v>
          </cell>
          <cell r="U64">
            <v>-634606.46043796034</v>
          </cell>
          <cell r="V64"/>
          <cell r="W64"/>
          <cell r="X64">
            <v>-499371.19545269408</v>
          </cell>
          <cell r="Y64">
            <v>-52788130.254649982</v>
          </cell>
          <cell r="Z64">
            <v>1211325.5246499942</v>
          </cell>
          <cell r="AA64"/>
          <cell r="AB64"/>
          <cell r="AC64">
            <v>-51576804.729999989</v>
          </cell>
          <cell r="AD64">
            <v>-499371.19545269408</v>
          </cell>
          <cell r="AE64">
            <v>-1161339.9162688453</v>
          </cell>
          <cell r="AF64"/>
          <cell r="AG64"/>
          <cell r="AH64">
            <v>-1660711.1117215394</v>
          </cell>
          <cell r="AI64">
            <v>-51576804.729999989</v>
          </cell>
          <cell r="AJ64"/>
          <cell r="AK64">
            <v>-71848143.510000005</v>
          </cell>
          <cell r="AL64">
            <v>-20271338.780000005</v>
          </cell>
          <cell r="AM64">
            <v>0</v>
          </cell>
          <cell r="AN64">
            <v>-1660711.1117215394</v>
          </cell>
          <cell r="AO64"/>
          <cell r="AP64">
            <v>-1875149.68</v>
          </cell>
          <cell r="AQ64">
            <v>-214438.56681639235</v>
          </cell>
          <cell r="AR64">
            <v>1.4620681758970022E-3</v>
          </cell>
          <cell r="AS64">
            <v>0</v>
          </cell>
          <cell r="AT64"/>
          <cell r="AU64"/>
          <cell r="AV64"/>
          <cell r="AW64">
            <v>0</v>
          </cell>
          <cell r="AX64">
            <v>1.4620681758970022E-3</v>
          </cell>
          <cell r="AY64"/>
          <cell r="AZ64"/>
          <cell r="BA64"/>
          <cell r="BB64">
            <v>1.4620681758970022E-3</v>
          </cell>
          <cell r="BC64">
            <v>0</v>
          </cell>
          <cell r="BD64"/>
          <cell r="BE64"/>
          <cell r="BF64"/>
          <cell r="BG64">
            <v>0</v>
          </cell>
          <cell r="BH64">
            <v>1.4620681758970022E-3</v>
          </cell>
          <cell r="BI64"/>
          <cell r="BJ64"/>
          <cell r="BK64"/>
          <cell r="BL64">
            <v>1.4620681758970022E-3</v>
          </cell>
          <cell r="BM64">
            <v>0</v>
          </cell>
          <cell r="BN64"/>
          <cell r="BO64"/>
          <cell r="BP64">
            <v>1758343.6502500062</v>
          </cell>
          <cell r="BQ64">
            <v>1758343.6502500062</v>
          </cell>
          <cell r="BR64">
            <v>1.4620681758970022E-3</v>
          </cell>
          <cell r="BS64"/>
          <cell r="BT64"/>
          <cell r="BU64">
            <v>249732.73803547258</v>
          </cell>
          <cell r="BV64">
            <v>249732.73949754075</v>
          </cell>
          <cell r="BW64"/>
          <cell r="BX64"/>
          <cell r="BY64">
            <v>1758343.6502500062</v>
          </cell>
          <cell r="BZ64">
            <v>249732.73949754075</v>
          </cell>
          <cell r="CA64"/>
          <cell r="CB64"/>
          <cell r="CC64">
            <v>1758343.6502500062</v>
          </cell>
          <cell r="CD64">
            <v>249732.73949754075</v>
          </cell>
          <cell r="CE64">
            <v>88488.644198831549</v>
          </cell>
          <cell r="CF64"/>
          <cell r="CG64">
            <v>338221.38369637227</v>
          </cell>
          <cell r="CH64">
            <v>2096565.0339463786</v>
          </cell>
          <cell r="CI64" t="str">
            <v>Yes</v>
          </cell>
          <cell r="CJ64">
            <v>2008077</v>
          </cell>
          <cell r="CK64">
            <v>0.61025245301425457</v>
          </cell>
        </row>
        <row r="65">
          <cell r="A65"/>
          <cell r="B65"/>
          <cell r="C65" t="str">
            <v>Other Regulatory Assets - Sub-Account - 50/60 Eglinton</v>
          </cell>
          <cell r="D65">
            <v>1508</v>
          </cell>
          <cell r="E65"/>
          <cell r="F65">
            <v>-8043300.1400000006</v>
          </cell>
          <cell r="G65"/>
          <cell r="H65"/>
          <cell r="I65">
            <v>-8043300.1400000006</v>
          </cell>
          <cell r="J65"/>
          <cell r="K65">
            <v>-52279.479279617262</v>
          </cell>
          <cell r="L65"/>
          <cell r="M65"/>
          <cell r="N65">
            <v>-52279.479279617262</v>
          </cell>
          <cell r="O65">
            <v>-8043300.1400000006</v>
          </cell>
          <cell r="P65">
            <v>-326377.99999999907</v>
          </cell>
          <cell r="Q65"/>
          <cell r="R65"/>
          <cell r="S65">
            <v>-8369678.1399999997</v>
          </cell>
          <cell r="T65">
            <v>-52279.479279617262</v>
          </cell>
          <cell r="U65">
            <v>-153119.20180750001</v>
          </cell>
          <cell r="V65"/>
          <cell r="W65"/>
          <cell r="X65">
            <v>-205398.68108711726</v>
          </cell>
          <cell r="Y65">
            <v>-8369678.1399999997</v>
          </cell>
          <cell r="Z65"/>
          <cell r="AA65"/>
          <cell r="AB65"/>
          <cell r="AC65">
            <v>-8369678.1399999997</v>
          </cell>
          <cell r="AD65">
            <v>-205398.68108711726</v>
          </cell>
          <cell r="AE65">
            <v>-188108.51619649999</v>
          </cell>
          <cell r="AF65"/>
          <cell r="AG65"/>
          <cell r="AH65">
            <v>-393507.19728361722</v>
          </cell>
          <cell r="AI65">
            <v>-8369678.1399999997</v>
          </cell>
          <cell r="AJ65"/>
          <cell r="AK65">
            <v>-11387317.140000001</v>
          </cell>
          <cell r="AL65">
            <v>-3017639.0000000009</v>
          </cell>
          <cell r="AM65">
            <v>0</v>
          </cell>
          <cell r="AN65">
            <v>-393507.19728361722</v>
          </cell>
          <cell r="AO65"/>
          <cell r="AP65">
            <v>-423917.03</v>
          </cell>
          <cell r="AQ65">
            <v>-30409.832716382807</v>
          </cell>
          <cell r="AR65">
            <v>0</v>
          </cell>
          <cell r="AS65">
            <v>0</v>
          </cell>
          <cell r="AT65"/>
          <cell r="AU65"/>
          <cell r="AV65"/>
          <cell r="AW65">
            <v>0</v>
          </cell>
          <cell r="AX65">
            <v>0</v>
          </cell>
          <cell r="AY65"/>
          <cell r="AZ65"/>
          <cell r="BA65"/>
          <cell r="BB65">
            <v>0</v>
          </cell>
          <cell r="BC65">
            <v>0</v>
          </cell>
          <cell r="BD65"/>
          <cell r="BE65"/>
          <cell r="BF65"/>
          <cell r="BG65">
            <v>0</v>
          </cell>
          <cell r="BH65">
            <v>0</v>
          </cell>
          <cell r="BI65"/>
          <cell r="BJ65"/>
          <cell r="BK65"/>
          <cell r="BL65">
            <v>0</v>
          </cell>
          <cell r="BM65">
            <v>0</v>
          </cell>
          <cell r="BN65"/>
          <cell r="BO65"/>
          <cell r="BP65">
            <v>0</v>
          </cell>
          <cell r="BQ65">
            <v>0</v>
          </cell>
          <cell r="BR65">
            <v>0</v>
          </cell>
          <cell r="BS65"/>
          <cell r="BT65"/>
          <cell r="BU65">
            <v>0</v>
          </cell>
          <cell r="BV65">
            <v>0</v>
          </cell>
          <cell r="BW65"/>
          <cell r="BX65"/>
          <cell r="BY65">
            <v>0</v>
          </cell>
          <cell r="BZ65">
            <v>0</v>
          </cell>
          <cell r="CA65"/>
          <cell r="CB65"/>
          <cell r="CC65">
            <v>0</v>
          </cell>
          <cell r="CD65">
            <v>0</v>
          </cell>
          <cell r="CE65">
            <v>0</v>
          </cell>
          <cell r="CF65"/>
          <cell r="CG65">
            <v>0</v>
          </cell>
          <cell r="CH65">
            <v>0</v>
          </cell>
          <cell r="CI65" t="str">
            <v>No</v>
          </cell>
          <cell r="CJ65">
            <v>0</v>
          </cell>
          <cell r="CK65">
            <v>0</v>
          </cell>
        </row>
        <row r="66">
          <cell r="A66">
            <v>31</v>
          </cell>
          <cell r="B66"/>
          <cell r="C66" t="str">
            <v>Other Regulatory Assets - Sub-Account - Excess Expansion Deposits</v>
          </cell>
          <cell r="D66">
            <v>1508</v>
          </cell>
          <cell r="E66"/>
          <cell r="F66">
            <v>-5081563.3699999982</v>
          </cell>
          <cell r="G66"/>
          <cell r="H66"/>
          <cell r="I66">
            <v>-5081563.3699999982</v>
          </cell>
          <cell r="J66"/>
          <cell r="K66">
            <v>-204580.48000000001</v>
          </cell>
          <cell r="L66"/>
          <cell r="M66"/>
          <cell r="N66">
            <v>-204580.48000000001</v>
          </cell>
          <cell r="O66">
            <v>-5081563.3699999982</v>
          </cell>
          <cell r="P66">
            <v>-2412581.5800000024</v>
          </cell>
          <cell r="Q66"/>
          <cell r="R66"/>
          <cell r="S66">
            <v>-7494144.9500000011</v>
          </cell>
          <cell r="T66">
            <v>-204580.48000000001</v>
          </cell>
          <cell r="U66">
            <v>-145327.78</v>
          </cell>
          <cell r="V66"/>
          <cell r="W66"/>
          <cell r="X66">
            <v>-349908.26</v>
          </cell>
          <cell r="Y66">
            <v>-7494144.9500000011</v>
          </cell>
          <cell r="Z66">
            <v>-2760425.3800000027</v>
          </cell>
          <cell r="AA66"/>
          <cell r="AB66"/>
          <cell r="AC66">
            <v>-10254570.330000004</v>
          </cell>
          <cell r="AD66">
            <v>-349908.26</v>
          </cell>
          <cell r="AE66">
            <v>-217663.72527616669</v>
          </cell>
          <cell r="AF66"/>
          <cell r="AG66"/>
          <cell r="AH66">
            <v>-567571.9852761667</v>
          </cell>
          <cell r="AI66">
            <v>-10254570.330000004</v>
          </cell>
          <cell r="AJ66">
            <v>-3673057.63</v>
          </cell>
          <cell r="AK66"/>
          <cell r="AL66"/>
          <cell r="AM66">
            <v>-13927627.960000005</v>
          </cell>
          <cell r="AN66">
            <v>-567571.9852761667</v>
          </cell>
          <cell r="AO66">
            <v>-41722.420914500035</v>
          </cell>
          <cell r="AP66"/>
          <cell r="AQ66"/>
          <cell r="AR66">
            <v>-609294.40619066672</v>
          </cell>
          <cell r="AS66">
            <v>-13927627.960000005</v>
          </cell>
          <cell r="AT66">
            <v>-2668333.4400000004</v>
          </cell>
          <cell r="AU66">
            <v>-10254570.33</v>
          </cell>
          <cell r="AV66"/>
          <cell r="AW66">
            <v>-6341391.0700000059</v>
          </cell>
          <cell r="AX66">
            <v>-609294.40619066672</v>
          </cell>
          <cell r="AY66">
            <v>-27801.588979750013</v>
          </cell>
          <cell r="AZ66">
            <v>-791121.61</v>
          </cell>
          <cell r="BA66"/>
          <cell r="BB66">
            <v>154025.61482958321</v>
          </cell>
          <cell r="BC66">
            <v>-6341391.0700000059</v>
          </cell>
          <cell r="BD66">
            <v>-836014.14849557716</v>
          </cell>
          <cell r="BE66"/>
          <cell r="BF66"/>
          <cell r="BG66">
            <v>-7177405.2184955832</v>
          </cell>
          <cell r="BH66">
            <v>154025.61482958321</v>
          </cell>
          <cell r="BI66">
            <v>-132299.28171565052</v>
          </cell>
          <cell r="BJ66"/>
          <cell r="BK66">
            <v>-82549.23</v>
          </cell>
          <cell r="BL66">
            <v>-60822.896886067305</v>
          </cell>
          <cell r="BM66">
            <v>-7177405.2184955832</v>
          </cell>
          <cell r="BN66">
            <v>-574943.50026548945</v>
          </cell>
          <cell r="BO66"/>
          <cell r="BP66"/>
          <cell r="BQ66">
            <v>-7752348.7187610725</v>
          </cell>
          <cell r="BR66">
            <v>-60822.896886067305</v>
          </cell>
          <cell r="BS66">
            <v>-379344.46503873629</v>
          </cell>
          <cell r="BT66"/>
          <cell r="BU66">
            <v>-108612.99074525003</v>
          </cell>
          <cell r="BV66">
            <v>-548780.3526700536</v>
          </cell>
          <cell r="BW66"/>
          <cell r="BX66"/>
          <cell r="BY66">
            <v>-7752348.7187610725</v>
          </cell>
          <cell r="BZ66">
            <v>-548780.3526700536</v>
          </cell>
          <cell r="CA66"/>
          <cell r="CB66"/>
          <cell r="CC66">
            <v>-7752348.7187610725</v>
          </cell>
          <cell r="CD66">
            <v>-548780.3526700536</v>
          </cell>
          <cell r="CE66">
            <v>-425603.94465998263</v>
          </cell>
          <cell r="CF66"/>
          <cell r="CG66">
            <v>-974384.29733003629</v>
          </cell>
          <cell r="CH66">
            <v>-8726733.0160911083</v>
          </cell>
          <cell r="CI66" t="str">
            <v>Yes</v>
          </cell>
          <cell r="CJ66">
            <v>-8301130</v>
          </cell>
          <cell r="CK66">
            <v>-0.92856887355446815</v>
          </cell>
        </row>
        <row r="67">
          <cell r="A67">
            <v>32</v>
          </cell>
          <cell r="B67"/>
          <cell r="C67" t="str">
            <v>Other Regulatory Assets - Sub-Account - AR Credits</v>
          </cell>
          <cell r="D67">
            <v>1508</v>
          </cell>
          <cell r="E67"/>
          <cell r="F67"/>
          <cell r="G67"/>
          <cell r="H67"/>
          <cell r="I67">
            <v>0</v>
          </cell>
          <cell r="J67"/>
          <cell r="K67"/>
          <cell r="L67"/>
          <cell r="M67"/>
          <cell r="N67">
            <v>0</v>
          </cell>
          <cell r="O67">
            <v>0</v>
          </cell>
          <cell r="P67">
            <v>-3290798</v>
          </cell>
          <cell r="Q67"/>
          <cell r="R67"/>
          <cell r="S67">
            <v>-3290798</v>
          </cell>
          <cell r="T67">
            <v>0</v>
          </cell>
          <cell r="U67">
            <v>-57177.615250000003</v>
          </cell>
          <cell r="V67"/>
          <cell r="W67"/>
          <cell r="X67">
            <v>-57177.615250000003</v>
          </cell>
          <cell r="Y67">
            <v>-3290798</v>
          </cell>
          <cell r="Z67"/>
          <cell r="AA67"/>
          <cell r="AB67"/>
          <cell r="AC67">
            <v>-3290798</v>
          </cell>
          <cell r="AD67">
            <v>-57177.615250000003</v>
          </cell>
          <cell r="AE67"/>
          <cell r="AF67"/>
          <cell r="AG67">
            <v>57177.615250000003</v>
          </cell>
          <cell r="AH67">
            <v>0</v>
          </cell>
          <cell r="AI67">
            <v>-3290798</v>
          </cell>
          <cell r="AJ67">
            <v>28995.870000000112</v>
          </cell>
          <cell r="AK67"/>
          <cell r="AL67"/>
          <cell r="AM67">
            <v>-3261802.13</v>
          </cell>
          <cell r="AN67">
            <v>0</v>
          </cell>
          <cell r="AO67">
            <v>-45179.607996250044</v>
          </cell>
          <cell r="AP67"/>
          <cell r="AQ67"/>
          <cell r="AR67">
            <v>-45179.607996250044</v>
          </cell>
          <cell r="AS67">
            <v>-3261802.13</v>
          </cell>
          <cell r="AT67"/>
          <cell r="AU67">
            <v>-3290798.0500000031</v>
          </cell>
          <cell r="AV67">
            <v>-28995.870000000112</v>
          </cell>
          <cell r="AW67">
            <v>5.0000003073364496E-2</v>
          </cell>
          <cell r="AX67">
            <v>-45179.607996250044</v>
          </cell>
          <cell r="AY67"/>
          <cell r="AZ67">
            <v>-202877.3</v>
          </cell>
          <cell r="BA67">
            <v>-157697.69200374995</v>
          </cell>
          <cell r="BB67">
            <v>0</v>
          </cell>
          <cell r="BC67">
            <v>5.0000003073364496E-2</v>
          </cell>
          <cell r="BD67"/>
          <cell r="BE67"/>
          <cell r="BF67"/>
          <cell r="BG67">
            <v>5.0000003073364496E-2</v>
          </cell>
          <cell r="BH67">
            <v>0</v>
          </cell>
          <cell r="BI67"/>
          <cell r="BJ67"/>
          <cell r="BK67"/>
          <cell r="BL67">
            <v>0</v>
          </cell>
          <cell r="BM67">
            <v>5.0000003073364496E-2</v>
          </cell>
          <cell r="BN67"/>
          <cell r="BO67"/>
          <cell r="BP67"/>
          <cell r="BQ67">
            <v>5.0000003073364496E-2</v>
          </cell>
          <cell r="BR67">
            <v>0</v>
          </cell>
          <cell r="BS67"/>
          <cell r="BT67"/>
          <cell r="BU67"/>
          <cell r="BV67">
            <v>0</v>
          </cell>
          <cell r="BW67"/>
          <cell r="BX67"/>
          <cell r="BY67">
            <v>5.0000003073364496E-2</v>
          </cell>
          <cell r="BZ67">
            <v>0</v>
          </cell>
          <cell r="CA67"/>
          <cell r="CB67"/>
          <cell r="CC67">
            <v>5.0000003073364496E-2</v>
          </cell>
          <cell r="CD67">
            <v>0</v>
          </cell>
          <cell r="CE67"/>
          <cell r="CF67"/>
          <cell r="CG67">
            <v>0</v>
          </cell>
          <cell r="CH67">
            <v>0</v>
          </cell>
          <cell r="CI67" t="str">
            <v>No</v>
          </cell>
          <cell r="CJ67">
            <v>0</v>
          </cell>
          <cell r="CK67">
            <v>-5.0000003073364496E-2</v>
          </cell>
        </row>
        <row r="68">
          <cell r="A68">
            <v>33</v>
          </cell>
          <cell r="B68"/>
          <cell r="C68" t="str">
            <v>Other Regulatory Assets - Sub-Account - Operating Centers Consolidation Program (“OCCP”) Bonus Payment</v>
          </cell>
          <cell r="D68">
            <v>1508</v>
          </cell>
          <cell r="E68"/>
          <cell r="F68"/>
          <cell r="G68"/>
          <cell r="H68"/>
          <cell r="I68">
            <v>0</v>
          </cell>
          <cell r="J68"/>
          <cell r="K68"/>
          <cell r="L68"/>
          <cell r="M68"/>
          <cell r="N68">
            <v>0</v>
          </cell>
          <cell r="O68">
            <v>0</v>
          </cell>
          <cell r="P68"/>
          <cell r="Q68"/>
          <cell r="R68"/>
          <cell r="S68">
            <v>0</v>
          </cell>
          <cell r="T68">
            <v>0</v>
          </cell>
          <cell r="U68"/>
          <cell r="V68"/>
          <cell r="W68"/>
          <cell r="X68">
            <v>0</v>
          </cell>
          <cell r="Y68">
            <v>0</v>
          </cell>
          <cell r="Z68"/>
          <cell r="AA68"/>
          <cell r="AB68"/>
          <cell r="AC68">
            <v>0</v>
          </cell>
          <cell r="AD68">
            <v>0</v>
          </cell>
          <cell r="AE68"/>
          <cell r="AF68"/>
          <cell r="AG68"/>
          <cell r="AH68">
            <v>0</v>
          </cell>
          <cell r="AI68">
            <v>0</v>
          </cell>
          <cell r="AJ68"/>
          <cell r="AK68"/>
          <cell r="AL68"/>
          <cell r="AM68">
            <v>0</v>
          </cell>
          <cell r="AN68">
            <v>0</v>
          </cell>
          <cell r="AO68"/>
          <cell r="AP68"/>
          <cell r="AQ68"/>
          <cell r="AR68">
            <v>0</v>
          </cell>
          <cell r="AS68">
            <v>0</v>
          </cell>
          <cell r="AT68"/>
          <cell r="AU68"/>
          <cell r="AV68"/>
          <cell r="AW68">
            <v>0</v>
          </cell>
          <cell r="AX68">
            <v>0</v>
          </cell>
          <cell r="AY68"/>
          <cell r="AZ68"/>
          <cell r="BA68"/>
          <cell r="BB68">
            <v>0</v>
          </cell>
          <cell r="BC68">
            <v>0</v>
          </cell>
          <cell r="BD68"/>
          <cell r="BE68"/>
          <cell r="BF68"/>
          <cell r="BG68">
            <v>0</v>
          </cell>
          <cell r="BH68">
            <v>0</v>
          </cell>
          <cell r="BI68"/>
          <cell r="BJ68"/>
          <cell r="BK68"/>
          <cell r="BL68">
            <v>0</v>
          </cell>
          <cell r="BM68">
            <v>0</v>
          </cell>
          <cell r="BN68">
            <v>-23776031.399999999</v>
          </cell>
          <cell r="BO68"/>
          <cell r="BP68"/>
          <cell r="BQ68">
            <v>-23776031.399999999</v>
          </cell>
          <cell r="BR68">
            <v>0</v>
          </cell>
          <cell r="BS68">
            <v>-911562.95932499983</v>
          </cell>
          <cell r="BT68"/>
          <cell r="BU68"/>
          <cell r="BV68">
            <v>-911562.95932499983</v>
          </cell>
          <cell r="BW68"/>
          <cell r="BX68"/>
          <cell r="BY68">
            <v>-23776031.399999999</v>
          </cell>
          <cell r="BZ68">
            <v>-911562.95932499983</v>
          </cell>
          <cell r="CA68"/>
          <cell r="CB68"/>
          <cell r="CC68">
            <v>-23776031.399999999</v>
          </cell>
          <cell r="CD68">
            <v>-911562.95932499983</v>
          </cell>
          <cell r="CE68">
            <v>-1305304.1238599997</v>
          </cell>
          <cell r="CF68"/>
          <cell r="CG68">
            <v>-2216867.0831849994</v>
          </cell>
          <cell r="CH68">
            <v>-34565208.083185002</v>
          </cell>
          <cell r="CI68" t="str">
            <v>Yes</v>
          </cell>
          <cell r="CJ68">
            <v>-24687594</v>
          </cell>
          <cell r="CK68">
            <v>0.35932499915361404</v>
          </cell>
        </row>
        <row r="69">
          <cell r="A69">
            <v>34</v>
          </cell>
          <cell r="B69"/>
          <cell r="C69" t="str">
            <v>Other Regulatory Assets - Sub-Account - 50/60 Eglinton Proceeds of Sale Deferral Account</v>
          </cell>
          <cell r="D69">
            <v>1508</v>
          </cell>
          <cell r="E69"/>
          <cell r="F69"/>
          <cell r="G69"/>
          <cell r="H69"/>
          <cell r="I69">
            <v>0</v>
          </cell>
          <cell r="J69"/>
          <cell r="K69"/>
          <cell r="L69"/>
          <cell r="M69"/>
          <cell r="N69">
            <v>0</v>
          </cell>
          <cell r="O69">
            <v>0</v>
          </cell>
          <cell r="P69"/>
          <cell r="Q69"/>
          <cell r="R69"/>
          <cell r="S69">
            <v>0</v>
          </cell>
          <cell r="T69">
            <v>0</v>
          </cell>
          <cell r="U69"/>
          <cell r="V69"/>
          <cell r="W69"/>
          <cell r="X69">
            <v>0</v>
          </cell>
          <cell r="Y69">
            <v>0</v>
          </cell>
          <cell r="Z69"/>
          <cell r="AA69"/>
          <cell r="AB69"/>
          <cell r="AC69">
            <v>0</v>
          </cell>
          <cell r="AD69">
            <v>0</v>
          </cell>
          <cell r="AE69"/>
          <cell r="AF69"/>
          <cell r="AG69"/>
          <cell r="AH69">
            <v>0</v>
          </cell>
          <cell r="AI69">
            <v>0</v>
          </cell>
          <cell r="AJ69"/>
          <cell r="AK69"/>
          <cell r="AL69"/>
          <cell r="AM69">
            <v>0</v>
          </cell>
          <cell r="AN69">
            <v>0</v>
          </cell>
          <cell r="AO69"/>
          <cell r="AP69"/>
          <cell r="AQ69"/>
          <cell r="AR69">
            <v>0</v>
          </cell>
          <cell r="AS69">
            <v>0</v>
          </cell>
          <cell r="AT69"/>
          <cell r="AU69"/>
          <cell r="AV69"/>
          <cell r="AW69">
            <v>0</v>
          </cell>
          <cell r="AX69">
            <v>0</v>
          </cell>
          <cell r="AY69"/>
          <cell r="AZ69"/>
          <cell r="BA69"/>
          <cell r="BB69">
            <v>0</v>
          </cell>
          <cell r="BC69">
            <v>0</v>
          </cell>
          <cell r="BD69"/>
          <cell r="BE69"/>
          <cell r="BF69"/>
          <cell r="BG69">
            <v>0</v>
          </cell>
          <cell r="BH69">
            <v>0</v>
          </cell>
          <cell r="BI69"/>
          <cell r="BJ69"/>
          <cell r="BK69"/>
          <cell r="BL69">
            <v>0</v>
          </cell>
          <cell r="BM69">
            <v>0</v>
          </cell>
          <cell r="BN69">
            <v>-7306356.0899999999</v>
          </cell>
          <cell r="BO69"/>
          <cell r="BP69"/>
          <cell r="BQ69">
            <v>-7306356.0899999999</v>
          </cell>
          <cell r="BR69">
            <v>0</v>
          </cell>
          <cell r="BS69">
            <v>-269760.43387824995</v>
          </cell>
          <cell r="BT69"/>
          <cell r="BU69"/>
          <cell r="BV69">
            <v>-269760.43387824995</v>
          </cell>
          <cell r="BW69"/>
          <cell r="BX69"/>
          <cell r="BY69">
            <v>-7306356.0899999999</v>
          </cell>
          <cell r="BZ69">
            <v>-269760.43387824995</v>
          </cell>
          <cell r="CA69"/>
          <cell r="CB69"/>
          <cell r="CC69">
            <v>-7306356.0899999999</v>
          </cell>
          <cell r="CD69">
            <v>-269760.43387824995</v>
          </cell>
          <cell r="CE69">
            <v>-401118.949341</v>
          </cell>
          <cell r="CF69"/>
          <cell r="CG69">
            <v>-670879.38321925001</v>
          </cell>
          <cell r="CH69">
            <v>-10611499.38321925</v>
          </cell>
          <cell r="CI69" t="str">
            <v>Yes</v>
          </cell>
          <cell r="CJ69">
            <v>-7576116</v>
          </cell>
          <cell r="CK69">
            <v>0.52387825027108192</v>
          </cell>
        </row>
        <row r="70">
          <cell r="A70">
            <v>35</v>
          </cell>
          <cell r="B70"/>
          <cell r="C70" t="str">
            <v>Other Regulatory Assets - Sub-Account - Useful Life Changes</v>
          </cell>
          <cell r="D70">
            <v>1508</v>
          </cell>
          <cell r="E70"/>
          <cell r="F70"/>
          <cell r="G70"/>
          <cell r="H70"/>
          <cell r="I70">
            <v>0</v>
          </cell>
          <cell r="J70"/>
          <cell r="K70"/>
          <cell r="L70"/>
          <cell r="M70"/>
          <cell r="N70">
            <v>0</v>
          </cell>
          <cell r="O70">
            <v>0</v>
          </cell>
          <cell r="P70"/>
          <cell r="Q70"/>
          <cell r="R70"/>
          <cell r="S70">
            <v>0</v>
          </cell>
          <cell r="T70">
            <v>0</v>
          </cell>
          <cell r="U70"/>
          <cell r="V70"/>
          <cell r="W70"/>
          <cell r="X70">
            <v>0</v>
          </cell>
          <cell r="Y70">
            <v>0</v>
          </cell>
          <cell r="Z70"/>
          <cell r="AA70"/>
          <cell r="AB70"/>
          <cell r="AC70">
            <v>0</v>
          </cell>
          <cell r="AD70">
            <v>0</v>
          </cell>
          <cell r="AE70"/>
          <cell r="AF70"/>
          <cell r="AG70"/>
          <cell r="AH70">
            <v>0</v>
          </cell>
          <cell r="AI70">
            <v>0</v>
          </cell>
          <cell r="AJ70"/>
          <cell r="AK70"/>
          <cell r="AL70"/>
          <cell r="AM70">
            <v>0</v>
          </cell>
          <cell r="AN70">
            <v>0</v>
          </cell>
          <cell r="AO70"/>
          <cell r="AP70"/>
          <cell r="AQ70"/>
          <cell r="AR70">
            <v>0</v>
          </cell>
          <cell r="AS70">
            <v>0</v>
          </cell>
          <cell r="AT70"/>
          <cell r="AU70"/>
          <cell r="AV70"/>
          <cell r="AW70">
            <v>0</v>
          </cell>
          <cell r="AX70">
            <v>0</v>
          </cell>
          <cell r="AY70"/>
          <cell r="AZ70"/>
          <cell r="BA70"/>
          <cell r="BB70">
            <v>0</v>
          </cell>
          <cell r="BC70">
            <v>0</v>
          </cell>
          <cell r="BD70"/>
          <cell r="BE70"/>
          <cell r="BF70"/>
          <cell r="BG70">
            <v>0</v>
          </cell>
          <cell r="BH70">
            <v>0</v>
          </cell>
          <cell r="BI70"/>
          <cell r="BJ70"/>
          <cell r="BK70"/>
          <cell r="BL70">
            <v>0</v>
          </cell>
          <cell r="BM70">
            <v>0</v>
          </cell>
          <cell r="BN70">
            <v>-61331416.13000001</v>
          </cell>
          <cell r="BO70"/>
          <cell r="BP70"/>
          <cell r="BQ70">
            <v>-61331416.13000001</v>
          </cell>
          <cell r="BR70">
            <v>0</v>
          </cell>
          <cell r="BS70">
            <v>-1320015.7564410835</v>
          </cell>
          <cell r="BT70"/>
          <cell r="BU70"/>
          <cell r="BV70">
            <v>-1320015.7564410835</v>
          </cell>
          <cell r="BW70">
            <v>-67893758.592521951</v>
          </cell>
          <cell r="BX70"/>
          <cell r="BY70">
            <v>-129225174.72252196</v>
          </cell>
          <cell r="BZ70">
            <v>-1320015.7564410835</v>
          </cell>
          <cell r="CA70"/>
          <cell r="CB70"/>
          <cell r="CC70">
            <v>-129225174.72252196</v>
          </cell>
          <cell r="CD70">
            <v>-1320015.7564410835</v>
          </cell>
          <cell r="CE70">
            <v>-5053331.9880518885</v>
          </cell>
          <cell r="CF70"/>
          <cell r="CG70">
            <v>-6373347.7444929723</v>
          </cell>
          <cell r="CH70">
            <v>-135598522.46701494</v>
          </cell>
          <cell r="CI70" t="str">
            <v>Yes</v>
          </cell>
          <cell r="CJ70">
            <v>-62651432</v>
          </cell>
          <cell r="CK70">
            <v>-0.11355890333652496</v>
          </cell>
        </row>
        <row r="71">
          <cell r="A71">
            <v>36</v>
          </cell>
          <cell r="B71"/>
          <cell r="C71" t="str">
            <v>Other Regulatory Assets - Sub-Account - Gains on Sale of Properties</v>
          </cell>
          <cell r="D71">
            <v>1508</v>
          </cell>
          <cell r="E71"/>
          <cell r="F71"/>
          <cell r="G71"/>
          <cell r="H71"/>
          <cell r="I71">
            <v>0</v>
          </cell>
          <cell r="J71"/>
          <cell r="K71"/>
          <cell r="L71"/>
          <cell r="M71"/>
          <cell r="N71">
            <v>0</v>
          </cell>
          <cell r="O71">
            <v>0</v>
          </cell>
          <cell r="P71"/>
          <cell r="Q71"/>
          <cell r="R71"/>
          <cell r="S71">
            <v>0</v>
          </cell>
          <cell r="T71">
            <v>0</v>
          </cell>
          <cell r="U71"/>
          <cell r="V71"/>
          <cell r="W71"/>
          <cell r="X71">
            <v>0</v>
          </cell>
          <cell r="Y71">
            <v>0</v>
          </cell>
          <cell r="Z71"/>
          <cell r="AA71"/>
          <cell r="AB71"/>
          <cell r="AC71">
            <v>0</v>
          </cell>
          <cell r="AD71">
            <v>0</v>
          </cell>
          <cell r="AE71"/>
          <cell r="AF71"/>
          <cell r="AG71"/>
          <cell r="AH71">
            <v>0</v>
          </cell>
          <cell r="AI71">
            <v>0</v>
          </cell>
          <cell r="AJ71">
            <v>1000000</v>
          </cell>
          <cell r="AK71"/>
          <cell r="AL71"/>
          <cell r="AM71">
            <v>1000000</v>
          </cell>
          <cell r="AN71">
            <v>0</v>
          </cell>
          <cell r="AO71">
            <v>2942.5</v>
          </cell>
          <cell r="AP71"/>
          <cell r="AQ71"/>
          <cell r="AR71">
            <v>2942.5</v>
          </cell>
          <cell r="AS71">
            <v>1000000</v>
          </cell>
          <cell r="AT71">
            <v>-550804.46666666679</v>
          </cell>
          <cell r="AU71"/>
          <cell r="AV71"/>
          <cell r="AW71">
            <v>449195.53333333321</v>
          </cell>
          <cell r="AX71">
            <v>2942.5</v>
          </cell>
          <cell r="AY71">
            <v>1682.8108986666659</v>
          </cell>
          <cell r="AZ71"/>
          <cell r="BA71"/>
          <cell r="BB71">
            <v>4625.3108986666657</v>
          </cell>
          <cell r="BC71">
            <v>449195.53333333321</v>
          </cell>
          <cell r="BD71">
            <v>999999.99999999988</v>
          </cell>
          <cell r="BE71"/>
          <cell r="BF71"/>
          <cell r="BG71">
            <v>1449195.5333333332</v>
          </cell>
          <cell r="BH71">
            <v>4625.3108986666657</v>
          </cell>
          <cell r="BI71">
            <v>20841.677791916663</v>
          </cell>
          <cell r="BJ71"/>
          <cell r="BK71"/>
          <cell r="BL71">
            <v>25466.98869058333</v>
          </cell>
          <cell r="BM71">
            <v>1449195.5333333332</v>
          </cell>
          <cell r="BN71">
            <v>-646566.87</v>
          </cell>
          <cell r="BO71"/>
          <cell r="BP71">
            <v>-1935415.9899999995</v>
          </cell>
          <cell r="BQ71">
            <v>-1132787.3266666662</v>
          </cell>
          <cell r="BR71">
            <v>25466.98869058333</v>
          </cell>
          <cell r="BS71">
            <v>-29872.451163416641</v>
          </cell>
          <cell r="BT71"/>
          <cell r="BU71">
            <v>-40153.925721916654</v>
          </cell>
          <cell r="BV71">
            <v>-44559.388194749961</v>
          </cell>
          <cell r="BW71">
            <v>-800000.00000000012</v>
          </cell>
          <cell r="BX71"/>
          <cell r="BY71">
            <v>-1932787.3266666662</v>
          </cell>
          <cell r="BZ71">
            <v>-44559.388194749961</v>
          </cell>
          <cell r="CA71"/>
          <cell r="CB71"/>
          <cell r="CC71">
            <v>-1932787.3266666662</v>
          </cell>
          <cell r="CD71">
            <v>-44559.388194749961</v>
          </cell>
          <cell r="CE71">
            <v>-78202.524874499941</v>
          </cell>
          <cell r="CF71"/>
          <cell r="CG71">
            <v>-122761.9130692499</v>
          </cell>
          <cell r="CH71">
            <v>-2055549.2397359163</v>
          </cell>
          <cell r="CI71" t="str">
            <v>Yes</v>
          </cell>
          <cell r="CJ71">
            <v>-1177347</v>
          </cell>
          <cell r="CK71">
            <v>-0.28513858374208212</v>
          </cell>
        </row>
        <row r="72">
          <cell r="A72">
            <v>37</v>
          </cell>
          <cell r="B72"/>
          <cell r="C72" t="str">
            <v>Other Regulatory Assets - Sub-Account - OPEB Cash vs. Accrual</v>
          </cell>
          <cell r="D72">
            <v>1508</v>
          </cell>
          <cell r="E72">
            <v>2971000</v>
          </cell>
          <cell r="F72">
            <v>1300000</v>
          </cell>
          <cell r="G72"/>
          <cell r="H72"/>
          <cell r="I72">
            <v>4271000</v>
          </cell>
          <cell r="J72"/>
          <cell r="K72"/>
          <cell r="L72"/>
          <cell r="M72"/>
          <cell r="N72">
            <v>0</v>
          </cell>
          <cell r="O72">
            <v>4271000</v>
          </cell>
          <cell r="P72">
            <v>1182000</v>
          </cell>
          <cell r="Q72"/>
          <cell r="R72"/>
          <cell r="S72">
            <v>5453000</v>
          </cell>
          <cell r="T72">
            <v>0</v>
          </cell>
          <cell r="U72"/>
          <cell r="V72"/>
          <cell r="W72"/>
          <cell r="X72">
            <v>0</v>
          </cell>
          <cell r="Y72">
            <v>5453000</v>
          </cell>
          <cell r="Z72">
            <v>1663000</v>
          </cell>
          <cell r="AA72"/>
          <cell r="AB72"/>
          <cell r="AC72">
            <v>7116000</v>
          </cell>
          <cell r="AD72">
            <v>0</v>
          </cell>
          <cell r="AE72"/>
          <cell r="AF72"/>
          <cell r="AG72"/>
          <cell r="AH72">
            <v>0</v>
          </cell>
          <cell r="AI72">
            <v>7116000</v>
          </cell>
          <cell r="AJ72"/>
          <cell r="AK72">
            <v>7116182.8399999999</v>
          </cell>
          <cell r="AL72"/>
          <cell r="AM72">
            <v>-182.83999999985099</v>
          </cell>
          <cell r="AN72">
            <v>0</v>
          </cell>
          <cell r="AO72"/>
          <cell r="AP72"/>
          <cell r="AQ72"/>
          <cell r="AR72">
            <v>0</v>
          </cell>
          <cell r="AS72">
            <v>-182.83999999985099</v>
          </cell>
          <cell r="AT72"/>
          <cell r="AU72"/>
          <cell r="AV72"/>
          <cell r="AW72">
            <v>-182.83999999985099</v>
          </cell>
          <cell r="AX72">
            <v>0</v>
          </cell>
          <cell r="AY72"/>
          <cell r="AZ72"/>
          <cell r="BA72"/>
          <cell r="BB72">
            <v>0</v>
          </cell>
          <cell r="BC72">
            <v>-182.83999999985099</v>
          </cell>
          <cell r="BD72">
            <v>182.84</v>
          </cell>
          <cell r="BE72"/>
          <cell r="BF72"/>
          <cell r="BG72">
            <v>1.4901502254360821E-10</v>
          </cell>
          <cell r="BH72">
            <v>0</v>
          </cell>
          <cell r="BI72"/>
          <cell r="BJ72"/>
          <cell r="BK72"/>
          <cell r="BL72">
            <v>0</v>
          </cell>
          <cell r="BM72">
            <v>1.4901502254360821E-10</v>
          </cell>
          <cell r="BN72"/>
          <cell r="BO72"/>
          <cell r="BP72"/>
          <cell r="BQ72">
            <v>1.4901502254360821E-10</v>
          </cell>
          <cell r="BR72">
            <v>0</v>
          </cell>
          <cell r="BS72"/>
          <cell r="BT72"/>
          <cell r="BU72"/>
          <cell r="BV72">
            <v>0</v>
          </cell>
          <cell r="BW72"/>
          <cell r="BX72"/>
          <cell r="BY72">
            <v>1.4901502254360821E-10</v>
          </cell>
          <cell r="BZ72">
            <v>0</v>
          </cell>
          <cell r="CA72"/>
          <cell r="CB72"/>
          <cell r="CC72">
            <v>1.4901502254360821E-10</v>
          </cell>
          <cell r="CD72">
            <v>0</v>
          </cell>
          <cell r="CE72"/>
          <cell r="CF72"/>
          <cell r="CG72">
            <v>0</v>
          </cell>
          <cell r="CH72">
            <v>0</v>
          </cell>
          <cell r="CI72" t="str">
            <v>No</v>
          </cell>
          <cell r="CJ72">
            <v>0</v>
          </cell>
          <cell r="CK72">
            <v>-1.4901502254360821E-10</v>
          </cell>
        </row>
        <row r="73">
          <cell r="A73">
            <v>38</v>
          </cell>
          <cell r="B73"/>
          <cell r="C73" t="str">
            <v>Other Regulatory Assets - Sub-Account - Carillion Insolvency Payments Receivable Account</v>
          </cell>
          <cell r="D73">
            <v>1508</v>
          </cell>
          <cell r="E73"/>
          <cell r="F73"/>
          <cell r="G73"/>
          <cell r="H73"/>
          <cell r="I73">
            <v>0</v>
          </cell>
          <cell r="J73"/>
          <cell r="K73"/>
          <cell r="L73"/>
          <cell r="M73"/>
          <cell r="N73">
            <v>0</v>
          </cell>
          <cell r="O73">
            <v>0</v>
          </cell>
          <cell r="P73"/>
          <cell r="Q73"/>
          <cell r="R73"/>
          <cell r="S73">
            <v>0</v>
          </cell>
          <cell r="T73">
            <v>0</v>
          </cell>
          <cell r="U73"/>
          <cell r="V73"/>
          <cell r="W73"/>
          <cell r="X73">
            <v>0</v>
          </cell>
          <cell r="Y73">
            <v>0</v>
          </cell>
          <cell r="Z73"/>
          <cell r="AA73"/>
          <cell r="AB73"/>
          <cell r="AC73">
            <v>0</v>
          </cell>
          <cell r="AD73">
            <v>0</v>
          </cell>
          <cell r="AE73"/>
          <cell r="AF73"/>
          <cell r="AG73"/>
          <cell r="AH73">
            <v>0</v>
          </cell>
          <cell r="AI73">
            <v>0</v>
          </cell>
          <cell r="AJ73"/>
          <cell r="AK73"/>
          <cell r="AL73"/>
          <cell r="AM73">
            <v>0</v>
          </cell>
          <cell r="AN73">
            <v>0</v>
          </cell>
          <cell r="AO73"/>
          <cell r="AP73"/>
          <cell r="AQ73"/>
          <cell r="AR73">
            <v>0</v>
          </cell>
          <cell r="AS73">
            <v>0</v>
          </cell>
          <cell r="AT73"/>
          <cell r="AU73"/>
          <cell r="AV73"/>
          <cell r="AW73">
            <v>0</v>
          </cell>
          <cell r="AX73">
            <v>0</v>
          </cell>
          <cell r="AY73"/>
          <cell r="AZ73"/>
          <cell r="BA73"/>
          <cell r="BB73">
            <v>0</v>
          </cell>
          <cell r="BC73">
            <v>0</v>
          </cell>
          <cell r="BD73"/>
          <cell r="BE73"/>
          <cell r="BF73"/>
          <cell r="BG73">
            <v>0</v>
          </cell>
          <cell r="BH73">
            <v>0</v>
          </cell>
          <cell r="BI73"/>
          <cell r="BJ73"/>
          <cell r="BK73"/>
          <cell r="BL73">
            <v>0</v>
          </cell>
          <cell r="BM73">
            <v>0</v>
          </cell>
          <cell r="BN73">
            <v>282461.38938053098</v>
          </cell>
          <cell r="BO73"/>
          <cell r="BP73"/>
          <cell r="BQ73">
            <v>282461.38938053098</v>
          </cell>
          <cell r="BR73">
            <v>0</v>
          </cell>
          <cell r="BS73"/>
          <cell r="BT73"/>
          <cell r="BU73"/>
          <cell r="BV73">
            <v>0</v>
          </cell>
          <cell r="BW73"/>
          <cell r="BX73"/>
          <cell r="BY73">
            <v>282461.38938053098</v>
          </cell>
          <cell r="BZ73">
            <v>0</v>
          </cell>
          <cell r="CA73"/>
          <cell r="CB73"/>
          <cell r="CC73">
            <v>282461.38938053098</v>
          </cell>
          <cell r="CD73">
            <v>0</v>
          </cell>
          <cell r="CE73">
            <v>15507.130276991151</v>
          </cell>
          <cell r="CF73"/>
          <cell r="CG73">
            <v>15507.130276991151</v>
          </cell>
          <cell r="CH73">
            <v>0</v>
          </cell>
          <cell r="CI73" t="str">
            <v>No</v>
          </cell>
          <cell r="CJ73">
            <v>282461</v>
          </cell>
          <cell r="CK73">
            <v>-0.38938053097808734</v>
          </cell>
        </row>
        <row r="74">
          <cell r="A74"/>
          <cell r="B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row>
        <row r="75">
          <cell r="A75">
            <v>39</v>
          </cell>
          <cell r="B75"/>
          <cell r="C75" t="str">
            <v>Retail Cost Variance Account - Retail6</v>
          </cell>
          <cell r="D75">
            <v>1518</v>
          </cell>
          <cell r="E75"/>
          <cell r="F75"/>
          <cell r="G75"/>
          <cell r="H75"/>
          <cell r="I75">
            <v>0</v>
          </cell>
          <cell r="J75"/>
          <cell r="K75"/>
          <cell r="L75"/>
          <cell r="M75"/>
          <cell r="N75">
            <v>0</v>
          </cell>
          <cell r="O75">
            <v>0</v>
          </cell>
          <cell r="P75"/>
          <cell r="Q75"/>
          <cell r="R75"/>
          <cell r="S75">
            <v>0</v>
          </cell>
          <cell r="T75">
            <v>0</v>
          </cell>
          <cell r="U75"/>
          <cell r="V75"/>
          <cell r="W75"/>
          <cell r="X75">
            <v>0</v>
          </cell>
          <cell r="Y75">
            <v>0</v>
          </cell>
          <cell r="Z75"/>
          <cell r="AA75"/>
          <cell r="AB75"/>
          <cell r="AC75">
            <v>0</v>
          </cell>
          <cell r="AD75">
            <v>0</v>
          </cell>
          <cell r="AE75"/>
          <cell r="AF75"/>
          <cell r="AG75"/>
          <cell r="AH75">
            <v>0</v>
          </cell>
          <cell r="AI75">
            <v>0</v>
          </cell>
          <cell r="AJ75"/>
          <cell r="AK75"/>
          <cell r="AL75"/>
          <cell r="AM75">
            <v>0</v>
          </cell>
          <cell r="AN75">
            <v>0</v>
          </cell>
          <cell r="AO75"/>
          <cell r="AP75"/>
          <cell r="AQ75"/>
          <cell r="AR75">
            <v>0</v>
          </cell>
          <cell r="AS75">
            <v>0</v>
          </cell>
          <cell r="AT75"/>
          <cell r="AU75"/>
          <cell r="AV75"/>
          <cell r="AW75">
            <v>0</v>
          </cell>
          <cell r="AX75">
            <v>0</v>
          </cell>
          <cell r="AY75"/>
          <cell r="AZ75"/>
          <cell r="BA75"/>
          <cell r="BB75">
            <v>0</v>
          </cell>
          <cell r="BC75">
            <v>0</v>
          </cell>
          <cell r="BD75"/>
          <cell r="BE75"/>
          <cell r="BF75"/>
          <cell r="BG75">
            <v>0</v>
          </cell>
          <cell r="BH75">
            <v>0</v>
          </cell>
          <cell r="BI75"/>
          <cell r="BJ75"/>
          <cell r="BK75"/>
          <cell r="BL75">
            <v>0</v>
          </cell>
          <cell r="BM75">
            <v>0</v>
          </cell>
          <cell r="BN75"/>
          <cell r="BO75"/>
          <cell r="BP75"/>
          <cell r="BQ75">
            <v>0</v>
          </cell>
          <cell r="BR75">
            <v>0</v>
          </cell>
          <cell r="BS75"/>
          <cell r="BT75"/>
          <cell r="BU75"/>
          <cell r="BV75">
            <v>0</v>
          </cell>
          <cell r="BW75"/>
          <cell r="BX75"/>
          <cell r="BY75">
            <v>0</v>
          </cell>
          <cell r="BZ75">
            <v>0</v>
          </cell>
          <cell r="CA75"/>
          <cell r="CB75"/>
          <cell r="CC75">
            <v>0</v>
          </cell>
          <cell r="CD75">
            <v>0</v>
          </cell>
          <cell r="CE75"/>
          <cell r="CF75"/>
          <cell r="CG75">
            <v>0</v>
          </cell>
          <cell r="CH75">
            <v>0</v>
          </cell>
          <cell r="CI75"/>
          <cell r="CJ75"/>
          <cell r="CK75">
            <v>0</v>
          </cell>
        </row>
        <row r="76">
          <cell r="A76">
            <v>40</v>
          </cell>
          <cell r="B76"/>
          <cell r="C76" t="str">
            <v>Pension &amp; OPEB Forecast Accrual versus Actual Cash Payment Differential Carrying Charges8</v>
          </cell>
          <cell r="D76">
            <v>1522</v>
          </cell>
          <cell r="E76"/>
          <cell r="F76"/>
          <cell r="G76"/>
          <cell r="H76"/>
          <cell r="I76">
            <v>0</v>
          </cell>
          <cell r="J76"/>
          <cell r="K76"/>
          <cell r="L76"/>
          <cell r="M76"/>
          <cell r="N76">
            <v>0</v>
          </cell>
          <cell r="O76">
            <v>0</v>
          </cell>
          <cell r="P76"/>
          <cell r="Q76"/>
          <cell r="R76"/>
          <cell r="S76">
            <v>0</v>
          </cell>
          <cell r="T76">
            <v>0</v>
          </cell>
          <cell r="U76"/>
          <cell r="V76"/>
          <cell r="W76"/>
          <cell r="X76">
            <v>0</v>
          </cell>
          <cell r="Y76">
            <v>0</v>
          </cell>
          <cell r="Z76"/>
          <cell r="AA76"/>
          <cell r="AB76"/>
          <cell r="AC76">
            <v>0</v>
          </cell>
          <cell r="AD76">
            <v>0</v>
          </cell>
          <cell r="AE76"/>
          <cell r="AF76"/>
          <cell r="AG76"/>
          <cell r="AH76">
            <v>0</v>
          </cell>
          <cell r="AI76">
            <v>0</v>
          </cell>
          <cell r="AJ76"/>
          <cell r="AK76"/>
          <cell r="AL76"/>
          <cell r="AM76">
            <v>0</v>
          </cell>
          <cell r="AN76">
            <v>0</v>
          </cell>
          <cell r="AO76">
            <v>-27266.359522178605</v>
          </cell>
          <cell r="AP76"/>
          <cell r="AQ76"/>
          <cell r="AR76">
            <v>-27266.359522178605</v>
          </cell>
          <cell r="AS76">
            <v>0</v>
          </cell>
          <cell r="AT76"/>
          <cell r="AU76"/>
          <cell r="AV76"/>
          <cell r="AW76">
            <v>0</v>
          </cell>
          <cell r="AX76">
            <v>-27266.359522178605</v>
          </cell>
          <cell r="AY76">
            <v>-14892.187622089328</v>
          </cell>
          <cell r="AZ76"/>
          <cell r="BA76"/>
          <cell r="BB76">
            <v>-42158.547144267934</v>
          </cell>
          <cell r="BC76">
            <v>0</v>
          </cell>
          <cell r="BD76"/>
          <cell r="BE76"/>
          <cell r="BF76"/>
          <cell r="BG76">
            <v>0</v>
          </cell>
          <cell r="BH76">
            <v>-42158.547144267934</v>
          </cell>
          <cell r="BI76"/>
          <cell r="BJ76"/>
          <cell r="BK76"/>
          <cell r="BL76">
            <v>-42158.547144267934</v>
          </cell>
          <cell r="BM76">
            <v>0</v>
          </cell>
          <cell r="BN76"/>
          <cell r="BO76"/>
          <cell r="BP76"/>
          <cell r="BQ76">
            <v>0</v>
          </cell>
          <cell r="BR76">
            <v>-42158.547144267934</v>
          </cell>
          <cell r="BS76">
            <v>23819.736574953091</v>
          </cell>
          <cell r="BT76"/>
          <cell r="BU76"/>
          <cell r="BV76">
            <v>-18338.810569314843</v>
          </cell>
          <cell r="BW76"/>
          <cell r="BX76"/>
          <cell r="BY76">
            <v>0</v>
          </cell>
          <cell r="BZ76">
            <v>-18338.810569314843</v>
          </cell>
          <cell r="CA76"/>
          <cell r="CB76"/>
          <cell r="CC76">
            <v>0</v>
          </cell>
          <cell r="CD76">
            <v>-18338.810569314843</v>
          </cell>
          <cell r="CE76"/>
          <cell r="CF76"/>
          <cell r="CG76">
            <v>-18338.810569314843</v>
          </cell>
          <cell r="CH76">
            <v>-18338.810569314843</v>
          </cell>
          <cell r="CI76" t="str">
            <v>No</v>
          </cell>
          <cell r="CJ76">
            <v>-18338.80999999959</v>
          </cell>
          <cell r="CK76">
            <v>5.6931525250547566E-4</v>
          </cell>
        </row>
        <row r="77">
          <cell r="A77">
            <v>41</v>
          </cell>
          <cell r="B77"/>
          <cell r="C77" t="str">
            <v>Misc. Deferred Debits</v>
          </cell>
          <cell r="D77">
            <v>1525</v>
          </cell>
          <cell r="E77"/>
          <cell r="F77"/>
          <cell r="G77"/>
          <cell r="H77"/>
          <cell r="I77">
            <v>0</v>
          </cell>
          <cell r="J77"/>
          <cell r="K77"/>
          <cell r="L77"/>
          <cell r="M77"/>
          <cell r="N77">
            <v>0</v>
          </cell>
          <cell r="O77">
            <v>0</v>
          </cell>
          <cell r="P77"/>
          <cell r="Q77"/>
          <cell r="R77"/>
          <cell r="S77">
            <v>0</v>
          </cell>
          <cell r="T77">
            <v>0</v>
          </cell>
          <cell r="U77"/>
          <cell r="V77"/>
          <cell r="W77"/>
          <cell r="X77">
            <v>0</v>
          </cell>
          <cell r="Y77">
            <v>0</v>
          </cell>
          <cell r="Z77"/>
          <cell r="AA77"/>
          <cell r="AB77"/>
          <cell r="AC77">
            <v>0</v>
          </cell>
          <cell r="AD77">
            <v>0</v>
          </cell>
          <cell r="AE77"/>
          <cell r="AF77"/>
          <cell r="AG77"/>
          <cell r="AH77">
            <v>0</v>
          </cell>
          <cell r="AI77">
            <v>0</v>
          </cell>
          <cell r="AJ77"/>
          <cell r="AK77"/>
          <cell r="AL77"/>
          <cell r="AM77">
            <v>0</v>
          </cell>
          <cell r="AN77">
            <v>0</v>
          </cell>
          <cell r="AO77"/>
          <cell r="AP77"/>
          <cell r="AQ77"/>
          <cell r="AR77">
            <v>0</v>
          </cell>
          <cell r="AS77">
            <v>0</v>
          </cell>
          <cell r="AT77"/>
          <cell r="AU77"/>
          <cell r="AV77"/>
          <cell r="AW77">
            <v>0</v>
          </cell>
          <cell r="AX77">
            <v>0</v>
          </cell>
          <cell r="AY77"/>
          <cell r="AZ77"/>
          <cell r="BA77"/>
          <cell r="BB77">
            <v>0</v>
          </cell>
          <cell r="BC77">
            <v>0</v>
          </cell>
          <cell r="BD77"/>
          <cell r="BE77"/>
          <cell r="BF77"/>
          <cell r="BG77">
            <v>0</v>
          </cell>
          <cell r="BH77">
            <v>0</v>
          </cell>
          <cell r="BI77"/>
          <cell r="BJ77"/>
          <cell r="BK77"/>
          <cell r="BL77">
            <v>0</v>
          </cell>
          <cell r="BM77">
            <v>0</v>
          </cell>
          <cell r="BN77"/>
          <cell r="BO77"/>
          <cell r="BP77"/>
          <cell r="BQ77">
            <v>0</v>
          </cell>
          <cell r="BR77">
            <v>0</v>
          </cell>
          <cell r="BS77"/>
          <cell r="BT77"/>
          <cell r="BU77"/>
          <cell r="BV77">
            <v>0</v>
          </cell>
          <cell r="BW77"/>
          <cell r="BX77"/>
          <cell r="BY77">
            <v>0</v>
          </cell>
          <cell r="BZ77">
            <v>0</v>
          </cell>
          <cell r="CA77"/>
          <cell r="CB77"/>
          <cell r="CC77">
            <v>0</v>
          </cell>
          <cell r="CD77">
            <v>0</v>
          </cell>
          <cell r="CE77"/>
          <cell r="CF77"/>
          <cell r="CG77">
            <v>0</v>
          </cell>
          <cell r="CH77">
            <v>0</v>
          </cell>
          <cell r="CI77"/>
          <cell r="CJ77"/>
          <cell r="CK77">
            <v>0</v>
          </cell>
        </row>
        <row r="78">
          <cell r="A78">
            <v>42</v>
          </cell>
          <cell r="B78"/>
          <cell r="C78" t="str">
            <v>Retail Cost Variance Account - STR6</v>
          </cell>
          <cell r="D78">
            <v>1548</v>
          </cell>
          <cell r="E78"/>
          <cell r="F78"/>
          <cell r="G78"/>
          <cell r="H78"/>
          <cell r="I78">
            <v>0</v>
          </cell>
          <cell r="J78"/>
          <cell r="K78"/>
          <cell r="L78"/>
          <cell r="M78"/>
          <cell r="N78">
            <v>0</v>
          </cell>
          <cell r="O78">
            <v>0</v>
          </cell>
          <cell r="P78"/>
          <cell r="Q78"/>
          <cell r="R78"/>
          <cell r="S78">
            <v>0</v>
          </cell>
          <cell r="T78">
            <v>0</v>
          </cell>
          <cell r="U78"/>
          <cell r="V78"/>
          <cell r="W78"/>
          <cell r="X78">
            <v>0</v>
          </cell>
          <cell r="Y78">
            <v>0</v>
          </cell>
          <cell r="Z78"/>
          <cell r="AA78"/>
          <cell r="AB78"/>
          <cell r="AC78">
            <v>0</v>
          </cell>
          <cell r="AD78">
            <v>0</v>
          </cell>
          <cell r="AE78"/>
          <cell r="AF78"/>
          <cell r="AG78"/>
          <cell r="AH78">
            <v>0</v>
          </cell>
          <cell r="AI78">
            <v>0</v>
          </cell>
          <cell r="AJ78"/>
          <cell r="AK78"/>
          <cell r="AL78"/>
          <cell r="AM78">
            <v>0</v>
          </cell>
          <cell r="AN78">
            <v>0</v>
          </cell>
          <cell r="AO78"/>
          <cell r="AP78"/>
          <cell r="AQ78"/>
          <cell r="AR78">
            <v>0</v>
          </cell>
          <cell r="AS78">
            <v>0</v>
          </cell>
          <cell r="AT78"/>
          <cell r="AU78"/>
          <cell r="AV78"/>
          <cell r="AW78">
            <v>0</v>
          </cell>
          <cell r="AX78">
            <v>0</v>
          </cell>
          <cell r="AY78"/>
          <cell r="AZ78"/>
          <cell r="BA78"/>
          <cell r="BB78">
            <v>0</v>
          </cell>
          <cell r="BC78">
            <v>0</v>
          </cell>
          <cell r="BD78"/>
          <cell r="BE78"/>
          <cell r="BF78"/>
          <cell r="BG78">
            <v>0</v>
          </cell>
          <cell r="BH78">
            <v>0</v>
          </cell>
          <cell r="BI78"/>
          <cell r="BJ78"/>
          <cell r="BK78"/>
          <cell r="BL78">
            <v>0</v>
          </cell>
          <cell r="BM78">
            <v>0</v>
          </cell>
          <cell r="BN78"/>
          <cell r="BO78"/>
          <cell r="BP78"/>
          <cell r="BQ78">
            <v>0</v>
          </cell>
          <cell r="BR78">
            <v>0</v>
          </cell>
          <cell r="BS78"/>
          <cell r="BT78"/>
          <cell r="BU78"/>
          <cell r="BV78">
            <v>0</v>
          </cell>
          <cell r="BW78"/>
          <cell r="BX78"/>
          <cell r="BY78">
            <v>0</v>
          </cell>
          <cell r="BZ78">
            <v>0</v>
          </cell>
          <cell r="CA78"/>
          <cell r="CB78"/>
          <cell r="CC78">
            <v>0</v>
          </cell>
          <cell r="CD78">
            <v>0</v>
          </cell>
          <cell r="CE78"/>
          <cell r="CF78"/>
          <cell r="CG78">
            <v>0</v>
          </cell>
          <cell r="CH78">
            <v>0</v>
          </cell>
          <cell r="CI78"/>
          <cell r="CJ78"/>
          <cell r="CK78">
            <v>0</v>
          </cell>
        </row>
        <row r="79">
          <cell r="A79">
            <v>43</v>
          </cell>
          <cell r="B79"/>
          <cell r="C79" t="str">
            <v>Extra-Ordinary Event Costs</v>
          </cell>
          <cell r="D79">
            <v>1572</v>
          </cell>
          <cell r="E79"/>
          <cell r="F79"/>
          <cell r="G79"/>
          <cell r="H79"/>
          <cell r="I79">
            <v>0</v>
          </cell>
          <cell r="J79"/>
          <cell r="K79"/>
          <cell r="L79"/>
          <cell r="M79"/>
          <cell r="N79">
            <v>0</v>
          </cell>
          <cell r="O79">
            <v>0</v>
          </cell>
          <cell r="P79"/>
          <cell r="Q79"/>
          <cell r="R79"/>
          <cell r="S79">
            <v>0</v>
          </cell>
          <cell r="T79">
            <v>0</v>
          </cell>
          <cell r="U79"/>
          <cell r="V79"/>
          <cell r="W79"/>
          <cell r="X79">
            <v>0</v>
          </cell>
          <cell r="Y79">
            <v>0</v>
          </cell>
          <cell r="Z79"/>
          <cell r="AA79"/>
          <cell r="AB79"/>
          <cell r="AC79">
            <v>0</v>
          </cell>
          <cell r="AD79">
            <v>0</v>
          </cell>
          <cell r="AE79"/>
          <cell r="AF79"/>
          <cell r="AG79"/>
          <cell r="AH79">
            <v>0</v>
          </cell>
          <cell r="AI79">
            <v>0</v>
          </cell>
          <cell r="AJ79"/>
          <cell r="AK79"/>
          <cell r="AL79"/>
          <cell r="AM79">
            <v>0</v>
          </cell>
          <cell r="AN79">
            <v>0</v>
          </cell>
          <cell r="AO79"/>
          <cell r="AP79"/>
          <cell r="AQ79"/>
          <cell r="AR79">
            <v>0</v>
          </cell>
          <cell r="AS79">
            <v>0</v>
          </cell>
          <cell r="AT79"/>
          <cell r="AU79"/>
          <cell r="AV79"/>
          <cell r="AW79">
            <v>0</v>
          </cell>
          <cell r="AX79">
            <v>0</v>
          </cell>
          <cell r="AY79"/>
          <cell r="AZ79"/>
          <cell r="BA79"/>
          <cell r="BB79">
            <v>0</v>
          </cell>
          <cell r="BC79">
            <v>0</v>
          </cell>
          <cell r="BD79"/>
          <cell r="BE79"/>
          <cell r="BF79"/>
          <cell r="BG79">
            <v>0</v>
          </cell>
          <cell r="BH79">
            <v>0</v>
          </cell>
          <cell r="BI79"/>
          <cell r="BJ79"/>
          <cell r="BK79"/>
          <cell r="BL79">
            <v>0</v>
          </cell>
          <cell r="BM79">
            <v>0</v>
          </cell>
          <cell r="BN79"/>
          <cell r="BO79"/>
          <cell r="BP79"/>
          <cell r="BQ79">
            <v>0</v>
          </cell>
          <cell r="BR79">
            <v>0</v>
          </cell>
          <cell r="BS79"/>
          <cell r="BT79"/>
          <cell r="BU79"/>
          <cell r="BV79">
            <v>0</v>
          </cell>
          <cell r="BW79"/>
          <cell r="BX79"/>
          <cell r="BY79">
            <v>0</v>
          </cell>
          <cell r="BZ79">
            <v>0</v>
          </cell>
          <cell r="CA79"/>
          <cell r="CB79"/>
          <cell r="CC79">
            <v>0</v>
          </cell>
          <cell r="CD79">
            <v>0</v>
          </cell>
          <cell r="CE79"/>
          <cell r="CF79"/>
          <cell r="CG79">
            <v>0</v>
          </cell>
          <cell r="CH79">
            <v>0</v>
          </cell>
          <cell r="CI79"/>
          <cell r="CJ79"/>
          <cell r="CK79">
            <v>0</v>
          </cell>
        </row>
        <row r="80">
          <cell r="A80">
            <v>44</v>
          </cell>
          <cell r="B80"/>
          <cell r="C80" t="str">
            <v>Deferred Rate Impact Amounts</v>
          </cell>
          <cell r="D80">
            <v>1574</v>
          </cell>
          <cell r="E80"/>
          <cell r="F80"/>
          <cell r="G80"/>
          <cell r="H80"/>
          <cell r="I80">
            <v>0</v>
          </cell>
          <cell r="J80"/>
          <cell r="K80"/>
          <cell r="L80"/>
          <cell r="M80"/>
          <cell r="N80">
            <v>0</v>
          </cell>
          <cell r="O80">
            <v>0</v>
          </cell>
          <cell r="P80"/>
          <cell r="Q80"/>
          <cell r="R80"/>
          <cell r="S80">
            <v>0</v>
          </cell>
          <cell r="T80">
            <v>0</v>
          </cell>
          <cell r="U80"/>
          <cell r="V80"/>
          <cell r="W80"/>
          <cell r="X80">
            <v>0</v>
          </cell>
          <cell r="Y80">
            <v>0</v>
          </cell>
          <cell r="Z80"/>
          <cell r="AA80"/>
          <cell r="AB80"/>
          <cell r="AC80">
            <v>0</v>
          </cell>
          <cell r="AD80">
            <v>0</v>
          </cell>
          <cell r="AE80"/>
          <cell r="AF80"/>
          <cell r="AG80"/>
          <cell r="AH80">
            <v>0</v>
          </cell>
          <cell r="AI80">
            <v>0</v>
          </cell>
          <cell r="AJ80"/>
          <cell r="AK80"/>
          <cell r="AL80"/>
          <cell r="AM80">
            <v>0</v>
          </cell>
          <cell r="AN80">
            <v>0</v>
          </cell>
          <cell r="AO80"/>
          <cell r="AP80"/>
          <cell r="AQ80"/>
          <cell r="AR80">
            <v>0</v>
          </cell>
          <cell r="AS80">
            <v>0</v>
          </cell>
          <cell r="AT80"/>
          <cell r="AU80"/>
          <cell r="AV80"/>
          <cell r="AW80">
            <v>0</v>
          </cell>
          <cell r="AX80">
            <v>0</v>
          </cell>
          <cell r="AY80"/>
          <cell r="AZ80"/>
          <cell r="BA80"/>
          <cell r="BB80">
            <v>0</v>
          </cell>
          <cell r="BC80">
            <v>0</v>
          </cell>
          <cell r="BD80"/>
          <cell r="BE80"/>
          <cell r="BF80"/>
          <cell r="BG80">
            <v>0</v>
          </cell>
          <cell r="BH80">
            <v>0</v>
          </cell>
          <cell r="BI80"/>
          <cell r="BJ80"/>
          <cell r="BK80"/>
          <cell r="BL80">
            <v>0</v>
          </cell>
          <cell r="BM80">
            <v>0</v>
          </cell>
          <cell r="BN80"/>
          <cell r="BO80"/>
          <cell r="BP80"/>
          <cell r="BQ80">
            <v>0</v>
          </cell>
          <cell r="BR80">
            <v>0</v>
          </cell>
          <cell r="BS80"/>
          <cell r="BT80"/>
          <cell r="BU80"/>
          <cell r="BV80">
            <v>0</v>
          </cell>
          <cell r="BW80"/>
          <cell r="BX80"/>
          <cell r="BY80">
            <v>0</v>
          </cell>
          <cell r="BZ80">
            <v>0</v>
          </cell>
          <cell r="CA80"/>
          <cell r="CB80"/>
          <cell r="CC80">
            <v>0</v>
          </cell>
          <cell r="CD80">
            <v>0</v>
          </cell>
          <cell r="CE80"/>
          <cell r="CF80"/>
          <cell r="CG80">
            <v>0</v>
          </cell>
          <cell r="CH80">
            <v>0</v>
          </cell>
          <cell r="CI80"/>
          <cell r="CJ80"/>
          <cell r="CK80">
            <v>0</v>
          </cell>
        </row>
        <row r="81">
          <cell r="A81">
            <v>45</v>
          </cell>
          <cell r="B81"/>
          <cell r="C81" t="str">
            <v>RSVA - One-time</v>
          </cell>
          <cell r="D81">
            <v>1582</v>
          </cell>
          <cell r="E81"/>
          <cell r="F81"/>
          <cell r="G81"/>
          <cell r="H81"/>
          <cell r="I81">
            <v>0</v>
          </cell>
          <cell r="J81"/>
          <cell r="K81"/>
          <cell r="L81"/>
          <cell r="M81"/>
          <cell r="N81">
            <v>0</v>
          </cell>
          <cell r="O81">
            <v>0</v>
          </cell>
          <cell r="P81"/>
          <cell r="Q81"/>
          <cell r="R81"/>
          <cell r="S81">
            <v>0</v>
          </cell>
          <cell r="T81">
            <v>0</v>
          </cell>
          <cell r="U81"/>
          <cell r="V81"/>
          <cell r="W81"/>
          <cell r="X81">
            <v>0</v>
          </cell>
          <cell r="Y81">
            <v>0</v>
          </cell>
          <cell r="Z81"/>
          <cell r="AA81"/>
          <cell r="AB81"/>
          <cell r="AC81">
            <v>0</v>
          </cell>
          <cell r="AD81">
            <v>0</v>
          </cell>
          <cell r="AE81"/>
          <cell r="AF81"/>
          <cell r="AG81"/>
          <cell r="AH81">
            <v>0</v>
          </cell>
          <cell r="AI81">
            <v>0</v>
          </cell>
          <cell r="AJ81"/>
          <cell r="AK81"/>
          <cell r="AL81"/>
          <cell r="AM81">
            <v>0</v>
          </cell>
          <cell r="AN81">
            <v>0</v>
          </cell>
          <cell r="AO81"/>
          <cell r="AP81"/>
          <cell r="AQ81"/>
          <cell r="AR81">
            <v>0</v>
          </cell>
          <cell r="AS81">
            <v>0</v>
          </cell>
          <cell r="AT81"/>
          <cell r="AU81"/>
          <cell r="AV81"/>
          <cell r="AW81">
            <v>0</v>
          </cell>
          <cell r="AX81">
            <v>0</v>
          </cell>
          <cell r="AY81"/>
          <cell r="AZ81"/>
          <cell r="BA81"/>
          <cell r="BB81">
            <v>0</v>
          </cell>
          <cell r="BC81">
            <v>0</v>
          </cell>
          <cell r="BD81"/>
          <cell r="BE81"/>
          <cell r="BF81"/>
          <cell r="BG81">
            <v>0</v>
          </cell>
          <cell r="BH81">
            <v>0</v>
          </cell>
          <cell r="BI81"/>
          <cell r="BJ81"/>
          <cell r="BK81"/>
          <cell r="BL81">
            <v>0</v>
          </cell>
          <cell r="BM81">
            <v>0</v>
          </cell>
          <cell r="BN81"/>
          <cell r="BO81"/>
          <cell r="BP81"/>
          <cell r="BQ81">
            <v>0</v>
          </cell>
          <cell r="BR81">
            <v>0</v>
          </cell>
          <cell r="BS81"/>
          <cell r="BT81"/>
          <cell r="BU81"/>
          <cell r="BV81">
            <v>0</v>
          </cell>
          <cell r="BW81"/>
          <cell r="BX81"/>
          <cell r="BY81">
            <v>0</v>
          </cell>
          <cell r="BZ81">
            <v>0</v>
          </cell>
          <cell r="CA81"/>
          <cell r="CB81"/>
          <cell r="CC81">
            <v>0</v>
          </cell>
          <cell r="CD81">
            <v>0</v>
          </cell>
          <cell r="CE81"/>
          <cell r="CF81"/>
          <cell r="CG81">
            <v>0</v>
          </cell>
          <cell r="CH81">
            <v>0</v>
          </cell>
          <cell r="CI81"/>
          <cell r="CJ81"/>
          <cell r="CK81">
            <v>0</v>
          </cell>
        </row>
        <row r="82">
          <cell r="A82">
            <v>46</v>
          </cell>
          <cell r="B82"/>
          <cell r="C82" t="str">
            <v>Other Deferred Credits</v>
          </cell>
          <cell r="D82">
            <v>2425</v>
          </cell>
          <cell r="E82"/>
          <cell r="F82"/>
          <cell r="G82"/>
          <cell r="H82"/>
          <cell r="I82">
            <v>0</v>
          </cell>
          <cell r="J82"/>
          <cell r="K82"/>
          <cell r="L82"/>
          <cell r="M82"/>
          <cell r="N82">
            <v>0</v>
          </cell>
          <cell r="O82">
            <v>0</v>
          </cell>
          <cell r="P82"/>
          <cell r="Q82"/>
          <cell r="R82"/>
          <cell r="S82">
            <v>0</v>
          </cell>
          <cell r="T82">
            <v>0</v>
          </cell>
          <cell r="U82"/>
          <cell r="V82"/>
          <cell r="W82"/>
          <cell r="X82">
            <v>0</v>
          </cell>
          <cell r="Y82">
            <v>0</v>
          </cell>
          <cell r="Z82"/>
          <cell r="AA82"/>
          <cell r="AB82"/>
          <cell r="AC82">
            <v>0</v>
          </cell>
          <cell r="AD82">
            <v>0</v>
          </cell>
          <cell r="AE82"/>
          <cell r="AF82"/>
          <cell r="AG82"/>
          <cell r="AH82">
            <v>0</v>
          </cell>
          <cell r="AI82">
            <v>0</v>
          </cell>
          <cell r="AJ82"/>
          <cell r="AK82"/>
          <cell r="AL82"/>
          <cell r="AM82">
            <v>0</v>
          </cell>
          <cell r="AN82">
            <v>0</v>
          </cell>
          <cell r="AO82"/>
          <cell r="AP82"/>
          <cell r="AQ82"/>
          <cell r="AR82">
            <v>0</v>
          </cell>
          <cell r="AS82">
            <v>0</v>
          </cell>
          <cell r="AT82"/>
          <cell r="AU82"/>
          <cell r="AV82"/>
          <cell r="AW82">
            <v>0</v>
          </cell>
          <cell r="AX82">
            <v>0</v>
          </cell>
          <cell r="AY82"/>
          <cell r="AZ82"/>
          <cell r="BA82"/>
          <cell r="BB82">
            <v>0</v>
          </cell>
          <cell r="BC82">
            <v>0</v>
          </cell>
          <cell r="BD82"/>
          <cell r="BE82"/>
          <cell r="BF82"/>
          <cell r="BG82">
            <v>0</v>
          </cell>
          <cell r="BH82">
            <v>0</v>
          </cell>
          <cell r="BI82"/>
          <cell r="BJ82"/>
          <cell r="BK82"/>
          <cell r="BL82">
            <v>0</v>
          </cell>
          <cell r="BM82">
            <v>0</v>
          </cell>
          <cell r="BN82"/>
          <cell r="BO82"/>
          <cell r="BP82"/>
          <cell r="BQ82">
            <v>0</v>
          </cell>
          <cell r="BR82">
            <v>0</v>
          </cell>
          <cell r="BS82"/>
          <cell r="BT82"/>
          <cell r="BU82"/>
          <cell r="BV82">
            <v>0</v>
          </cell>
          <cell r="BW82"/>
          <cell r="BX82"/>
          <cell r="BY82">
            <v>0</v>
          </cell>
          <cell r="BZ82">
            <v>0</v>
          </cell>
          <cell r="CA82"/>
          <cell r="CB82"/>
          <cell r="CC82">
            <v>0</v>
          </cell>
          <cell r="CD82">
            <v>0</v>
          </cell>
          <cell r="CE82"/>
          <cell r="CF82"/>
          <cell r="CG82">
            <v>0</v>
          </cell>
          <cell r="CH82">
            <v>0</v>
          </cell>
          <cell r="CI82"/>
          <cell r="CJ82"/>
          <cell r="CK82">
            <v>0</v>
          </cell>
        </row>
        <row r="83">
          <cell r="A83"/>
          <cell r="B83"/>
          <cell r="C83"/>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row>
        <row r="84">
          <cell r="A84"/>
          <cell r="B84"/>
          <cell r="C84" t="str">
            <v>Group 2 Sub-Total</v>
          </cell>
          <cell r="D84"/>
          <cell r="E84">
            <v>52740609.223547615</v>
          </cell>
          <cell r="F84">
            <v>14740639.897795755</v>
          </cell>
          <cell r="G84">
            <v>0</v>
          </cell>
          <cell r="H84">
            <v>0</v>
          </cell>
          <cell r="I84">
            <v>67481249.121343374</v>
          </cell>
          <cell r="J84">
            <v>-355501.50110714376</v>
          </cell>
          <cell r="K84">
            <v>-415910.50500065775</v>
          </cell>
          <cell r="L84">
            <v>0</v>
          </cell>
          <cell r="M84">
            <v>0</v>
          </cell>
          <cell r="N84">
            <v>-771412.00610780157</v>
          </cell>
          <cell r="O84">
            <v>67481249.121343374</v>
          </cell>
          <cell r="P84">
            <v>-155127324.3163071</v>
          </cell>
          <cell r="Q84">
            <v>0</v>
          </cell>
          <cell r="R84">
            <v>0</v>
          </cell>
          <cell r="S84">
            <v>-87646075.194963738</v>
          </cell>
          <cell r="T84">
            <v>-771412.00610780157</v>
          </cell>
          <cell r="U84">
            <v>-1937966.9519745714</v>
          </cell>
          <cell r="V84">
            <v>0</v>
          </cell>
          <cell r="W84">
            <v>0</v>
          </cell>
          <cell r="X84">
            <v>-2709378.9580823723</v>
          </cell>
          <cell r="Y84">
            <v>-87646075.194963738</v>
          </cell>
          <cell r="Z84">
            <v>8781130.335464159</v>
          </cell>
          <cell r="AA84">
            <v>0</v>
          </cell>
          <cell r="AB84">
            <v>0</v>
          </cell>
          <cell r="AC84">
            <v>-78864944.859499574</v>
          </cell>
          <cell r="AD84">
            <v>-2709378.9580823723</v>
          </cell>
          <cell r="AE84">
            <v>-3492381.8773589628</v>
          </cell>
          <cell r="AF84">
            <v>0</v>
          </cell>
          <cell r="AG84">
            <v>57177.615250000003</v>
          </cell>
          <cell r="AH84">
            <v>-6144583.2201913353</v>
          </cell>
          <cell r="AI84">
            <v>-78864944.859499574</v>
          </cell>
          <cell r="AJ84">
            <v>-8824693.9100000001</v>
          </cell>
          <cell r="AK84">
            <v>-93136694.160000011</v>
          </cell>
          <cell r="AL84">
            <v>-23288977.780000005</v>
          </cell>
          <cell r="AM84">
            <v>-17841922.38949959</v>
          </cell>
          <cell r="AN84">
            <v>-6144583.2201913353</v>
          </cell>
          <cell r="AO84">
            <v>-1577877.5238796673</v>
          </cell>
          <cell r="AP84">
            <v>-4764571.99</v>
          </cell>
          <cell r="AQ84">
            <v>-244848.39953277516</v>
          </cell>
          <cell r="AR84">
            <v>-3230003.5131259561</v>
          </cell>
          <cell r="AS84">
            <v>-17841922.38949959</v>
          </cell>
          <cell r="AT84">
            <v>-30992940.496666662</v>
          </cell>
          <cell r="AU84">
            <v>-14191832.440000003</v>
          </cell>
          <cell r="AV84">
            <v>-28995.870000000112</v>
          </cell>
          <cell r="AW84">
            <v>-34672026.316166252</v>
          </cell>
          <cell r="AX84">
            <v>-3230003.5131259561</v>
          </cell>
          <cell r="AY84">
            <v>-653678.25307917281</v>
          </cell>
          <cell r="AZ84">
            <v>-1041838.76</v>
          </cell>
          <cell r="BA84">
            <v>-157697.69200374995</v>
          </cell>
          <cell r="BB84">
            <v>-2999540.6982088783</v>
          </cell>
          <cell r="BC84">
            <v>-34672026.316166252</v>
          </cell>
          <cell r="BD84">
            <v>-75103966.343495563</v>
          </cell>
          <cell r="BE84">
            <v>0</v>
          </cell>
          <cell r="BF84">
            <v>0</v>
          </cell>
          <cell r="BG84">
            <v>-109775992.65966184</v>
          </cell>
          <cell r="BH84">
            <v>-2999540.6982088783</v>
          </cell>
          <cell r="BI84">
            <v>-1576261.3633786091</v>
          </cell>
          <cell r="BJ84">
            <v>0</v>
          </cell>
          <cell r="BK84">
            <v>-852279.87</v>
          </cell>
          <cell r="BL84">
            <v>-5428081.9315874884</v>
          </cell>
          <cell r="BM84">
            <v>-109775992.65966184</v>
          </cell>
          <cell r="BN84">
            <v>-66933302.300816655</v>
          </cell>
          <cell r="BO84">
            <v>-74661953.060000002</v>
          </cell>
          <cell r="BP84">
            <v>-421066.21974999341</v>
          </cell>
          <cell r="BQ84">
            <v>-102468408.12022847</v>
          </cell>
          <cell r="BR84">
            <v>-5428081.9315874884</v>
          </cell>
          <cell r="BS84">
            <v>-2902376.2741604433</v>
          </cell>
          <cell r="BT84">
            <v>-7174468.6600000001</v>
          </cell>
          <cell r="BU84">
            <v>-1766277.4162484016</v>
          </cell>
          <cell r="BV84">
            <v>-2922266.9619963327</v>
          </cell>
          <cell r="BW84">
            <v>-59430913.280187637</v>
          </cell>
          <cell r="BX84">
            <v>0</v>
          </cell>
          <cell r="BY84">
            <v>-161899321.40041608</v>
          </cell>
          <cell r="BZ84">
            <v>-2922266.9619963327</v>
          </cell>
          <cell r="CA84">
            <v>0</v>
          </cell>
          <cell r="CB84">
            <v>0</v>
          </cell>
          <cell r="CC84">
            <v>-161899321.40041608</v>
          </cell>
          <cell r="CD84">
            <v>-2922266.9619963327</v>
          </cell>
          <cell r="CE84">
            <v>-6584444.4379107384</v>
          </cell>
          <cell r="CF84">
            <v>0</v>
          </cell>
          <cell r="CG84">
            <v>-9506711.3999070711</v>
          </cell>
          <cell r="CH84">
            <v>-173219314.48201707</v>
          </cell>
          <cell r="CI84"/>
          <cell r="CJ84">
            <v>-105390676.81</v>
          </cell>
          <cell r="CK84">
            <v>-1.7277752012014389</v>
          </cell>
        </row>
        <row r="85">
          <cell r="A85"/>
          <cell r="B85"/>
          <cell r="C85"/>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row>
        <row r="86">
          <cell r="A86">
            <v>47</v>
          </cell>
          <cell r="B86"/>
          <cell r="C86" t="str">
            <v>PILs and Tax Variance for 2006 and Subsequent Years                                                                          (excludes sub-account and contra account below)</v>
          </cell>
          <cell r="D86">
            <v>1592</v>
          </cell>
          <cell r="E86"/>
          <cell r="F86"/>
          <cell r="G86"/>
          <cell r="H86"/>
          <cell r="I86">
            <v>0</v>
          </cell>
          <cell r="J86"/>
          <cell r="K86"/>
          <cell r="L86"/>
          <cell r="M86"/>
          <cell r="N86">
            <v>0</v>
          </cell>
          <cell r="O86">
            <v>0</v>
          </cell>
          <cell r="P86"/>
          <cell r="Q86"/>
          <cell r="R86"/>
          <cell r="S86">
            <v>0</v>
          </cell>
          <cell r="T86">
            <v>0</v>
          </cell>
          <cell r="U86"/>
          <cell r="V86"/>
          <cell r="W86"/>
          <cell r="X86">
            <v>0</v>
          </cell>
          <cell r="Y86">
            <v>0</v>
          </cell>
          <cell r="Z86">
            <v>-10854395</v>
          </cell>
          <cell r="AA86"/>
          <cell r="AB86"/>
          <cell r="AC86">
            <v>-10854395</v>
          </cell>
          <cell r="AD86">
            <v>0</v>
          </cell>
          <cell r="AE86"/>
          <cell r="AF86"/>
          <cell r="AG86"/>
          <cell r="AH86">
            <v>0</v>
          </cell>
          <cell r="AI86">
            <v>-10854395</v>
          </cell>
          <cell r="AJ86">
            <v>336865</v>
          </cell>
          <cell r="AK86"/>
          <cell r="AL86"/>
          <cell r="AM86">
            <v>-10517530</v>
          </cell>
          <cell r="AN86">
            <v>0</v>
          </cell>
          <cell r="AO86">
            <v>-148287.86599999998</v>
          </cell>
          <cell r="AP86"/>
          <cell r="AQ86"/>
          <cell r="AR86">
            <v>-148287.86599999998</v>
          </cell>
          <cell r="AS86">
            <v>-10517530</v>
          </cell>
          <cell r="AT86"/>
          <cell r="AU86"/>
          <cell r="AV86"/>
          <cell r="AW86">
            <v>-10517530</v>
          </cell>
          <cell r="AX86">
            <v>-148287.86599999998</v>
          </cell>
          <cell r="AY86">
            <v>-59949.921000000002</v>
          </cell>
          <cell r="AZ86"/>
          <cell r="BA86"/>
          <cell r="BB86">
            <v>-208237.78699999998</v>
          </cell>
          <cell r="BC86">
            <v>-10517530</v>
          </cell>
          <cell r="BD86">
            <v>-1081632</v>
          </cell>
          <cell r="BE86"/>
          <cell r="BF86"/>
          <cell r="BG86">
            <v>-11599162</v>
          </cell>
          <cell r="BH86">
            <v>-208237.78699999998</v>
          </cell>
          <cell r="BI86">
            <v>-215713.02930000002</v>
          </cell>
          <cell r="BJ86"/>
          <cell r="BK86"/>
          <cell r="BL86">
            <v>-423950.81630000001</v>
          </cell>
          <cell r="BM86">
            <v>-11599162</v>
          </cell>
          <cell r="BN86">
            <v>-540816</v>
          </cell>
          <cell r="BO86">
            <v>-10854395</v>
          </cell>
          <cell r="BP86">
            <v>-336865.00000000373</v>
          </cell>
          <cell r="BQ86">
            <v>-1622448.0000000037</v>
          </cell>
          <cell r="BR86">
            <v>-423950.81630000001</v>
          </cell>
          <cell r="BS86">
            <v>-67458.909100000004</v>
          </cell>
          <cell r="BT86">
            <v>-749700.78</v>
          </cell>
          <cell r="BU86">
            <v>-340052.2934999998</v>
          </cell>
          <cell r="BV86">
            <v>-81761.238899999764</v>
          </cell>
          <cell r="BW86"/>
          <cell r="BX86"/>
          <cell r="BY86">
            <v>-1622448.0000000037</v>
          </cell>
          <cell r="BZ86">
            <v>-81761.238899999764</v>
          </cell>
          <cell r="CA86"/>
          <cell r="CB86"/>
          <cell r="CC86">
            <v>-1622448.0000000037</v>
          </cell>
          <cell r="CD86">
            <v>-81761.238899999764</v>
          </cell>
          <cell r="CE86">
            <v>-89072.395199999999</v>
          </cell>
          <cell r="CF86"/>
          <cell r="CG86">
            <v>-170833.63409999976</v>
          </cell>
          <cell r="CH86">
            <v>-1793281.6341000034</v>
          </cell>
          <cell r="CI86" t="str">
            <v>Yes</v>
          </cell>
          <cell r="CJ86">
            <v>-1704209</v>
          </cell>
          <cell r="CK86">
            <v>0.23890000348910689</v>
          </cell>
        </row>
        <row r="87">
          <cell r="A87">
            <v>48</v>
          </cell>
          <cell r="B87"/>
          <cell r="C87" t="str">
            <v>PILs and Tax Variance for 2006 and Subsequent Years- Sub-account CCA Changes12</v>
          </cell>
          <cell r="D87">
            <v>1592</v>
          </cell>
          <cell r="E87"/>
          <cell r="F87"/>
          <cell r="G87"/>
          <cell r="H87"/>
          <cell r="I87">
            <v>0</v>
          </cell>
          <cell r="J87"/>
          <cell r="K87"/>
          <cell r="L87"/>
          <cell r="M87"/>
          <cell r="N87">
            <v>0</v>
          </cell>
          <cell r="O87">
            <v>0</v>
          </cell>
          <cell r="P87"/>
          <cell r="Q87"/>
          <cell r="R87"/>
          <cell r="S87">
            <v>0</v>
          </cell>
          <cell r="T87">
            <v>0</v>
          </cell>
          <cell r="U87"/>
          <cell r="V87"/>
          <cell r="W87"/>
          <cell r="X87">
            <v>0</v>
          </cell>
          <cell r="Y87">
            <v>0</v>
          </cell>
          <cell r="Z87"/>
          <cell r="AA87"/>
          <cell r="AB87"/>
          <cell r="AC87">
            <v>0</v>
          </cell>
          <cell r="AD87">
            <v>0</v>
          </cell>
          <cell r="AE87"/>
          <cell r="AF87"/>
          <cell r="AG87"/>
          <cell r="AH87">
            <v>0</v>
          </cell>
          <cell r="AI87">
            <v>0</v>
          </cell>
          <cell r="AJ87"/>
          <cell r="AK87"/>
          <cell r="AL87"/>
          <cell r="AM87">
            <v>0</v>
          </cell>
          <cell r="AN87">
            <v>0</v>
          </cell>
          <cell r="AO87"/>
          <cell r="AP87"/>
          <cell r="AQ87"/>
          <cell r="AR87">
            <v>0</v>
          </cell>
          <cell r="AS87">
            <v>0</v>
          </cell>
          <cell r="AT87"/>
          <cell r="AU87"/>
          <cell r="AV87"/>
          <cell r="AW87">
            <v>0</v>
          </cell>
          <cell r="AX87">
            <v>0</v>
          </cell>
          <cell r="AY87"/>
          <cell r="AZ87"/>
          <cell r="BA87"/>
          <cell r="BB87">
            <v>0</v>
          </cell>
          <cell r="BC87">
            <v>0</v>
          </cell>
          <cell r="BD87"/>
          <cell r="BE87"/>
          <cell r="BF87"/>
          <cell r="BG87">
            <v>0</v>
          </cell>
          <cell r="BH87">
            <v>0</v>
          </cell>
          <cell r="BI87"/>
          <cell r="BJ87"/>
          <cell r="BK87"/>
          <cell r="BL87">
            <v>0</v>
          </cell>
          <cell r="BM87">
            <v>0</v>
          </cell>
          <cell r="BN87"/>
          <cell r="BO87"/>
          <cell r="BP87"/>
          <cell r="BQ87">
            <v>0</v>
          </cell>
          <cell r="BR87">
            <v>0</v>
          </cell>
          <cell r="BS87"/>
          <cell r="BT87"/>
          <cell r="BU87"/>
          <cell r="BV87">
            <v>0</v>
          </cell>
          <cell r="BW87"/>
          <cell r="BX87"/>
          <cell r="BY87">
            <v>0</v>
          </cell>
          <cell r="BZ87">
            <v>0</v>
          </cell>
          <cell r="CA87"/>
          <cell r="CB87"/>
          <cell r="CC87">
            <v>0</v>
          </cell>
          <cell r="CD87">
            <v>0</v>
          </cell>
          <cell r="CE87"/>
          <cell r="CF87"/>
          <cell r="CG87">
            <v>0</v>
          </cell>
          <cell r="CH87">
            <v>0</v>
          </cell>
          <cell r="CI87"/>
          <cell r="CJ87"/>
          <cell r="CK87">
            <v>0</v>
          </cell>
        </row>
        <row r="88">
          <cell r="A88"/>
          <cell r="B88"/>
          <cell r="C88"/>
          <cell r="D88"/>
          <cell r="E88"/>
          <cell r="F88"/>
          <cell r="G88"/>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cell r="CK88"/>
        </row>
        <row r="89">
          <cell r="A89"/>
          <cell r="B89"/>
          <cell r="C89" t="str">
            <v>Total of Group 1 and Group 2 Accounts (including 1592)</v>
          </cell>
          <cell r="D89"/>
          <cell r="E89">
            <v>52740609.223547615</v>
          </cell>
          <cell r="F89">
            <v>14740639.897795755</v>
          </cell>
          <cell r="G89">
            <v>0</v>
          </cell>
          <cell r="H89">
            <v>0</v>
          </cell>
          <cell r="I89">
            <v>67481249.121343374</v>
          </cell>
          <cell r="J89">
            <v>-355501.50110714376</v>
          </cell>
          <cell r="K89">
            <v>-415910.50500065775</v>
          </cell>
          <cell r="L89">
            <v>0</v>
          </cell>
          <cell r="M89">
            <v>0</v>
          </cell>
          <cell r="N89">
            <v>-771412.00610780157</v>
          </cell>
          <cell r="O89">
            <v>67481249.121343374</v>
          </cell>
          <cell r="P89">
            <v>-155127324.3163071</v>
          </cell>
          <cell r="Q89">
            <v>0</v>
          </cell>
          <cell r="R89">
            <v>0</v>
          </cell>
          <cell r="S89">
            <v>-87646075.194963738</v>
          </cell>
          <cell r="T89">
            <v>-771412.00610780157</v>
          </cell>
          <cell r="U89">
            <v>-1937966.9519745714</v>
          </cell>
          <cell r="V89">
            <v>0</v>
          </cell>
          <cell r="W89">
            <v>0</v>
          </cell>
          <cell r="X89">
            <v>-2709378.9580823723</v>
          </cell>
          <cell r="Y89">
            <v>-87646075.194963738</v>
          </cell>
          <cell r="Z89">
            <v>-2073264.664535841</v>
          </cell>
          <cell r="AA89">
            <v>0</v>
          </cell>
          <cell r="AB89">
            <v>0</v>
          </cell>
          <cell r="AC89">
            <v>-89719339.859499574</v>
          </cell>
          <cell r="AD89">
            <v>-2709378.9580823723</v>
          </cell>
          <cell r="AE89">
            <v>-3492381.8773589628</v>
          </cell>
          <cell r="AF89">
            <v>0</v>
          </cell>
          <cell r="AG89">
            <v>57177.615250000003</v>
          </cell>
          <cell r="AH89">
            <v>-6144583.2201913353</v>
          </cell>
          <cell r="AI89">
            <v>-89719339.859499574</v>
          </cell>
          <cell r="AJ89">
            <v>-8487828.9100000001</v>
          </cell>
          <cell r="AK89">
            <v>-93136694.160000011</v>
          </cell>
          <cell r="AL89">
            <v>-23288977.780000005</v>
          </cell>
          <cell r="AM89">
            <v>-28359452.38949959</v>
          </cell>
          <cell r="AN89">
            <v>-6144583.2201913353</v>
          </cell>
          <cell r="AO89">
            <v>-1726165.3898796672</v>
          </cell>
          <cell r="AP89">
            <v>-4764571.99</v>
          </cell>
          <cell r="AQ89">
            <v>-244848.39953277516</v>
          </cell>
          <cell r="AR89">
            <v>-3378291.379125956</v>
          </cell>
          <cell r="AS89">
            <v>-28359452.38949959</v>
          </cell>
          <cell r="AT89">
            <v>-30992940.496666662</v>
          </cell>
          <cell r="AU89">
            <v>-14191832.440000003</v>
          </cell>
          <cell r="AV89">
            <v>-28995.870000000112</v>
          </cell>
          <cell r="AW89">
            <v>-45189556.316166252</v>
          </cell>
          <cell r="AX89">
            <v>-3378291.379125956</v>
          </cell>
          <cell r="AY89">
            <v>-713628.17407917278</v>
          </cell>
          <cell r="AZ89">
            <v>-1041838.76</v>
          </cell>
          <cell r="BA89">
            <v>-157697.69200374995</v>
          </cell>
          <cell r="BB89">
            <v>-3207778.4852088783</v>
          </cell>
          <cell r="BC89">
            <v>-45189556.316166252</v>
          </cell>
          <cell r="BD89">
            <v>-76185598.343495563</v>
          </cell>
          <cell r="BE89">
            <v>0</v>
          </cell>
          <cell r="BF89">
            <v>0</v>
          </cell>
          <cell r="BG89">
            <v>-121375154.65966184</v>
          </cell>
          <cell r="BH89">
            <v>-3207778.4852088783</v>
          </cell>
          <cell r="BI89">
            <v>-1791974.3926786091</v>
          </cell>
          <cell r="BJ89">
            <v>0</v>
          </cell>
          <cell r="BK89">
            <v>-852279.87</v>
          </cell>
          <cell r="BL89">
            <v>-5852032.7478874885</v>
          </cell>
          <cell r="BM89">
            <v>-121375154.65966184</v>
          </cell>
          <cell r="BN89">
            <v>-67474118.300816655</v>
          </cell>
          <cell r="BO89">
            <v>-85516348.060000002</v>
          </cell>
          <cell r="BP89">
            <v>-757931.21974999714</v>
          </cell>
          <cell r="BQ89">
            <v>-104090856.12022847</v>
          </cell>
          <cell r="BR89">
            <v>-5852032.7478874885</v>
          </cell>
          <cell r="BS89">
            <v>-2969835.1832604432</v>
          </cell>
          <cell r="BT89">
            <v>-7924169.4400000004</v>
          </cell>
          <cell r="BU89">
            <v>-2106329.7097484013</v>
          </cell>
          <cell r="BV89">
            <v>-3004028.2008963325</v>
          </cell>
          <cell r="BW89">
            <v>-59430913.280187637</v>
          </cell>
          <cell r="BX89">
            <v>0</v>
          </cell>
          <cell r="BY89">
            <v>-163521769.40041608</v>
          </cell>
          <cell r="BZ89">
            <v>-3004028.2008963325</v>
          </cell>
          <cell r="CA89">
            <v>0</v>
          </cell>
          <cell r="CB89">
            <v>0</v>
          </cell>
          <cell r="CC89">
            <v>-163521769.40041608</v>
          </cell>
          <cell r="CD89">
            <v>-3004028.2008963325</v>
          </cell>
          <cell r="CE89">
            <v>-6673516.8331107385</v>
          </cell>
          <cell r="CF89">
            <v>0</v>
          </cell>
          <cell r="CG89">
            <v>-9677545.0340070706</v>
          </cell>
          <cell r="CH89">
            <v>-175012596.11611706</v>
          </cell>
          <cell r="CI89"/>
          <cell r="CJ89"/>
          <cell r="CK89">
            <v>107094884.32112481</v>
          </cell>
        </row>
        <row r="90">
          <cell r="A90"/>
          <cell r="B90"/>
          <cell r="C90" t="str">
            <v>Total of Group 2 Accounts Above</v>
          </cell>
          <cell r="D90"/>
          <cell r="E90">
            <v>52740609.223547615</v>
          </cell>
          <cell r="F90">
            <v>14740639.897795755</v>
          </cell>
          <cell r="G90">
            <v>0</v>
          </cell>
          <cell r="H90">
            <v>0</v>
          </cell>
          <cell r="I90">
            <v>67481249.121343374</v>
          </cell>
          <cell r="J90">
            <v>-355501.50110714376</v>
          </cell>
          <cell r="K90">
            <v>-415910.50500065775</v>
          </cell>
          <cell r="L90">
            <v>0</v>
          </cell>
          <cell r="M90">
            <v>0</v>
          </cell>
          <cell r="N90">
            <v>-771412.00610780157</v>
          </cell>
          <cell r="O90">
            <v>67481249.121343374</v>
          </cell>
          <cell r="P90">
            <v>-155127324.3163071</v>
          </cell>
          <cell r="Q90">
            <v>0</v>
          </cell>
          <cell r="R90">
            <v>0</v>
          </cell>
          <cell r="S90">
            <v>-87646075.194963738</v>
          </cell>
          <cell r="T90">
            <v>-771412.00610780157</v>
          </cell>
          <cell r="U90">
            <v>-1937966.9519745714</v>
          </cell>
          <cell r="V90">
            <v>0</v>
          </cell>
          <cell r="W90">
            <v>0</v>
          </cell>
          <cell r="X90">
            <v>-2709378.9580823723</v>
          </cell>
          <cell r="Y90">
            <v>-87646075.194963738</v>
          </cell>
          <cell r="Z90">
            <v>-2073264.664535841</v>
          </cell>
          <cell r="AA90">
            <v>0</v>
          </cell>
          <cell r="AB90">
            <v>0</v>
          </cell>
          <cell r="AC90">
            <v>-89719339.859499574</v>
          </cell>
          <cell r="AD90">
            <v>-2709378.9580823723</v>
          </cell>
          <cell r="AE90">
            <v>-3492381.8773589628</v>
          </cell>
          <cell r="AF90">
            <v>0</v>
          </cell>
          <cell r="AG90">
            <v>57177.615250000003</v>
          </cell>
          <cell r="AH90">
            <v>-6144583.2201913353</v>
          </cell>
          <cell r="AI90">
            <v>-89719339.859499574</v>
          </cell>
          <cell r="AJ90">
            <v>-8487828.9100000001</v>
          </cell>
          <cell r="AK90">
            <v>-93136694.160000011</v>
          </cell>
          <cell r="AL90">
            <v>-23288977.780000005</v>
          </cell>
          <cell r="AM90">
            <v>-28359452.38949959</v>
          </cell>
          <cell r="AN90">
            <v>-6144583.2201913353</v>
          </cell>
          <cell r="AO90">
            <v>-1753431.7494018457</v>
          </cell>
          <cell r="AP90">
            <v>-4764571.99</v>
          </cell>
          <cell r="AQ90">
            <v>-244848.39953277516</v>
          </cell>
          <cell r="AR90">
            <v>-3378291.379125956</v>
          </cell>
          <cell r="AS90">
            <v>-28359452.38949959</v>
          </cell>
          <cell r="AT90">
            <v>-30992940.496666662</v>
          </cell>
          <cell r="AU90">
            <v>-14191832.440000003</v>
          </cell>
          <cell r="AV90">
            <v>-28995.870000000112</v>
          </cell>
          <cell r="AW90">
            <v>-45189556.316166252</v>
          </cell>
          <cell r="AX90">
            <v>-3378291.379125956</v>
          </cell>
          <cell r="AY90">
            <v>-713628.17407917278</v>
          </cell>
          <cell r="AZ90">
            <v>-1041838.76</v>
          </cell>
          <cell r="BA90">
            <v>-157697.69200374995</v>
          </cell>
          <cell r="BB90">
            <v>-3207778.4852088783</v>
          </cell>
          <cell r="BC90">
            <v>-45189556.316166252</v>
          </cell>
          <cell r="BD90">
            <v>-76185598.343495563</v>
          </cell>
          <cell r="BE90">
            <v>0</v>
          </cell>
          <cell r="BF90">
            <v>0</v>
          </cell>
          <cell r="BG90">
            <v>-121375154.65966184</v>
          </cell>
          <cell r="BH90">
            <v>-3207778.4852088783</v>
          </cell>
          <cell r="BI90">
            <v>-1791974.3926786091</v>
          </cell>
          <cell r="BJ90">
            <v>0</v>
          </cell>
          <cell r="BK90">
            <v>-852279.87</v>
          </cell>
          <cell r="BL90">
            <v>-5852032.7478874885</v>
          </cell>
          <cell r="BM90">
            <v>-121375154.65966184</v>
          </cell>
          <cell r="BN90">
            <v>-67474118.300816655</v>
          </cell>
          <cell r="BO90">
            <v>-85516348.060000002</v>
          </cell>
          <cell r="BP90">
            <v>-757931.21974999714</v>
          </cell>
          <cell r="BQ90">
            <v>-104090856.12022847</v>
          </cell>
          <cell r="BR90">
            <v>-5852032.7478874885</v>
          </cell>
          <cell r="BS90">
            <v>-2969835.1832604432</v>
          </cell>
          <cell r="BT90">
            <v>-7924169.4400000004</v>
          </cell>
          <cell r="BU90">
            <v>-2106329.7097484013</v>
          </cell>
          <cell r="BV90">
            <v>-3004028.2008963325</v>
          </cell>
          <cell r="BW90">
            <v>-59430913.280187637</v>
          </cell>
          <cell r="BX90">
            <v>0</v>
          </cell>
          <cell r="BY90">
            <v>-163521769.40041608</v>
          </cell>
          <cell r="BZ90">
            <v>-3004028.2008963325</v>
          </cell>
          <cell r="CA90">
            <v>0</v>
          </cell>
          <cell r="CB90">
            <v>0</v>
          </cell>
          <cell r="CC90">
            <v>-163521769.40041608</v>
          </cell>
          <cell r="CD90">
            <v>-3004028.2008963325</v>
          </cell>
          <cell r="CE90">
            <v>-6673516.8331107385</v>
          </cell>
          <cell r="CF90">
            <v>0</v>
          </cell>
          <cell r="CG90">
            <v>-9677545.0340070706</v>
          </cell>
          <cell r="CH90">
            <v>-175012596.11611706</v>
          </cell>
          <cell r="CI90"/>
          <cell r="CJ90">
            <v>-107094885.81</v>
          </cell>
          <cell r="CK90">
            <v>-1.4888751953840256</v>
          </cell>
        </row>
        <row r="91">
          <cell r="A91"/>
          <cell r="B91"/>
          <cell r="C91"/>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row>
        <row r="92">
          <cell r="A92">
            <v>49</v>
          </cell>
          <cell r="B92"/>
          <cell r="C92" t="str">
            <v>LRAM Variance Account4</v>
          </cell>
          <cell r="D92">
            <v>1568</v>
          </cell>
          <cell r="E92">
            <v>11258368.803453874</v>
          </cell>
          <cell r="F92">
            <v>9612739.1993909609</v>
          </cell>
          <cell r="G92">
            <v>4810834</v>
          </cell>
          <cell r="H92"/>
          <cell r="I92">
            <v>16060274.002844833</v>
          </cell>
          <cell r="J92">
            <v>194672.71921831236</v>
          </cell>
          <cell r="K92">
            <v>156370.452588307</v>
          </cell>
          <cell r="L92">
            <v>139236</v>
          </cell>
          <cell r="M92"/>
          <cell r="N92">
            <v>211807.17180661939</v>
          </cell>
          <cell r="O92">
            <v>16060274.002844833</v>
          </cell>
          <cell r="P92">
            <v>18290140.792532466</v>
          </cell>
          <cell r="Q92">
            <v>6447545</v>
          </cell>
          <cell r="R92"/>
          <cell r="S92">
            <v>27902869.795377299</v>
          </cell>
          <cell r="T92">
            <v>211807.17180661939</v>
          </cell>
          <cell r="U92">
            <v>410304.26019756577</v>
          </cell>
          <cell r="V92">
            <v>121812</v>
          </cell>
          <cell r="W92"/>
          <cell r="X92">
            <v>500299.43200418516</v>
          </cell>
          <cell r="Y92">
            <v>27902869.795377299</v>
          </cell>
          <cell r="Z92">
            <v>18121715.581871141</v>
          </cell>
          <cell r="AA92">
            <v>12048215.1</v>
          </cell>
          <cell r="AB92"/>
          <cell r="AC92">
            <v>33976370.277248435</v>
          </cell>
          <cell r="AD92">
            <v>500299.43200418516</v>
          </cell>
          <cell r="AE92">
            <v>697683.50549993245</v>
          </cell>
          <cell r="AF92">
            <v>295181.27</v>
          </cell>
          <cell r="AG92"/>
          <cell r="AH92">
            <v>902801.66750411759</v>
          </cell>
          <cell r="AI92">
            <v>33976370.277248435</v>
          </cell>
          <cell r="AJ92">
            <v>-1974472.38</v>
          </cell>
          <cell r="AK92"/>
          <cell r="AL92"/>
          <cell r="AM92">
            <v>32001897.897248436</v>
          </cell>
          <cell r="AN92">
            <v>902801.66750411759</v>
          </cell>
          <cell r="AO92">
            <v>209890.86988233941</v>
          </cell>
          <cell r="AP92"/>
          <cell r="AQ92"/>
          <cell r="AR92">
            <v>1112692.537386457</v>
          </cell>
          <cell r="AS92">
            <v>32001897.897248436</v>
          </cell>
          <cell r="AT92"/>
          <cell r="AU92">
            <v>32007060</v>
          </cell>
          <cell r="AV92">
            <v>5163.01</v>
          </cell>
          <cell r="AW92">
            <v>0.90724843576572312</v>
          </cell>
          <cell r="AX92">
            <v>1112692.537386457</v>
          </cell>
          <cell r="AY92"/>
          <cell r="AZ92">
            <v>1097243</v>
          </cell>
          <cell r="BA92">
            <v>-15449.519880964188</v>
          </cell>
          <cell r="BB92">
            <v>1.7505492782220244E-2</v>
          </cell>
          <cell r="BC92">
            <v>0.90724843576572312</v>
          </cell>
          <cell r="BD92"/>
          <cell r="BE92"/>
          <cell r="BF92"/>
          <cell r="BG92">
            <v>0.90724843576572312</v>
          </cell>
          <cell r="BH92">
            <v>1.7505492782220244E-2</v>
          </cell>
          <cell r="BI92">
            <v>0</v>
          </cell>
          <cell r="BJ92"/>
          <cell r="BK92"/>
          <cell r="BL92">
            <v>1.7505492782220244E-2</v>
          </cell>
          <cell r="BM92">
            <v>0.90724843576572312</v>
          </cell>
          <cell r="BN92"/>
          <cell r="BO92"/>
          <cell r="BP92"/>
          <cell r="BQ92">
            <v>0.90724843576572312</v>
          </cell>
          <cell r="BR92">
            <v>1.7505492782220244E-2</v>
          </cell>
          <cell r="BS92">
            <v>0</v>
          </cell>
          <cell r="BT92"/>
          <cell r="BU92"/>
          <cell r="BV92">
            <v>0</v>
          </cell>
          <cell r="BW92"/>
          <cell r="BX92"/>
          <cell r="BY92">
            <v>0.90724843576572312</v>
          </cell>
          <cell r="BZ92">
            <v>1.7505492782220244E-2</v>
          </cell>
          <cell r="CA92"/>
          <cell r="CB92"/>
          <cell r="CC92">
            <v>0.90724843576572312</v>
          </cell>
          <cell r="CD92">
            <v>1.7505492782220244E-2</v>
          </cell>
          <cell r="CE92"/>
          <cell r="CF92"/>
          <cell r="CG92">
            <v>1.7505492782220244E-2</v>
          </cell>
          <cell r="CH92">
            <v>0.92475392854794336</v>
          </cell>
          <cell r="CI92"/>
          <cell r="CJ92">
            <v>0</v>
          </cell>
          <cell r="CK92">
            <v>-0.90724843576572312</v>
          </cell>
        </row>
        <row r="93">
          <cell r="A93"/>
          <cell r="B93"/>
          <cell r="C93"/>
          <cell r="D93"/>
          <cell r="E93"/>
          <cell r="F93"/>
          <cell r="G93"/>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cell r="CC93"/>
          <cell r="CD93"/>
          <cell r="CE93"/>
          <cell r="CF93"/>
          <cell r="CG93"/>
          <cell r="CH93"/>
          <cell r="CI93"/>
          <cell r="CJ93"/>
          <cell r="CK93"/>
        </row>
        <row r="94">
          <cell r="A94"/>
          <cell r="B94"/>
          <cell r="C94"/>
          <cell r="D94"/>
          <cell r="E94"/>
          <cell r="F94"/>
          <cell r="G94"/>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G94"/>
          <cell r="CH94"/>
          <cell r="CI94"/>
          <cell r="CJ94"/>
          <cell r="CK94"/>
        </row>
        <row r="95">
          <cell r="A95"/>
          <cell r="B95"/>
          <cell r="C95" t="str">
            <v>Total including Account 1568</v>
          </cell>
          <cell r="D95"/>
          <cell r="E95">
            <v>63998978.027001485</v>
          </cell>
          <cell r="F95">
            <v>24353379.097186714</v>
          </cell>
          <cell r="G95">
            <v>4810834</v>
          </cell>
          <cell r="H95">
            <v>0</v>
          </cell>
          <cell r="I95">
            <v>83541523.124188215</v>
          </cell>
          <cell r="J95">
            <v>-160828.78188883141</v>
          </cell>
          <cell r="K95">
            <v>-259540.05241235075</v>
          </cell>
          <cell r="L95">
            <v>139236</v>
          </cell>
          <cell r="M95">
            <v>0</v>
          </cell>
          <cell r="N95">
            <v>-559604.83430118219</v>
          </cell>
          <cell r="O95">
            <v>83541523.124188215</v>
          </cell>
          <cell r="P95">
            <v>-136837183.52377462</v>
          </cell>
          <cell r="Q95">
            <v>6447545</v>
          </cell>
          <cell r="R95">
            <v>0</v>
          </cell>
          <cell r="S95">
            <v>-59743205.399586439</v>
          </cell>
          <cell r="T95">
            <v>-559604.83430118219</v>
          </cell>
          <cell r="U95">
            <v>-1527662.6917770058</v>
          </cell>
          <cell r="V95">
            <v>121812</v>
          </cell>
          <cell r="W95">
            <v>0</v>
          </cell>
          <cell r="X95">
            <v>-2209079.5260781869</v>
          </cell>
          <cell r="Y95">
            <v>-59743205.399586439</v>
          </cell>
          <cell r="Z95">
            <v>16048450.9173353</v>
          </cell>
          <cell r="AA95">
            <v>12048215.1</v>
          </cell>
          <cell r="AB95">
            <v>0</v>
          </cell>
          <cell r="AC95">
            <v>-55742969.582251139</v>
          </cell>
          <cell r="AD95">
            <v>-2209079.5260781869</v>
          </cell>
          <cell r="AE95">
            <v>-2794698.3718590303</v>
          </cell>
          <cell r="AF95">
            <v>295181.27</v>
          </cell>
          <cell r="AG95">
            <v>57177.615250000003</v>
          </cell>
          <cell r="AH95">
            <v>-5241781.5526872175</v>
          </cell>
          <cell r="AI95">
            <v>-55742969.582251139</v>
          </cell>
          <cell r="AJ95">
            <v>-10462301.289999999</v>
          </cell>
          <cell r="AK95">
            <v>-93136694.160000011</v>
          </cell>
          <cell r="AL95">
            <v>-23288977.780000005</v>
          </cell>
          <cell r="AM95">
            <v>3642445.507748846</v>
          </cell>
          <cell r="AN95">
            <v>-5241781.5526872175</v>
          </cell>
          <cell r="AO95">
            <v>-1543540.8795195064</v>
          </cell>
          <cell r="AP95">
            <v>-4764571.99</v>
          </cell>
          <cell r="AQ95">
            <v>-244848.39953277516</v>
          </cell>
          <cell r="AR95">
            <v>-2265598.841739499</v>
          </cell>
          <cell r="AS95">
            <v>3642445.507748846</v>
          </cell>
          <cell r="AT95">
            <v>-30992940.496666662</v>
          </cell>
          <cell r="AU95">
            <v>17815227.559999995</v>
          </cell>
          <cell r="AV95">
            <v>-23832.86000000011</v>
          </cell>
          <cell r="AW95">
            <v>-45189555.408917814</v>
          </cell>
          <cell r="AX95">
            <v>-2265598.841739499</v>
          </cell>
          <cell r="AY95">
            <v>-713628.17407917278</v>
          </cell>
          <cell r="AZ95">
            <v>55404.239999999991</v>
          </cell>
          <cell r="BA95">
            <v>-173147.21188471414</v>
          </cell>
          <cell r="BB95">
            <v>-3207778.4677033853</v>
          </cell>
          <cell r="BC95">
            <v>-45189555.408917814</v>
          </cell>
          <cell r="BD95">
            <v>-76185598.343495563</v>
          </cell>
          <cell r="BE95">
            <v>0</v>
          </cell>
          <cell r="BF95">
            <v>0</v>
          </cell>
          <cell r="BG95">
            <v>-121375153.75241341</v>
          </cell>
          <cell r="BH95">
            <v>-3207778.4677033853</v>
          </cell>
          <cell r="BI95">
            <v>-1791974.3926786091</v>
          </cell>
          <cell r="BJ95">
            <v>0</v>
          </cell>
          <cell r="BK95">
            <v>-852279.87</v>
          </cell>
          <cell r="BL95">
            <v>-5852032.7303819954</v>
          </cell>
          <cell r="BM95">
            <v>-121375153.75241341</v>
          </cell>
          <cell r="BN95">
            <v>-67474118.300816655</v>
          </cell>
          <cell r="BO95">
            <v>-85516348.060000002</v>
          </cell>
          <cell r="BP95">
            <v>-757931.21974999714</v>
          </cell>
          <cell r="BQ95">
            <v>-104090855.21298003</v>
          </cell>
          <cell r="BR95">
            <v>-5852032.7303819954</v>
          </cell>
          <cell r="BS95">
            <v>-2969835.1832604432</v>
          </cell>
          <cell r="BT95">
            <v>-7924169.4400000004</v>
          </cell>
          <cell r="BU95">
            <v>-2106329.7097484013</v>
          </cell>
          <cell r="BV95">
            <v>-3004028.2008963325</v>
          </cell>
          <cell r="BW95">
            <v>-59430913.280187637</v>
          </cell>
          <cell r="BX95">
            <v>0</v>
          </cell>
          <cell r="BY95">
            <v>-163521768.49316764</v>
          </cell>
          <cell r="BZ95">
            <v>-3004028.18339084</v>
          </cell>
          <cell r="CA95">
            <v>0</v>
          </cell>
          <cell r="CB95">
            <v>0</v>
          </cell>
          <cell r="CC95">
            <v>-163521768.49316764</v>
          </cell>
          <cell r="CD95">
            <v>-3004028.18339084</v>
          </cell>
          <cell r="CE95">
            <v>-6673516.8331107385</v>
          </cell>
          <cell r="CF95">
            <v>0</v>
          </cell>
          <cell r="CG95">
            <v>-9677545.0165015776</v>
          </cell>
          <cell r="CH95">
            <v>-175012595.19136313</v>
          </cell>
          <cell r="CI95"/>
          <cell r="CJ95">
            <v>-107094885.81</v>
          </cell>
          <cell r="CK95">
            <v>-2.3961236327886581</v>
          </cell>
        </row>
        <row r="96">
          <cell r="A96"/>
          <cell r="B96"/>
          <cell r="C96"/>
          <cell r="D96"/>
          <cell r="E96"/>
          <cell r="F96"/>
          <cell r="G96"/>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cell r="CJ96"/>
          <cell r="CK96">
            <v>0</v>
          </cell>
        </row>
        <row r="97">
          <cell r="A97"/>
          <cell r="B97"/>
          <cell r="C97" t="str">
            <v>Pension &amp; OPEB Forecast Accrual versus Actual Cash Payment Differential8</v>
          </cell>
          <cell r="D97">
            <v>1522</v>
          </cell>
          <cell r="E97"/>
          <cell r="F97"/>
          <cell r="G97"/>
          <cell r="H97"/>
          <cell r="I97">
            <v>0</v>
          </cell>
          <cell r="J97"/>
          <cell r="K97"/>
          <cell r="L97"/>
          <cell r="M97"/>
          <cell r="N97">
            <v>0</v>
          </cell>
          <cell r="O97">
            <v>0</v>
          </cell>
          <cell r="P97"/>
          <cell r="Q97"/>
          <cell r="R97"/>
          <cell r="S97">
            <v>0</v>
          </cell>
          <cell r="T97">
            <v>0</v>
          </cell>
          <cell r="U97"/>
          <cell r="V97"/>
          <cell r="W97"/>
          <cell r="X97">
            <v>0</v>
          </cell>
          <cell r="Y97">
            <v>0</v>
          </cell>
          <cell r="Z97"/>
          <cell r="AA97"/>
          <cell r="AB97"/>
          <cell r="AC97">
            <v>0</v>
          </cell>
          <cell r="AD97">
            <v>0</v>
          </cell>
          <cell r="AE97"/>
          <cell r="AF97"/>
          <cell r="AG97"/>
          <cell r="AH97">
            <v>0</v>
          </cell>
          <cell r="AI97">
            <v>0</v>
          </cell>
          <cell r="AJ97">
            <v>-3546767.6373299607</v>
          </cell>
          <cell r="AK97"/>
          <cell r="AL97"/>
          <cell r="AM97">
            <v>-3546767.6373299607</v>
          </cell>
          <cell r="AN97">
            <v>0</v>
          </cell>
          <cell r="AO97"/>
          <cell r="AP97"/>
          <cell r="AQ97"/>
          <cell r="AR97">
            <v>0</v>
          </cell>
          <cell r="AS97">
            <v>-3546767.6373299607</v>
          </cell>
          <cell r="AT97">
            <v>5575609.327192883</v>
          </cell>
          <cell r="AU97"/>
          <cell r="AV97"/>
          <cell r="AW97">
            <v>2028841.6898629223</v>
          </cell>
          <cell r="AX97">
            <v>0</v>
          </cell>
          <cell r="AY97"/>
          <cell r="AZ97"/>
          <cell r="BA97"/>
          <cell r="BB97">
            <v>0</v>
          </cell>
          <cell r="BC97">
            <v>2028841.6898629223</v>
          </cell>
          <cell r="BD97">
            <v>3515482.1297301953</v>
          </cell>
          <cell r="BE97"/>
          <cell r="BF97"/>
          <cell r="BG97">
            <v>5544323.8195931176</v>
          </cell>
          <cell r="BH97">
            <v>0</v>
          </cell>
          <cell r="BI97"/>
          <cell r="BJ97"/>
          <cell r="BK97"/>
          <cell r="BL97">
            <v>0</v>
          </cell>
          <cell r="BM97">
            <v>5544323.8195931176</v>
          </cell>
          <cell r="BN97">
            <v>651039.9524168463</v>
          </cell>
          <cell r="BO97"/>
          <cell r="BP97"/>
          <cell r="BQ97">
            <v>6195363.7720099641</v>
          </cell>
          <cell r="BR97">
            <v>0</v>
          </cell>
          <cell r="BS97"/>
          <cell r="BT97"/>
          <cell r="BU97"/>
          <cell r="BV97">
            <v>0</v>
          </cell>
          <cell r="BW97"/>
          <cell r="BX97"/>
          <cell r="BY97">
            <v>6195363.7720099641</v>
          </cell>
          <cell r="BZ97">
            <v>0</v>
          </cell>
          <cell r="CA97"/>
          <cell r="CB97"/>
          <cell r="CC97">
            <v>6195363.7720099641</v>
          </cell>
          <cell r="CD97">
            <v>0</v>
          </cell>
          <cell r="CE97"/>
          <cell r="CF97"/>
          <cell r="CG97">
            <v>0</v>
          </cell>
          <cell r="CH97">
            <v>6195363.7720099641</v>
          </cell>
          <cell r="CI97" t="str">
            <v>No</v>
          </cell>
          <cell r="CJ97">
            <v>6195363.7699999996</v>
          </cell>
          <cell r="CK97">
            <v>-2.0099645480513573E-3</v>
          </cell>
        </row>
        <row r="98">
          <cell r="A98"/>
          <cell r="B98"/>
          <cell r="C98" t="str">
            <v>Pension &amp; OPEB Forecast Accrual versus Actual Cash Payment Differential Contra Account8</v>
          </cell>
          <cell r="D98">
            <v>1522</v>
          </cell>
          <cell r="E98"/>
          <cell r="F98"/>
          <cell r="G98"/>
          <cell r="H98"/>
          <cell r="I98">
            <v>0</v>
          </cell>
          <cell r="J98"/>
          <cell r="K98"/>
          <cell r="L98"/>
          <cell r="M98"/>
          <cell r="N98">
            <v>0</v>
          </cell>
          <cell r="O98">
            <v>0</v>
          </cell>
          <cell r="P98"/>
          <cell r="Q98"/>
          <cell r="R98"/>
          <cell r="S98">
            <v>0</v>
          </cell>
          <cell r="T98">
            <v>0</v>
          </cell>
          <cell r="U98"/>
          <cell r="V98"/>
          <cell r="W98"/>
          <cell r="X98">
            <v>0</v>
          </cell>
          <cell r="Y98">
            <v>0</v>
          </cell>
          <cell r="Z98"/>
          <cell r="AA98"/>
          <cell r="AB98"/>
          <cell r="AC98">
            <v>0</v>
          </cell>
          <cell r="AD98">
            <v>0</v>
          </cell>
          <cell r="AE98"/>
          <cell r="AF98"/>
          <cell r="AG98"/>
          <cell r="AH98">
            <v>0</v>
          </cell>
          <cell r="AI98">
            <v>0</v>
          </cell>
          <cell r="AJ98">
            <v>3546767.6373299607</v>
          </cell>
          <cell r="AK98"/>
          <cell r="AL98"/>
          <cell r="AM98">
            <v>3546767.6373299607</v>
          </cell>
          <cell r="AN98">
            <v>0</v>
          </cell>
          <cell r="AO98"/>
          <cell r="AP98"/>
          <cell r="AQ98"/>
          <cell r="AR98">
            <v>0</v>
          </cell>
          <cell r="AS98">
            <v>3546767.6373299607</v>
          </cell>
          <cell r="AT98">
            <v>-5575609.327192883</v>
          </cell>
          <cell r="AU98"/>
          <cell r="AV98"/>
          <cell r="AW98">
            <v>-2028841.6898629223</v>
          </cell>
          <cell r="AX98">
            <v>0</v>
          </cell>
          <cell r="AY98"/>
          <cell r="AZ98"/>
          <cell r="BA98"/>
          <cell r="BB98">
            <v>0</v>
          </cell>
          <cell r="BC98">
            <v>-2028841.6898629223</v>
          </cell>
          <cell r="BD98">
            <v>-3515482.1297301953</v>
          </cell>
          <cell r="BE98"/>
          <cell r="BF98"/>
          <cell r="BG98">
            <v>-5544323.8195931176</v>
          </cell>
          <cell r="BH98">
            <v>0</v>
          </cell>
          <cell r="BI98"/>
          <cell r="BJ98"/>
          <cell r="BK98"/>
          <cell r="BL98">
            <v>0</v>
          </cell>
          <cell r="BM98">
            <v>-5544323.8195931176</v>
          </cell>
          <cell r="BN98">
            <v>-651039.9524168463</v>
          </cell>
          <cell r="BO98"/>
          <cell r="BP98"/>
          <cell r="BQ98">
            <v>-6195363.7720099641</v>
          </cell>
          <cell r="BR98">
            <v>0</v>
          </cell>
          <cell r="BS98"/>
          <cell r="BT98"/>
          <cell r="BU98"/>
          <cell r="BV98">
            <v>0</v>
          </cell>
          <cell r="BW98"/>
          <cell r="BX98"/>
          <cell r="BY98">
            <v>-6195363.7720099641</v>
          </cell>
          <cell r="BZ98">
            <v>0</v>
          </cell>
          <cell r="CA98"/>
          <cell r="CB98"/>
          <cell r="CC98">
            <v>-6195363.7720099641</v>
          </cell>
          <cell r="CD98">
            <v>0</v>
          </cell>
          <cell r="CE98"/>
          <cell r="CF98"/>
          <cell r="CG98">
            <v>0</v>
          </cell>
          <cell r="CH98">
            <v>-6195363.7720099641</v>
          </cell>
          <cell r="CI98" t="str">
            <v>No</v>
          </cell>
          <cell r="CJ98">
            <v>-6195363.7699999996</v>
          </cell>
          <cell r="CK98">
            <v>2.0099645480513573E-3</v>
          </cell>
        </row>
        <row r="99">
          <cell r="A99">
            <v>50</v>
          </cell>
          <cell r="B99"/>
          <cell r="C99" t="str">
            <v>Renewable Generation Connection Capital Deferral Account</v>
          </cell>
          <cell r="D99">
            <v>1531</v>
          </cell>
          <cell r="E99"/>
          <cell r="F99"/>
          <cell r="G99"/>
          <cell r="H99"/>
          <cell r="I99">
            <v>0</v>
          </cell>
          <cell r="J99"/>
          <cell r="K99"/>
          <cell r="L99"/>
          <cell r="M99"/>
          <cell r="N99">
            <v>0</v>
          </cell>
          <cell r="O99">
            <v>0</v>
          </cell>
          <cell r="P99"/>
          <cell r="Q99"/>
          <cell r="R99"/>
          <cell r="S99">
            <v>0</v>
          </cell>
          <cell r="T99">
            <v>0</v>
          </cell>
          <cell r="U99"/>
          <cell r="V99"/>
          <cell r="W99"/>
          <cell r="X99">
            <v>0</v>
          </cell>
          <cell r="Y99">
            <v>0</v>
          </cell>
          <cell r="Z99"/>
          <cell r="AA99"/>
          <cell r="AB99"/>
          <cell r="AC99">
            <v>0</v>
          </cell>
          <cell r="AD99">
            <v>0</v>
          </cell>
          <cell r="AE99"/>
          <cell r="AF99"/>
          <cell r="AG99"/>
          <cell r="AH99">
            <v>0</v>
          </cell>
          <cell r="AI99">
            <v>0</v>
          </cell>
          <cell r="AJ99"/>
          <cell r="AK99"/>
          <cell r="AL99"/>
          <cell r="AM99">
            <v>0</v>
          </cell>
          <cell r="AN99">
            <v>0</v>
          </cell>
          <cell r="AO99"/>
          <cell r="AP99"/>
          <cell r="AQ99"/>
          <cell r="AR99">
            <v>0</v>
          </cell>
          <cell r="AS99">
            <v>0</v>
          </cell>
          <cell r="AT99"/>
          <cell r="AU99"/>
          <cell r="AV99"/>
          <cell r="AW99">
            <v>0</v>
          </cell>
          <cell r="AX99">
            <v>0</v>
          </cell>
          <cell r="AY99"/>
          <cell r="AZ99"/>
          <cell r="BA99"/>
          <cell r="BB99">
            <v>0</v>
          </cell>
          <cell r="BC99">
            <v>0</v>
          </cell>
          <cell r="BD99"/>
          <cell r="BE99"/>
          <cell r="BF99"/>
          <cell r="BG99">
            <v>0</v>
          </cell>
          <cell r="BH99">
            <v>0</v>
          </cell>
          <cell r="BI99"/>
          <cell r="BJ99"/>
          <cell r="BK99"/>
          <cell r="BL99">
            <v>0</v>
          </cell>
          <cell r="BM99">
            <v>0</v>
          </cell>
          <cell r="BN99"/>
          <cell r="BO99"/>
          <cell r="BP99"/>
          <cell r="BQ99">
            <v>0</v>
          </cell>
          <cell r="BR99">
            <v>0</v>
          </cell>
          <cell r="BS99"/>
          <cell r="BT99"/>
          <cell r="BU99"/>
          <cell r="BV99">
            <v>0</v>
          </cell>
          <cell r="BW99"/>
          <cell r="BX99"/>
          <cell r="BY99">
            <v>0</v>
          </cell>
          <cell r="BZ99">
            <v>0</v>
          </cell>
          <cell r="CA99"/>
          <cell r="CB99"/>
          <cell r="CC99">
            <v>0</v>
          </cell>
          <cell r="CD99">
            <v>0</v>
          </cell>
          <cell r="CE99"/>
          <cell r="CF99"/>
          <cell r="CG99">
            <v>0</v>
          </cell>
          <cell r="CH99">
            <v>0</v>
          </cell>
          <cell r="CI99"/>
          <cell r="CJ99">
            <v>0</v>
          </cell>
          <cell r="CK99">
            <v>0</v>
          </cell>
        </row>
        <row r="100">
          <cell r="A100">
            <v>51</v>
          </cell>
          <cell r="B100"/>
          <cell r="C100" t="str">
            <v>Renewable Generation Connection OM&amp;A Deferral Account</v>
          </cell>
          <cell r="D100">
            <v>1532</v>
          </cell>
          <cell r="E100"/>
          <cell r="F100"/>
          <cell r="G100"/>
          <cell r="H100"/>
          <cell r="I100">
            <v>0</v>
          </cell>
          <cell r="J100"/>
          <cell r="K100"/>
          <cell r="L100"/>
          <cell r="M100"/>
          <cell r="N100">
            <v>0</v>
          </cell>
          <cell r="O100">
            <v>0</v>
          </cell>
          <cell r="P100"/>
          <cell r="Q100"/>
          <cell r="R100"/>
          <cell r="S100">
            <v>0</v>
          </cell>
          <cell r="T100">
            <v>0</v>
          </cell>
          <cell r="U100"/>
          <cell r="V100"/>
          <cell r="W100"/>
          <cell r="X100">
            <v>0</v>
          </cell>
          <cell r="Y100">
            <v>0</v>
          </cell>
          <cell r="Z100"/>
          <cell r="AA100"/>
          <cell r="AB100"/>
          <cell r="AC100">
            <v>0</v>
          </cell>
          <cell r="AD100">
            <v>0</v>
          </cell>
          <cell r="AE100"/>
          <cell r="AF100"/>
          <cell r="AG100"/>
          <cell r="AH100">
            <v>0</v>
          </cell>
          <cell r="AI100">
            <v>0</v>
          </cell>
          <cell r="AJ100"/>
          <cell r="AK100"/>
          <cell r="AL100"/>
          <cell r="AM100">
            <v>0</v>
          </cell>
          <cell r="AN100">
            <v>0</v>
          </cell>
          <cell r="AO100"/>
          <cell r="AP100"/>
          <cell r="AQ100"/>
          <cell r="AR100">
            <v>0</v>
          </cell>
          <cell r="AS100">
            <v>0</v>
          </cell>
          <cell r="AT100"/>
          <cell r="AU100"/>
          <cell r="AV100"/>
          <cell r="AW100">
            <v>0</v>
          </cell>
          <cell r="AX100">
            <v>0</v>
          </cell>
          <cell r="AY100"/>
          <cell r="AZ100"/>
          <cell r="BA100"/>
          <cell r="BB100">
            <v>0</v>
          </cell>
          <cell r="BC100">
            <v>0</v>
          </cell>
          <cell r="BD100"/>
          <cell r="BE100"/>
          <cell r="BF100"/>
          <cell r="BG100">
            <v>0</v>
          </cell>
          <cell r="BH100">
            <v>0</v>
          </cell>
          <cell r="BI100"/>
          <cell r="BJ100"/>
          <cell r="BK100"/>
          <cell r="BL100">
            <v>0</v>
          </cell>
          <cell r="BM100">
            <v>0</v>
          </cell>
          <cell r="BN100"/>
          <cell r="BO100"/>
          <cell r="BP100"/>
          <cell r="BQ100">
            <v>0</v>
          </cell>
          <cell r="BR100">
            <v>0</v>
          </cell>
          <cell r="BS100"/>
          <cell r="BT100"/>
          <cell r="BU100"/>
          <cell r="BV100">
            <v>0</v>
          </cell>
          <cell r="BW100"/>
          <cell r="BX100"/>
          <cell r="BY100">
            <v>0</v>
          </cell>
          <cell r="BZ100">
            <v>0</v>
          </cell>
          <cell r="CA100"/>
          <cell r="CB100"/>
          <cell r="CC100">
            <v>0</v>
          </cell>
          <cell r="CD100">
            <v>0</v>
          </cell>
          <cell r="CE100"/>
          <cell r="CF100"/>
          <cell r="CG100">
            <v>0</v>
          </cell>
          <cell r="CH100">
            <v>0</v>
          </cell>
          <cell r="CI100"/>
          <cell r="CJ100">
            <v>0</v>
          </cell>
          <cell r="CK100">
            <v>0</v>
          </cell>
        </row>
        <row r="101">
          <cell r="A101">
            <v>52</v>
          </cell>
          <cell r="B101"/>
          <cell r="C101" t="str">
            <v xml:space="preserve">Renewable Generation Connection Funding Adder Deferral Account </v>
          </cell>
          <cell r="D101">
            <v>1533</v>
          </cell>
          <cell r="E101">
            <v>-1026599</v>
          </cell>
          <cell r="F101">
            <v>-1400409.7499999998</v>
          </cell>
          <cell r="G101"/>
          <cell r="H101"/>
          <cell r="I101">
            <v>-2427008.75</v>
          </cell>
          <cell r="J101"/>
          <cell r="K101"/>
          <cell r="L101"/>
          <cell r="M101"/>
          <cell r="N101">
            <v>0</v>
          </cell>
          <cell r="O101">
            <v>-2427008.75</v>
          </cell>
          <cell r="P101">
            <v>-1873867.4600000004</v>
          </cell>
          <cell r="Q101"/>
          <cell r="R101"/>
          <cell r="S101">
            <v>-4300876.2100000009</v>
          </cell>
          <cell r="T101">
            <v>0</v>
          </cell>
          <cell r="U101"/>
          <cell r="V101"/>
          <cell r="W101"/>
          <cell r="X101">
            <v>0</v>
          </cell>
          <cell r="Y101">
            <v>-4300876.2100000009</v>
          </cell>
          <cell r="Z101">
            <v>-1835651.51</v>
          </cell>
          <cell r="AA101"/>
          <cell r="AB101"/>
          <cell r="AC101">
            <v>-6136527.7200000007</v>
          </cell>
          <cell r="AD101">
            <v>0</v>
          </cell>
          <cell r="AE101"/>
          <cell r="AF101"/>
          <cell r="AG101"/>
          <cell r="AH101">
            <v>0</v>
          </cell>
          <cell r="AI101">
            <v>-6136527.7200000007</v>
          </cell>
          <cell r="AJ101">
            <v>5365813.32</v>
          </cell>
          <cell r="AK101"/>
          <cell r="AL101"/>
          <cell r="AM101">
            <v>-770714.40000000037</v>
          </cell>
          <cell r="AN101">
            <v>0</v>
          </cell>
          <cell r="AO101"/>
          <cell r="AP101"/>
          <cell r="AQ101"/>
          <cell r="AR101">
            <v>0</v>
          </cell>
          <cell r="AS101">
            <v>-770714.40000000037</v>
          </cell>
          <cell r="AT101">
            <v>-946616.47000000009</v>
          </cell>
          <cell r="AU101"/>
          <cell r="AV101"/>
          <cell r="AW101">
            <v>-1717330.8700000006</v>
          </cell>
          <cell r="AX101">
            <v>0</v>
          </cell>
          <cell r="AY101"/>
          <cell r="AZ101"/>
          <cell r="BA101"/>
          <cell r="BB101">
            <v>0</v>
          </cell>
          <cell r="BC101">
            <v>-1717330.8700000006</v>
          </cell>
          <cell r="BD101">
            <v>-1329655.1300000004</v>
          </cell>
          <cell r="BE101"/>
          <cell r="BF101"/>
          <cell r="BG101">
            <v>-3046986.0000000009</v>
          </cell>
          <cell r="BH101">
            <v>0</v>
          </cell>
          <cell r="BI101"/>
          <cell r="BJ101"/>
          <cell r="BK101"/>
          <cell r="BL101">
            <v>0</v>
          </cell>
          <cell r="BM101">
            <v>-3046986.0000000009</v>
          </cell>
          <cell r="BN101">
            <v>-1688823.2100000002</v>
          </cell>
          <cell r="BO101"/>
          <cell r="BP101"/>
          <cell r="BQ101">
            <v>-4735809.2100000009</v>
          </cell>
          <cell r="BR101">
            <v>0</v>
          </cell>
          <cell r="BS101"/>
          <cell r="BT101"/>
          <cell r="BU101"/>
          <cell r="BV101">
            <v>0</v>
          </cell>
          <cell r="BW101">
            <v>-2567379.5200000075</v>
          </cell>
          <cell r="BX101"/>
          <cell r="BY101">
            <v>-7303188.7300000079</v>
          </cell>
          <cell r="BZ101">
            <v>0</v>
          </cell>
          <cell r="CA101"/>
          <cell r="CB101"/>
          <cell r="CC101">
            <v>-7303188.7300000079</v>
          </cell>
          <cell r="CD101">
            <v>0</v>
          </cell>
          <cell r="CE101"/>
          <cell r="CF101"/>
          <cell r="CG101">
            <v>0</v>
          </cell>
          <cell r="CH101">
            <v>-7303188.7300000079</v>
          </cell>
          <cell r="CI101" t="str">
            <v>Yes</v>
          </cell>
          <cell r="CJ101">
            <v>-4735809.3</v>
          </cell>
          <cell r="CK101">
            <v>-8.9999998919665813E-2</v>
          </cell>
        </row>
        <row r="102">
          <cell r="A102">
            <v>53</v>
          </cell>
          <cell r="B102"/>
          <cell r="C102" t="str">
            <v>Smart Grid Capital Deferral Account</v>
          </cell>
          <cell r="D102">
            <v>1534</v>
          </cell>
          <cell r="E102"/>
          <cell r="F102"/>
          <cell r="G102"/>
          <cell r="H102"/>
          <cell r="I102">
            <v>0</v>
          </cell>
          <cell r="J102"/>
          <cell r="K102"/>
          <cell r="L102"/>
          <cell r="M102"/>
          <cell r="N102">
            <v>0</v>
          </cell>
          <cell r="O102">
            <v>0</v>
          </cell>
          <cell r="P102"/>
          <cell r="Q102"/>
          <cell r="R102"/>
          <cell r="S102">
            <v>0</v>
          </cell>
          <cell r="T102">
            <v>0</v>
          </cell>
          <cell r="U102"/>
          <cell r="V102"/>
          <cell r="W102"/>
          <cell r="X102">
            <v>0</v>
          </cell>
          <cell r="Y102">
            <v>0</v>
          </cell>
          <cell r="Z102"/>
          <cell r="AA102"/>
          <cell r="AB102"/>
          <cell r="AC102">
            <v>0</v>
          </cell>
          <cell r="AD102">
            <v>0</v>
          </cell>
          <cell r="AE102"/>
          <cell r="AF102"/>
          <cell r="AG102"/>
          <cell r="AH102">
            <v>0</v>
          </cell>
          <cell r="AI102">
            <v>0</v>
          </cell>
          <cell r="AJ102"/>
          <cell r="AK102"/>
          <cell r="AL102"/>
          <cell r="AM102">
            <v>0</v>
          </cell>
          <cell r="AN102">
            <v>0</v>
          </cell>
          <cell r="AO102"/>
          <cell r="AP102"/>
          <cell r="AQ102"/>
          <cell r="AR102">
            <v>0</v>
          </cell>
          <cell r="AS102">
            <v>0</v>
          </cell>
          <cell r="AT102"/>
          <cell r="AU102"/>
          <cell r="AV102"/>
          <cell r="AW102">
            <v>0</v>
          </cell>
          <cell r="AX102">
            <v>0</v>
          </cell>
          <cell r="AY102"/>
          <cell r="AZ102"/>
          <cell r="BA102"/>
          <cell r="BB102">
            <v>0</v>
          </cell>
          <cell r="BC102">
            <v>0</v>
          </cell>
          <cell r="BD102"/>
          <cell r="BE102"/>
          <cell r="BF102"/>
          <cell r="BG102">
            <v>0</v>
          </cell>
          <cell r="BH102">
            <v>0</v>
          </cell>
          <cell r="BI102"/>
          <cell r="BJ102"/>
          <cell r="BK102"/>
          <cell r="BL102">
            <v>0</v>
          </cell>
          <cell r="BM102">
            <v>0</v>
          </cell>
          <cell r="BN102"/>
          <cell r="BO102"/>
          <cell r="BP102"/>
          <cell r="BQ102">
            <v>0</v>
          </cell>
          <cell r="BR102">
            <v>0</v>
          </cell>
          <cell r="BS102"/>
          <cell r="BT102"/>
          <cell r="BU102"/>
          <cell r="BV102">
            <v>0</v>
          </cell>
          <cell r="BW102"/>
          <cell r="BX102"/>
          <cell r="BY102">
            <v>0</v>
          </cell>
          <cell r="BZ102">
            <v>0</v>
          </cell>
          <cell r="CA102"/>
          <cell r="CB102"/>
          <cell r="CC102">
            <v>0</v>
          </cell>
          <cell r="CD102">
            <v>0</v>
          </cell>
          <cell r="CE102"/>
          <cell r="CF102"/>
          <cell r="CG102">
            <v>0</v>
          </cell>
          <cell r="CH102">
            <v>0</v>
          </cell>
          <cell r="CI102"/>
          <cell r="CJ102">
            <v>0</v>
          </cell>
          <cell r="CK102">
            <v>0</v>
          </cell>
        </row>
        <row r="103">
          <cell r="A103">
            <v>54</v>
          </cell>
          <cell r="B103"/>
          <cell r="C103" t="str">
            <v>Smart Grid OM&amp;A Deferral Account</v>
          </cell>
          <cell r="D103">
            <v>1535</v>
          </cell>
          <cell r="E103"/>
          <cell r="F103"/>
          <cell r="G103"/>
          <cell r="H103"/>
          <cell r="I103">
            <v>0</v>
          </cell>
          <cell r="J103"/>
          <cell r="K103"/>
          <cell r="L103"/>
          <cell r="M103"/>
          <cell r="N103">
            <v>0</v>
          </cell>
          <cell r="O103">
            <v>0</v>
          </cell>
          <cell r="P103"/>
          <cell r="Q103"/>
          <cell r="R103"/>
          <cell r="S103">
            <v>0</v>
          </cell>
          <cell r="T103">
            <v>0</v>
          </cell>
          <cell r="U103"/>
          <cell r="V103"/>
          <cell r="W103"/>
          <cell r="X103">
            <v>0</v>
          </cell>
          <cell r="Y103">
            <v>0</v>
          </cell>
          <cell r="Z103"/>
          <cell r="AA103"/>
          <cell r="AB103"/>
          <cell r="AC103">
            <v>0</v>
          </cell>
          <cell r="AD103">
            <v>0</v>
          </cell>
          <cell r="AE103"/>
          <cell r="AF103"/>
          <cell r="AG103"/>
          <cell r="AH103">
            <v>0</v>
          </cell>
          <cell r="AI103">
            <v>0</v>
          </cell>
          <cell r="AJ103"/>
          <cell r="AK103"/>
          <cell r="AL103"/>
          <cell r="AM103">
            <v>0</v>
          </cell>
          <cell r="AN103">
            <v>0</v>
          </cell>
          <cell r="AO103"/>
          <cell r="AP103"/>
          <cell r="AQ103"/>
          <cell r="AR103">
            <v>0</v>
          </cell>
          <cell r="AS103">
            <v>0</v>
          </cell>
          <cell r="AT103"/>
          <cell r="AU103"/>
          <cell r="AV103"/>
          <cell r="AW103">
            <v>0</v>
          </cell>
          <cell r="AX103">
            <v>0</v>
          </cell>
          <cell r="AY103"/>
          <cell r="AZ103"/>
          <cell r="BA103"/>
          <cell r="BB103">
            <v>0</v>
          </cell>
          <cell r="BC103">
            <v>0</v>
          </cell>
          <cell r="BD103"/>
          <cell r="BE103"/>
          <cell r="BF103"/>
          <cell r="BG103">
            <v>0</v>
          </cell>
          <cell r="BH103">
            <v>0</v>
          </cell>
          <cell r="BI103"/>
          <cell r="BJ103"/>
          <cell r="BK103"/>
          <cell r="BL103">
            <v>0</v>
          </cell>
          <cell r="BM103">
            <v>0</v>
          </cell>
          <cell r="BN103"/>
          <cell r="BO103"/>
          <cell r="BP103"/>
          <cell r="BQ103">
            <v>0</v>
          </cell>
          <cell r="BR103">
            <v>0</v>
          </cell>
          <cell r="BS103"/>
          <cell r="BT103"/>
          <cell r="BU103"/>
          <cell r="BV103">
            <v>0</v>
          </cell>
          <cell r="BW103"/>
          <cell r="BX103"/>
          <cell r="BY103">
            <v>0</v>
          </cell>
          <cell r="BZ103">
            <v>0</v>
          </cell>
          <cell r="CA103"/>
          <cell r="CB103"/>
          <cell r="CC103">
            <v>0</v>
          </cell>
          <cell r="CD103">
            <v>0</v>
          </cell>
          <cell r="CE103"/>
          <cell r="CF103"/>
          <cell r="CG103">
            <v>0</v>
          </cell>
          <cell r="CH103">
            <v>0</v>
          </cell>
          <cell r="CI103"/>
          <cell r="CJ103">
            <v>0</v>
          </cell>
          <cell r="CK103">
            <v>0</v>
          </cell>
        </row>
        <row r="104">
          <cell r="A104">
            <v>55</v>
          </cell>
          <cell r="B104"/>
          <cell r="C104" t="str">
            <v>Smart Grid Funding Adder Deferral Account</v>
          </cell>
          <cell r="D104">
            <v>1536</v>
          </cell>
          <cell r="E104"/>
          <cell r="F104"/>
          <cell r="G104"/>
          <cell r="H104"/>
          <cell r="I104">
            <v>0</v>
          </cell>
          <cell r="J104"/>
          <cell r="K104"/>
          <cell r="L104"/>
          <cell r="M104"/>
          <cell r="N104">
            <v>0</v>
          </cell>
          <cell r="O104">
            <v>0</v>
          </cell>
          <cell r="P104"/>
          <cell r="Q104"/>
          <cell r="R104"/>
          <cell r="S104">
            <v>0</v>
          </cell>
          <cell r="T104">
            <v>0</v>
          </cell>
          <cell r="U104"/>
          <cell r="V104"/>
          <cell r="W104"/>
          <cell r="X104">
            <v>0</v>
          </cell>
          <cell r="Y104">
            <v>0</v>
          </cell>
          <cell r="Z104"/>
          <cell r="AA104"/>
          <cell r="AB104"/>
          <cell r="AC104">
            <v>0</v>
          </cell>
          <cell r="AD104">
            <v>0</v>
          </cell>
          <cell r="AE104"/>
          <cell r="AF104"/>
          <cell r="AG104"/>
          <cell r="AH104">
            <v>0</v>
          </cell>
          <cell r="AI104">
            <v>0</v>
          </cell>
          <cell r="AJ104"/>
          <cell r="AK104"/>
          <cell r="AL104"/>
          <cell r="AM104">
            <v>0</v>
          </cell>
          <cell r="AN104">
            <v>0</v>
          </cell>
          <cell r="AO104"/>
          <cell r="AP104"/>
          <cell r="AQ104"/>
          <cell r="AR104">
            <v>0</v>
          </cell>
          <cell r="AS104">
            <v>0</v>
          </cell>
          <cell r="AT104"/>
          <cell r="AU104"/>
          <cell r="AV104"/>
          <cell r="AW104">
            <v>0</v>
          </cell>
          <cell r="AX104">
            <v>0</v>
          </cell>
          <cell r="AY104"/>
          <cell r="AZ104"/>
          <cell r="BA104"/>
          <cell r="BB104">
            <v>0</v>
          </cell>
          <cell r="BC104">
            <v>0</v>
          </cell>
          <cell r="BD104"/>
          <cell r="BE104"/>
          <cell r="BF104"/>
          <cell r="BG104">
            <v>0</v>
          </cell>
          <cell r="BH104">
            <v>0</v>
          </cell>
          <cell r="BI104"/>
          <cell r="BJ104"/>
          <cell r="BK104"/>
          <cell r="BL104">
            <v>0</v>
          </cell>
          <cell r="BM104">
            <v>0</v>
          </cell>
          <cell r="BN104"/>
          <cell r="BO104"/>
          <cell r="BP104"/>
          <cell r="BQ104">
            <v>0</v>
          </cell>
          <cell r="BR104">
            <v>0</v>
          </cell>
          <cell r="BS104"/>
          <cell r="BT104"/>
          <cell r="BU104"/>
          <cell r="BV104">
            <v>0</v>
          </cell>
          <cell r="BW104"/>
          <cell r="BX104"/>
          <cell r="BY104">
            <v>0</v>
          </cell>
          <cell r="BZ104">
            <v>0</v>
          </cell>
          <cell r="CA104"/>
          <cell r="CB104"/>
          <cell r="CC104">
            <v>0</v>
          </cell>
          <cell r="CD104">
            <v>0</v>
          </cell>
          <cell r="CE104"/>
          <cell r="CF104"/>
          <cell r="CG104">
            <v>0</v>
          </cell>
          <cell r="CH104">
            <v>0</v>
          </cell>
          <cell r="CI104"/>
          <cell r="CJ104">
            <v>0</v>
          </cell>
          <cell r="CK104">
            <v>0</v>
          </cell>
        </row>
        <row r="105">
          <cell r="A105">
            <v>56</v>
          </cell>
          <cell r="B105"/>
          <cell r="C105" t="str">
            <v>Smart Meter Capital and Recovery Offset Variance - Sub-Account - Capital4</v>
          </cell>
          <cell r="D105">
            <v>1555</v>
          </cell>
          <cell r="E105"/>
          <cell r="F105"/>
          <cell r="G105"/>
          <cell r="H105"/>
          <cell r="I105">
            <v>0</v>
          </cell>
          <cell r="J105"/>
          <cell r="K105"/>
          <cell r="L105"/>
          <cell r="M105"/>
          <cell r="N105">
            <v>0</v>
          </cell>
          <cell r="O105">
            <v>0</v>
          </cell>
          <cell r="P105"/>
          <cell r="Q105"/>
          <cell r="R105"/>
          <cell r="S105">
            <v>0</v>
          </cell>
          <cell r="T105">
            <v>0</v>
          </cell>
          <cell r="U105"/>
          <cell r="V105"/>
          <cell r="W105"/>
          <cell r="X105">
            <v>0</v>
          </cell>
          <cell r="Y105">
            <v>0</v>
          </cell>
          <cell r="Z105"/>
          <cell r="AA105"/>
          <cell r="AB105"/>
          <cell r="AC105">
            <v>0</v>
          </cell>
          <cell r="AD105">
            <v>0</v>
          </cell>
          <cell r="AE105"/>
          <cell r="AF105"/>
          <cell r="AG105"/>
          <cell r="AH105">
            <v>0</v>
          </cell>
          <cell r="AI105">
            <v>0</v>
          </cell>
          <cell r="AJ105"/>
          <cell r="AK105"/>
          <cell r="AL105"/>
          <cell r="AM105">
            <v>0</v>
          </cell>
          <cell r="AN105">
            <v>0</v>
          </cell>
          <cell r="AO105"/>
          <cell r="AP105"/>
          <cell r="AQ105"/>
          <cell r="AR105">
            <v>0</v>
          </cell>
          <cell r="AS105">
            <v>0</v>
          </cell>
          <cell r="AT105"/>
          <cell r="AU105"/>
          <cell r="AV105"/>
          <cell r="AW105">
            <v>0</v>
          </cell>
          <cell r="AX105">
            <v>0</v>
          </cell>
          <cell r="AY105"/>
          <cell r="AZ105"/>
          <cell r="BA105"/>
          <cell r="BB105">
            <v>0</v>
          </cell>
          <cell r="BC105">
            <v>0</v>
          </cell>
          <cell r="BD105"/>
          <cell r="BE105"/>
          <cell r="BF105"/>
          <cell r="BG105">
            <v>0</v>
          </cell>
          <cell r="BH105">
            <v>0</v>
          </cell>
          <cell r="BI105"/>
          <cell r="BJ105"/>
          <cell r="BK105"/>
          <cell r="BL105">
            <v>0</v>
          </cell>
          <cell r="BM105">
            <v>0</v>
          </cell>
          <cell r="BN105"/>
          <cell r="BO105"/>
          <cell r="BP105"/>
          <cell r="BQ105">
            <v>0</v>
          </cell>
          <cell r="BR105">
            <v>0</v>
          </cell>
          <cell r="BS105"/>
          <cell r="BT105"/>
          <cell r="BU105"/>
          <cell r="BV105">
            <v>0</v>
          </cell>
          <cell r="BW105"/>
          <cell r="BX105"/>
          <cell r="BY105">
            <v>0</v>
          </cell>
          <cell r="BZ105">
            <v>0</v>
          </cell>
          <cell r="CA105"/>
          <cell r="CB105"/>
          <cell r="CC105">
            <v>0</v>
          </cell>
          <cell r="CD105">
            <v>0</v>
          </cell>
          <cell r="CE105"/>
          <cell r="CF105"/>
          <cell r="CG105">
            <v>0</v>
          </cell>
          <cell r="CH105">
            <v>0</v>
          </cell>
          <cell r="CI105"/>
          <cell r="CJ105">
            <v>0</v>
          </cell>
          <cell r="CK105">
            <v>0</v>
          </cell>
        </row>
        <row r="106">
          <cell r="A106">
            <v>57</v>
          </cell>
          <cell r="B106"/>
          <cell r="C106" t="str">
            <v>Smart Meter Capital and Recovery Offset Variance - Sub-Account - Recoveries4</v>
          </cell>
          <cell r="D106">
            <v>1555</v>
          </cell>
          <cell r="E106"/>
          <cell r="F106"/>
          <cell r="G106"/>
          <cell r="H106"/>
          <cell r="I106">
            <v>0</v>
          </cell>
          <cell r="J106"/>
          <cell r="K106"/>
          <cell r="L106"/>
          <cell r="M106"/>
          <cell r="N106">
            <v>0</v>
          </cell>
          <cell r="O106">
            <v>0</v>
          </cell>
          <cell r="P106"/>
          <cell r="Q106"/>
          <cell r="R106"/>
          <cell r="S106">
            <v>0</v>
          </cell>
          <cell r="T106">
            <v>0</v>
          </cell>
          <cell r="U106"/>
          <cell r="V106"/>
          <cell r="W106"/>
          <cell r="X106">
            <v>0</v>
          </cell>
          <cell r="Y106">
            <v>0</v>
          </cell>
          <cell r="Z106"/>
          <cell r="AA106"/>
          <cell r="AB106"/>
          <cell r="AC106">
            <v>0</v>
          </cell>
          <cell r="AD106">
            <v>0</v>
          </cell>
          <cell r="AE106"/>
          <cell r="AF106"/>
          <cell r="AG106"/>
          <cell r="AH106">
            <v>0</v>
          </cell>
          <cell r="AI106">
            <v>0</v>
          </cell>
          <cell r="AJ106"/>
          <cell r="AK106"/>
          <cell r="AL106"/>
          <cell r="AM106">
            <v>0</v>
          </cell>
          <cell r="AN106">
            <v>0</v>
          </cell>
          <cell r="AO106"/>
          <cell r="AP106"/>
          <cell r="AQ106"/>
          <cell r="AR106">
            <v>0</v>
          </cell>
          <cell r="AS106">
            <v>0</v>
          </cell>
          <cell r="AT106"/>
          <cell r="AU106"/>
          <cell r="AV106"/>
          <cell r="AW106">
            <v>0</v>
          </cell>
          <cell r="AX106">
            <v>0</v>
          </cell>
          <cell r="AY106"/>
          <cell r="AZ106"/>
          <cell r="BA106"/>
          <cell r="BB106">
            <v>0</v>
          </cell>
          <cell r="BC106">
            <v>0</v>
          </cell>
          <cell r="BD106"/>
          <cell r="BE106"/>
          <cell r="BF106"/>
          <cell r="BG106">
            <v>0</v>
          </cell>
          <cell r="BH106">
            <v>0</v>
          </cell>
          <cell r="BI106"/>
          <cell r="BJ106"/>
          <cell r="BK106"/>
          <cell r="BL106">
            <v>0</v>
          </cell>
          <cell r="BM106">
            <v>0</v>
          </cell>
          <cell r="BN106"/>
          <cell r="BO106"/>
          <cell r="BP106"/>
          <cell r="BQ106">
            <v>0</v>
          </cell>
          <cell r="BR106">
            <v>0</v>
          </cell>
          <cell r="BS106"/>
          <cell r="BT106"/>
          <cell r="BU106"/>
          <cell r="BV106">
            <v>0</v>
          </cell>
          <cell r="BW106"/>
          <cell r="BX106"/>
          <cell r="BY106">
            <v>0</v>
          </cell>
          <cell r="BZ106">
            <v>0</v>
          </cell>
          <cell r="CA106"/>
          <cell r="CB106"/>
          <cell r="CC106">
            <v>0</v>
          </cell>
          <cell r="CD106">
            <v>0</v>
          </cell>
          <cell r="CE106"/>
          <cell r="CF106"/>
          <cell r="CG106">
            <v>0</v>
          </cell>
          <cell r="CH106">
            <v>0</v>
          </cell>
          <cell r="CI106"/>
          <cell r="CJ106">
            <v>0</v>
          </cell>
          <cell r="CK106">
            <v>0</v>
          </cell>
        </row>
        <row r="107">
          <cell r="A107">
            <v>58</v>
          </cell>
          <cell r="B107"/>
          <cell r="C107" t="str">
            <v>Smart Meter Capital and Recovery Offset Variance - Sub-Account - Stranded Meter Costs</v>
          </cell>
          <cell r="D107">
            <v>1555</v>
          </cell>
          <cell r="E107">
            <v>11301842.790000005</v>
          </cell>
          <cell r="F107">
            <v>-3985515.8</v>
          </cell>
          <cell r="G107"/>
          <cell r="H107"/>
          <cell r="I107">
            <v>7316326.9900000049</v>
          </cell>
          <cell r="J107">
            <v>110022.12498706111</v>
          </cell>
          <cell r="K107">
            <v>109434.99163316378</v>
          </cell>
          <cell r="L107"/>
          <cell r="M107"/>
          <cell r="N107">
            <v>219457.1166202249</v>
          </cell>
          <cell r="O107">
            <v>7316326.9900000049</v>
          </cell>
          <cell r="P107">
            <v>-4029307.580000001</v>
          </cell>
          <cell r="Q107"/>
          <cell r="R107"/>
          <cell r="S107">
            <v>3287019.4100000039</v>
          </cell>
          <cell r="T107">
            <v>219457.1166202249</v>
          </cell>
          <cell r="U107">
            <v>98856.111133000013</v>
          </cell>
          <cell r="V107"/>
          <cell r="W107"/>
          <cell r="X107">
            <v>318313.2277532249</v>
          </cell>
          <cell r="Y107">
            <v>3287019.4100000039</v>
          </cell>
          <cell r="Z107">
            <v>-4046170.1399999987</v>
          </cell>
          <cell r="AA107"/>
          <cell r="AB107"/>
          <cell r="AC107">
            <v>-759150.72999999486</v>
          </cell>
          <cell r="AD107">
            <v>318313.2277532249</v>
          </cell>
          <cell r="AE107">
            <v>33134.356333666699</v>
          </cell>
          <cell r="AF107"/>
          <cell r="AG107"/>
          <cell r="AH107">
            <v>351447.58408689161</v>
          </cell>
          <cell r="AI107">
            <v>-759150.72999999486</v>
          </cell>
          <cell r="AJ107">
            <v>-244323.41999999998</v>
          </cell>
          <cell r="AK107"/>
          <cell r="AL107"/>
          <cell r="AM107">
            <v>-1003474.1499999948</v>
          </cell>
          <cell r="AN107">
            <v>351447.58408689161</v>
          </cell>
          <cell r="AO107">
            <v>-13289.077800166651</v>
          </cell>
          <cell r="AP107"/>
          <cell r="AQ107"/>
          <cell r="AR107">
            <v>338158.50628672494</v>
          </cell>
          <cell r="AS107">
            <v>-1003474.1499999948</v>
          </cell>
          <cell r="AT107">
            <v>297184.75</v>
          </cell>
          <cell r="AU107"/>
          <cell r="AV107"/>
          <cell r="AW107">
            <v>-706289.39999999478</v>
          </cell>
          <cell r="AX107">
            <v>338158.50628672494</v>
          </cell>
          <cell r="AY107">
            <v>-5021.8328574999923</v>
          </cell>
          <cell r="AZ107"/>
          <cell r="BA107"/>
          <cell r="BB107">
            <v>333136.67342922493</v>
          </cell>
          <cell r="BC107">
            <v>-706289.39999999478</v>
          </cell>
          <cell r="BD107">
            <v>316186.11</v>
          </cell>
          <cell r="BE107"/>
          <cell r="BF107"/>
          <cell r="BG107">
            <v>-390103.2899999948</v>
          </cell>
          <cell r="BH107">
            <v>333136.67342922493</v>
          </cell>
          <cell r="BI107">
            <v>-9671.7956883333063</v>
          </cell>
          <cell r="BJ107"/>
          <cell r="BK107">
            <v>-11167.31</v>
          </cell>
          <cell r="BL107">
            <v>312297.56774089165</v>
          </cell>
          <cell r="BM107">
            <v>-390103.2899999948</v>
          </cell>
          <cell r="BN107">
            <v>319968.15000000002</v>
          </cell>
          <cell r="BO107"/>
          <cell r="BP107">
            <v>-383766.30577800138</v>
          </cell>
          <cell r="BQ107">
            <v>-453901.44577799615</v>
          </cell>
          <cell r="BR107">
            <v>312297.56774089165</v>
          </cell>
          <cell r="BS107"/>
          <cell r="BT107"/>
          <cell r="BU107">
            <v>-312297.56774089165</v>
          </cell>
          <cell r="BV107">
            <v>0</v>
          </cell>
          <cell r="BW107"/>
          <cell r="BX107"/>
          <cell r="BY107">
            <v>-453901.44577799615</v>
          </cell>
          <cell r="BZ107">
            <v>0</v>
          </cell>
          <cell r="CA107"/>
          <cell r="CB107"/>
          <cell r="CC107">
            <v>-453901.44577799615</v>
          </cell>
          <cell r="CD107">
            <v>0</v>
          </cell>
          <cell r="CE107">
            <v>-2298.9925372499138</v>
          </cell>
          <cell r="CF107"/>
          <cell r="CG107">
            <v>-2298.9925372499138</v>
          </cell>
          <cell r="CH107">
            <v>0</v>
          </cell>
          <cell r="CI107" t="str">
            <v>No</v>
          </cell>
          <cell r="CJ107">
            <v>-453902</v>
          </cell>
          <cell r="CK107">
            <v>-0.55422200384782627</v>
          </cell>
        </row>
        <row r="108">
          <cell r="A108">
            <v>59</v>
          </cell>
          <cell r="B108"/>
          <cell r="C108" t="str">
            <v>Smart Meter OM&amp;A Variance4</v>
          </cell>
          <cell r="D108">
            <v>1556</v>
          </cell>
          <cell r="E108"/>
          <cell r="F108"/>
          <cell r="G108"/>
          <cell r="H108"/>
          <cell r="I108">
            <v>0</v>
          </cell>
          <cell r="J108"/>
          <cell r="K108"/>
          <cell r="L108"/>
          <cell r="M108"/>
          <cell r="N108">
            <v>0</v>
          </cell>
          <cell r="O108">
            <v>0</v>
          </cell>
          <cell r="P108"/>
          <cell r="Q108"/>
          <cell r="R108"/>
          <cell r="S108">
            <v>0</v>
          </cell>
          <cell r="T108">
            <v>0</v>
          </cell>
          <cell r="U108"/>
          <cell r="V108"/>
          <cell r="W108"/>
          <cell r="X108">
            <v>0</v>
          </cell>
          <cell r="Y108">
            <v>0</v>
          </cell>
          <cell r="Z108"/>
          <cell r="AA108"/>
          <cell r="AB108"/>
          <cell r="AC108">
            <v>0</v>
          </cell>
          <cell r="AD108">
            <v>0</v>
          </cell>
          <cell r="AE108"/>
          <cell r="AF108"/>
          <cell r="AG108"/>
          <cell r="AH108">
            <v>0</v>
          </cell>
          <cell r="AI108">
            <v>0</v>
          </cell>
          <cell r="AJ108"/>
          <cell r="AK108"/>
          <cell r="AL108"/>
          <cell r="AM108">
            <v>0</v>
          </cell>
          <cell r="AN108">
            <v>0</v>
          </cell>
          <cell r="AO108"/>
          <cell r="AP108"/>
          <cell r="AQ108"/>
          <cell r="AR108">
            <v>0</v>
          </cell>
          <cell r="AS108">
            <v>0</v>
          </cell>
          <cell r="AT108"/>
          <cell r="AU108"/>
          <cell r="AV108"/>
          <cell r="AW108">
            <v>0</v>
          </cell>
          <cell r="AX108">
            <v>0</v>
          </cell>
          <cell r="AY108"/>
          <cell r="AZ108"/>
          <cell r="BA108"/>
          <cell r="BB108">
            <v>0</v>
          </cell>
          <cell r="BC108">
            <v>0</v>
          </cell>
          <cell r="BD108"/>
          <cell r="BE108"/>
          <cell r="BF108"/>
          <cell r="BG108">
            <v>0</v>
          </cell>
          <cell r="BH108">
            <v>0</v>
          </cell>
          <cell r="BI108"/>
          <cell r="BJ108"/>
          <cell r="BK108"/>
          <cell r="BL108">
            <v>0</v>
          </cell>
          <cell r="BM108">
            <v>0</v>
          </cell>
          <cell r="BN108"/>
          <cell r="BO108"/>
          <cell r="BP108"/>
          <cell r="BQ108">
            <v>0</v>
          </cell>
          <cell r="BR108">
            <v>0</v>
          </cell>
          <cell r="BS108"/>
          <cell r="BT108"/>
          <cell r="BU108"/>
          <cell r="BV108">
            <v>0</v>
          </cell>
          <cell r="BW108"/>
          <cell r="BX108"/>
          <cell r="BY108">
            <v>0</v>
          </cell>
          <cell r="BZ108">
            <v>0</v>
          </cell>
          <cell r="CA108"/>
          <cell r="CB108"/>
          <cell r="CC108">
            <v>0</v>
          </cell>
          <cell r="CD108">
            <v>0</v>
          </cell>
          <cell r="CE108"/>
          <cell r="CF108"/>
          <cell r="CG108">
            <v>0</v>
          </cell>
          <cell r="CH108">
            <v>0</v>
          </cell>
          <cell r="CI108"/>
          <cell r="CJ108"/>
          <cell r="CK108">
            <v>0</v>
          </cell>
        </row>
        <row r="109">
          <cell r="A109">
            <v>60</v>
          </cell>
          <cell r="B109"/>
          <cell r="C109" t="str">
            <v>Meter Cost Deferral Account (MIST Meters)3</v>
          </cell>
          <cell r="D109">
            <v>1557</v>
          </cell>
          <cell r="E109"/>
          <cell r="F109"/>
          <cell r="G109"/>
          <cell r="H109"/>
          <cell r="I109"/>
          <cell r="J109"/>
          <cell r="K109"/>
          <cell r="L109"/>
          <cell r="M109"/>
          <cell r="N109"/>
          <cell r="O109"/>
          <cell r="P109"/>
          <cell r="Q109"/>
          <cell r="R109"/>
          <cell r="S109">
            <v>0</v>
          </cell>
          <cell r="T109"/>
          <cell r="U109"/>
          <cell r="V109"/>
          <cell r="W109"/>
          <cell r="X109">
            <v>0</v>
          </cell>
          <cell r="Y109">
            <v>0</v>
          </cell>
          <cell r="Z109"/>
          <cell r="AA109"/>
          <cell r="AB109"/>
          <cell r="AC109">
            <v>0</v>
          </cell>
          <cell r="AD109">
            <v>0</v>
          </cell>
          <cell r="AE109"/>
          <cell r="AF109"/>
          <cell r="AG109"/>
          <cell r="AH109">
            <v>0</v>
          </cell>
          <cell r="AI109">
            <v>0</v>
          </cell>
          <cell r="AJ109"/>
          <cell r="AK109"/>
          <cell r="AL109"/>
          <cell r="AM109">
            <v>0</v>
          </cell>
          <cell r="AN109">
            <v>0</v>
          </cell>
          <cell r="AO109"/>
          <cell r="AP109"/>
          <cell r="AQ109"/>
          <cell r="AR109">
            <v>0</v>
          </cell>
          <cell r="AS109">
            <v>0</v>
          </cell>
          <cell r="AT109"/>
          <cell r="AU109"/>
          <cell r="AV109"/>
          <cell r="AW109">
            <v>0</v>
          </cell>
          <cell r="AX109">
            <v>0</v>
          </cell>
          <cell r="AY109"/>
          <cell r="AZ109"/>
          <cell r="BA109"/>
          <cell r="BB109">
            <v>0</v>
          </cell>
          <cell r="BC109">
            <v>0</v>
          </cell>
          <cell r="BD109"/>
          <cell r="BE109"/>
          <cell r="BF109"/>
          <cell r="BG109">
            <v>0</v>
          </cell>
          <cell r="BH109">
            <v>0</v>
          </cell>
          <cell r="BI109"/>
          <cell r="BJ109"/>
          <cell r="BK109"/>
          <cell r="BL109">
            <v>0</v>
          </cell>
          <cell r="BM109">
            <v>0</v>
          </cell>
          <cell r="BN109"/>
          <cell r="BO109"/>
          <cell r="BP109"/>
          <cell r="BQ109">
            <v>0</v>
          </cell>
          <cell r="BR109">
            <v>0</v>
          </cell>
          <cell r="BS109"/>
          <cell r="BT109"/>
          <cell r="BU109"/>
          <cell r="BV109">
            <v>0</v>
          </cell>
          <cell r="BW109"/>
          <cell r="BX109"/>
          <cell r="BY109">
            <v>0</v>
          </cell>
          <cell r="BZ109">
            <v>0</v>
          </cell>
          <cell r="CA109"/>
          <cell r="CB109"/>
          <cell r="CC109">
            <v>0</v>
          </cell>
          <cell r="CD109">
            <v>0</v>
          </cell>
          <cell r="CE109"/>
          <cell r="CF109"/>
          <cell r="CG109">
            <v>0</v>
          </cell>
          <cell r="CH109">
            <v>0</v>
          </cell>
          <cell r="CI109"/>
          <cell r="CJ109">
            <v>0</v>
          </cell>
          <cell r="CK109">
            <v>0</v>
          </cell>
        </row>
        <row r="110">
          <cell r="A110"/>
          <cell r="B110"/>
          <cell r="C110"/>
          <cell r="D110"/>
          <cell r="E110"/>
          <cell r="F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v>0</v>
          </cell>
        </row>
        <row r="111">
          <cell r="A111">
            <v>61</v>
          </cell>
          <cell r="B111"/>
          <cell r="C111" t="str">
            <v>IFRS-CGAAP Transition PP&amp;E Amounts Balance + Return Component</v>
          </cell>
          <cell r="D111">
            <v>1575</v>
          </cell>
          <cell r="E111">
            <v>19014359.000000004</v>
          </cell>
          <cell r="F111">
            <v>-6583042.6199999992</v>
          </cell>
          <cell r="G111"/>
          <cell r="H111"/>
          <cell r="I111">
            <v>12431316.380000005</v>
          </cell>
          <cell r="J111"/>
          <cell r="K111"/>
          <cell r="L111"/>
          <cell r="M111"/>
          <cell r="N111"/>
          <cell r="O111">
            <v>12431316.380000005</v>
          </cell>
          <cell r="P111">
            <v>-6740859.8899999997</v>
          </cell>
          <cell r="Q111"/>
          <cell r="R111"/>
          <cell r="S111">
            <v>5690456.4900000049</v>
          </cell>
          <cell r="T111"/>
          <cell r="U111"/>
          <cell r="V111"/>
          <cell r="W111"/>
          <cell r="X111"/>
          <cell r="Y111">
            <v>5690456.4900000049</v>
          </cell>
          <cell r="Z111">
            <v>-7829663.6000000015</v>
          </cell>
          <cell r="AA111"/>
          <cell r="AB111">
            <v>1364322.8099999949</v>
          </cell>
          <cell r="AC111">
            <v>-774884.30000000168</v>
          </cell>
          <cell r="AD111"/>
          <cell r="AE111"/>
          <cell r="AF111"/>
          <cell r="AG111"/>
          <cell r="AH111"/>
          <cell r="AI111">
            <v>-774884.30000000168</v>
          </cell>
          <cell r="AJ111"/>
          <cell r="AK111">
            <v>-1558360.0199999996</v>
          </cell>
          <cell r="AL111">
            <v>-783475.71999999951</v>
          </cell>
          <cell r="AM111">
            <v>-1.6298145055770874E-9</v>
          </cell>
          <cell r="AN111"/>
          <cell r="AO111"/>
          <cell r="AP111"/>
          <cell r="AQ111"/>
          <cell r="AR111"/>
          <cell r="AS111">
            <v>-1.6298145055770874E-9</v>
          </cell>
          <cell r="AT111"/>
          <cell r="AU111"/>
          <cell r="AV111"/>
          <cell r="AW111">
            <v>-1.6298145055770874E-9</v>
          </cell>
          <cell r="AX111"/>
          <cell r="AY111"/>
          <cell r="AZ111"/>
          <cell r="BA111"/>
          <cell r="BB111"/>
          <cell r="BC111">
            <v>-1.6298145055770874E-9</v>
          </cell>
          <cell r="BD111">
            <v>-151852.53</v>
          </cell>
          <cell r="BE111"/>
          <cell r="BF111"/>
          <cell r="BG111">
            <v>-151852.53000000163</v>
          </cell>
          <cell r="BH111"/>
          <cell r="BI111"/>
          <cell r="BJ111"/>
          <cell r="BK111"/>
          <cell r="BL111"/>
          <cell r="BM111">
            <v>-151852.53000000163</v>
          </cell>
          <cell r="BN111"/>
          <cell r="BO111"/>
          <cell r="BP111"/>
          <cell r="BQ111">
            <v>-151852.53000000163</v>
          </cell>
          <cell r="BR111"/>
          <cell r="BS111"/>
          <cell r="BT111"/>
          <cell r="BU111"/>
          <cell r="BV111">
            <v>0</v>
          </cell>
          <cell r="BW111"/>
          <cell r="BX111"/>
          <cell r="BY111">
            <v>-151852.53000000163</v>
          </cell>
          <cell r="BZ111"/>
          <cell r="CA111"/>
          <cell r="CB111"/>
          <cell r="CC111">
            <v>-151852.53000000163</v>
          </cell>
          <cell r="CD111"/>
          <cell r="CE111"/>
          <cell r="CF111"/>
          <cell r="CG111"/>
          <cell r="CH111">
            <v>0</v>
          </cell>
          <cell r="CI111" t="str">
            <v>No</v>
          </cell>
          <cell r="CJ111">
            <v>-151868.04999999999</v>
          </cell>
          <cell r="CK111">
            <v>-15.519999998359708</v>
          </cell>
        </row>
        <row r="112">
          <cell r="A112">
            <v>62</v>
          </cell>
          <cell r="B112"/>
          <cell r="C112" t="str">
            <v>Accounting Changes Under CGAAP Balance + Return Component</v>
          </cell>
          <cell r="D112">
            <v>1576</v>
          </cell>
          <cell r="E112"/>
          <cell r="F112"/>
          <cell r="G112"/>
          <cell r="H112"/>
          <cell r="I112">
            <v>0</v>
          </cell>
          <cell r="J112"/>
          <cell r="K112"/>
          <cell r="L112"/>
          <cell r="M112"/>
          <cell r="N112"/>
          <cell r="O112">
            <v>0</v>
          </cell>
          <cell r="P112"/>
          <cell r="Q112"/>
          <cell r="R112"/>
          <cell r="S112">
            <v>0</v>
          </cell>
          <cell r="T112"/>
          <cell r="U112"/>
          <cell r="V112"/>
          <cell r="W112"/>
          <cell r="X112"/>
          <cell r="Y112">
            <v>0</v>
          </cell>
          <cell r="Z112"/>
          <cell r="AA112"/>
          <cell r="AB112"/>
          <cell r="AC112">
            <v>0</v>
          </cell>
          <cell r="AD112"/>
          <cell r="AE112"/>
          <cell r="AF112"/>
          <cell r="AG112"/>
          <cell r="AH112"/>
          <cell r="AI112">
            <v>0</v>
          </cell>
          <cell r="AJ112"/>
          <cell r="AK112"/>
          <cell r="AL112"/>
          <cell r="AM112">
            <v>0</v>
          </cell>
          <cell r="AN112"/>
          <cell r="AO112"/>
          <cell r="AP112"/>
          <cell r="AQ112"/>
          <cell r="AR112"/>
          <cell r="AS112">
            <v>0</v>
          </cell>
          <cell r="AT112"/>
          <cell r="AU112"/>
          <cell r="AV112"/>
          <cell r="AW112">
            <v>0</v>
          </cell>
          <cell r="AX112"/>
          <cell r="AY112"/>
          <cell r="AZ112"/>
          <cell r="BA112"/>
          <cell r="BB112"/>
          <cell r="BC112">
            <v>0</v>
          </cell>
          <cell r="BD112"/>
          <cell r="BE112"/>
          <cell r="BF112"/>
          <cell r="BG112">
            <v>0</v>
          </cell>
          <cell r="BH112"/>
          <cell r="BI112"/>
          <cell r="BJ112"/>
          <cell r="BK112"/>
          <cell r="BL112"/>
          <cell r="BM112">
            <v>0</v>
          </cell>
          <cell r="BN112"/>
          <cell r="BO112"/>
          <cell r="BP112"/>
          <cell r="BQ112">
            <v>0</v>
          </cell>
          <cell r="BR112"/>
          <cell r="BS112"/>
          <cell r="BT112"/>
          <cell r="BU112"/>
          <cell r="BV112">
            <v>0</v>
          </cell>
          <cell r="BW112"/>
          <cell r="BX112"/>
          <cell r="BY112">
            <v>0</v>
          </cell>
          <cell r="BZ112"/>
          <cell r="CA112"/>
          <cell r="CB112"/>
          <cell r="CC112">
            <v>0</v>
          </cell>
          <cell r="CD112"/>
          <cell r="CE112"/>
          <cell r="CF112"/>
          <cell r="CG112"/>
          <cell r="CH112">
            <v>0</v>
          </cell>
          <cell r="CI112" t="str">
            <v>No</v>
          </cell>
          <cell r="CJ112">
            <v>0</v>
          </cell>
          <cell r="CK112">
            <v>0</v>
          </cell>
        </row>
        <row r="113">
          <cell r="A113"/>
          <cell r="B113"/>
          <cell r="C113"/>
          <cell r="D113"/>
          <cell r="E113"/>
          <cell r="F113"/>
          <cell r="G113"/>
          <cell r="H113"/>
          <cell r="I113"/>
          <cell r="J113"/>
          <cell r="K113"/>
          <cell r="L113"/>
          <cell r="M113"/>
          <cell r="N113"/>
          <cell r="O113"/>
          <cell r="P113"/>
          <cell r="Q113"/>
          <cell r="R113"/>
          <cell r="S113"/>
          <cell r="T113"/>
          <cell r="U113"/>
          <cell r="V113"/>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cell r="BY113"/>
          <cell r="BZ113"/>
          <cell r="CA113"/>
          <cell r="CB113"/>
          <cell r="CC113"/>
          <cell r="CD113"/>
          <cell r="CE113"/>
          <cell r="CF113"/>
          <cell r="CG113"/>
          <cell r="CH113"/>
          <cell r="CI113"/>
          <cell r="CJ113"/>
          <cell r="CK113">
            <v>0</v>
          </cell>
        </row>
        <row r="114">
          <cell r="A114">
            <v>63</v>
          </cell>
          <cell r="B114"/>
          <cell r="C114" t="str">
            <v>Impacts Arising from the COVID-19 Emergency11</v>
          </cell>
          <cell r="D114">
            <v>1509</v>
          </cell>
          <cell r="E114"/>
          <cell r="F114"/>
          <cell r="G114"/>
          <cell r="H114"/>
          <cell r="I114">
            <v>0</v>
          </cell>
          <cell r="J114"/>
          <cell r="K114"/>
          <cell r="L114"/>
          <cell r="M114"/>
          <cell r="N114">
            <v>0</v>
          </cell>
          <cell r="O114">
            <v>0</v>
          </cell>
          <cell r="P114"/>
          <cell r="Q114"/>
          <cell r="R114"/>
          <cell r="S114">
            <v>0</v>
          </cell>
          <cell r="T114">
            <v>0</v>
          </cell>
          <cell r="U114"/>
          <cell r="V114"/>
          <cell r="W114"/>
          <cell r="X114">
            <v>0</v>
          </cell>
          <cell r="Y114">
            <v>0</v>
          </cell>
          <cell r="Z114"/>
          <cell r="AA114"/>
          <cell r="AB114"/>
          <cell r="AC114">
            <v>0</v>
          </cell>
          <cell r="AD114">
            <v>0</v>
          </cell>
          <cell r="AE114"/>
          <cell r="AF114"/>
          <cell r="AG114"/>
          <cell r="AH114">
            <v>0</v>
          </cell>
          <cell r="AI114">
            <v>0</v>
          </cell>
          <cell r="AJ114"/>
          <cell r="AK114"/>
          <cell r="AL114"/>
          <cell r="AM114">
            <v>0</v>
          </cell>
          <cell r="AN114">
            <v>0</v>
          </cell>
          <cell r="AO114"/>
          <cell r="AP114"/>
          <cell r="AQ114"/>
          <cell r="AR114">
            <v>0</v>
          </cell>
          <cell r="AS114">
            <v>0</v>
          </cell>
          <cell r="AT114"/>
          <cell r="AU114"/>
          <cell r="AV114"/>
          <cell r="AW114">
            <v>0</v>
          </cell>
          <cell r="AX114">
            <v>0</v>
          </cell>
          <cell r="AY114"/>
          <cell r="AZ114"/>
          <cell r="BA114"/>
          <cell r="BB114">
            <v>0</v>
          </cell>
          <cell r="BC114">
            <v>0</v>
          </cell>
          <cell r="BD114"/>
          <cell r="BE114"/>
          <cell r="BF114"/>
          <cell r="BG114">
            <v>0</v>
          </cell>
          <cell r="BH114">
            <v>0</v>
          </cell>
          <cell r="BI114"/>
          <cell r="BJ114"/>
          <cell r="BK114"/>
          <cell r="BL114">
            <v>0</v>
          </cell>
          <cell r="BM114">
            <v>0</v>
          </cell>
          <cell r="BN114"/>
          <cell r="BO114"/>
          <cell r="BP114"/>
          <cell r="BQ114">
            <v>0</v>
          </cell>
          <cell r="BR114">
            <v>0</v>
          </cell>
          <cell r="BS114"/>
          <cell r="BT114"/>
          <cell r="BU114"/>
          <cell r="BV114">
            <v>0</v>
          </cell>
          <cell r="BW114"/>
          <cell r="BX114"/>
          <cell r="BY114">
            <v>0</v>
          </cell>
          <cell r="BZ114">
            <v>0</v>
          </cell>
          <cell r="CA114"/>
          <cell r="CB114"/>
          <cell r="CC114">
            <v>0</v>
          </cell>
          <cell r="CD114">
            <v>0</v>
          </cell>
          <cell r="CE114"/>
          <cell r="CF114"/>
          <cell r="CG114">
            <v>0</v>
          </cell>
          <cell r="CH114">
            <v>0</v>
          </cell>
          <cell r="CI114"/>
          <cell r="CJ114">
            <v>0</v>
          </cell>
          <cell r="CK114">
            <v>0</v>
          </cell>
        </row>
        <row r="115">
          <cell r="CJ115"/>
        </row>
      </sheetData>
      <sheetData sheetId="6">
        <row r="20">
          <cell r="E20" t="str">
            <v>Variance                           RRR vs. 2022 Balance                        (Principal + Interest)</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18.xml"/><Relationship Id="rId12" Type="http://schemas.openxmlformats.org/officeDocument/2006/relationships/ctrlProp" Target="../ctrlProps/ctrlProp23.xml"/><Relationship Id="rId2" Type="http://schemas.openxmlformats.org/officeDocument/2006/relationships/drawing" Target="../drawings/drawing7.xml"/><Relationship Id="rId16" Type="http://schemas.openxmlformats.org/officeDocument/2006/relationships/ctrlProp" Target="../ctrlProps/ctrlProp27.xml"/><Relationship Id="rId1" Type="http://schemas.openxmlformats.org/officeDocument/2006/relationships/printerSettings" Target="../printerSettings/printerSettings10.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5.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dimension ref="A1:B7"/>
  <sheetViews>
    <sheetView workbookViewId="0">
      <selection activeCell="B10" sqref="B10"/>
    </sheetView>
  </sheetViews>
  <sheetFormatPr defaultRowHeight="12.5" x14ac:dyDescent="0.25"/>
  <cols>
    <col min="1" max="1" width="27.26953125" bestFit="1" customWidth="1"/>
  </cols>
  <sheetData>
    <row r="1" spans="1:2" x14ac:dyDescent="0.25">
      <c r="A1" s="575" t="s">
        <v>2945</v>
      </c>
      <c r="B1" s="575" t="s">
        <v>2943</v>
      </c>
    </row>
    <row r="2" spans="1:2" x14ac:dyDescent="0.25">
      <c r="A2" s="575" t="s">
        <v>2944</v>
      </c>
      <c r="B2" s="575" t="s">
        <v>2943</v>
      </c>
    </row>
    <row r="3" spans="1:2" x14ac:dyDescent="0.25">
      <c r="A3" s="575" t="s">
        <v>387</v>
      </c>
      <c r="B3" s="575" t="s">
        <v>2943</v>
      </c>
    </row>
    <row r="4" spans="1:2" x14ac:dyDescent="0.25">
      <c r="A4" s="575" t="s">
        <v>2946</v>
      </c>
      <c r="B4" s="575" t="s">
        <v>2943</v>
      </c>
    </row>
    <row r="5" spans="1:2" x14ac:dyDescent="0.25">
      <c r="A5" s="575" t="s">
        <v>2947</v>
      </c>
      <c r="B5" s="575" t="s">
        <v>2943</v>
      </c>
    </row>
    <row r="6" spans="1:2" x14ac:dyDescent="0.25">
      <c r="A6" s="575" t="s">
        <v>2948</v>
      </c>
      <c r="B6" s="575" t="s">
        <v>2943</v>
      </c>
    </row>
    <row r="7" spans="1:2" x14ac:dyDescent="0.25">
      <c r="A7" s="575"/>
      <c r="B7" s="575"/>
    </row>
  </sheetData>
  <sheetProtection algorithmName="SHA-512" hashValue="vfPr4UJ+zna+o6frCAuFN08Yqdg3HcW1BDkjPeN3Gmy7mWc2wzANcI4HX882MrsCxvZWgjWEnS52Gl8wrCv2GQ==" saltValue="UEdBHcdm8IRxuoZbQwA/2w=="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2E298-7984-4AA9-97D9-37369CB99647}">
  <dimension ref="A1:CV134"/>
  <sheetViews>
    <sheetView zoomScale="50" zoomScaleNormal="50" workbookViewId="0">
      <selection activeCell="A16" sqref="A16"/>
    </sheetView>
  </sheetViews>
  <sheetFormatPr defaultColWidth="9" defaultRowHeight="12.5" x14ac:dyDescent="0.25"/>
  <cols>
    <col min="1" max="1" width="5.1796875" customWidth="1"/>
    <col min="2" max="2" width="26" customWidth="1"/>
    <col min="3" max="3" width="94.26953125" customWidth="1"/>
    <col min="4" max="4" width="11" customWidth="1"/>
    <col min="5" max="5" width="16" style="795" customWidth="1"/>
    <col min="6" max="6" width="23" style="795" customWidth="1"/>
    <col min="7" max="8" width="18.26953125" style="795" customWidth="1"/>
    <col min="9" max="9" width="14.7265625" style="795" customWidth="1"/>
    <col min="10" max="10" width="14" style="795" customWidth="1"/>
    <col min="11" max="13" width="14.81640625" style="795" customWidth="1"/>
    <col min="14" max="14" width="15.26953125" style="795" customWidth="1"/>
    <col min="15" max="15" width="16" style="795" customWidth="1"/>
    <col min="16" max="16" width="23" style="795" customWidth="1"/>
    <col min="17" max="18" width="18.26953125" style="795" customWidth="1"/>
    <col min="19" max="19" width="14.7265625" style="795" customWidth="1"/>
    <col min="20" max="20" width="14" style="795" customWidth="1"/>
    <col min="21" max="23" width="14.81640625" style="795" customWidth="1"/>
    <col min="24" max="24" width="15.26953125" style="795" customWidth="1"/>
    <col min="25" max="25" width="16" style="795" customWidth="1"/>
    <col min="26" max="26" width="23" style="795" customWidth="1"/>
    <col min="27" max="28" width="18.26953125" style="795" customWidth="1"/>
    <col min="29" max="29" width="14.7265625" style="795" customWidth="1"/>
    <col min="30" max="30" width="14" style="795" customWidth="1"/>
    <col min="31" max="33" width="14.81640625" style="795" customWidth="1"/>
    <col min="34" max="34" width="15.26953125" style="795" customWidth="1"/>
    <col min="35" max="35" width="16" style="795" customWidth="1"/>
    <col min="36" max="36" width="19.54296875" style="795" customWidth="1"/>
    <col min="37" max="38" width="18.26953125" style="795" customWidth="1"/>
    <col min="39" max="39" width="14.7265625" style="795" customWidth="1"/>
    <col min="40" max="40" width="14" style="795" customWidth="1"/>
    <col min="41" max="43" width="14.81640625" style="795" customWidth="1"/>
    <col min="44" max="44" width="15.26953125" style="795" customWidth="1"/>
    <col min="45" max="45" width="16" style="795" customWidth="1"/>
    <col min="46" max="46" width="18.54296875" style="795" customWidth="1"/>
    <col min="47" max="48" width="18.26953125" style="795" customWidth="1"/>
    <col min="49" max="49" width="14.7265625" style="795" customWidth="1"/>
    <col min="50" max="50" width="14" style="795" customWidth="1"/>
    <col min="51" max="53" width="14.81640625" style="795" customWidth="1"/>
    <col min="54" max="54" width="15.26953125" style="795" customWidth="1"/>
    <col min="55" max="55" width="16" style="795" customWidth="1"/>
    <col min="56" max="58" width="18.26953125" style="795" customWidth="1"/>
    <col min="59" max="59" width="14.7265625" style="795" customWidth="1"/>
    <col min="60" max="60" width="14" style="795" customWidth="1"/>
    <col min="61" max="63" width="14.81640625" style="795" customWidth="1"/>
    <col min="64" max="78" width="15.26953125" style="795" customWidth="1"/>
    <col min="79" max="80" width="14.81640625" style="795" customWidth="1"/>
    <col min="81" max="81" width="18" style="795" customWidth="1"/>
    <col min="82" max="82" width="17.26953125" style="795" customWidth="1"/>
    <col min="83" max="85" width="26.81640625" style="795" customWidth="1"/>
    <col min="86" max="86" width="47" style="795" customWidth="1"/>
    <col min="87" max="87" width="18.26953125" style="795" customWidth="1"/>
    <col min="88" max="88" width="22.26953125" style="795" bestFit="1" customWidth="1"/>
    <col min="89" max="89" width="19.81640625" style="795" customWidth="1"/>
    <col min="90" max="90" width="9" style="796"/>
    <col min="94" max="94" width="12.54296875" hidden="1" customWidth="1"/>
    <col min="95" max="95" width="9" hidden="1" customWidth="1"/>
    <col min="98" max="98" width="0" hidden="1" customWidth="1"/>
  </cols>
  <sheetData>
    <row r="1" spans="3:98" x14ac:dyDescent="0.25">
      <c r="F1" s="311">
        <v>16</v>
      </c>
      <c r="CE1" s="297"/>
      <c r="CF1" s="297"/>
      <c r="CG1" s="297"/>
      <c r="CH1" s="297"/>
      <c r="CI1" s="297"/>
      <c r="CT1">
        <v>1</v>
      </c>
    </row>
    <row r="2" spans="3:98" x14ac:dyDescent="0.25">
      <c r="CE2" s="297"/>
      <c r="CF2" s="297"/>
      <c r="CG2" s="297"/>
      <c r="CH2" s="297"/>
      <c r="CI2" s="297"/>
      <c r="CT2">
        <v>2</v>
      </c>
    </row>
    <row r="3" spans="3:98" x14ac:dyDescent="0.25">
      <c r="CE3" s="297"/>
      <c r="CF3" s="297"/>
      <c r="CG3" s="297"/>
      <c r="CH3" s="297"/>
      <c r="CI3" s="297"/>
      <c r="CT3">
        <v>3</v>
      </c>
    </row>
    <row r="4" spans="3:98" x14ac:dyDescent="0.25">
      <c r="CE4" s="297"/>
      <c r="CF4" s="297"/>
      <c r="CG4" s="297"/>
      <c r="CH4" s="297"/>
      <c r="CI4" s="297"/>
      <c r="CT4">
        <v>4</v>
      </c>
    </row>
    <row r="5" spans="3:98" x14ac:dyDescent="0.25">
      <c r="CE5" s="297"/>
      <c r="CF5" s="297"/>
      <c r="CG5" s="297"/>
      <c r="CH5" s="297"/>
      <c r="CI5" s="297"/>
      <c r="CT5">
        <v>5</v>
      </c>
    </row>
    <row r="6" spans="3:98" x14ac:dyDescent="0.25">
      <c r="CE6" s="297"/>
      <c r="CF6" s="297"/>
      <c r="CG6" s="297"/>
      <c r="CH6" s="297"/>
      <c r="CI6" s="297"/>
      <c r="CT6">
        <v>6</v>
      </c>
    </row>
    <row r="7" spans="3:98" x14ac:dyDescent="0.25">
      <c r="CE7" s="297"/>
      <c r="CF7" s="297"/>
      <c r="CG7" s="297"/>
      <c r="CH7" s="297"/>
      <c r="CI7" s="297"/>
      <c r="CT7">
        <v>7</v>
      </c>
    </row>
    <row r="8" spans="3:98" x14ac:dyDescent="0.25">
      <c r="CE8" s="297"/>
      <c r="CF8" s="297"/>
      <c r="CG8" s="297"/>
      <c r="CH8" s="297"/>
      <c r="CI8" s="297"/>
      <c r="CT8">
        <v>8</v>
      </c>
    </row>
    <row r="9" spans="3:98" x14ac:dyDescent="0.25">
      <c r="CE9" s="297"/>
      <c r="CF9" s="297"/>
      <c r="CG9" s="297"/>
      <c r="CH9" s="297"/>
      <c r="CI9" s="297"/>
      <c r="CT9">
        <v>9</v>
      </c>
    </row>
    <row r="10" spans="3:98" x14ac:dyDescent="0.25">
      <c r="CE10" s="297"/>
      <c r="CF10" s="297"/>
      <c r="CG10" s="297"/>
      <c r="CH10" s="297"/>
      <c r="CI10" s="297"/>
      <c r="CT10">
        <v>10</v>
      </c>
    </row>
    <row r="11" spans="3:98" x14ac:dyDescent="0.25">
      <c r="CE11" s="297"/>
      <c r="CF11" s="297"/>
      <c r="CG11" s="297"/>
      <c r="CH11" s="297"/>
      <c r="CI11" s="297"/>
      <c r="CP11" s="350" t="b">
        <v>1</v>
      </c>
      <c r="CT11">
        <v>11</v>
      </c>
    </row>
    <row r="12" spans="3:98" x14ac:dyDescent="0.25">
      <c r="CE12" s="297"/>
      <c r="CF12" s="297"/>
      <c r="CG12" s="297"/>
      <c r="CH12" s="297"/>
      <c r="CI12" s="297"/>
      <c r="CP12" s="350" t="b">
        <v>0</v>
      </c>
      <c r="CT12">
        <v>12</v>
      </c>
    </row>
    <row r="13" spans="3:98" x14ac:dyDescent="0.25">
      <c r="CE13" s="297"/>
      <c r="CF13" s="297"/>
      <c r="CG13" s="297"/>
      <c r="CH13" s="297"/>
      <c r="CI13" s="297"/>
      <c r="CT13">
        <v>13</v>
      </c>
    </row>
    <row r="14" spans="3:98" x14ac:dyDescent="0.25">
      <c r="CE14" s="297"/>
      <c r="CF14" s="297"/>
      <c r="CG14" s="297"/>
      <c r="CH14" s="297"/>
      <c r="CI14" s="297"/>
      <c r="CT14">
        <v>14</v>
      </c>
    </row>
    <row r="15" spans="3:98" x14ac:dyDescent="0.25">
      <c r="CE15" s="297"/>
      <c r="CF15" s="297"/>
      <c r="CG15" s="297"/>
      <c r="CH15" s="297"/>
      <c r="CI15" s="297"/>
      <c r="CT15">
        <v>15</v>
      </c>
    </row>
    <row r="16" spans="3:98" ht="62.25" customHeight="1" x14ac:dyDescent="0.35">
      <c r="C16" s="797" t="s">
        <v>2865</v>
      </c>
      <c r="D16" s="797"/>
      <c r="E16" s="797"/>
      <c r="F16" s="797"/>
      <c r="G16" s="797"/>
      <c r="H16" s="797"/>
      <c r="I16" s="797"/>
      <c r="J16" s="797"/>
      <c r="K16" s="797"/>
      <c r="L16" s="797"/>
      <c r="M16" s="797"/>
      <c r="N16" s="797"/>
      <c r="O16" s="797"/>
      <c r="CE16" s="297"/>
      <c r="CF16" s="297"/>
      <c r="CG16" s="297"/>
      <c r="CH16" s="297"/>
      <c r="CI16" s="297"/>
      <c r="CT16">
        <v>16</v>
      </c>
    </row>
    <row r="17" spans="1:100" ht="14.5" x14ac:dyDescent="0.25">
      <c r="E17" s="798"/>
      <c r="CE17" s="297"/>
      <c r="CF17" s="297"/>
      <c r="CG17" s="297"/>
      <c r="CH17" s="297"/>
      <c r="CI17" s="297"/>
    </row>
    <row r="18" spans="1:100" ht="13.5" thickBot="1" x14ac:dyDescent="0.35">
      <c r="C18" s="799"/>
      <c r="CC18" s="800"/>
      <c r="CD18" s="800"/>
      <c r="CE18" s="298"/>
      <c r="CF18" s="298"/>
      <c r="CG18" s="298"/>
      <c r="CH18" s="298"/>
      <c r="CI18" s="298"/>
    </row>
    <row r="19" spans="1:100" ht="29" thickBot="1" x14ac:dyDescent="0.7">
      <c r="C19" s="801"/>
      <c r="D19" s="802"/>
      <c r="E19" s="1156">
        <v>2017</v>
      </c>
      <c r="F19" s="1157"/>
      <c r="G19" s="1157"/>
      <c r="H19" s="1157"/>
      <c r="I19" s="1157"/>
      <c r="J19" s="1157"/>
      <c r="K19" s="1157"/>
      <c r="L19" s="1157"/>
      <c r="M19" s="1157"/>
      <c r="N19" s="1158"/>
      <c r="O19" s="1144">
        <f>E19+1</f>
        <v>2018</v>
      </c>
      <c r="P19" s="1145"/>
      <c r="Q19" s="1145"/>
      <c r="R19" s="1145"/>
      <c r="S19" s="1145"/>
      <c r="T19" s="1145"/>
      <c r="U19" s="1145"/>
      <c r="V19" s="1145"/>
      <c r="W19" s="1145"/>
      <c r="X19" s="1146"/>
      <c r="Y19" s="1144">
        <f>O19+1</f>
        <v>2019</v>
      </c>
      <c r="Z19" s="1145"/>
      <c r="AA19" s="1145"/>
      <c r="AB19" s="1145"/>
      <c r="AC19" s="1145"/>
      <c r="AD19" s="1145"/>
      <c r="AE19" s="1145"/>
      <c r="AF19" s="1145"/>
      <c r="AG19" s="1145"/>
      <c r="AH19" s="1146"/>
      <c r="AI19" s="1144">
        <f>Y19+1</f>
        <v>2020</v>
      </c>
      <c r="AJ19" s="1145"/>
      <c r="AK19" s="1145"/>
      <c r="AL19" s="1145"/>
      <c r="AM19" s="1145"/>
      <c r="AN19" s="1145"/>
      <c r="AO19" s="1145"/>
      <c r="AP19" s="1145"/>
      <c r="AQ19" s="1145"/>
      <c r="AR19" s="1146"/>
      <c r="AS19" s="1144">
        <f>AI19+1</f>
        <v>2021</v>
      </c>
      <c r="AT19" s="1145"/>
      <c r="AU19" s="1145"/>
      <c r="AV19" s="1145"/>
      <c r="AW19" s="1145"/>
      <c r="AX19" s="1145"/>
      <c r="AY19" s="1145"/>
      <c r="AZ19" s="1145"/>
      <c r="BA19" s="1145"/>
      <c r="BB19" s="1146"/>
      <c r="BC19" s="1144">
        <f>AS19+1</f>
        <v>2022</v>
      </c>
      <c r="BD19" s="1145"/>
      <c r="BE19" s="1145"/>
      <c r="BF19" s="1145"/>
      <c r="BG19" s="1145"/>
      <c r="BH19" s="1145"/>
      <c r="BI19" s="1145"/>
      <c r="BJ19" s="1145"/>
      <c r="BK19" s="1145"/>
      <c r="BL19" s="1146"/>
      <c r="BM19" s="1144">
        <f>BC19+1</f>
        <v>2023</v>
      </c>
      <c r="BN19" s="1145"/>
      <c r="BO19" s="1145"/>
      <c r="BP19" s="1145"/>
      <c r="BQ19" s="1145"/>
      <c r="BR19" s="1145"/>
      <c r="BS19" s="1145"/>
      <c r="BT19" s="1145"/>
      <c r="BU19" s="1145"/>
      <c r="BV19" s="1146"/>
      <c r="BW19" s="1144">
        <f>BM19+1</f>
        <v>2024</v>
      </c>
      <c r="BX19" s="1145"/>
      <c r="BY19" s="1145"/>
      <c r="BZ19" s="1146"/>
      <c r="CA19" s="1144">
        <f>BM19+1</f>
        <v>2024</v>
      </c>
      <c r="CB19" s="1145"/>
      <c r="CC19" s="1145"/>
      <c r="CD19" s="1146"/>
      <c r="CE19" s="1147" t="str">
        <f>CONCATENATE("Projected Interest on Dec-31-",RIGHT(BW19,2)," Balances")</f>
        <v>Projected Interest on Dec-31-24 Balances</v>
      </c>
      <c r="CF19" s="1148"/>
      <c r="CG19" s="1148"/>
      <c r="CH19" s="1149"/>
      <c r="CI19" s="803"/>
      <c r="CJ19" s="804" t="s">
        <v>19</v>
      </c>
      <c r="CK19" s="805"/>
    </row>
    <row r="20" spans="1:100" ht="14.25" customHeight="1" thickBot="1" x14ac:dyDescent="0.3">
      <c r="C20" s="1150" t="s">
        <v>16</v>
      </c>
      <c r="D20" s="1152" t="s">
        <v>0</v>
      </c>
      <c r="E20" s="1139" t="str">
        <f>CONCATENATE("Opening Principal Amounts as of Jan-1-",RIGHT(E19,2))</f>
        <v>Opening Principal Amounts as of Jan-1-17</v>
      </c>
      <c r="F20" s="1132" t="str">
        <f>CONCATENATE("Transactions Debit / (Credit) during ",E19)</f>
        <v>Transactions Debit / (Credit) during 2017</v>
      </c>
      <c r="G20" s="1132" t="str">
        <f>CONCATENATE("OEB-Approved Disposition during ",E19)</f>
        <v>OEB-Approved Disposition during 2017</v>
      </c>
      <c r="H20" s="1132" t="str">
        <f>CONCATENATE("Principal Adjustments(1) during ",E19)</f>
        <v>Principal Adjustments(1) during 2017</v>
      </c>
      <c r="I20" s="1132" t="str">
        <f>CONCATENATE("Closing Principal Balance as of Dec-31-",RIGHT(E19,2))</f>
        <v>Closing Principal Balance as of Dec-31-17</v>
      </c>
      <c r="J20" s="1132" t="str">
        <f>CONCATENATE("Opening Interest Amounts as of Jan-1-",RIGHT(E19,2))</f>
        <v>Opening Interest Amounts as of Jan-1-17</v>
      </c>
      <c r="K20" s="1132" t="str">
        <f>CONCATENATE("Interest Jan-1 to Dec-31-",RIGHT(E19,2))</f>
        <v>Interest Jan-1 to Dec-31-17</v>
      </c>
      <c r="L20" s="1132" t="str">
        <f>CONCATENATE("OEB-Approved Disposition during ",E19)</f>
        <v>OEB-Approved Disposition during 2017</v>
      </c>
      <c r="M20" s="1132" t="str">
        <f>CONCATENATE("Interest Adjustments(1) during ",E19)</f>
        <v>Interest Adjustments(1) during 2017</v>
      </c>
      <c r="N20" s="1125" t="str">
        <f>CONCATENATE("Closing Interest Amounts as of Dec-31-",RIGHT(E19,2))</f>
        <v>Closing Interest Amounts as of Dec-31-17</v>
      </c>
      <c r="O20" s="1139" t="str">
        <f>CONCATENATE("Opening Principal Amounts as of Jan-1-",RIGHT(O19,2))</f>
        <v>Opening Principal Amounts as of Jan-1-18</v>
      </c>
      <c r="P20" s="1132" t="str">
        <f>CONCATENATE("Transactions Debit / (Credit) during ",O19)</f>
        <v>Transactions Debit / (Credit) during 2018</v>
      </c>
      <c r="Q20" s="1132" t="str">
        <f>CONCATENATE("OEB-Approved Disposition during ",O19)</f>
        <v>OEB-Approved Disposition during 2018</v>
      </c>
      <c r="R20" s="1132" t="str">
        <f>CONCATENATE("Principal Adjustments(1) during ",O19)</f>
        <v>Principal Adjustments(1) during 2018</v>
      </c>
      <c r="S20" s="1132" t="str">
        <f>CONCATENATE("Closing Principal Balance as of Dec-31-",RIGHT(O19,2))</f>
        <v>Closing Principal Balance as of Dec-31-18</v>
      </c>
      <c r="T20" s="1132" t="str">
        <f>CONCATENATE("Opening Interest Amounts as of Jan-1-",RIGHT(O19,2))</f>
        <v>Opening Interest Amounts as of Jan-1-18</v>
      </c>
      <c r="U20" s="1132" t="str">
        <f>CONCATENATE("Interest Jan-1 to Dec-31-",RIGHT(O19,2))</f>
        <v>Interest Jan-1 to Dec-31-18</v>
      </c>
      <c r="V20" s="1132" t="str">
        <f>CONCATENATE("OEB-Approved Disposition during ",O19)</f>
        <v>OEB-Approved Disposition during 2018</v>
      </c>
      <c r="W20" s="1132" t="str">
        <f>CONCATENATE("Interest Adjustments(1) during ",O19)</f>
        <v>Interest Adjustments(1) during 2018</v>
      </c>
      <c r="X20" s="1125" t="str">
        <f>CONCATENATE("Closing Interest Amounts as of Dec-31-",RIGHT(O19,2))</f>
        <v>Closing Interest Amounts as of Dec-31-18</v>
      </c>
      <c r="Y20" s="1139" t="str">
        <f>CONCATENATE("Opening Principal Amounts as of Jan-1-",RIGHT(Y19,2))</f>
        <v>Opening Principal Amounts as of Jan-1-19</v>
      </c>
      <c r="Z20" s="1132" t="str">
        <f>CONCATENATE("Transactions(1) Debit / (Credit) during ",Y19)</f>
        <v>Transactions(1) Debit / (Credit) during 2019</v>
      </c>
      <c r="AA20" s="1132" t="str">
        <f>CONCATENATE("OEB-Approved Disposition during ",Y19)</f>
        <v>OEB-Approved Disposition during 2019</v>
      </c>
      <c r="AB20" s="1132" t="str">
        <f>CONCATENATE("Principal Adjustments(1) during ",Y19)</f>
        <v>Principal Adjustments(1) during 2019</v>
      </c>
      <c r="AC20" s="1132" t="str">
        <f>CONCATENATE("Closing Principal Balance as of Dec-31-",RIGHT(Y19,2))</f>
        <v>Closing Principal Balance as of Dec-31-19</v>
      </c>
      <c r="AD20" s="1132" t="str">
        <f>CONCATENATE("Opening Interest Amounts as of Jan-1-",RIGHT(Y19,2))</f>
        <v>Opening Interest Amounts as of Jan-1-19</v>
      </c>
      <c r="AE20" s="1132" t="str">
        <f>CONCATENATE("Interest Jan-1 to Dec-31-",RIGHT(Y19,2))</f>
        <v>Interest Jan-1 to Dec-31-19</v>
      </c>
      <c r="AF20" s="1132" t="str">
        <f>CONCATENATE("OEB-Approved Disposition during ",Y19)</f>
        <v>OEB-Approved Disposition during 2019</v>
      </c>
      <c r="AG20" s="1132" t="str">
        <f>CONCATENATE("Interest Adjustments(1) during ",Y19)</f>
        <v>Interest Adjustments(1) during 2019</v>
      </c>
      <c r="AH20" s="1125" t="str">
        <f>CONCATENATE("Closing Interest Amounts as of Dec-31-",RIGHT(Y19,2))</f>
        <v>Closing Interest Amounts as of Dec-31-19</v>
      </c>
      <c r="AI20" s="1139" t="str">
        <f>CONCATENATE("Opening Principal Amounts as of Jan-1-",RIGHT(AI19,2))</f>
        <v>Opening Principal Amounts as of Jan-1-20</v>
      </c>
      <c r="AJ20" s="1132" t="str">
        <f>CONCATENATE("Transactions(1) Debit / (Credit) during ",AI19)</f>
        <v>Transactions(1) Debit / (Credit) during 2020</v>
      </c>
      <c r="AK20" s="1132" t="str">
        <f>CONCATENATE("OEB-Approved Disposition during ",AI19)</f>
        <v>OEB-Approved Disposition during 2020</v>
      </c>
      <c r="AL20" s="1132" t="str">
        <f>CONCATENATE("Principal Adjustments(1) during ",AI19)</f>
        <v>Principal Adjustments(1) during 2020</v>
      </c>
      <c r="AM20" s="1132" t="str">
        <f>CONCATENATE("Closing Principal Balance as of Dec-31-",RIGHT(AI19,2))</f>
        <v>Closing Principal Balance as of Dec-31-20</v>
      </c>
      <c r="AN20" s="1132" t="str">
        <f>CONCATENATE("Opening Interest Amounts as of Jan-1-",RIGHT(AI19,2))</f>
        <v>Opening Interest Amounts as of Jan-1-20</v>
      </c>
      <c r="AO20" s="1132" t="str">
        <f>CONCATENATE("Interest Jan-1 to Dec-31-",RIGHT(AI19,2))</f>
        <v>Interest Jan-1 to Dec-31-20</v>
      </c>
      <c r="AP20" s="1132" t="str">
        <f>CONCATENATE("OEB-Approved Disposition during ",AI19)</f>
        <v>OEB-Approved Disposition during 2020</v>
      </c>
      <c r="AQ20" s="1132" t="str">
        <f>CONCATENATE("Interest Adjustments(1) during ",AI19)</f>
        <v>Interest Adjustments(1) during 2020</v>
      </c>
      <c r="AR20" s="1125" t="str">
        <f>CONCATENATE("Closing Interest Amounts as of Dec-31-",RIGHT(AI19,2))</f>
        <v>Closing Interest Amounts as of Dec-31-20</v>
      </c>
      <c r="AS20" s="1139" t="str">
        <f>CONCATENATE("Opening Principal Amounts as of Jan-1-",RIGHT(AS19,2))</f>
        <v>Opening Principal Amounts as of Jan-1-21</v>
      </c>
      <c r="AT20" s="1132" t="str">
        <f>CONCATENATE("Transactions Debit / (Credit) during ",AS19)</f>
        <v>Transactions Debit / (Credit) during 2021</v>
      </c>
      <c r="AU20" s="1132" t="str">
        <f>CONCATENATE("OEB-Approved Disposition during ",AS19)</f>
        <v>OEB-Approved Disposition during 2021</v>
      </c>
      <c r="AV20" s="1132" t="str">
        <f>CONCATENATE("Principal Adjustments(1) during ",AS19)</f>
        <v>Principal Adjustments(1) during 2021</v>
      </c>
      <c r="AW20" s="1132" t="str">
        <f>CONCATENATE("Closing Principal Balance as of Dec-31-",RIGHT(AS19,2))</f>
        <v>Closing Principal Balance as of Dec-31-21</v>
      </c>
      <c r="AX20" s="1132" t="str">
        <f>CONCATENATE("Opening Interest Amounts as of Jan-1-",RIGHT(AS19,2))</f>
        <v>Opening Interest Amounts as of Jan-1-21</v>
      </c>
      <c r="AY20" s="1132" t="str">
        <f>CONCATENATE("Interest Jan-1 to Dec-31-",RIGHT(AS19,2))</f>
        <v>Interest Jan-1 to Dec-31-21</v>
      </c>
      <c r="AZ20" s="1132" t="str">
        <f>CONCATENATE("OEB-Approved Disposition during ",AS19)</f>
        <v>OEB-Approved Disposition during 2021</v>
      </c>
      <c r="BA20" s="1132" t="str">
        <f>CONCATENATE("Interest Adjustments(1) during ",AS19)</f>
        <v>Interest Adjustments(1) during 2021</v>
      </c>
      <c r="BB20" s="1125" t="str">
        <f>CONCATENATE("Closing Interest Amounts as of Dec-31-",RIGHT(AS19,2))</f>
        <v>Closing Interest Amounts as of Dec-31-21</v>
      </c>
      <c r="BC20" s="1139" t="str">
        <f>CONCATENATE("Opening Principal Amounts as of Jan-1-",RIGHT(BC19,2))</f>
        <v>Opening Principal Amounts as of Jan-1-22</v>
      </c>
      <c r="BD20" s="1132" t="str">
        <f>CONCATENATE("Transactions Debit / (Credit) during ",BC19)</f>
        <v>Transactions Debit / (Credit) during 2022</v>
      </c>
      <c r="BE20" s="1132" t="str">
        <f>CONCATENATE("OEB-Approved Disposition during ",BC19)</f>
        <v>OEB-Approved Disposition during 2022</v>
      </c>
      <c r="BF20" s="1132" t="str">
        <f>CONCATENATE("Principal Adjustments(1) during ",BC19)</f>
        <v>Principal Adjustments(1) during 2022</v>
      </c>
      <c r="BG20" s="1132" t="str">
        <f>CONCATENATE("Closing Principal Balance as of Dec-31-",RIGHT(BC19,2))</f>
        <v>Closing Principal Balance as of Dec-31-22</v>
      </c>
      <c r="BH20" s="1132" t="str">
        <f>CONCATENATE("Opening Interest Amounts as of Jan-1-",RIGHT(BC19,2))</f>
        <v>Opening Interest Amounts as of Jan-1-22</v>
      </c>
      <c r="BI20" s="1132" t="str">
        <f>CONCATENATE("Interest Jan-1 to Dec-31-",RIGHT(BC19,2))</f>
        <v>Interest Jan-1 to Dec-31-22</v>
      </c>
      <c r="BJ20" s="1132" t="str">
        <f>CONCATENATE("OEB-Approved Disposition during ",BC19)</f>
        <v>OEB-Approved Disposition during 2022</v>
      </c>
      <c r="BK20" s="1132" t="str">
        <f>CONCATENATE("Interest Adjustments(1) during ",BC19)</f>
        <v>Interest Adjustments(1) during 2022</v>
      </c>
      <c r="BL20" s="1125" t="str">
        <f>CONCATENATE("Closing Interest Amounts as of Dec-31-",RIGHT(BC19,2))</f>
        <v>Closing Interest Amounts as of Dec-31-22</v>
      </c>
      <c r="BM20" s="1139" t="str">
        <f>CONCATENATE("Opening Principal Amounts as of Jan-1-",RIGHT(BM19,2))</f>
        <v>Opening Principal Amounts as of Jan-1-23</v>
      </c>
      <c r="BN20" s="1132" t="str">
        <f>CONCATENATE("Transactions Debit / (Credit) during ",BM19)</f>
        <v>Transactions Debit / (Credit) during 2023</v>
      </c>
      <c r="BO20" s="1132" t="str">
        <f>CONCATENATE("OEB-Approved Disposition during ",BM19)</f>
        <v>OEB-Approved Disposition during 2023</v>
      </c>
      <c r="BP20" s="1132" t="str">
        <f>CONCATENATE("Principal Adjustments(1) during ",BM19)</f>
        <v>Principal Adjustments(1) during 2023</v>
      </c>
      <c r="BQ20" s="1132" t="str">
        <f>CONCATENATE("Closing Principal Balance as of Dec-31-",RIGHT(BM19,2))</f>
        <v>Closing Principal Balance as of Dec-31-23</v>
      </c>
      <c r="BR20" s="1132" t="str">
        <f>CONCATENATE("Opening Interest Amounts as of Jan-1-",RIGHT(BM19,2))</f>
        <v>Opening Interest Amounts as of Jan-1-23</v>
      </c>
      <c r="BS20" s="1132" t="str">
        <f>CONCATENATE("Interest Jan-1 to Dec-31-",RIGHT(BM19,2))</f>
        <v>Interest Jan-1 to Dec-31-23</v>
      </c>
      <c r="BT20" s="1132" t="str">
        <f>CONCATENATE("OEB-Approved Disposition during ",BM19)</f>
        <v>OEB-Approved Disposition during 2023</v>
      </c>
      <c r="BU20" s="1132" t="str">
        <f>CONCATENATE("Interest Adjustments(1) during ",BM19)</f>
        <v>Interest Adjustments(1) during 2023</v>
      </c>
      <c r="BV20" s="1125" t="str">
        <f>CONCATENATE("Closing Interest Amounts as of Dec-31-",RIGHT(BM19,2))</f>
        <v>Closing Interest Amounts as of Dec-31-23</v>
      </c>
      <c r="BW20" s="1132" t="s">
        <v>3979</v>
      </c>
      <c r="BX20" s="1132" t="s">
        <v>3980</v>
      </c>
      <c r="BY20" s="1132" t="str">
        <f>CONCATENATE("Closing Principal Balances as of Dec 31-",RIGHT(BW19-1,2)," Adjusted for Dispositions during ",BW19)</f>
        <v>Closing Principal Balances as of Dec 31-23 Adjusted for Dispositions during 2024</v>
      </c>
      <c r="BZ20" s="1125" t="str">
        <f>CONCATENATE("Closing Interest Balances as of Dec 31-",RIGHT(BW19-1,2)," Adjusted for Dispositions during ",BW19)</f>
        <v>Closing Interest Balances as of Dec 31-23 Adjusted for Dispositions during 2024</v>
      </c>
      <c r="CA20" s="1132" t="str">
        <f>CONCATENATE("Principal Disposition during ",CA19," - instructed by  OEB")</f>
        <v>Principal Disposition during 2024 - instructed by  OEB</v>
      </c>
      <c r="CB20" s="1132" t="str">
        <f>CONCATENATE("Interest Disposition during ",CA19," - instructed by  OEB")</f>
        <v>Interest Disposition during 2024 - instructed by  OEB</v>
      </c>
      <c r="CC20" s="1132" t="str">
        <f>CONCATENATE("Closing Principal Balances as of Dec 31-",RIGHT(CA19-1,2)," Adjusted for Dispositions during ",CA19)</f>
        <v>Closing Principal Balances as of Dec 31-23 Adjusted for Dispositions during 2024</v>
      </c>
      <c r="CD20" s="1132" t="str">
        <f>CONCATENATE("Closing Interest Balances as of Dec 31-",RIGHT(CA19-1,2)," Adjusted for Dispositions during ",CA19)</f>
        <v>Closing Interest Balances as of Dec 31-23 Adjusted for Dispositions during 2024</v>
      </c>
      <c r="CE20" s="1139" t="str">
        <f>CONCATENATE("Projected Interest  from Jan 1, ",CA19," to December 31, ",CA19," on  Dec 31 -",RIGHT(CA19-1,2)," balance adjusted for disposition during ",CA19," (2)")</f>
        <v>Projected Interest  from Jan 1, 2024 to December 31, 2024 on  Dec 31 -23 balance adjusted for disposition during 2024 (2)</v>
      </c>
      <c r="CF20" s="1132" t="str">
        <f>CONCATENATE("Projected Interest from January 1, ",CA19+1," to April 30, ",CA19+1," on Dec 31 -",RIGHT(BC19,2)," balance adjusted for disposition during ",CA19,"  (2)")</f>
        <v>Projected Interest from January 1, 2025 to April 30, 2025 on Dec 31 -22 balance adjusted for disposition during 2024  (2)</v>
      </c>
      <c r="CG20" s="1132" t="s">
        <v>159</v>
      </c>
      <c r="CH20" s="1125" t="s">
        <v>18</v>
      </c>
      <c r="CI20" s="1128" t="s">
        <v>634</v>
      </c>
      <c r="CJ20" s="1128" t="str">
        <f>CONCATENATE("As of Dec 31-",RIGHT(BC19,2))</f>
        <v>As of Dec 31-22</v>
      </c>
      <c r="CK20" s="1125" t="str">
        <f>CONCATENATE("Variance                           RRR vs. ",BC19," Balance                        (Principal + Interest)")</f>
        <v>Variance                           RRR vs. 2022 Balance                        (Principal + Interest)</v>
      </c>
    </row>
    <row r="21" spans="1:100" ht="24.75" customHeight="1" x14ac:dyDescent="0.25">
      <c r="C21" s="1151"/>
      <c r="D21" s="1153"/>
      <c r="E21" s="1140"/>
      <c r="F21" s="1133"/>
      <c r="G21" s="1135"/>
      <c r="H21" s="1135"/>
      <c r="I21" s="1135"/>
      <c r="J21" s="1133"/>
      <c r="K21" s="1135"/>
      <c r="L21" s="1135"/>
      <c r="M21" s="1135"/>
      <c r="N21" s="1126"/>
      <c r="O21" s="1140"/>
      <c r="P21" s="1133"/>
      <c r="Q21" s="1135"/>
      <c r="R21" s="1135"/>
      <c r="S21" s="1135"/>
      <c r="T21" s="1133"/>
      <c r="U21" s="1135"/>
      <c r="V21" s="1135"/>
      <c r="W21" s="1135"/>
      <c r="X21" s="1126"/>
      <c r="Y21" s="1140"/>
      <c r="Z21" s="1133"/>
      <c r="AA21" s="1135"/>
      <c r="AB21" s="1135"/>
      <c r="AC21" s="1135"/>
      <c r="AD21" s="1133"/>
      <c r="AE21" s="1135"/>
      <c r="AF21" s="1135"/>
      <c r="AG21" s="1135"/>
      <c r="AH21" s="1126"/>
      <c r="AI21" s="1140"/>
      <c r="AJ21" s="1133"/>
      <c r="AK21" s="1135"/>
      <c r="AL21" s="1135"/>
      <c r="AM21" s="1135"/>
      <c r="AN21" s="1133"/>
      <c r="AO21" s="1135"/>
      <c r="AP21" s="1135"/>
      <c r="AQ21" s="1135"/>
      <c r="AR21" s="1126"/>
      <c r="AS21" s="1140"/>
      <c r="AT21" s="1133"/>
      <c r="AU21" s="1135"/>
      <c r="AV21" s="1135"/>
      <c r="AW21" s="1135"/>
      <c r="AX21" s="1133"/>
      <c r="AY21" s="1135"/>
      <c r="AZ21" s="1135"/>
      <c r="BA21" s="1135"/>
      <c r="BB21" s="1126"/>
      <c r="BC21" s="1140"/>
      <c r="BD21" s="1133"/>
      <c r="BE21" s="1135"/>
      <c r="BF21" s="1135"/>
      <c r="BG21" s="1135"/>
      <c r="BH21" s="1133"/>
      <c r="BI21" s="1135"/>
      <c r="BJ21" s="1135"/>
      <c r="BK21" s="1135"/>
      <c r="BL21" s="1126"/>
      <c r="BM21" s="1140"/>
      <c r="BN21" s="1133"/>
      <c r="BO21" s="1135"/>
      <c r="BP21" s="1135"/>
      <c r="BQ21" s="1135"/>
      <c r="BR21" s="1133"/>
      <c r="BS21" s="1135"/>
      <c r="BT21" s="1135"/>
      <c r="BU21" s="1135"/>
      <c r="BV21" s="1126"/>
      <c r="BW21" s="1135"/>
      <c r="BX21" s="1135"/>
      <c r="BY21" s="1135"/>
      <c r="BZ21" s="1170"/>
      <c r="CA21" s="1135"/>
      <c r="CB21" s="1135"/>
      <c r="CC21" s="1135"/>
      <c r="CD21" s="1135"/>
      <c r="CE21" s="1140"/>
      <c r="CF21" s="1133"/>
      <c r="CG21" s="1133"/>
      <c r="CH21" s="1126"/>
      <c r="CI21" s="1129"/>
      <c r="CJ21" s="1129"/>
      <c r="CK21" s="1126"/>
      <c r="CM21" s="1161" t="s">
        <v>3030</v>
      </c>
      <c r="CN21" s="1162"/>
      <c r="CO21" s="1162"/>
      <c r="CP21" s="1162"/>
      <c r="CQ21" s="1162"/>
      <c r="CR21" s="1162"/>
      <c r="CS21" s="1162"/>
      <c r="CT21" s="1162"/>
      <c r="CU21" s="1162"/>
      <c r="CV21" s="1163"/>
    </row>
    <row r="22" spans="1:100" ht="37" customHeight="1" thickBot="1" x14ac:dyDescent="0.3">
      <c r="B22" s="806"/>
      <c r="C22" s="1151"/>
      <c r="D22" s="1153"/>
      <c r="E22" s="1168"/>
      <c r="F22" s="1169"/>
      <c r="G22" s="1167"/>
      <c r="H22" s="1167"/>
      <c r="I22" s="1167"/>
      <c r="J22" s="1169"/>
      <c r="K22" s="1167"/>
      <c r="L22" s="1167"/>
      <c r="M22" s="1167"/>
      <c r="N22" s="1160"/>
      <c r="O22" s="1168"/>
      <c r="P22" s="1169"/>
      <c r="Q22" s="1167"/>
      <c r="R22" s="1167"/>
      <c r="S22" s="1167"/>
      <c r="T22" s="1169"/>
      <c r="U22" s="1167"/>
      <c r="V22" s="1167"/>
      <c r="W22" s="1167"/>
      <c r="X22" s="1160"/>
      <c r="Y22" s="1168"/>
      <c r="Z22" s="1169"/>
      <c r="AA22" s="1167"/>
      <c r="AB22" s="1167"/>
      <c r="AC22" s="1167"/>
      <c r="AD22" s="1169"/>
      <c r="AE22" s="1167"/>
      <c r="AF22" s="1167"/>
      <c r="AG22" s="1167"/>
      <c r="AH22" s="1160"/>
      <c r="AI22" s="1168"/>
      <c r="AJ22" s="1169"/>
      <c r="AK22" s="1167"/>
      <c r="AL22" s="1167"/>
      <c r="AM22" s="1167"/>
      <c r="AN22" s="1169"/>
      <c r="AO22" s="1167"/>
      <c r="AP22" s="1167"/>
      <c r="AQ22" s="1167"/>
      <c r="AR22" s="1160"/>
      <c r="AS22" s="1168"/>
      <c r="AT22" s="1169"/>
      <c r="AU22" s="1167"/>
      <c r="AV22" s="1167"/>
      <c r="AW22" s="1167"/>
      <c r="AX22" s="1169"/>
      <c r="AY22" s="1167"/>
      <c r="AZ22" s="1167"/>
      <c r="BA22" s="1167"/>
      <c r="BB22" s="1160"/>
      <c r="BC22" s="1168"/>
      <c r="BD22" s="1169"/>
      <c r="BE22" s="1167"/>
      <c r="BF22" s="1167"/>
      <c r="BG22" s="1167"/>
      <c r="BH22" s="1169"/>
      <c r="BI22" s="1167"/>
      <c r="BJ22" s="1167"/>
      <c r="BK22" s="1167"/>
      <c r="BL22" s="1160"/>
      <c r="BM22" s="1168"/>
      <c r="BN22" s="1169"/>
      <c r="BO22" s="1167"/>
      <c r="BP22" s="1167"/>
      <c r="BQ22" s="1167"/>
      <c r="BR22" s="1169"/>
      <c r="BS22" s="1167"/>
      <c r="BT22" s="1167"/>
      <c r="BU22" s="1167"/>
      <c r="BV22" s="1160"/>
      <c r="BW22" s="1167"/>
      <c r="BX22" s="1167"/>
      <c r="BY22" s="1167"/>
      <c r="BZ22" s="1171"/>
      <c r="CA22" s="1167"/>
      <c r="CB22" s="1167"/>
      <c r="CC22" s="1167"/>
      <c r="CD22" s="1167"/>
      <c r="CE22" s="1168"/>
      <c r="CF22" s="1169"/>
      <c r="CG22" s="1169" t="s">
        <v>11</v>
      </c>
      <c r="CH22" s="1160" t="s">
        <v>11</v>
      </c>
      <c r="CI22" s="1159"/>
      <c r="CJ22" s="1159"/>
      <c r="CK22" s="1160"/>
      <c r="CM22" s="1164"/>
      <c r="CN22" s="1165"/>
      <c r="CO22" s="1165"/>
      <c r="CP22" s="1165"/>
      <c r="CQ22" s="1165"/>
      <c r="CR22" s="1165"/>
      <c r="CS22" s="1165"/>
      <c r="CT22" s="1165"/>
      <c r="CU22" s="1165"/>
      <c r="CV22" s="1166"/>
    </row>
    <row r="23" spans="1:100" s="819" customFormat="1" ht="33.75" hidden="1" customHeight="1" x14ac:dyDescent="0.3">
      <c r="A23"/>
      <c r="B23" s="807">
        <v>1</v>
      </c>
      <c r="C23" s="808" t="s">
        <v>21</v>
      </c>
      <c r="D23" s="809"/>
      <c r="E23" s="810"/>
      <c r="F23" s="811"/>
      <c r="G23" s="812"/>
      <c r="H23" s="812"/>
      <c r="I23" s="812"/>
      <c r="J23" s="812"/>
      <c r="K23" s="812"/>
      <c r="L23" s="812"/>
      <c r="M23" s="812"/>
      <c r="N23" s="813"/>
      <c r="O23" s="814"/>
      <c r="P23" s="811"/>
      <c r="Q23" s="812"/>
      <c r="R23" s="812"/>
      <c r="S23" s="812"/>
      <c r="T23" s="812"/>
      <c r="U23" s="812"/>
      <c r="V23" s="812"/>
      <c r="W23" s="812"/>
      <c r="X23" s="813"/>
      <c r="Y23" s="814"/>
      <c r="Z23" s="811"/>
      <c r="AA23" s="812"/>
      <c r="AB23" s="812"/>
      <c r="AC23" s="812"/>
      <c r="AD23" s="812"/>
      <c r="AE23" s="812"/>
      <c r="AF23" s="812"/>
      <c r="AG23" s="812"/>
      <c r="AH23" s="813"/>
      <c r="AI23" s="814"/>
      <c r="AJ23" s="811"/>
      <c r="AK23" s="812"/>
      <c r="AL23" s="812"/>
      <c r="AM23" s="812"/>
      <c r="AN23" s="812"/>
      <c r="AO23" s="812"/>
      <c r="AP23" s="812"/>
      <c r="AQ23" s="812"/>
      <c r="AR23" s="813"/>
      <c r="AS23" s="814"/>
      <c r="AT23" s="811"/>
      <c r="AU23" s="812"/>
      <c r="AV23" s="812"/>
      <c r="AW23" s="812"/>
      <c r="AX23" s="812"/>
      <c r="AY23" s="812"/>
      <c r="AZ23" s="812"/>
      <c r="BA23" s="812"/>
      <c r="BB23" s="813"/>
      <c r="BC23" s="814"/>
      <c r="BD23" s="811"/>
      <c r="BE23" s="812"/>
      <c r="BF23" s="812"/>
      <c r="BG23" s="812"/>
      <c r="BH23" s="812"/>
      <c r="BI23" s="812"/>
      <c r="BJ23" s="812"/>
      <c r="BK23" s="812"/>
      <c r="BL23" s="813"/>
      <c r="BM23" s="814"/>
      <c r="BN23" s="811"/>
      <c r="BO23" s="812"/>
      <c r="BP23" s="812"/>
      <c r="BQ23" s="812"/>
      <c r="BR23" s="812"/>
      <c r="BS23" s="812"/>
      <c r="BT23" s="812"/>
      <c r="BU23" s="812"/>
      <c r="BV23" s="813"/>
      <c r="BW23" s="816"/>
      <c r="BX23" s="817"/>
      <c r="BY23" s="812"/>
      <c r="BZ23" s="818"/>
      <c r="CA23" s="816"/>
      <c r="CB23" s="817"/>
      <c r="CC23" s="812"/>
      <c r="CD23" s="818"/>
      <c r="CH23" s="820"/>
      <c r="CI23" s="820"/>
      <c r="CJ23" s="889"/>
      <c r="CK23" s="821"/>
      <c r="CL23" s="822"/>
    </row>
    <row r="24" spans="1:100" s="819" customFormat="1" ht="15" hidden="1" customHeight="1" x14ac:dyDescent="0.3">
      <c r="A24">
        <v>1</v>
      </c>
      <c r="B24" s="807">
        <v>2</v>
      </c>
      <c r="C24" s="709" t="s">
        <v>23</v>
      </c>
      <c r="D24" s="823">
        <v>1550</v>
      </c>
      <c r="F24" s="890"/>
      <c r="G24" s="835"/>
      <c r="H24" s="832"/>
      <c r="I24" s="811">
        <f>E24+F24-G24+H24</f>
        <v>0</v>
      </c>
      <c r="J24" s="891"/>
      <c r="K24" s="892"/>
      <c r="L24" s="832"/>
      <c r="M24" s="832"/>
      <c r="N24" s="829">
        <f>J24+K24-L24+M24</f>
        <v>0</v>
      </c>
      <c r="O24" s="830">
        <f>I24</f>
        <v>0</v>
      </c>
      <c r="P24" s="832"/>
      <c r="Q24" s="832"/>
      <c r="R24" s="832"/>
      <c r="S24" s="811">
        <f>O24+P24-Q24+R24</f>
        <v>0</v>
      </c>
      <c r="T24" s="831">
        <f>N24</f>
        <v>0</v>
      </c>
      <c r="U24" s="832"/>
      <c r="V24" s="832"/>
      <c r="W24" s="832"/>
      <c r="X24" s="829">
        <f>T24+U24-V24+W24</f>
        <v>0</v>
      </c>
      <c r="Y24" s="830">
        <f t="shared" ref="Y24:Y39" si="0">S24</f>
        <v>0</v>
      </c>
      <c r="Z24" s="832"/>
      <c r="AA24" s="832"/>
      <c r="AB24" s="832"/>
      <c r="AC24" s="811">
        <f>Y24+Z24-AA24+AB24</f>
        <v>0</v>
      </c>
      <c r="AD24" s="831">
        <f t="shared" ref="AD24:AD35" si="1">X24</f>
        <v>0</v>
      </c>
      <c r="AE24" s="832"/>
      <c r="AF24" s="832"/>
      <c r="AG24" s="832"/>
      <c r="AH24" s="829">
        <f>AD24+AE24-AF24+AG24</f>
        <v>0</v>
      </c>
      <c r="AI24" s="830">
        <f t="shared" ref="AI24:AI39" si="2">AC24</f>
        <v>0</v>
      </c>
      <c r="AJ24" s="832"/>
      <c r="AK24" s="832"/>
      <c r="AL24" s="832"/>
      <c r="AM24" s="811">
        <f>AI24+AJ24-AK24+SUM(AL24:AL24)</f>
        <v>0</v>
      </c>
      <c r="AN24" s="831">
        <f t="shared" ref="AN24:AN39" si="3">AH24</f>
        <v>0</v>
      </c>
      <c r="AO24" s="832"/>
      <c r="AP24" s="832"/>
      <c r="AQ24" s="832"/>
      <c r="AR24" s="829">
        <f>AN24+AO24-AP24+AQ24</f>
        <v>0</v>
      </c>
      <c r="AS24" s="830">
        <f t="shared" ref="AS24:AS39" si="4">AM24</f>
        <v>0</v>
      </c>
      <c r="AT24" s="832"/>
      <c r="AU24" s="832"/>
      <c r="AV24" s="832"/>
      <c r="AW24" s="811">
        <f>AS24+AT24-AU24+AV24</f>
        <v>0</v>
      </c>
      <c r="AX24" s="831">
        <f t="shared" ref="AX24:AX39" si="5">AR24</f>
        <v>0</v>
      </c>
      <c r="AY24" s="832"/>
      <c r="AZ24" s="832"/>
      <c r="BA24" s="832"/>
      <c r="BB24" s="829">
        <f>AX24+AY24-AZ24+BA24</f>
        <v>0</v>
      </c>
      <c r="BC24" s="830">
        <f t="shared" ref="BC24:BC39" si="6">AW24</f>
        <v>0</v>
      </c>
      <c r="BD24" s="832"/>
      <c r="BE24" s="832"/>
      <c r="BF24" s="832"/>
      <c r="BG24" s="811">
        <f>BC24+BD24-BE24+SUM(BF24:BF24)</f>
        <v>0</v>
      </c>
      <c r="BH24" s="831">
        <f t="shared" ref="BH24:BH39" si="7">BB24</f>
        <v>0</v>
      </c>
      <c r="BI24" s="832"/>
      <c r="BJ24" s="832"/>
      <c r="BK24" s="832"/>
      <c r="BL24" s="829">
        <f>BH24+BI24-BJ24+BK24</f>
        <v>0</v>
      </c>
      <c r="BM24" s="830">
        <f t="shared" ref="BM24:BM39" si="8">BG24</f>
        <v>0</v>
      </c>
      <c r="BN24" s="832"/>
      <c r="BO24" s="832"/>
      <c r="BP24" s="832"/>
      <c r="BQ24" s="811">
        <f>BM24+BN24-BO24+SUM(BP24:BP24)</f>
        <v>0</v>
      </c>
      <c r="BR24" s="831">
        <f t="shared" ref="BR24:BR39" si="9">BL24</f>
        <v>0</v>
      </c>
      <c r="BS24" s="832"/>
      <c r="BT24" s="832"/>
      <c r="BU24" s="832"/>
      <c r="BV24" s="829"/>
      <c r="BW24" s="833"/>
      <c r="BX24" s="832"/>
      <c r="BY24" s="831">
        <f>BC24-BW24</f>
        <v>0</v>
      </c>
      <c r="BZ24" s="834">
        <f>BH24-BX24</f>
        <v>0</v>
      </c>
      <c r="CA24" s="833"/>
      <c r="CB24" s="832"/>
      <c r="CC24" s="831">
        <f>BG24-CA24</f>
        <v>0</v>
      </c>
      <c r="CD24" s="834">
        <f>BL24-CB24</f>
        <v>0</v>
      </c>
      <c r="CE24" s="835"/>
      <c r="CF24" s="832"/>
      <c r="CG24" s="836">
        <f t="shared" ref="CG24:CG38" si="10">CD24+CE24+CF24</f>
        <v>0</v>
      </c>
      <c r="CH24" s="820">
        <f>SUM(CC24:CF24)</f>
        <v>0</v>
      </c>
      <c r="CI24" s="820"/>
      <c r="CJ24" s="893"/>
      <c r="CK24" s="838">
        <f>CJ24-SUM(BG24,BL24)</f>
        <v>0</v>
      </c>
      <c r="CL24" s="822"/>
    </row>
    <row r="25" spans="1:100" s="819" customFormat="1" ht="14.5" hidden="1" thickBot="1" x14ac:dyDescent="0.35">
      <c r="A25">
        <v>2</v>
      </c>
      <c r="B25" s="807">
        <v>3</v>
      </c>
      <c r="C25" s="709" t="s">
        <v>131</v>
      </c>
      <c r="D25" s="823">
        <v>1551</v>
      </c>
      <c r="E25" s="894"/>
      <c r="F25" s="205"/>
      <c r="G25" s="832"/>
      <c r="H25" s="832"/>
      <c r="I25" s="811"/>
      <c r="J25" s="895"/>
      <c r="K25" s="832"/>
      <c r="L25" s="832"/>
      <c r="M25" s="832"/>
      <c r="N25" s="829"/>
      <c r="O25" s="830"/>
      <c r="P25" s="832"/>
      <c r="Q25" s="832"/>
      <c r="R25" s="832"/>
      <c r="S25" s="811"/>
      <c r="T25" s="896"/>
      <c r="U25" s="832"/>
      <c r="V25" s="832"/>
      <c r="W25" s="832"/>
      <c r="X25" s="829"/>
      <c r="Y25" s="830">
        <f t="shared" si="0"/>
        <v>0</v>
      </c>
      <c r="Z25" s="832"/>
      <c r="AA25" s="832"/>
      <c r="AB25" s="832"/>
      <c r="AC25" s="811">
        <f>Y25+Z25-AA25+AB25</f>
        <v>0</v>
      </c>
      <c r="AD25" s="831">
        <f t="shared" si="1"/>
        <v>0</v>
      </c>
      <c r="AE25" s="832"/>
      <c r="AF25" s="832"/>
      <c r="AG25" s="832"/>
      <c r="AH25" s="829">
        <f>AD25+AE25-AF25+AG25</f>
        <v>0</v>
      </c>
      <c r="AI25" s="830">
        <f>AC25</f>
        <v>0</v>
      </c>
      <c r="AJ25" s="832"/>
      <c r="AK25" s="832"/>
      <c r="AL25" s="832"/>
      <c r="AM25" s="811">
        <f t="shared" ref="AM25:AM39" si="11">AI25+AJ25-AK25+SUM(AL25:AL25)</f>
        <v>0</v>
      </c>
      <c r="AN25" s="831">
        <f t="shared" si="3"/>
        <v>0</v>
      </c>
      <c r="AO25" s="832"/>
      <c r="AP25" s="205"/>
      <c r="AQ25" s="154"/>
      <c r="AR25" s="829">
        <f>AN25+AO25-AP25+AQ25</f>
        <v>0</v>
      </c>
      <c r="AS25" s="830">
        <f t="shared" si="4"/>
        <v>0</v>
      </c>
      <c r="AT25" s="832"/>
      <c r="AU25" s="832"/>
      <c r="AV25" s="832"/>
      <c r="AW25" s="811">
        <f>AS25+AT25-AU25+AV25</f>
        <v>0</v>
      </c>
      <c r="AX25" s="831">
        <f t="shared" si="5"/>
        <v>0</v>
      </c>
      <c r="AY25" s="832"/>
      <c r="AZ25" s="205"/>
      <c r="BA25" s="154"/>
      <c r="BB25" s="829">
        <f>AX25+AY25-AZ25+BA25</f>
        <v>0</v>
      </c>
      <c r="BC25" s="830">
        <f t="shared" si="6"/>
        <v>0</v>
      </c>
      <c r="BD25" s="832"/>
      <c r="BE25" s="832"/>
      <c r="BF25" s="832"/>
      <c r="BG25" s="811">
        <f t="shared" ref="BG25:BG39" si="12">BC25+BD25-BE25+SUM(BF25:BF25)</f>
        <v>0</v>
      </c>
      <c r="BH25" s="831">
        <f t="shared" si="7"/>
        <v>0</v>
      </c>
      <c r="BI25" s="832"/>
      <c r="BJ25" s="205"/>
      <c r="BK25" s="154"/>
      <c r="BL25" s="829">
        <f>BH25+BI25-BJ25+BK25</f>
        <v>0</v>
      </c>
      <c r="BM25" s="830">
        <f t="shared" si="8"/>
        <v>0</v>
      </c>
      <c r="BN25" s="832"/>
      <c r="BO25" s="832"/>
      <c r="BP25" s="832"/>
      <c r="BQ25" s="811">
        <f>BM25+BN25-BO25+SUM(BP25:BP25)</f>
        <v>0</v>
      </c>
      <c r="BR25" s="831">
        <f t="shared" si="9"/>
        <v>0</v>
      </c>
      <c r="BS25" s="832"/>
      <c r="BT25" s="205"/>
      <c r="BU25" s="154"/>
      <c r="BV25" s="829"/>
      <c r="BW25" s="833"/>
      <c r="BX25" s="832"/>
      <c r="BY25" s="831">
        <f t="shared" ref="BY25:BY39" si="13">BC25-BW25</f>
        <v>0</v>
      </c>
      <c r="BZ25" s="834">
        <f t="shared" ref="BZ25:BZ39" si="14">BH25-BX25</f>
        <v>0</v>
      </c>
      <c r="CA25" s="833"/>
      <c r="CB25" s="832"/>
      <c r="CC25" s="831">
        <f t="shared" ref="CC25:CC39" si="15">BG25-CA25</f>
        <v>0</v>
      </c>
      <c r="CD25" s="834">
        <f t="shared" ref="CD25:CD39" si="16">BL25-CB25</f>
        <v>0</v>
      </c>
      <c r="CE25" s="835"/>
      <c r="CF25" s="832"/>
      <c r="CG25" s="836">
        <f t="shared" si="10"/>
        <v>0</v>
      </c>
      <c r="CH25" s="820">
        <f>SUM(CC25:CF25)</f>
        <v>0</v>
      </c>
      <c r="CI25" s="820"/>
      <c r="CJ25" s="893"/>
      <c r="CK25" s="838">
        <f t="shared" ref="CK25:CK45" si="17">CJ25-SUM(BG25,BL25)</f>
        <v>0</v>
      </c>
      <c r="CL25" s="822"/>
    </row>
    <row r="26" spans="1:100" s="819" customFormat="1" ht="17" hidden="1" thickBot="1" x14ac:dyDescent="0.35">
      <c r="A26">
        <v>3</v>
      </c>
      <c r="B26" s="807">
        <v>4</v>
      </c>
      <c r="C26" s="709" t="s">
        <v>403</v>
      </c>
      <c r="D26" s="823">
        <v>1580</v>
      </c>
      <c r="E26" s="897"/>
      <c r="F26" s="898"/>
      <c r="G26" s="832"/>
      <c r="H26" s="832"/>
      <c r="I26" s="811">
        <f>E26+F26-G26+H26</f>
        <v>0</v>
      </c>
      <c r="J26" s="891"/>
      <c r="K26" s="892"/>
      <c r="L26" s="832"/>
      <c r="M26" s="832"/>
      <c r="N26" s="829">
        <f>J26+K26-L26+M26</f>
        <v>0</v>
      </c>
      <c r="O26" s="830">
        <f t="shared" ref="O26:O40" si="18">I26</f>
        <v>0</v>
      </c>
      <c r="P26" s="899"/>
      <c r="Q26" s="832"/>
      <c r="R26" s="832"/>
      <c r="S26" s="811">
        <f>O26+P26-Q26+R26</f>
        <v>0</v>
      </c>
      <c r="T26" s="831">
        <f t="shared" ref="T26:T40" si="19">N26</f>
        <v>0</v>
      </c>
      <c r="U26" s="900"/>
      <c r="V26" s="832"/>
      <c r="W26" s="832"/>
      <c r="X26" s="829">
        <f t="shared" ref="X26:X40" si="20">T26+U26-V26+W26</f>
        <v>0</v>
      </c>
      <c r="Y26" s="830">
        <f t="shared" si="0"/>
        <v>0</v>
      </c>
      <c r="Z26" s="832"/>
      <c r="AA26" s="832"/>
      <c r="AB26" s="832"/>
      <c r="AC26" s="811">
        <f>Y26+Z26-AA26+AB26</f>
        <v>0</v>
      </c>
      <c r="AD26" s="831">
        <f t="shared" si="1"/>
        <v>0</v>
      </c>
      <c r="AE26" s="832"/>
      <c r="AF26" s="832"/>
      <c r="AG26" s="832"/>
      <c r="AH26" s="829">
        <f t="shared" ref="AH26:AH40" si="21">AD26+AE26-AF26+AG26</f>
        <v>0</v>
      </c>
      <c r="AI26" s="830">
        <f t="shared" si="2"/>
        <v>0</v>
      </c>
      <c r="AJ26" s="832"/>
      <c r="AK26" s="832"/>
      <c r="AL26" s="832"/>
      <c r="AM26" s="811">
        <f t="shared" si="11"/>
        <v>0</v>
      </c>
      <c r="AN26" s="831">
        <f t="shared" si="3"/>
        <v>0</v>
      </c>
      <c r="AO26" s="832"/>
      <c r="AP26" s="832"/>
      <c r="AQ26" s="832"/>
      <c r="AR26" s="829">
        <f t="shared" ref="AR26:AR40" si="22">AN26+AO26-AP26+AQ26</f>
        <v>0</v>
      </c>
      <c r="AS26" s="830">
        <f t="shared" si="4"/>
        <v>0</v>
      </c>
      <c r="AT26" s="832"/>
      <c r="AU26" s="832"/>
      <c r="AV26" s="832"/>
      <c r="AW26" s="811">
        <f>AS26+AT26-AU26+AV26</f>
        <v>0</v>
      </c>
      <c r="AX26" s="831">
        <f t="shared" si="5"/>
        <v>0</v>
      </c>
      <c r="AY26" s="832"/>
      <c r="AZ26" s="832"/>
      <c r="BA26" s="832"/>
      <c r="BB26" s="829">
        <f t="shared" ref="BB26:BB40" si="23">AX26+AY26-AZ26+BA26</f>
        <v>0</v>
      </c>
      <c r="BC26" s="830">
        <f t="shared" si="6"/>
        <v>0</v>
      </c>
      <c r="BD26" s="832"/>
      <c r="BE26" s="832"/>
      <c r="BF26" s="832"/>
      <c r="BG26" s="811">
        <f t="shared" si="12"/>
        <v>0</v>
      </c>
      <c r="BH26" s="831">
        <f t="shared" si="7"/>
        <v>0</v>
      </c>
      <c r="BI26" s="832"/>
      <c r="BJ26" s="832"/>
      <c r="BK26" s="832"/>
      <c r="BL26" s="829">
        <f t="shared" ref="BL26:BL40" si="24">BH26+BI26-BJ26+BK26</f>
        <v>0</v>
      </c>
      <c r="BM26" s="830">
        <f t="shared" si="8"/>
        <v>0</v>
      </c>
      <c r="BN26" s="832"/>
      <c r="BO26" s="832"/>
      <c r="BP26" s="832"/>
      <c r="BQ26" s="811">
        <f>BM26+BN26-BO26+SUM(BP26:BP26)</f>
        <v>0</v>
      </c>
      <c r="BR26" s="831">
        <f t="shared" si="9"/>
        <v>0</v>
      </c>
      <c r="BS26" s="832"/>
      <c r="BT26" s="832"/>
      <c r="BU26" s="832"/>
      <c r="BV26" s="829"/>
      <c r="BW26" s="833"/>
      <c r="BX26" s="832"/>
      <c r="BY26" s="831">
        <f t="shared" si="13"/>
        <v>0</v>
      </c>
      <c r="BZ26" s="834">
        <f t="shared" si="14"/>
        <v>0</v>
      </c>
      <c r="CA26" s="833"/>
      <c r="CB26" s="832"/>
      <c r="CC26" s="831">
        <f t="shared" si="15"/>
        <v>0</v>
      </c>
      <c r="CD26" s="834">
        <f t="shared" si="16"/>
        <v>0</v>
      </c>
      <c r="CE26" s="835"/>
      <c r="CF26" s="832"/>
      <c r="CG26" s="836">
        <f t="shared" si="10"/>
        <v>0</v>
      </c>
      <c r="CH26" s="820">
        <f>SUM(CC26:CF26)</f>
        <v>0</v>
      </c>
      <c r="CI26" s="820"/>
      <c r="CJ26" s="893"/>
      <c r="CK26" s="838">
        <f t="shared" si="17"/>
        <v>0</v>
      </c>
      <c r="CL26" s="822"/>
    </row>
    <row r="27" spans="1:100" s="819" customFormat="1" ht="17" hidden="1" thickBot="1" x14ac:dyDescent="0.35">
      <c r="A27">
        <v>3.1</v>
      </c>
      <c r="B27" s="807">
        <v>5</v>
      </c>
      <c r="C27" s="709" t="s">
        <v>404</v>
      </c>
      <c r="D27" s="823">
        <v>1580</v>
      </c>
      <c r="E27" s="894"/>
      <c r="F27" s="832"/>
      <c r="G27" s="832"/>
      <c r="H27" s="832"/>
      <c r="I27" s="811"/>
      <c r="J27" s="895"/>
      <c r="K27" s="832"/>
      <c r="L27" s="832"/>
      <c r="M27" s="832"/>
      <c r="N27" s="829"/>
      <c r="O27" s="901"/>
      <c r="P27" s="832"/>
      <c r="Q27" s="832"/>
      <c r="R27" s="832"/>
      <c r="S27" s="811"/>
      <c r="T27" s="896"/>
      <c r="U27" s="832"/>
      <c r="V27" s="832"/>
      <c r="W27" s="832"/>
      <c r="X27" s="829"/>
      <c r="Y27" s="901"/>
      <c r="Z27" s="832"/>
      <c r="AA27" s="832"/>
      <c r="AB27" s="832"/>
      <c r="AC27" s="811"/>
      <c r="AD27" s="896"/>
      <c r="AE27" s="832"/>
      <c r="AF27" s="832"/>
      <c r="AG27" s="832"/>
      <c r="AH27" s="829"/>
      <c r="AI27" s="901"/>
      <c r="AJ27" s="832"/>
      <c r="AK27" s="832"/>
      <c r="AL27" s="832"/>
      <c r="AM27" s="811"/>
      <c r="AN27" s="896"/>
      <c r="AO27" s="832"/>
      <c r="AP27" s="832"/>
      <c r="AQ27" s="832"/>
      <c r="AR27" s="829"/>
      <c r="AS27" s="830">
        <f t="shared" si="4"/>
        <v>0</v>
      </c>
      <c r="AT27" s="832"/>
      <c r="AU27" s="832"/>
      <c r="AV27" s="832"/>
      <c r="AW27" s="811">
        <f>AS27+AT27-AU27+AV27</f>
        <v>0</v>
      </c>
      <c r="AX27" s="831">
        <f t="shared" si="5"/>
        <v>0</v>
      </c>
      <c r="AY27" s="832"/>
      <c r="AZ27" s="832"/>
      <c r="BA27" s="832"/>
      <c r="BB27" s="829">
        <f t="shared" si="23"/>
        <v>0</v>
      </c>
      <c r="BC27" s="830">
        <f t="shared" si="6"/>
        <v>0</v>
      </c>
      <c r="BD27" s="832"/>
      <c r="BE27" s="832"/>
      <c r="BF27" s="832"/>
      <c r="BG27" s="811">
        <f t="shared" si="12"/>
        <v>0</v>
      </c>
      <c r="BH27" s="831">
        <f t="shared" si="7"/>
        <v>0</v>
      </c>
      <c r="BI27" s="832"/>
      <c r="BJ27" s="832"/>
      <c r="BK27" s="832"/>
      <c r="BL27" s="829">
        <f t="shared" si="24"/>
        <v>0</v>
      </c>
      <c r="BM27" s="830">
        <f t="shared" si="8"/>
        <v>0</v>
      </c>
      <c r="BN27" s="832"/>
      <c r="BO27" s="832"/>
      <c r="BP27" s="832"/>
      <c r="BQ27" s="811">
        <f>BM27+BN27-BO27+SUM(BP27:BP27)</f>
        <v>0</v>
      </c>
      <c r="BR27" s="831">
        <f t="shared" si="9"/>
        <v>0</v>
      </c>
      <c r="BS27" s="832"/>
      <c r="BT27" s="832"/>
      <c r="BU27" s="832"/>
      <c r="BV27" s="829">
        <v>0</v>
      </c>
      <c r="BW27" s="833"/>
      <c r="BX27" s="832"/>
      <c r="BY27" s="831">
        <f t="shared" si="13"/>
        <v>0</v>
      </c>
      <c r="BZ27" s="834">
        <f t="shared" si="14"/>
        <v>0</v>
      </c>
      <c r="CA27" s="833"/>
      <c r="CB27" s="832"/>
      <c r="CC27" s="831">
        <f t="shared" si="15"/>
        <v>0</v>
      </c>
      <c r="CD27" s="834">
        <f t="shared" si="16"/>
        <v>0</v>
      </c>
      <c r="CE27" s="835"/>
      <c r="CF27" s="832"/>
      <c r="CG27" s="836">
        <f t="shared" si="10"/>
        <v>0</v>
      </c>
      <c r="CH27" s="820">
        <v>0</v>
      </c>
      <c r="CI27" s="820"/>
      <c r="CJ27" s="893">
        <v>0</v>
      </c>
      <c r="CK27" s="838">
        <f>CJ27-SUM(BG27,BL27)</f>
        <v>0</v>
      </c>
      <c r="CL27" s="822"/>
      <c r="CP27" s="575" t="s">
        <v>161</v>
      </c>
      <c r="CQ27" s="299" t="b">
        <v>1</v>
      </c>
    </row>
    <row r="28" spans="1:100" s="819" customFormat="1" ht="17" hidden="1" thickBot="1" x14ac:dyDescent="0.35">
      <c r="A28">
        <v>3.2</v>
      </c>
      <c r="B28" s="807">
        <v>6</v>
      </c>
      <c r="C28" s="709" t="s">
        <v>405</v>
      </c>
      <c r="D28" s="823">
        <v>1580</v>
      </c>
      <c r="E28" s="901"/>
      <c r="F28" s="832"/>
      <c r="G28" s="832"/>
      <c r="H28" s="832"/>
      <c r="I28" s="811"/>
      <c r="J28" s="895"/>
      <c r="K28" s="832"/>
      <c r="L28" s="832"/>
      <c r="M28" s="832"/>
      <c r="N28" s="829"/>
      <c r="O28" s="901"/>
      <c r="P28" s="832"/>
      <c r="Q28" s="832"/>
      <c r="R28" s="832"/>
      <c r="S28" s="811"/>
      <c r="T28" s="896"/>
      <c r="U28" s="832"/>
      <c r="V28" s="832"/>
      <c r="W28" s="832"/>
      <c r="X28" s="829"/>
      <c r="Y28" s="901"/>
      <c r="Z28" s="832"/>
      <c r="AA28" s="832"/>
      <c r="AB28" s="832"/>
      <c r="AC28" s="811"/>
      <c r="AD28" s="896"/>
      <c r="AE28" s="832"/>
      <c r="AF28" s="832"/>
      <c r="AG28" s="832"/>
      <c r="AH28" s="829"/>
      <c r="AI28" s="901"/>
      <c r="AJ28" s="832"/>
      <c r="AK28" s="832"/>
      <c r="AL28" s="832"/>
      <c r="AM28" s="811"/>
      <c r="AN28" s="896"/>
      <c r="AO28" s="832"/>
      <c r="AP28" s="832"/>
      <c r="AQ28" s="832"/>
      <c r="AR28" s="829"/>
      <c r="AS28" s="830">
        <f t="shared" si="4"/>
        <v>0</v>
      </c>
      <c r="AT28" s="832"/>
      <c r="AU28" s="832"/>
      <c r="AV28" s="832"/>
      <c r="AW28" s="811">
        <f>AS28+AT28-AU28+AV28</f>
        <v>0</v>
      </c>
      <c r="AX28" s="831">
        <f t="shared" si="5"/>
        <v>0</v>
      </c>
      <c r="AY28" s="832"/>
      <c r="AZ28" s="832"/>
      <c r="BA28" s="832"/>
      <c r="BB28" s="829">
        <f t="shared" si="23"/>
        <v>0</v>
      </c>
      <c r="BC28" s="830">
        <f t="shared" si="6"/>
        <v>0</v>
      </c>
      <c r="BD28" s="832"/>
      <c r="BE28" s="832"/>
      <c r="BF28" s="832"/>
      <c r="BG28" s="811">
        <f t="shared" si="12"/>
        <v>0</v>
      </c>
      <c r="BH28" s="831">
        <f t="shared" si="7"/>
        <v>0</v>
      </c>
      <c r="BI28" s="832"/>
      <c r="BJ28" s="832"/>
      <c r="BK28" s="832"/>
      <c r="BL28" s="829">
        <f t="shared" si="24"/>
        <v>0</v>
      </c>
      <c r="BM28" s="830">
        <f t="shared" si="8"/>
        <v>0</v>
      </c>
      <c r="BN28" s="832"/>
      <c r="BO28" s="832"/>
      <c r="BP28" s="832"/>
      <c r="BQ28" s="811">
        <f>BM28+BN28-BO28+SUM(BP28:BP28)</f>
        <v>0</v>
      </c>
      <c r="BR28" s="831">
        <f t="shared" si="9"/>
        <v>0</v>
      </c>
      <c r="BS28" s="832"/>
      <c r="BT28" s="832"/>
      <c r="BU28" s="832"/>
      <c r="BV28" s="829">
        <v>0</v>
      </c>
      <c r="BW28" s="833"/>
      <c r="BX28" s="832"/>
      <c r="BY28" s="831">
        <f t="shared" si="13"/>
        <v>0</v>
      </c>
      <c r="BZ28" s="834">
        <f t="shared" si="14"/>
        <v>0</v>
      </c>
      <c r="CA28" s="833"/>
      <c r="CB28" s="832"/>
      <c r="CC28" s="831">
        <f t="shared" si="15"/>
        <v>0</v>
      </c>
      <c r="CD28" s="834">
        <f t="shared" si="16"/>
        <v>0</v>
      </c>
      <c r="CE28" s="835"/>
      <c r="CF28" s="832"/>
      <c r="CG28" s="836">
        <f t="shared" si="10"/>
        <v>0</v>
      </c>
      <c r="CH28" s="820">
        <f>IF(CQ28=TRUE, SUM(CC28:CF28), 0)</f>
        <v>0</v>
      </c>
      <c r="CI28" s="820"/>
      <c r="CJ28" s="893">
        <v>0</v>
      </c>
      <c r="CK28" s="838">
        <f>CJ28-SUM(BG28,BL28)</f>
        <v>0</v>
      </c>
      <c r="CL28" s="822"/>
      <c r="CP28" s="575" t="s">
        <v>162</v>
      </c>
      <c r="CQ28" s="300" t="b">
        <v>1</v>
      </c>
    </row>
    <row r="29" spans="1:100" s="819" customFormat="1" ht="14.5" hidden="1" thickBot="1" x14ac:dyDescent="0.35">
      <c r="A29">
        <v>4</v>
      </c>
      <c r="B29" s="807">
        <v>7</v>
      </c>
      <c r="C29" s="709" t="s">
        <v>2</v>
      </c>
      <c r="D29" s="823">
        <v>1584</v>
      </c>
      <c r="E29" s="897"/>
      <c r="F29" s="898"/>
      <c r="G29" s="832"/>
      <c r="H29" s="832"/>
      <c r="I29" s="811">
        <f t="shared" ref="I29:I39" si="25">E29+F29-G29+H29</f>
        <v>0</v>
      </c>
      <c r="J29" s="891"/>
      <c r="K29" s="892"/>
      <c r="L29" s="832"/>
      <c r="M29" s="832"/>
      <c r="N29" s="829">
        <f t="shared" ref="N29:N39" si="26">J29+K29-L29+M29</f>
        <v>0</v>
      </c>
      <c r="O29" s="830">
        <f t="shared" si="18"/>
        <v>0</v>
      </c>
      <c r="P29" s="902"/>
      <c r="Q29" s="832"/>
      <c r="R29" s="832"/>
      <c r="S29" s="811">
        <f>O29+P29-Q29+R29</f>
        <v>0</v>
      </c>
      <c r="T29" s="831">
        <f t="shared" si="19"/>
        <v>0</v>
      </c>
      <c r="U29" s="900"/>
      <c r="V29" s="832"/>
      <c r="W29" s="832"/>
      <c r="X29" s="829">
        <f t="shared" si="20"/>
        <v>0</v>
      </c>
      <c r="Y29" s="830">
        <f t="shared" si="0"/>
        <v>0</v>
      </c>
      <c r="Z29" s="832"/>
      <c r="AA29" s="832"/>
      <c r="AB29" s="832"/>
      <c r="AC29" s="811">
        <f>Y29+Z29-AA29+AB29</f>
        <v>0</v>
      </c>
      <c r="AD29" s="831">
        <f t="shared" si="1"/>
        <v>0</v>
      </c>
      <c r="AE29" s="832"/>
      <c r="AF29" s="832"/>
      <c r="AG29" s="832"/>
      <c r="AH29" s="829">
        <f t="shared" si="21"/>
        <v>0</v>
      </c>
      <c r="AI29" s="830">
        <f t="shared" si="2"/>
        <v>0</v>
      </c>
      <c r="AJ29" s="832"/>
      <c r="AK29" s="832"/>
      <c r="AL29" s="832"/>
      <c r="AM29" s="811">
        <f t="shared" si="11"/>
        <v>0</v>
      </c>
      <c r="AN29" s="831">
        <f t="shared" si="3"/>
        <v>0</v>
      </c>
      <c r="AO29" s="832"/>
      <c r="AP29" s="832"/>
      <c r="AQ29" s="832"/>
      <c r="AR29" s="829">
        <f t="shared" si="22"/>
        <v>0</v>
      </c>
      <c r="AS29" s="830">
        <f t="shared" si="4"/>
        <v>0</v>
      </c>
      <c r="AT29" s="832"/>
      <c r="AU29" s="832"/>
      <c r="AV29" s="832"/>
      <c r="AW29" s="811">
        <f t="shared" ref="AW29:AW40" si="27">AS29+AT29-AU29+AV29</f>
        <v>0</v>
      </c>
      <c r="AX29" s="831">
        <f t="shared" si="5"/>
        <v>0</v>
      </c>
      <c r="AY29" s="832"/>
      <c r="AZ29" s="832"/>
      <c r="BA29" s="832"/>
      <c r="BB29" s="829">
        <f t="shared" si="23"/>
        <v>0</v>
      </c>
      <c r="BC29" s="830">
        <f t="shared" si="6"/>
        <v>0</v>
      </c>
      <c r="BD29" s="832"/>
      <c r="BE29" s="832"/>
      <c r="BF29" s="832"/>
      <c r="BG29" s="811">
        <f t="shared" ref="BG29:BG35" si="28">BC29+BD29-BE29+SUM(BF29:BF29)</f>
        <v>0</v>
      </c>
      <c r="BH29" s="831">
        <f t="shared" si="7"/>
        <v>0</v>
      </c>
      <c r="BI29" s="832"/>
      <c r="BJ29" s="832"/>
      <c r="BK29" s="832"/>
      <c r="BL29" s="829">
        <f t="shared" si="24"/>
        <v>0</v>
      </c>
      <c r="BM29" s="830">
        <f t="shared" si="8"/>
        <v>0</v>
      </c>
      <c r="BN29" s="832"/>
      <c r="BO29" s="832"/>
      <c r="BP29" s="832"/>
      <c r="BQ29" s="811">
        <f t="shared" ref="BQ29:BQ35" si="29">BM29+BN29-BO29+SUM(BP29:BP29)</f>
        <v>0</v>
      </c>
      <c r="BR29" s="831">
        <f t="shared" si="9"/>
        <v>0</v>
      </c>
      <c r="BS29" s="832"/>
      <c r="BT29" s="832"/>
      <c r="BU29" s="832"/>
      <c r="BV29" s="829"/>
      <c r="BW29" s="833"/>
      <c r="BX29" s="832"/>
      <c r="BY29" s="831">
        <f t="shared" si="13"/>
        <v>0</v>
      </c>
      <c r="BZ29" s="834">
        <f t="shared" si="14"/>
        <v>0</v>
      </c>
      <c r="CA29" s="833"/>
      <c r="CB29" s="832"/>
      <c r="CC29" s="831">
        <f t="shared" si="15"/>
        <v>0</v>
      </c>
      <c r="CD29" s="834">
        <f t="shared" si="16"/>
        <v>0</v>
      </c>
      <c r="CE29" s="835"/>
      <c r="CF29" s="832"/>
      <c r="CG29" s="836">
        <f t="shared" si="10"/>
        <v>0</v>
      </c>
      <c r="CH29" s="820">
        <f>SUM(CC29:CF29)</f>
        <v>0</v>
      </c>
      <c r="CI29" s="820"/>
      <c r="CJ29" s="893"/>
      <c r="CK29" s="838">
        <f t="shared" si="17"/>
        <v>0</v>
      </c>
      <c r="CL29" s="822"/>
      <c r="CQ29" s="300"/>
    </row>
    <row r="30" spans="1:100" s="819" customFormat="1" ht="14.5" hidden="1" thickBot="1" x14ac:dyDescent="0.35">
      <c r="A30">
        <v>5</v>
      </c>
      <c r="B30" s="807">
        <v>8</v>
      </c>
      <c r="C30" s="709" t="s">
        <v>3</v>
      </c>
      <c r="D30" s="823">
        <v>1586</v>
      </c>
      <c r="E30" s="897"/>
      <c r="F30" s="898"/>
      <c r="G30" s="832"/>
      <c r="H30" s="832"/>
      <c r="I30" s="811">
        <f t="shared" si="25"/>
        <v>0</v>
      </c>
      <c r="J30" s="891"/>
      <c r="K30" s="892"/>
      <c r="L30" s="832"/>
      <c r="M30" s="832"/>
      <c r="N30" s="829">
        <f t="shared" si="26"/>
        <v>0</v>
      </c>
      <c r="O30" s="830">
        <f t="shared" si="18"/>
        <v>0</v>
      </c>
      <c r="P30" s="902"/>
      <c r="Q30" s="832"/>
      <c r="R30" s="832"/>
      <c r="S30" s="811">
        <f t="shared" ref="S30:S40" si="30">O30+P30-Q30+R30</f>
        <v>0</v>
      </c>
      <c r="T30" s="831">
        <f t="shared" si="19"/>
        <v>0</v>
      </c>
      <c r="U30" s="900"/>
      <c r="V30" s="832"/>
      <c r="W30" s="832"/>
      <c r="X30" s="829">
        <f t="shared" si="20"/>
        <v>0</v>
      </c>
      <c r="Y30" s="830">
        <f t="shared" si="0"/>
        <v>0</v>
      </c>
      <c r="Z30" s="832"/>
      <c r="AA30" s="832"/>
      <c r="AB30" s="832"/>
      <c r="AC30" s="811">
        <f t="shared" ref="AC30:AC40" si="31">Y30+Z30-AA30+AB30</f>
        <v>0</v>
      </c>
      <c r="AD30" s="831">
        <f t="shared" si="1"/>
        <v>0</v>
      </c>
      <c r="AE30" s="832"/>
      <c r="AF30" s="832"/>
      <c r="AG30" s="832"/>
      <c r="AH30" s="829">
        <f t="shared" si="21"/>
        <v>0</v>
      </c>
      <c r="AI30" s="830">
        <f t="shared" si="2"/>
        <v>0</v>
      </c>
      <c r="AJ30" s="832"/>
      <c r="AK30" s="832"/>
      <c r="AL30" s="832"/>
      <c r="AM30" s="811">
        <f t="shared" si="11"/>
        <v>0</v>
      </c>
      <c r="AN30" s="831">
        <f t="shared" si="3"/>
        <v>0</v>
      </c>
      <c r="AO30" s="832"/>
      <c r="AP30" s="832"/>
      <c r="AQ30" s="832"/>
      <c r="AR30" s="829">
        <f t="shared" si="22"/>
        <v>0</v>
      </c>
      <c r="AS30" s="830">
        <f t="shared" si="4"/>
        <v>0</v>
      </c>
      <c r="AT30" s="832"/>
      <c r="AU30" s="832"/>
      <c r="AV30" s="832"/>
      <c r="AW30" s="811">
        <f t="shared" si="27"/>
        <v>0</v>
      </c>
      <c r="AX30" s="831">
        <f t="shared" si="5"/>
        <v>0</v>
      </c>
      <c r="AY30" s="832"/>
      <c r="AZ30" s="832"/>
      <c r="BA30" s="832"/>
      <c r="BB30" s="829">
        <f t="shared" si="23"/>
        <v>0</v>
      </c>
      <c r="BC30" s="830">
        <f t="shared" si="6"/>
        <v>0</v>
      </c>
      <c r="BD30" s="832"/>
      <c r="BE30" s="832"/>
      <c r="BF30" s="832"/>
      <c r="BG30" s="811">
        <f t="shared" si="28"/>
        <v>0</v>
      </c>
      <c r="BH30" s="831">
        <f t="shared" si="7"/>
        <v>0</v>
      </c>
      <c r="BI30" s="832"/>
      <c r="BJ30" s="832"/>
      <c r="BK30" s="832"/>
      <c r="BL30" s="829">
        <f t="shared" si="24"/>
        <v>0</v>
      </c>
      <c r="BM30" s="830">
        <f t="shared" si="8"/>
        <v>0</v>
      </c>
      <c r="BN30" s="832"/>
      <c r="BO30" s="832"/>
      <c r="BP30" s="832"/>
      <c r="BQ30" s="811">
        <f t="shared" si="29"/>
        <v>0</v>
      </c>
      <c r="BR30" s="831">
        <f t="shared" si="9"/>
        <v>0</v>
      </c>
      <c r="BS30" s="832"/>
      <c r="BT30" s="832"/>
      <c r="BU30" s="832"/>
      <c r="BV30" s="829"/>
      <c r="BW30" s="833"/>
      <c r="BX30" s="832"/>
      <c r="BY30" s="831">
        <f t="shared" si="13"/>
        <v>0</v>
      </c>
      <c r="BZ30" s="834">
        <f t="shared" si="14"/>
        <v>0</v>
      </c>
      <c r="CA30" s="833"/>
      <c r="CB30" s="832"/>
      <c r="CC30" s="831">
        <f t="shared" si="15"/>
        <v>0</v>
      </c>
      <c r="CD30" s="834">
        <f t="shared" si="16"/>
        <v>0</v>
      </c>
      <c r="CE30" s="835"/>
      <c r="CF30" s="832"/>
      <c r="CG30" s="836">
        <f t="shared" si="10"/>
        <v>0</v>
      </c>
      <c r="CH30" s="820">
        <f>SUM(CC30:CF30)</f>
        <v>0</v>
      </c>
      <c r="CI30" s="820"/>
      <c r="CJ30" s="893"/>
      <c r="CK30" s="838">
        <f t="shared" si="17"/>
        <v>0</v>
      </c>
      <c r="CL30" s="822"/>
      <c r="CQ30" s="300"/>
    </row>
    <row r="31" spans="1:100" s="819" customFormat="1" ht="17" hidden="1" thickBot="1" x14ac:dyDescent="0.35">
      <c r="A31">
        <v>6</v>
      </c>
      <c r="B31" s="807">
        <v>9</v>
      </c>
      <c r="C31" s="709" t="s">
        <v>415</v>
      </c>
      <c r="D31" s="823">
        <v>1588</v>
      </c>
      <c r="E31" s="903"/>
      <c r="F31" s="898"/>
      <c r="G31" s="832"/>
      <c r="H31" s="832"/>
      <c r="I31" s="811">
        <f t="shared" si="25"/>
        <v>0</v>
      </c>
      <c r="J31" s="832"/>
      <c r="K31" s="832"/>
      <c r="L31" s="832"/>
      <c r="M31" s="832"/>
      <c r="N31" s="829">
        <f t="shared" si="26"/>
        <v>0</v>
      </c>
      <c r="O31" s="830">
        <f t="shared" si="18"/>
        <v>0</v>
      </c>
      <c r="P31" s="832"/>
      <c r="Q31" s="832"/>
      <c r="R31" s="832"/>
      <c r="S31" s="811">
        <f t="shared" si="30"/>
        <v>0</v>
      </c>
      <c r="T31" s="831">
        <f t="shared" si="19"/>
        <v>0</v>
      </c>
      <c r="U31" s="832"/>
      <c r="V31" s="832"/>
      <c r="W31" s="832"/>
      <c r="X31" s="829">
        <f t="shared" si="20"/>
        <v>0</v>
      </c>
      <c r="Y31" s="830">
        <f t="shared" si="0"/>
        <v>0</v>
      </c>
      <c r="Z31" s="832"/>
      <c r="AA31" s="832"/>
      <c r="AB31" s="832"/>
      <c r="AC31" s="811">
        <f t="shared" si="31"/>
        <v>0</v>
      </c>
      <c r="AD31" s="831">
        <f t="shared" si="1"/>
        <v>0</v>
      </c>
      <c r="AE31" s="832"/>
      <c r="AF31" s="832"/>
      <c r="AG31" s="832"/>
      <c r="AH31" s="829">
        <f t="shared" si="21"/>
        <v>0</v>
      </c>
      <c r="AI31" s="830">
        <f t="shared" si="2"/>
        <v>0</v>
      </c>
      <c r="AJ31" s="832"/>
      <c r="AK31" s="832"/>
      <c r="AL31" s="832"/>
      <c r="AM31" s="811">
        <f t="shared" si="11"/>
        <v>0</v>
      </c>
      <c r="AN31" s="831">
        <f t="shared" si="3"/>
        <v>0</v>
      </c>
      <c r="AO31" s="832"/>
      <c r="AP31" s="832"/>
      <c r="AQ31" s="832"/>
      <c r="AR31" s="829">
        <f t="shared" si="22"/>
        <v>0</v>
      </c>
      <c r="AS31" s="830">
        <f t="shared" si="4"/>
        <v>0</v>
      </c>
      <c r="AT31" s="832"/>
      <c r="AU31" s="832"/>
      <c r="AV31" s="832"/>
      <c r="AW31" s="811">
        <f t="shared" si="27"/>
        <v>0</v>
      </c>
      <c r="AX31" s="831">
        <f t="shared" si="5"/>
        <v>0</v>
      </c>
      <c r="AY31" s="832"/>
      <c r="AZ31" s="832"/>
      <c r="BA31" s="832"/>
      <c r="BB31" s="829">
        <f t="shared" si="23"/>
        <v>0</v>
      </c>
      <c r="BC31" s="830">
        <f t="shared" si="6"/>
        <v>0</v>
      </c>
      <c r="BD31" s="832"/>
      <c r="BE31" s="832"/>
      <c r="BF31" s="832"/>
      <c r="BG31" s="811">
        <f t="shared" si="28"/>
        <v>0</v>
      </c>
      <c r="BH31" s="831">
        <f t="shared" si="7"/>
        <v>0</v>
      </c>
      <c r="BI31" s="832"/>
      <c r="BJ31" s="832"/>
      <c r="BK31" s="832"/>
      <c r="BL31" s="829">
        <f t="shared" si="24"/>
        <v>0</v>
      </c>
      <c r="BM31" s="830">
        <f t="shared" si="8"/>
        <v>0</v>
      </c>
      <c r="BN31" s="832"/>
      <c r="BO31" s="832"/>
      <c r="BP31" s="832"/>
      <c r="BQ31" s="811">
        <f t="shared" si="29"/>
        <v>0</v>
      </c>
      <c r="BR31" s="831">
        <f t="shared" si="9"/>
        <v>0</v>
      </c>
      <c r="BS31" s="832"/>
      <c r="BT31" s="832"/>
      <c r="BU31" s="832"/>
      <c r="BV31" s="829"/>
      <c r="BW31" s="833"/>
      <c r="BX31" s="832"/>
      <c r="BY31" s="831">
        <f t="shared" si="13"/>
        <v>0</v>
      </c>
      <c r="BZ31" s="834">
        <f t="shared" si="14"/>
        <v>0</v>
      </c>
      <c r="CA31" s="833"/>
      <c r="CB31" s="832"/>
      <c r="CC31" s="831">
        <f t="shared" si="15"/>
        <v>0</v>
      </c>
      <c r="CD31" s="834">
        <f t="shared" si="16"/>
        <v>0</v>
      </c>
      <c r="CE31" s="835"/>
      <c r="CF31" s="832"/>
      <c r="CG31" s="836">
        <f t="shared" si="10"/>
        <v>0</v>
      </c>
      <c r="CH31" s="820">
        <f>SUM(CC31:CF31)</f>
        <v>0</v>
      </c>
      <c r="CI31" s="820"/>
      <c r="CJ31" s="893"/>
      <c r="CK31" s="838">
        <f t="shared" si="17"/>
        <v>0</v>
      </c>
      <c r="CL31" s="822"/>
      <c r="CQ31" s="300"/>
    </row>
    <row r="32" spans="1:100" s="819" customFormat="1" ht="17" hidden="1" thickBot="1" x14ac:dyDescent="0.35">
      <c r="A32">
        <v>7</v>
      </c>
      <c r="B32" s="807">
        <v>10</v>
      </c>
      <c r="C32" s="709" t="s">
        <v>416</v>
      </c>
      <c r="D32" s="823">
        <v>1589</v>
      </c>
      <c r="E32" s="897"/>
      <c r="F32" s="898"/>
      <c r="G32" s="832"/>
      <c r="H32" s="832"/>
      <c r="I32" s="811">
        <f t="shared" si="25"/>
        <v>0</v>
      </c>
      <c r="J32" s="904"/>
      <c r="K32" s="905"/>
      <c r="L32" s="832"/>
      <c r="M32" s="832"/>
      <c r="N32" s="829">
        <f t="shared" si="26"/>
        <v>0</v>
      </c>
      <c r="O32" s="830">
        <f t="shared" si="18"/>
        <v>0</v>
      </c>
      <c r="P32" s="906"/>
      <c r="Q32" s="832"/>
      <c r="R32" s="832"/>
      <c r="S32" s="811">
        <f t="shared" si="30"/>
        <v>0</v>
      </c>
      <c r="T32" s="831">
        <f t="shared" si="19"/>
        <v>0</v>
      </c>
      <c r="U32" s="907"/>
      <c r="V32" s="832"/>
      <c r="W32" s="832"/>
      <c r="X32" s="829">
        <f t="shared" si="20"/>
        <v>0</v>
      </c>
      <c r="Y32" s="830">
        <f t="shared" si="0"/>
        <v>0</v>
      </c>
      <c r="Z32" s="832"/>
      <c r="AA32" s="832"/>
      <c r="AB32" s="832"/>
      <c r="AC32" s="811">
        <f t="shared" si="31"/>
        <v>0</v>
      </c>
      <c r="AD32" s="831">
        <f t="shared" si="1"/>
        <v>0</v>
      </c>
      <c r="AE32" s="832"/>
      <c r="AF32" s="832"/>
      <c r="AG32" s="832"/>
      <c r="AH32" s="829">
        <f t="shared" si="21"/>
        <v>0</v>
      </c>
      <c r="AI32" s="830">
        <f t="shared" si="2"/>
        <v>0</v>
      </c>
      <c r="AJ32" s="832"/>
      <c r="AK32" s="832"/>
      <c r="AL32" s="832"/>
      <c r="AM32" s="811">
        <f t="shared" si="11"/>
        <v>0</v>
      </c>
      <c r="AN32" s="831">
        <f t="shared" si="3"/>
        <v>0</v>
      </c>
      <c r="AO32" s="832"/>
      <c r="AP32" s="832"/>
      <c r="AQ32" s="832"/>
      <c r="AR32" s="829">
        <f t="shared" si="22"/>
        <v>0</v>
      </c>
      <c r="AS32" s="830">
        <f t="shared" si="4"/>
        <v>0</v>
      </c>
      <c r="AT32" s="832"/>
      <c r="AU32" s="832"/>
      <c r="AV32" s="832"/>
      <c r="AW32" s="811">
        <f t="shared" si="27"/>
        <v>0</v>
      </c>
      <c r="AX32" s="831">
        <f t="shared" si="5"/>
        <v>0</v>
      </c>
      <c r="AY32" s="832"/>
      <c r="AZ32" s="832"/>
      <c r="BA32" s="832"/>
      <c r="BB32" s="829">
        <f t="shared" si="23"/>
        <v>0</v>
      </c>
      <c r="BC32" s="830">
        <f t="shared" si="6"/>
        <v>0</v>
      </c>
      <c r="BD32" s="832"/>
      <c r="BE32" s="832"/>
      <c r="BF32" s="832"/>
      <c r="BG32" s="811">
        <f t="shared" si="28"/>
        <v>0</v>
      </c>
      <c r="BH32" s="831">
        <f t="shared" si="7"/>
        <v>0</v>
      </c>
      <c r="BI32" s="832"/>
      <c r="BJ32" s="832"/>
      <c r="BK32" s="832"/>
      <c r="BL32" s="829">
        <f t="shared" si="24"/>
        <v>0</v>
      </c>
      <c r="BM32" s="830">
        <f t="shared" si="8"/>
        <v>0</v>
      </c>
      <c r="BN32" s="832"/>
      <c r="BO32" s="832"/>
      <c r="BP32" s="832"/>
      <c r="BQ32" s="811">
        <f t="shared" si="29"/>
        <v>0</v>
      </c>
      <c r="BR32" s="831">
        <f t="shared" si="9"/>
        <v>0</v>
      </c>
      <c r="BS32" s="832"/>
      <c r="BT32" s="832"/>
      <c r="BU32" s="832"/>
      <c r="BV32" s="829"/>
      <c r="BW32" s="833"/>
      <c r="BX32" s="832"/>
      <c r="BY32" s="831">
        <f t="shared" si="13"/>
        <v>0</v>
      </c>
      <c r="BZ32" s="834">
        <f t="shared" si="14"/>
        <v>0</v>
      </c>
      <c r="CA32" s="833"/>
      <c r="CB32" s="832"/>
      <c r="CC32" s="831">
        <f t="shared" si="15"/>
        <v>0</v>
      </c>
      <c r="CD32" s="834">
        <f t="shared" si="16"/>
        <v>0</v>
      </c>
      <c r="CE32" s="835"/>
      <c r="CF32" s="832"/>
      <c r="CG32" s="836">
        <f t="shared" si="10"/>
        <v>0</v>
      </c>
      <c r="CH32" s="820">
        <f>SUM(CC32:CF32)</f>
        <v>0</v>
      </c>
      <c r="CI32" s="820"/>
      <c r="CJ32" s="893"/>
      <c r="CK32" s="838">
        <f t="shared" si="17"/>
        <v>0</v>
      </c>
      <c r="CL32" s="822"/>
      <c r="CQ32" s="300"/>
    </row>
    <row r="33" spans="1:95" s="819" customFormat="1" ht="17" hidden="1" thickBot="1" x14ac:dyDescent="0.35">
      <c r="A33">
        <v>8</v>
      </c>
      <c r="B33" s="807">
        <v>11</v>
      </c>
      <c r="C33" s="859" t="s">
        <v>36</v>
      </c>
      <c r="D33" s="823">
        <v>1595</v>
      </c>
      <c r="E33" s="903"/>
      <c r="F33" s="898"/>
      <c r="G33" s="832"/>
      <c r="H33" s="832"/>
      <c r="I33" s="811">
        <f t="shared" si="25"/>
        <v>0</v>
      </c>
      <c r="J33" s="832"/>
      <c r="K33" s="832"/>
      <c r="L33" s="832"/>
      <c r="M33" s="832"/>
      <c r="N33" s="829">
        <f t="shared" si="26"/>
        <v>0</v>
      </c>
      <c r="O33" s="830">
        <f>I33</f>
        <v>0</v>
      </c>
      <c r="P33" s="860"/>
      <c r="Q33" s="832"/>
      <c r="R33" s="832"/>
      <c r="S33" s="811">
        <f t="shared" si="30"/>
        <v>0</v>
      </c>
      <c r="T33" s="831">
        <f>N33</f>
        <v>0</v>
      </c>
      <c r="U33" s="832"/>
      <c r="V33" s="832"/>
      <c r="W33" s="832"/>
      <c r="X33" s="829">
        <f t="shared" si="20"/>
        <v>0</v>
      </c>
      <c r="Y33" s="830">
        <f t="shared" si="0"/>
        <v>0</v>
      </c>
      <c r="Z33" s="832"/>
      <c r="AA33" s="832"/>
      <c r="AB33" s="832"/>
      <c r="AC33" s="811">
        <f t="shared" si="31"/>
        <v>0</v>
      </c>
      <c r="AD33" s="831">
        <f t="shared" si="1"/>
        <v>0</v>
      </c>
      <c r="AE33" s="832"/>
      <c r="AF33" s="832"/>
      <c r="AG33" s="832"/>
      <c r="AH33" s="829">
        <f t="shared" si="21"/>
        <v>0</v>
      </c>
      <c r="AI33" s="830">
        <f t="shared" si="2"/>
        <v>0</v>
      </c>
      <c r="AJ33" s="832"/>
      <c r="AK33" s="832"/>
      <c r="AL33" s="832"/>
      <c r="AM33" s="811">
        <f t="shared" si="11"/>
        <v>0</v>
      </c>
      <c r="AN33" s="831">
        <f t="shared" si="3"/>
        <v>0</v>
      </c>
      <c r="AO33" s="832"/>
      <c r="AP33" s="832"/>
      <c r="AQ33" s="832"/>
      <c r="AR33" s="829">
        <f t="shared" si="22"/>
        <v>0</v>
      </c>
      <c r="AS33" s="830">
        <f t="shared" si="4"/>
        <v>0</v>
      </c>
      <c r="AT33" s="832"/>
      <c r="AU33" s="832"/>
      <c r="AV33" s="832"/>
      <c r="AW33" s="811">
        <f t="shared" si="27"/>
        <v>0</v>
      </c>
      <c r="AX33" s="831">
        <f t="shared" si="5"/>
        <v>0</v>
      </c>
      <c r="AY33" s="832"/>
      <c r="AZ33" s="832"/>
      <c r="BA33" s="832"/>
      <c r="BB33" s="829">
        <f t="shared" si="23"/>
        <v>0</v>
      </c>
      <c r="BC33" s="830">
        <f t="shared" si="6"/>
        <v>0</v>
      </c>
      <c r="BD33" s="832"/>
      <c r="BE33" s="832"/>
      <c r="BF33" s="832"/>
      <c r="BG33" s="811">
        <f t="shared" si="28"/>
        <v>0</v>
      </c>
      <c r="BH33" s="831">
        <f t="shared" si="7"/>
        <v>0</v>
      </c>
      <c r="BI33" s="832"/>
      <c r="BJ33" s="832"/>
      <c r="BK33" s="832"/>
      <c r="BL33" s="829">
        <f t="shared" si="24"/>
        <v>0</v>
      </c>
      <c r="BM33" s="830">
        <f t="shared" si="8"/>
        <v>0</v>
      </c>
      <c r="BN33" s="832"/>
      <c r="BO33" s="832"/>
      <c r="BP33" s="832"/>
      <c r="BQ33" s="811">
        <f t="shared" si="29"/>
        <v>0</v>
      </c>
      <c r="BR33" s="831">
        <f t="shared" si="9"/>
        <v>0</v>
      </c>
      <c r="BS33" s="832"/>
      <c r="BT33" s="832"/>
      <c r="BU33" s="832"/>
      <c r="BV33" s="829"/>
      <c r="BW33" s="833"/>
      <c r="BX33" s="832"/>
      <c r="BY33" s="831">
        <f t="shared" si="13"/>
        <v>0</v>
      </c>
      <c r="BZ33" s="834">
        <f t="shared" si="14"/>
        <v>0</v>
      </c>
      <c r="CA33" s="833"/>
      <c r="CB33" s="832"/>
      <c r="CC33" s="831">
        <f t="shared" si="15"/>
        <v>0</v>
      </c>
      <c r="CD33" s="834">
        <f t="shared" si="16"/>
        <v>0</v>
      </c>
      <c r="CE33" s="835"/>
      <c r="CF33" s="832"/>
      <c r="CG33" s="836">
        <f t="shared" si="10"/>
        <v>0</v>
      </c>
      <c r="CH33" s="820">
        <f t="shared" ref="CH33:CH39" si="32">IF(CQ33=TRUE, SUM(CC33:CF33), 0)</f>
        <v>0</v>
      </c>
      <c r="CI33" s="820"/>
      <c r="CJ33" s="893"/>
      <c r="CK33" s="838">
        <f t="shared" si="17"/>
        <v>0</v>
      </c>
      <c r="CL33" s="822"/>
      <c r="CP33" s="862" t="s">
        <v>163</v>
      </c>
      <c r="CQ33" s="300" t="b">
        <v>0</v>
      </c>
    </row>
    <row r="34" spans="1:95" s="819" customFormat="1" ht="17" hidden="1" thickBot="1" x14ac:dyDescent="0.35">
      <c r="A34">
        <v>9</v>
      </c>
      <c r="B34" s="807">
        <v>12</v>
      </c>
      <c r="C34" s="859" t="s">
        <v>37</v>
      </c>
      <c r="D34" s="823">
        <v>1595</v>
      </c>
      <c r="E34" s="903"/>
      <c r="F34" s="832"/>
      <c r="G34" s="832"/>
      <c r="H34" s="832"/>
      <c r="I34" s="811">
        <f t="shared" si="25"/>
        <v>0</v>
      </c>
      <c r="J34" s="832"/>
      <c r="K34" s="832"/>
      <c r="L34" s="832"/>
      <c r="M34" s="832"/>
      <c r="N34" s="829">
        <f t="shared" si="26"/>
        <v>0</v>
      </c>
      <c r="O34" s="830">
        <f t="shared" si="18"/>
        <v>0</v>
      </c>
      <c r="P34" s="832"/>
      <c r="Q34" s="832"/>
      <c r="R34" s="832"/>
      <c r="S34" s="811">
        <f t="shared" si="30"/>
        <v>0</v>
      </c>
      <c r="T34" s="831">
        <f t="shared" si="19"/>
        <v>0</v>
      </c>
      <c r="U34" s="832"/>
      <c r="V34" s="832"/>
      <c r="W34" s="832"/>
      <c r="X34" s="829">
        <f t="shared" si="20"/>
        <v>0</v>
      </c>
      <c r="Y34" s="830">
        <f t="shared" si="0"/>
        <v>0</v>
      </c>
      <c r="Z34" s="832"/>
      <c r="AA34" s="832"/>
      <c r="AB34" s="832"/>
      <c r="AC34" s="811">
        <f t="shared" si="31"/>
        <v>0</v>
      </c>
      <c r="AD34" s="831">
        <f t="shared" si="1"/>
        <v>0</v>
      </c>
      <c r="AE34" s="832"/>
      <c r="AF34" s="832"/>
      <c r="AG34" s="832"/>
      <c r="AH34" s="829">
        <f t="shared" si="21"/>
        <v>0</v>
      </c>
      <c r="AI34" s="830">
        <f t="shared" si="2"/>
        <v>0</v>
      </c>
      <c r="AJ34" s="832"/>
      <c r="AK34" s="832"/>
      <c r="AL34" s="832"/>
      <c r="AM34" s="811">
        <f t="shared" si="11"/>
        <v>0</v>
      </c>
      <c r="AN34" s="831">
        <f t="shared" si="3"/>
        <v>0</v>
      </c>
      <c r="AO34" s="832"/>
      <c r="AP34" s="832"/>
      <c r="AQ34" s="832"/>
      <c r="AR34" s="829">
        <f t="shared" si="22"/>
        <v>0</v>
      </c>
      <c r="AS34" s="830">
        <f t="shared" si="4"/>
        <v>0</v>
      </c>
      <c r="AT34" s="832"/>
      <c r="AU34" s="832"/>
      <c r="AV34" s="832"/>
      <c r="AW34" s="811">
        <f t="shared" si="27"/>
        <v>0</v>
      </c>
      <c r="AX34" s="831">
        <f t="shared" si="5"/>
        <v>0</v>
      </c>
      <c r="AY34" s="832"/>
      <c r="AZ34" s="832"/>
      <c r="BA34" s="832"/>
      <c r="BB34" s="829">
        <f t="shared" si="23"/>
        <v>0</v>
      </c>
      <c r="BC34" s="830">
        <f t="shared" si="6"/>
        <v>0</v>
      </c>
      <c r="BD34" s="832"/>
      <c r="BE34" s="832"/>
      <c r="BF34" s="832"/>
      <c r="BG34" s="811">
        <f t="shared" si="28"/>
        <v>0</v>
      </c>
      <c r="BH34" s="831">
        <f t="shared" si="7"/>
        <v>0</v>
      </c>
      <c r="BI34" s="832"/>
      <c r="BJ34" s="832"/>
      <c r="BK34" s="832"/>
      <c r="BL34" s="829">
        <f t="shared" si="24"/>
        <v>0</v>
      </c>
      <c r="BM34" s="830">
        <f t="shared" si="8"/>
        <v>0</v>
      </c>
      <c r="BN34" s="832"/>
      <c r="BO34" s="832"/>
      <c r="BP34" s="832"/>
      <c r="BQ34" s="811">
        <f t="shared" si="29"/>
        <v>0</v>
      </c>
      <c r="BR34" s="831">
        <f t="shared" si="9"/>
        <v>0</v>
      </c>
      <c r="BS34" s="832"/>
      <c r="BT34" s="832"/>
      <c r="BU34" s="832"/>
      <c r="BV34" s="829"/>
      <c r="BW34" s="833"/>
      <c r="BX34" s="832"/>
      <c r="BY34" s="831">
        <f t="shared" si="13"/>
        <v>0</v>
      </c>
      <c r="BZ34" s="834">
        <f t="shared" si="14"/>
        <v>0</v>
      </c>
      <c r="CA34" s="833"/>
      <c r="CB34" s="832"/>
      <c r="CC34" s="831">
        <f t="shared" si="15"/>
        <v>0</v>
      </c>
      <c r="CD34" s="834">
        <f t="shared" si="16"/>
        <v>0</v>
      </c>
      <c r="CE34" s="835"/>
      <c r="CF34" s="832"/>
      <c r="CG34" s="836">
        <f t="shared" si="10"/>
        <v>0</v>
      </c>
      <c r="CH34" s="820">
        <f t="shared" si="32"/>
        <v>0</v>
      </c>
      <c r="CI34" s="820"/>
      <c r="CJ34" s="893"/>
      <c r="CK34" s="838">
        <f t="shared" si="17"/>
        <v>0</v>
      </c>
      <c r="CL34" s="822"/>
      <c r="CP34" s="862" t="s">
        <v>164</v>
      </c>
      <c r="CQ34" s="300" t="b">
        <v>0</v>
      </c>
    </row>
    <row r="35" spans="1:95" s="819" customFormat="1" ht="17" hidden="1" thickBot="1" x14ac:dyDescent="0.35">
      <c r="A35">
        <v>10</v>
      </c>
      <c r="B35" s="807">
        <v>13</v>
      </c>
      <c r="C35" s="859" t="s">
        <v>69</v>
      </c>
      <c r="D35" s="823">
        <v>1595</v>
      </c>
      <c r="E35" s="903"/>
      <c r="F35" s="832"/>
      <c r="G35" s="832"/>
      <c r="H35" s="832"/>
      <c r="I35" s="811">
        <f t="shared" si="25"/>
        <v>0</v>
      </c>
      <c r="J35" s="832"/>
      <c r="K35" s="832"/>
      <c r="L35" s="832"/>
      <c r="M35" s="832"/>
      <c r="N35" s="829">
        <f t="shared" si="26"/>
        <v>0</v>
      </c>
      <c r="O35" s="830">
        <f t="shared" si="18"/>
        <v>0</v>
      </c>
      <c r="P35" s="832"/>
      <c r="Q35" s="832"/>
      <c r="R35" s="832"/>
      <c r="S35" s="811">
        <f t="shared" si="30"/>
        <v>0</v>
      </c>
      <c r="T35" s="831">
        <f t="shared" si="19"/>
        <v>0</v>
      </c>
      <c r="U35" s="832"/>
      <c r="V35" s="832"/>
      <c r="W35" s="832"/>
      <c r="X35" s="829">
        <f t="shared" si="20"/>
        <v>0</v>
      </c>
      <c r="Y35" s="830">
        <f t="shared" si="0"/>
        <v>0</v>
      </c>
      <c r="Z35" s="832"/>
      <c r="AA35" s="832"/>
      <c r="AB35" s="832"/>
      <c r="AC35" s="811">
        <f t="shared" si="31"/>
        <v>0</v>
      </c>
      <c r="AD35" s="831">
        <f t="shared" si="1"/>
        <v>0</v>
      </c>
      <c r="AE35" s="832"/>
      <c r="AF35" s="832"/>
      <c r="AG35" s="832"/>
      <c r="AH35" s="829">
        <f t="shared" si="21"/>
        <v>0</v>
      </c>
      <c r="AI35" s="830">
        <f t="shared" si="2"/>
        <v>0</v>
      </c>
      <c r="AJ35" s="832"/>
      <c r="AK35" s="832"/>
      <c r="AL35" s="832"/>
      <c r="AM35" s="811">
        <f t="shared" si="11"/>
        <v>0</v>
      </c>
      <c r="AN35" s="831">
        <f t="shared" si="3"/>
        <v>0</v>
      </c>
      <c r="AO35" s="832"/>
      <c r="AP35" s="832"/>
      <c r="AQ35" s="832"/>
      <c r="AR35" s="829">
        <f t="shared" si="22"/>
        <v>0</v>
      </c>
      <c r="AS35" s="830">
        <f t="shared" si="4"/>
        <v>0</v>
      </c>
      <c r="AT35" s="832"/>
      <c r="AU35" s="832"/>
      <c r="AV35" s="832"/>
      <c r="AW35" s="811">
        <f t="shared" si="27"/>
        <v>0</v>
      </c>
      <c r="AX35" s="831">
        <f t="shared" si="5"/>
        <v>0</v>
      </c>
      <c r="AY35" s="832"/>
      <c r="AZ35" s="832"/>
      <c r="BA35" s="832"/>
      <c r="BB35" s="829">
        <f t="shared" si="23"/>
        <v>0</v>
      </c>
      <c r="BC35" s="830">
        <f t="shared" si="6"/>
        <v>0</v>
      </c>
      <c r="BD35" s="832"/>
      <c r="BE35" s="832"/>
      <c r="BF35" s="832"/>
      <c r="BG35" s="811">
        <f t="shared" si="28"/>
        <v>0</v>
      </c>
      <c r="BH35" s="831">
        <f t="shared" si="7"/>
        <v>0</v>
      </c>
      <c r="BI35" s="832"/>
      <c r="BJ35" s="832"/>
      <c r="BK35" s="832"/>
      <c r="BL35" s="829">
        <f t="shared" si="24"/>
        <v>0</v>
      </c>
      <c r="BM35" s="830">
        <f t="shared" si="8"/>
        <v>0</v>
      </c>
      <c r="BN35" s="832"/>
      <c r="BO35" s="832"/>
      <c r="BP35" s="832"/>
      <c r="BQ35" s="811">
        <f t="shared" si="29"/>
        <v>0</v>
      </c>
      <c r="BR35" s="831">
        <f t="shared" si="9"/>
        <v>0</v>
      </c>
      <c r="BS35" s="832"/>
      <c r="BT35" s="832"/>
      <c r="BU35" s="832"/>
      <c r="BV35" s="829"/>
      <c r="BW35" s="833"/>
      <c r="BX35" s="832"/>
      <c r="BY35" s="831">
        <f t="shared" si="13"/>
        <v>0</v>
      </c>
      <c r="BZ35" s="834">
        <f t="shared" si="14"/>
        <v>0</v>
      </c>
      <c r="CA35" s="833"/>
      <c r="CB35" s="832"/>
      <c r="CC35" s="831">
        <f t="shared" si="15"/>
        <v>0</v>
      </c>
      <c r="CD35" s="834">
        <f t="shared" si="16"/>
        <v>0</v>
      </c>
      <c r="CE35" s="835"/>
      <c r="CF35" s="832"/>
      <c r="CG35" s="836">
        <f t="shared" si="10"/>
        <v>0</v>
      </c>
      <c r="CH35" s="820">
        <f t="shared" si="32"/>
        <v>0</v>
      </c>
      <c r="CI35" s="820"/>
      <c r="CJ35" s="893"/>
      <c r="CK35" s="838">
        <f t="shared" si="17"/>
        <v>0</v>
      </c>
      <c r="CL35" s="822"/>
      <c r="CP35" s="862" t="s">
        <v>165</v>
      </c>
      <c r="CQ35" s="300" t="b">
        <v>0</v>
      </c>
    </row>
    <row r="36" spans="1:95" s="819" customFormat="1" ht="17" hidden="1" thickBot="1" x14ac:dyDescent="0.35">
      <c r="A36">
        <v>11</v>
      </c>
      <c r="B36" s="807">
        <v>14</v>
      </c>
      <c r="C36" s="859" t="s">
        <v>130</v>
      </c>
      <c r="D36" s="823">
        <v>1595</v>
      </c>
      <c r="E36" s="903"/>
      <c r="F36" s="832"/>
      <c r="G36" s="832"/>
      <c r="H36" s="832"/>
      <c r="I36" s="811">
        <f t="shared" si="25"/>
        <v>0</v>
      </c>
      <c r="J36" s="832"/>
      <c r="K36" s="832"/>
      <c r="L36" s="832"/>
      <c r="M36" s="832"/>
      <c r="N36" s="829">
        <f t="shared" si="26"/>
        <v>0</v>
      </c>
      <c r="O36" s="830">
        <f t="shared" si="18"/>
        <v>0</v>
      </c>
      <c r="P36" s="832"/>
      <c r="Q36" s="832"/>
      <c r="R36" s="832"/>
      <c r="S36" s="811">
        <f t="shared" si="30"/>
        <v>0</v>
      </c>
      <c r="T36" s="831">
        <f t="shared" si="19"/>
        <v>0</v>
      </c>
      <c r="U36" s="832"/>
      <c r="V36" s="832"/>
      <c r="W36" s="832"/>
      <c r="X36" s="829">
        <f t="shared" si="20"/>
        <v>0</v>
      </c>
      <c r="Y36" s="830">
        <f t="shared" si="0"/>
        <v>0</v>
      </c>
      <c r="Z36" s="832"/>
      <c r="AA36" s="832"/>
      <c r="AB36" s="832"/>
      <c r="AC36" s="811">
        <f t="shared" si="31"/>
        <v>0</v>
      </c>
      <c r="AD36" s="831">
        <f>X36</f>
        <v>0</v>
      </c>
      <c r="AE36" s="832"/>
      <c r="AF36" s="832"/>
      <c r="AG36" s="832"/>
      <c r="AH36" s="829">
        <f t="shared" si="21"/>
        <v>0</v>
      </c>
      <c r="AI36" s="830">
        <f t="shared" si="2"/>
        <v>0</v>
      </c>
      <c r="AJ36" s="832"/>
      <c r="AK36" s="832"/>
      <c r="AL36" s="832"/>
      <c r="AM36" s="811">
        <f t="shared" si="11"/>
        <v>0</v>
      </c>
      <c r="AN36" s="831">
        <f t="shared" si="3"/>
        <v>0</v>
      </c>
      <c r="AO36" s="832"/>
      <c r="AP36" s="832"/>
      <c r="AQ36" s="832"/>
      <c r="AR36" s="829">
        <f t="shared" si="22"/>
        <v>0</v>
      </c>
      <c r="AS36" s="830">
        <f t="shared" si="4"/>
        <v>0</v>
      </c>
      <c r="AT36" s="832"/>
      <c r="AU36" s="832"/>
      <c r="AV36" s="832"/>
      <c r="AW36" s="811">
        <f t="shared" si="27"/>
        <v>0</v>
      </c>
      <c r="AX36" s="831">
        <f t="shared" si="5"/>
        <v>0</v>
      </c>
      <c r="AY36" s="832"/>
      <c r="AZ36" s="832"/>
      <c r="BA36" s="832"/>
      <c r="BB36" s="829">
        <f t="shared" si="23"/>
        <v>0</v>
      </c>
      <c r="BC36" s="830">
        <f t="shared" si="6"/>
        <v>0</v>
      </c>
      <c r="BD36" s="832"/>
      <c r="BE36" s="832"/>
      <c r="BF36" s="832"/>
      <c r="BG36" s="811">
        <f t="shared" si="12"/>
        <v>0</v>
      </c>
      <c r="BH36" s="831">
        <f t="shared" si="7"/>
        <v>0</v>
      </c>
      <c r="BI36" s="832"/>
      <c r="BJ36" s="832"/>
      <c r="BK36" s="832"/>
      <c r="BL36" s="829">
        <f t="shared" si="24"/>
        <v>0</v>
      </c>
      <c r="BM36" s="830">
        <f t="shared" si="8"/>
        <v>0</v>
      </c>
      <c r="BN36" s="832"/>
      <c r="BO36" s="832"/>
      <c r="BP36" s="832"/>
      <c r="BQ36" s="811">
        <f>BM36+BN36-BO36+SUM(BP36:BP36)</f>
        <v>0</v>
      </c>
      <c r="BR36" s="831">
        <f t="shared" si="9"/>
        <v>0</v>
      </c>
      <c r="BS36" s="832"/>
      <c r="BT36" s="832"/>
      <c r="BU36" s="832"/>
      <c r="BV36" s="829"/>
      <c r="BW36" s="833"/>
      <c r="BX36" s="832"/>
      <c r="BY36" s="831">
        <f t="shared" si="13"/>
        <v>0</v>
      </c>
      <c r="BZ36" s="834">
        <f t="shared" si="14"/>
        <v>0</v>
      </c>
      <c r="CA36" s="833"/>
      <c r="CB36" s="832"/>
      <c r="CC36" s="831">
        <f t="shared" si="15"/>
        <v>0</v>
      </c>
      <c r="CD36" s="834">
        <f t="shared" si="16"/>
        <v>0</v>
      </c>
      <c r="CE36" s="835"/>
      <c r="CF36" s="832"/>
      <c r="CG36" s="836">
        <f t="shared" si="10"/>
        <v>0</v>
      </c>
      <c r="CH36" s="820">
        <f t="shared" si="32"/>
        <v>0</v>
      </c>
      <c r="CI36" s="820"/>
      <c r="CJ36" s="893"/>
      <c r="CK36" s="838">
        <f t="shared" si="17"/>
        <v>0</v>
      </c>
      <c r="CL36" s="822"/>
      <c r="CP36" s="862" t="s">
        <v>166</v>
      </c>
      <c r="CQ36" s="300" t="b">
        <v>0</v>
      </c>
    </row>
    <row r="37" spans="1:95" s="819" customFormat="1" ht="17" hidden="1" thickBot="1" x14ac:dyDescent="0.35">
      <c r="A37">
        <v>12</v>
      </c>
      <c r="B37" s="807">
        <v>15</v>
      </c>
      <c r="C37" s="859" t="s">
        <v>399</v>
      </c>
      <c r="D37" s="823">
        <v>1595</v>
      </c>
      <c r="E37" s="903"/>
      <c r="F37" s="832"/>
      <c r="G37" s="832"/>
      <c r="H37" s="832"/>
      <c r="I37" s="811">
        <f t="shared" si="25"/>
        <v>0</v>
      </c>
      <c r="J37" s="832"/>
      <c r="K37" s="832"/>
      <c r="L37" s="832"/>
      <c r="M37" s="832"/>
      <c r="N37" s="829">
        <f t="shared" si="26"/>
        <v>0</v>
      </c>
      <c r="O37" s="830">
        <f t="shared" si="18"/>
        <v>0</v>
      </c>
      <c r="P37" s="832"/>
      <c r="Q37" s="832"/>
      <c r="R37" s="832"/>
      <c r="S37" s="811">
        <f t="shared" si="30"/>
        <v>0</v>
      </c>
      <c r="T37" s="831">
        <f t="shared" si="19"/>
        <v>0</v>
      </c>
      <c r="U37" s="832"/>
      <c r="V37" s="832"/>
      <c r="W37" s="832"/>
      <c r="X37" s="829">
        <f t="shared" si="20"/>
        <v>0</v>
      </c>
      <c r="Y37" s="830">
        <f t="shared" si="0"/>
        <v>0</v>
      </c>
      <c r="Z37" s="832"/>
      <c r="AA37" s="832"/>
      <c r="AB37" s="832"/>
      <c r="AC37" s="811">
        <f t="shared" si="31"/>
        <v>0</v>
      </c>
      <c r="AD37" s="831">
        <f>X37</f>
        <v>0</v>
      </c>
      <c r="AE37" s="832"/>
      <c r="AF37" s="832"/>
      <c r="AG37" s="832"/>
      <c r="AH37" s="829">
        <f t="shared" si="21"/>
        <v>0</v>
      </c>
      <c r="AI37" s="830">
        <f t="shared" si="2"/>
        <v>0</v>
      </c>
      <c r="AJ37" s="832"/>
      <c r="AK37" s="832"/>
      <c r="AL37" s="832"/>
      <c r="AM37" s="811">
        <f t="shared" si="11"/>
        <v>0</v>
      </c>
      <c r="AN37" s="831">
        <f t="shared" si="3"/>
        <v>0</v>
      </c>
      <c r="AO37" s="832"/>
      <c r="AP37" s="832"/>
      <c r="AQ37" s="832"/>
      <c r="AR37" s="829">
        <f t="shared" si="22"/>
        <v>0</v>
      </c>
      <c r="AS37" s="830">
        <f t="shared" si="4"/>
        <v>0</v>
      </c>
      <c r="AT37" s="832"/>
      <c r="AU37" s="832"/>
      <c r="AV37" s="832"/>
      <c r="AW37" s="811">
        <f t="shared" si="27"/>
        <v>0</v>
      </c>
      <c r="AX37" s="831">
        <f t="shared" si="5"/>
        <v>0</v>
      </c>
      <c r="AY37" s="832"/>
      <c r="AZ37" s="832"/>
      <c r="BA37" s="832"/>
      <c r="BB37" s="829">
        <f t="shared" si="23"/>
        <v>0</v>
      </c>
      <c r="BC37" s="830">
        <f t="shared" si="6"/>
        <v>0</v>
      </c>
      <c r="BD37" s="832"/>
      <c r="BE37" s="832"/>
      <c r="BF37" s="832"/>
      <c r="BG37" s="811">
        <f t="shared" si="12"/>
        <v>0</v>
      </c>
      <c r="BH37" s="831">
        <f t="shared" si="7"/>
        <v>0</v>
      </c>
      <c r="BI37" s="832"/>
      <c r="BJ37" s="832"/>
      <c r="BK37" s="832"/>
      <c r="BL37" s="829">
        <f t="shared" si="24"/>
        <v>0</v>
      </c>
      <c r="BM37" s="830">
        <f t="shared" si="8"/>
        <v>0</v>
      </c>
      <c r="BN37" s="832"/>
      <c r="BO37" s="832"/>
      <c r="BP37" s="832"/>
      <c r="BQ37" s="811">
        <f>BM37+BN37-BO37+SUM(BP37:BP37)</f>
        <v>0</v>
      </c>
      <c r="BR37" s="831">
        <f t="shared" si="9"/>
        <v>0</v>
      </c>
      <c r="BS37" s="832"/>
      <c r="BT37" s="832"/>
      <c r="BU37" s="832"/>
      <c r="BV37" s="829"/>
      <c r="BW37" s="833"/>
      <c r="BX37" s="832"/>
      <c r="BY37" s="831">
        <f t="shared" si="13"/>
        <v>0</v>
      </c>
      <c r="BZ37" s="834">
        <f t="shared" si="14"/>
        <v>0</v>
      </c>
      <c r="CA37" s="833"/>
      <c r="CB37" s="832"/>
      <c r="CC37" s="831">
        <f t="shared" si="15"/>
        <v>0</v>
      </c>
      <c r="CD37" s="834">
        <f t="shared" si="16"/>
        <v>0</v>
      </c>
      <c r="CE37" s="835"/>
      <c r="CF37" s="832"/>
      <c r="CG37" s="836">
        <f t="shared" si="10"/>
        <v>0</v>
      </c>
      <c r="CH37" s="820">
        <f t="shared" si="32"/>
        <v>0</v>
      </c>
      <c r="CI37" s="820"/>
      <c r="CJ37" s="893"/>
      <c r="CK37" s="838">
        <f t="shared" si="17"/>
        <v>0</v>
      </c>
      <c r="CL37" s="822"/>
      <c r="CP37" s="862" t="s">
        <v>167</v>
      </c>
      <c r="CQ37" s="300" t="b">
        <v>0</v>
      </c>
    </row>
    <row r="38" spans="1:95" s="819" customFormat="1" ht="17" hidden="1" thickBot="1" x14ac:dyDescent="0.35">
      <c r="A38">
        <v>13</v>
      </c>
      <c r="B38" s="807">
        <v>16</v>
      </c>
      <c r="C38" s="859" t="s">
        <v>400</v>
      </c>
      <c r="D38" s="823">
        <v>1595</v>
      </c>
      <c r="E38" s="903"/>
      <c r="F38" s="832"/>
      <c r="G38" s="832"/>
      <c r="H38" s="832"/>
      <c r="I38" s="811">
        <f t="shared" si="25"/>
        <v>0</v>
      </c>
      <c r="J38" s="832"/>
      <c r="K38" s="832"/>
      <c r="L38" s="832"/>
      <c r="M38" s="832"/>
      <c r="N38" s="829">
        <f t="shared" si="26"/>
        <v>0</v>
      </c>
      <c r="O38" s="830">
        <f t="shared" si="18"/>
        <v>0</v>
      </c>
      <c r="P38" s="832"/>
      <c r="Q38" s="832"/>
      <c r="R38" s="832"/>
      <c r="S38" s="811">
        <f t="shared" si="30"/>
        <v>0</v>
      </c>
      <c r="T38" s="831">
        <f t="shared" si="19"/>
        <v>0</v>
      </c>
      <c r="U38" s="832"/>
      <c r="V38" s="832"/>
      <c r="W38" s="832"/>
      <c r="X38" s="829">
        <f t="shared" si="20"/>
        <v>0</v>
      </c>
      <c r="Y38" s="830">
        <f t="shared" si="0"/>
        <v>0</v>
      </c>
      <c r="Z38" s="832"/>
      <c r="AA38" s="832"/>
      <c r="AB38" s="832"/>
      <c r="AC38" s="811">
        <f t="shared" si="31"/>
        <v>0</v>
      </c>
      <c r="AD38" s="831">
        <f>X38</f>
        <v>0</v>
      </c>
      <c r="AE38" s="832"/>
      <c r="AF38" s="832"/>
      <c r="AG38" s="832"/>
      <c r="AH38" s="829">
        <f t="shared" si="21"/>
        <v>0</v>
      </c>
      <c r="AI38" s="830">
        <f t="shared" si="2"/>
        <v>0</v>
      </c>
      <c r="AJ38" s="832"/>
      <c r="AK38" s="832"/>
      <c r="AL38" s="832"/>
      <c r="AM38" s="811">
        <f t="shared" si="11"/>
        <v>0</v>
      </c>
      <c r="AN38" s="831">
        <f t="shared" si="3"/>
        <v>0</v>
      </c>
      <c r="AO38" s="832"/>
      <c r="AP38" s="832"/>
      <c r="AQ38" s="832"/>
      <c r="AR38" s="829">
        <f t="shared" si="22"/>
        <v>0</v>
      </c>
      <c r="AS38" s="830">
        <f t="shared" si="4"/>
        <v>0</v>
      </c>
      <c r="AT38" s="832"/>
      <c r="AU38" s="832"/>
      <c r="AV38" s="832"/>
      <c r="AW38" s="811">
        <f t="shared" si="27"/>
        <v>0</v>
      </c>
      <c r="AX38" s="831">
        <f t="shared" si="5"/>
        <v>0</v>
      </c>
      <c r="AY38" s="832"/>
      <c r="AZ38" s="832"/>
      <c r="BA38" s="832"/>
      <c r="BB38" s="829">
        <f t="shared" si="23"/>
        <v>0</v>
      </c>
      <c r="BC38" s="830">
        <f t="shared" si="6"/>
        <v>0</v>
      </c>
      <c r="BD38" s="832"/>
      <c r="BE38" s="832"/>
      <c r="BF38" s="832"/>
      <c r="BG38" s="811">
        <f t="shared" si="12"/>
        <v>0</v>
      </c>
      <c r="BH38" s="831">
        <f t="shared" si="7"/>
        <v>0</v>
      </c>
      <c r="BI38" s="832"/>
      <c r="BJ38" s="832"/>
      <c r="BK38" s="832"/>
      <c r="BL38" s="829">
        <f t="shared" si="24"/>
        <v>0</v>
      </c>
      <c r="BM38" s="830">
        <f t="shared" si="8"/>
        <v>0</v>
      </c>
      <c r="BN38" s="832"/>
      <c r="BO38" s="832"/>
      <c r="BP38" s="832"/>
      <c r="BQ38" s="811">
        <f>BM38+BN38-BO38+SUM(BP38:BP38)</f>
        <v>0</v>
      </c>
      <c r="BR38" s="831">
        <f t="shared" si="9"/>
        <v>0</v>
      </c>
      <c r="BS38" s="832"/>
      <c r="BT38" s="832"/>
      <c r="BU38" s="832"/>
      <c r="BV38" s="829"/>
      <c r="BW38" s="833"/>
      <c r="BX38" s="832"/>
      <c r="BY38" s="831">
        <f t="shared" si="13"/>
        <v>0</v>
      </c>
      <c r="BZ38" s="834">
        <f t="shared" si="14"/>
        <v>0</v>
      </c>
      <c r="CA38" s="833"/>
      <c r="CB38" s="832"/>
      <c r="CC38" s="831">
        <f t="shared" si="15"/>
        <v>0</v>
      </c>
      <c r="CD38" s="834">
        <f t="shared" si="16"/>
        <v>0</v>
      </c>
      <c r="CE38" s="835"/>
      <c r="CF38" s="832"/>
      <c r="CG38" s="836">
        <f t="shared" si="10"/>
        <v>0</v>
      </c>
      <c r="CH38" s="820">
        <f t="shared" si="32"/>
        <v>0</v>
      </c>
      <c r="CI38" s="820"/>
      <c r="CJ38" s="893"/>
      <c r="CK38" s="838">
        <f t="shared" si="17"/>
        <v>0</v>
      </c>
      <c r="CL38" s="822"/>
      <c r="CP38" s="862" t="s">
        <v>169</v>
      </c>
      <c r="CQ38" s="300" t="b">
        <v>0</v>
      </c>
    </row>
    <row r="39" spans="1:95" s="819" customFormat="1" ht="17" hidden="1" thickBot="1" x14ac:dyDescent="0.35">
      <c r="A39">
        <v>14</v>
      </c>
      <c r="B39" s="807">
        <v>17</v>
      </c>
      <c r="C39" s="864" t="s">
        <v>401</v>
      </c>
      <c r="D39" s="866">
        <v>1595</v>
      </c>
      <c r="E39" s="903"/>
      <c r="F39" s="832"/>
      <c r="G39" s="832"/>
      <c r="H39" s="832"/>
      <c r="I39" s="811">
        <f t="shared" si="25"/>
        <v>0</v>
      </c>
      <c r="J39" s="832"/>
      <c r="K39" s="832"/>
      <c r="L39" s="832"/>
      <c r="M39" s="832"/>
      <c r="N39" s="829">
        <f t="shared" si="26"/>
        <v>0</v>
      </c>
      <c r="O39" s="830">
        <f t="shared" si="18"/>
        <v>0</v>
      </c>
      <c r="P39" s="832"/>
      <c r="Q39" s="832"/>
      <c r="R39" s="832"/>
      <c r="S39" s="811">
        <f t="shared" si="30"/>
        <v>0</v>
      </c>
      <c r="T39" s="831">
        <f t="shared" si="19"/>
        <v>0</v>
      </c>
      <c r="U39" s="832"/>
      <c r="V39" s="832"/>
      <c r="W39" s="832"/>
      <c r="X39" s="829">
        <f t="shared" si="20"/>
        <v>0</v>
      </c>
      <c r="Y39" s="830">
        <f t="shared" si="0"/>
        <v>0</v>
      </c>
      <c r="Z39" s="832"/>
      <c r="AA39" s="832"/>
      <c r="AB39" s="832"/>
      <c r="AC39" s="811">
        <f t="shared" si="31"/>
        <v>0</v>
      </c>
      <c r="AD39" s="831">
        <f>X39</f>
        <v>0</v>
      </c>
      <c r="AE39" s="832"/>
      <c r="AF39" s="832"/>
      <c r="AG39" s="832"/>
      <c r="AH39" s="829">
        <f t="shared" si="21"/>
        <v>0</v>
      </c>
      <c r="AI39" s="830">
        <f t="shared" si="2"/>
        <v>0</v>
      </c>
      <c r="AJ39" s="832"/>
      <c r="AK39" s="832"/>
      <c r="AL39" s="832"/>
      <c r="AM39" s="811">
        <f t="shared" si="11"/>
        <v>0</v>
      </c>
      <c r="AN39" s="831">
        <f t="shared" si="3"/>
        <v>0</v>
      </c>
      <c r="AO39" s="832"/>
      <c r="AP39" s="832"/>
      <c r="AQ39" s="832"/>
      <c r="AR39" s="829">
        <f t="shared" si="22"/>
        <v>0</v>
      </c>
      <c r="AS39" s="830">
        <f t="shared" si="4"/>
        <v>0</v>
      </c>
      <c r="AT39" s="832"/>
      <c r="AU39" s="832"/>
      <c r="AV39" s="832"/>
      <c r="AW39" s="811">
        <f t="shared" si="27"/>
        <v>0</v>
      </c>
      <c r="AX39" s="831">
        <f t="shared" si="5"/>
        <v>0</v>
      </c>
      <c r="AY39" s="832"/>
      <c r="AZ39" s="832"/>
      <c r="BA39" s="832"/>
      <c r="BB39" s="829">
        <f t="shared" si="23"/>
        <v>0</v>
      </c>
      <c r="BC39" s="830">
        <f t="shared" si="6"/>
        <v>0</v>
      </c>
      <c r="BD39" s="832"/>
      <c r="BE39" s="832"/>
      <c r="BF39" s="832"/>
      <c r="BG39" s="811">
        <f t="shared" si="12"/>
        <v>0</v>
      </c>
      <c r="BH39" s="831">
        <f t="shared" si="7"/>
        <v>0</v>
      </c>
      <c r="BI39" s="832"/>
      <c r="BJ39" s="832"/>
      <c r="BK39" s="832"/>
      <c r="BL39" s="829">
        <f t="shared" si="24"/>
        <v>0</v>
      </c>
      <c r="BM39" s="830">
        <f t="shared" si="8"/>
        <v>0</v>
      </c>
      <c r="BN39" s="832"/>
      <c r="BO39" s="832"/>
      <c r="BP39" s="832"/>
      <c r="BQ39" s="811">
        <f>BM39+BN39-BO39+SUM(BP39:BP39)</f>
        <v>0</v>
      </c>
      <c r="BR39" s="831">
        <f t="shared" si="9"/>
        <v>0</v>
      </c>
      <c r="BS39" s="832"/>
      <c r="BT39" s="832"/>
      <c r="BU39" s="832"/>
      <c r="BV39" s="829"/>
      <c r="BW39" s="833"/>
      <c r="BX39" s="832"/>
      <c r="BY39" s="831">
        <f t="shared" si="13"/>
        <v>0</v>
      </c>
      <c r="BZ39" s="834">
        <f t="shared" si="14"/>
        <v>0</v>
      </c>
      <c r="CA39" s="833"/>
      <c r="CB39" s="832"/>
      <c r="CC39" s="831">
        <f t="shared" si="15"/>
        <v>0</v>
      </c>
      <c r="CD39" s="834">
        <f t="shared" si="16"/>
        <v>0</v>
      </c>
      <c r="CE39" s="835"/>
      <c r="CF39" s="832"/>
      <c r="CG39" s="836">
        <f>CD39+CE39+CF39</f>
        <v>0</v>
      </c>
      <c r="CH39" s="861">
        <f t="shared" si="32"/>
        <v>0</v>
      </c>
      <c r="CI39" s="861"/>
      <c r="CJ39" s="893"/>
      <c r="CK39" s="838">
        <f t="shared" si="17"/>
        <v>0</v>
      </c>
      <c r="CL39" s="822"/>
      <c r="CP39" s="862" t="s">
        <v>168</v>
      </c>
      <c r="CQ39" s="300" t="b">
        <v>0</v>
      </c>
    </row>
    <row r="40" spans="1:95" s="819" customFormat="1" ht="17" hidden="1" thickBot="1" x14ac:dyDescent="0.35">
      <c r="A40">
        <v>15</v>
      </c>
      <c r="B40" s="807">
        <v>18</v>
      </c>
      <c r="C40" s="864" t="s">
        <v>402</v>
      </c>
      <c r="D40" s="866">
        <v>1595</v>
      </c>
      <c r="E40" s="903"/>
      <c r="F40" s="832"/>
      <c r="G40" s="832"/>
      <c r="H40" s="832"/>
      <c r="I40" s="811">
        <f>E40+F40-G40+H40</f>
        <v>0</v>
      </c>
      <c r="J40" s="832"/>
      <c r="K40" s="832"/>
      <c r="L40" s="832"/>
      <c r="M40" s="832"/>
      <c r="N40" s="829">
        <f>J40+K40-L40+M40</f>
        <v>0</v>
      </c>
      <c r="O40" s="830">
        <f t="shared" si="18"/>
        <v>0</v>
      </c>
      <c r="P40" s="832"/>
      <c r="Q40" s="832"/>
      <c r="R40" s="832"/>
      <c r="S40" s="811">
        <f t="shared" si="30"/>
        <v>0</v>
      </c>
      <c r="T40" s="831">
        <f t="shared" si="19"/>
        <v>0</v>
      </c>
      <c r="U40" s="832"/>
      <c r="V40" s="832"/>
      <c r="W40" s="832"/>
      <c r="X40" s="829">
        <f t="shared" si="20"/>
        <v>0</v>
      </c>
      <c r="Y40" s="830">
        <f>S40</f>
        <v>0</v>
      </c>
      <c r="Z40" s="832"/>
      <c r="AA40" s="832"/>
      <c r="AB40" s="832"/>
      <c r="AC40" s="811">
        <f t="shared" si="31"/>
        <v>0</v>
      </c>
      <c r="AD40" s="831">
        <f>X40</f>
        <v>0</v>
      </c>
      <c r="AE40" s="832"/>
      <c r="AF40" s="832"/>
      <c r="AG40" s="832"/>
      <c r="AH40" s="829">
        <f t="shared" si="21"/>
        <v>0</v>
      </c>
      <c r="AI40" s="830">
        <f>AC40</f>
        <v>0</v>
      </c>
      <c r="AJ40" s="832"/>
      <c r="AK40" s="832"/>
      <c r="AL40" s="832"/>
      <c r="AM40" s="811">
        <f>AI40+AJ40-AK40+SUM(AL40:AL40)</f>
        <v>0</v>
      </c>
      <c r="AN40" s="831">
        <f>AH40</f>
        <v>0</v>
      </c>
      <c r="AO40" s="832"/>
      <c r="AP40" s="832"/>
      <c r="AQ40" s="832"/>
      <c r="AR40" s="829">
        <f t="shared" si="22"/>
        <v>0</v>
      </c>
      <c r="AS40" s="830">
        <f>AM40</f>
        <v>0</v>
      </c>
      <c r="AT40" s="832"/>
      <c r="AU40" s="832"/>
      <c r="AV40" s="832"/>
      <c r="AW40" s="811">
        <f t="shared" si="27"/>
        <v>0</v>
      </c>
      <c r="AX40" s="831">
        <f>AR40</f>
        <v>0</v>
      </c>
      <c r="AY40" s="832"/>
      <c r="AZ40" s="832"/>
      <c r="BA40" s="832"/>
      <c r="BB40" s="829">
        <f t="shared" si="23"/>
        <v>0</v>
      </c>
      <c r="BC40" s="830">
        <f>AW40</f>
        <v>0</v>
      </c>
      <c r="BD40" s="832"/>
      <c r="BE40" s="832"/>
      <c r="BF40" s="832"/>
      <c r="BG40" s="811">
        <f>BC40+BD40-BE40+SUM(BF40:BF40)</f>
        <v>0</v>
      </c>
      <c r="BH40" s="831">
        <f>BB40</f>
        <v>0</v>
      </c>
      <c r="BI40" s="832"/>
      <c r="BJ40" s="832"/>
      <c r="BK40" s="832"/>
      <c r="BL40" s="829">
        <f t="shared" si="24"/>
        <v>0</v>
      </c>
      <c r="BM40" s="830">
        <f>BG40</f>
        <v>0</v>
      </c>
      <c r="BN40" s="832"/>
      <c r="BO40" s="832"/>
      <c r="BP40" s="832"/>
      <c r="BQ40" s="811">
        <f>BM40+BN40-BO40+SUM(BP40:BP40)</f>
        <v>0</v>
      </c>
      <c r="BR40" s="831">
        <f>BL40</f>
        <v>0</v>
      </c>
      <c r="BS40" s="832"/>
      <c r="BT40" s="832"/>
      <c r="BU40" s="832"/>
      <c r="BV40" s="829"/>
      <c r="BW40" s="833"/>
      <c r="BX40" s="832"/>
      <c r="BY40" s="831">
        <f>BC40-BW40</f>
        <v>0</v>
      </c>
      <c r="BZ40" s="834">
        <f>BH40-BX40</f>
        <v>0</v>
      </c>
      <c r="CA40" s="833"/>
      <c r="CB40" s="832"/>
      <c r="CC40" s="831">
        <f>BG40-CA40</f>
        <v>0</v>
      </c>
      <c r="CD40" s="834">
        <f>BL40-CB40</f>
        <v>0</v>
      </c>
      <c r="CE40" s="835"/>
      <c r="CF40" s="832"/>
      <c r="CG40" s="836">
        <f>CD40+CE40+CF40</f>
        <v>0</v>
      </c>
      <c r="CH40" s="861">
        <f>IF(CQ40=TRUE, SUM(CC40:CF40), 0)</f>
        <v>0</v>
      </c>
      <c r="CI40" s="861"/>
      <c r="CJ40" s="893"/>
      <c r="CK40" s="838">
        <f t="shared" si="17"/>
        <v>0</v>
      </c>
      <c r="CL40" s="822"/>
      <c r="CP40" s="862"/>
      <c r="CQ40" s="300" t="b">
        <v>0</v>
      </c>
    </row>
    <row r="41" spans="1:95" s="819" customFormat="1" ht="15" hidden="1" thickBot="1" x14ac:dyDescent="0.4">
      <c r="A41"/>
      <c r="B41" s="807">
        <v>19</v>
      </c>
      <c r="C41" s="867" t="s">
        <v>420</v>
      </c>
      <c r="D41" s="823"/>
      <c r="E41" s="868"/>
      <c r="F41" s="302"/>
      <c r="G41" s="302"/>
      <c r="H41" s="302"/>
      <c r="I41" s="811"/>
      <c r="J41" s="302"/>
      <c r="K41" s="302"/>
      <c r="L41" s="302"/>
      <c r="M41" s="302"/>
      <c r="N41" s="829"/>
      <c r="O41" s="814"/>
      <c r="P41" s="302"/>
      <c r="Q41" s="302"/>
      <c r="R41" s="302"/>
      <c r="S41" s="811"/>
      <c r="T41" s="811"/>
      <c r="U41" s="302"/>
      <c r="V41" s="302"/>
      <c r="W41" s="302"/>
      <c r="X41" s="829"/>
      <c r="Y41" s="814"/>
      <c r="Z41" s="302"/>
      <c r="AA41" s="302"/>
      <c r="AB41" s="302"/>
      <c r="AC41" s="811"/>
      <c r="AD41" s="811"/>
      <c r="AE41" s="302"/>
      <c r="AF41" s="302"/>
      <c r="AG41" s="302"/>
      <c r="AH41" s="829"/>
      <c r="AI41" s="814"/>
      <c r="AJ41" s="302"/>
      <c r="AK41" s="302"/>
      <c r="AL41" s="302"/>
      <c r="AM41" s="811"/>
      <c r="AN41" s="811"/>
      <c r="AO41" s="302"/>
      <c r="AP41" s="302"/>
      <c r="AQ41" s="302"/>
      <c r="AR41" s="829"/>
      <c r="AS41" s="814"/>
      <c r="AT41" s="302"/>
      <c r="AU41" s="302"/>
      <c r="AV41" s="302"/>
      <c r="AW41" s="811"/>
      <c r="AX41" s="811"/>
      <c r="AY41" s="302"/>
      <c r="AZ41" s="302"/>
      <c r="BA41" s="302"/>
      <c r="BB41" s="829"/>
      <c r="BC41" s="814"/>
      <c r="BD41" s="302"/>
      <c r="BE41" s="302"/>
      <c r="BF41" s="302"/>
      <c r="BG41" s="811"/>
      <c r="BH41" s="811"/>
      <c r="BI41" s="302"/>
      <c r="BJ41" s="302"/>
      <c r="BK41" s="302"/>
      <c r="BL41" s="829"/>
      <c r="BM41" s="814"/>
      <c r="BN41" s="302"/>
      <c r="BO41" s="302"/>
      <c r="BP41" s="302"/>
      <c r="BQ41" s="811"/>
      <c r="BR41" s="811"/>
      <c r="BS41" s="302"/>
      <c r="BT41" s="302"/>
      <c r="BU41" s="302"/>
      <c r="BV41" s="829"/>
      <c r="BW41" s="868"/>
      <c r="BX41" s="302"/>
      <c r="BY41" s="811"/>
      <c r="BZ41" s="829"/>
      <c r="CA41" s="868"/>
      <c r="CB41" s="302"/>
      <c r="CC41" s="811"/>
      <c r="CD41" s="829"/>
      <c r="CE41" s="302"/>
      <c r="CF41" s="302"/>
      <c r="CG41" s="836"/>
      <c r="CH41" s="820"/>
      <c r="CI41" s="820"/>
      <c r="CJ41" s="908"/>
      <c r="CK41" s="838"/>
      <c r="CL41" s="822"/>
      <c r="CQ41" s="300"/>
    </row>
    <row r="42" spans="1:95" s="819" customFormat="1" ht="15" hidden="1" customHeight="1" x14ac:dyDescent="0.3">
      <c r="A42"/>
      <c r="B42" s="807">
        <v>20</v>
      </c>
      <c r="C42" s="709"/>
      <c r="D42" s="870"/>
      <c r="E42" s="814"/>
      <c r="F42" s="811"/>
      <c r="G42" s="811"/>
      <c r="H42" s="811"/>
      <c r="I42" s="811"/>
      <c r="J42" s="811"/>
      <c r="K42" s="811"/>
      <c r="L42" s="811"/>
      <c r="M42" s="811"/>
      <c r="N42" s="829"/>
      <c r="O42" s="814"/>
      <c r="P42" s="811"/>
      <c r="Q42" s="811"/>
      <c r="R42" s="811"/>
      <c r="S42" s="811"/>
      <c r="T42" s="811"/>
      <c r="U42" s="811"/>
      <c r="V42" s="811"/>
      <c r="W42" s="811"/>
      <c r="X42" s="829"/>
      <c r="Y42" s="814"/>
      <c r="Z42" s="811"/>
      <c r="AA42" s="811"/>
      <c r="AB42" s="811"/>
      <c r="AC42" s="811"/>
      <c r="AD42" s="811"/>
      <c r="AE42" s="811"/>
      <c r="AF42" s="811"/>
      <c r="AG42" s="811"/>
      <c r="AH42" s="829"/>
      <c r="AI42" s="814"/>
      <c r="AJ42" s="811"/>
      <c r="AK42" s="811"/>
      <c r="AL42" s="811"/>
      <c r="AM42" s="811"/>
      <c r="AN42" s="811"/>
      <c r="AO42" s="811"/>
      <c r="AP42" s="811"/>
      <c r="AQ42" s="811"/>
      <c r="AR42" s="829"/>
      <c r="AS42" s="814"/>
      <c r="AT42" s="811"/>
      <c r="AU42" s="811"/>
      <c r="AV42" s="811"/>
      <c r="AW42" s="811"/>
      <c r="AX42" s="811"/>
      <c r="AY42" s="811"/>
      <c r="AZ42" s="811"/>
      <c r="BA42" s="811"/>
      <c r="BB42" s="829"/>
      <c r="BC42" s="814"/>
      <c r="BD42" s="811"/>
      <c r="BE42" s="811"/>
      <c r="BF42" s="811"/>
      <c r="BG42" s="811"/>
      <c r="BH42" s="811"/>
      <c r="BI42" s="811"/>
      <c r="BJ42" s="811"/>
      <c r="BK42" s="811"/>
      <c r="BL42" s="829"/>
      <c r="BM42" s="814"/>
      <c r="BN42" s="811"/>
      <c r="BO42" s="811"/>
      <c r="BP42" s="811"/>
      <c r="BQ42" s="811"/>
      <c r="BR42" s="811"/>
      <c r="BS42" s="811"/>
      <c r="BT42" s="811"/>
      <c r="BU42" s="811"/>
      <c r="BV42" s="829"/>
      <c r="BW42" s="814"/>
      <c r="BX42" s="811"/>
      <c r="BY42" s="811"/>
      <c r="BZ42" s="829"/>
      <c r="CA42" s="814"/>
      <c r="CB42" s="811"/>
      <c r="CC42" s="811"/>
      <c r="CD42" s="829"/>
      <c r="CH42" s="820"/>
      <c r="CI42" s="820"/>
      <c r="CJ42" s="889"/>
      <c r="CK42" s="838"/>
      <c r="CL42" s="822"/>
      <c r="CQ42" s="300"/>
    </row>
    <row r="43" spans="1:95" s="811" customFormat="1" ht="14.5" hidden="1" thickBot="1" x14ac:dyDescent="0.35">
      <c r="A43" s="871"/>
      <c r="B43" s="871"/>
      <c r="C43" s="633" t="s">
        <v>67</v>
      </c>
      <c r="D43" s="909"/>
      <c r="E43" s="811">
        <f>SUM(E24:E40)</f>
        <v>0</v>
      </c>
      <c r="F43" s="811">
        <f t="shared" ref="F43:N43" si="33">SUM(F24:F40)</f>
        <v>0</v>
      </c>
      <c r="G43" s="811">
        <f t="shared" si="33"/>
        <v>0</v>
      </c>
      <c r="H43" s="811">
        <f t="shared" si="33"/>
        <v>0</v>
      </c>
      <c r="I43" s="811">
        <f t="shared" si="33"/>
        <v>0</v>
      </c>
      <c r="J43" s="811">
        <f t="shared" si="33"/>
        <v>0</v>
      </c>
      <c r="K43" s="811">
        <f t="shared" si="33"/>
        <v>0</v>
      </c>
      <c r="L43" s="811">
        <f t="shared" si="33"/>
        <v>0</v>
      </c>
      <c r="M43" s="811">
        <f t="shared" si="33"/>
        <v>0</v>
      </c>
      <c r="N43" s="811">
        <f t="shared" si="33"/>
        <v>0</v>
      </c>
      <c r="O43" s="814">
        <f>SUM(O24:O40)</f>
        <v>0</v>
      </c>
      <c r="P43" s="811">
        <f>SUM(P24:P40)</f>
        <v>0</v>
      </c>
      <c r="Q43" s="811">
        <f t="shared" ref="Q43:W43" si="34">SUM(Q24:Q40)</f>
        <v>0</v>
      </c>
      <c r="R43" s="811">
        <f t="shared" si="34"/>
        <v>0</v>
      </c>
      <c r="S43" s="811">
        <f t="shared" si="34"/>
        <v>0</v>
      </c>
      <c r="T43" s="811">
        <f t="shared" si="34"/>
        <v>0</v>
      </c>
      <c r="U43" s="811">
        <f t="shared" si="34"/>
        <v>0</v>
      </c>
      <c r="V43" s="811">
        <f t="shared" si="34"/>
        <v>0</v>
      </c>
      <c r="W43" s="811">
        <f t="shared" si="34"/>
        <v>0</v>
      </c>
      <c r="X43" s="811">
        <f>SUM(X24:X40)</f>
        <v>0</v>
      </c>
      <c r="Y43" s="814">
        <f>SUM(Y24:Y40)</f>
        <v>0</v>
      </c>
      <c r="Z43" s="811">
        <f>SUM(Z24:Z40)</f>
        <v>0</v>
      </c>
      <c r="AA43" s="811">
        <f t="shared" ref="AA43:CG43" si="35">SUM(AA24:AA40)</f>
        <v>0</v>
      </c>
      <c r="AB43" s="811">
        <f t="shared" si="35"/>
        <v>0</v>
      </c>
      <c r="AC43" s="811">
        <f t="shared" si="35"/>
        <v>0</v>
      </c>
      <c r="AD43" s="811">
        <f t="shared" si="35"/>
        <v>0</v>
      </c>
      <c r="AE43" s="811">
        <f t="shared" si="35"/>
        <v>0</v>
      </c>
      <c r="AF43" s="811">
        <f t="shared" si="35"/>
        <v>0</v>
      </c>
      <c r="AG43" s="811">
        <f t="shared" si="35"/>
        <v>0</v>
      </c>
      <c r="AH43" s="811">
        <f t="shared" si="35"/>
        <v>0</v>
      </c>
      <c r="AI43" s="811">
        <f t="shared" si="35"/>
        <v>0</v>
      </c>
      <c r="AJ43" s="811">
        <f t="shared" si="35"/>
        <v>0</v>
      </c>
      <c r="AK43" s="811">
        <f t="shared" si="35"/>
        <v>0</v>
      </c>
      <c r="AL43" s="811">
        <f t="shared" si="35"/>
        <v>0</v>
      </c>
      <c r="AM43" s="811">
        <f t="shared" si="35"/>
        <v>0</v>
      </c>
      <c r="AN43" s="811">
        <f t="shared" si="35"/>
        <v>0</v>
      </c>
      <c r="AO43" s="811">
        <f t="shared" si="35"/>
        <v>0</v>
      </c>
      <c r="AP43" s="811">
        <f t="shared" si="35"/>
        <v>0</v>
      </c>
      <c r="AQ43" s="811">
        <f t="shared" si="35"/>
        <v>0</v>
      </c>
      <c r="AR43" s="811">
        <f t="shared" si="35"/>
        <v>0</v>
      </c>
      <c r="AS43" s="811">
        <f t="shared" si="35"/>
        <v>0</v>
      </c>
      <c r="AT43" s="811">
        <f t="shared" si="35"/>
        <v>0</v>
      </c>
      <c r="AU43" s="811">
        <f t="shared" si="35"/>
        <v>0</v>
      </c>
      <c r="AV43" s="811">
        <f t="shared" si="35"/>
        <v>0</v>
      </c>
      <c r="AW43" s="811">
        <f t="shared" si="35"/>
        <v>0</v>
      </c>
      <c r="AX43" s="811">
        <f t="shared" si="35"/>
        <v>0</v>
      </c>
      <c r="AY43" s="811">
        <f t="shared" si="35"/>
        <v>0</v>
      </c>
      <c r="AZ43" s="811">
        <f t="shared" si="35"/>
        <v>0</v>
      </c>
      <c r="BA43" s="811">
        <f t="shared" si="35"/>
        <v>0</v>
      </c>
      <c r="BB43" s="811">
        <f t="shared" si="35"/>
        <v>0</v>
      </c>
      <c r="BC43" s="811">
        <f t="shared" si="35"/>
        <v>0</v>
      </c>
      <c r="BD43" s="811">
        <f t="shared" si="35"/>
        <v>0</v>
      </c>
      <c r="BE43" s="811">
        <f t="shared" si="35"/>
        <v>0</v>
      </c>
      <c r="BF43" s="811">
        <f t="shared" si="35"/>
        <v>0</v>
      </c>
      <c r="BG43" s="811">
        <f t="shared" si="35"/>
        <v>0</v>
      </c>
      <c r="BH43" s="811">
        <f t="shared" si="35"/>
        <v>0</v>
      </c>
      <c r="BI43" s="811">
        <f t="shared" si="35"/>
        <v>0</v>
      </c>
      <c r="BJ43" s="811">
        <f t="shared" si="35"/>
        <v>0</v>
      </c>
      <c r="BK43" s="811">
        <f t="shared" si="35"/>
        <v>0</v>
      </c>
      <c r="BL43" s="811">
        <f t="shared" si="35"/>
        <v>0</v>
      </c>
      <c r="BM43" s="811">
        <f t="shared" si="35"/>
        <v>0</v>
      </c>
      <c r="BN43" s="811">
        <f t="shared" si="35"/>
        <v>0</v>
      </c>
      <c r="BO43" s="811">
        <f t="shared" si="35"/>
        <v>0</v>
      </c>
      <c r="BP43" s="811">
        <f t="shared" si="35"/>
        <v>0</v>
      </c>
      <c r="BQ43" s="811">
        <f t="shared" si="35"/>
        <v>0</v>
      </c>
      <c r="BR43" s="811">
        <f t="shared" si="35"/>
        <v>0</v>
      </c>
      <c r="BS43" s="811">
        <f t="shared" si="35"/>
        <v>0</v>
      </c>
      <c r="BT43" s="811">
        <f t="shared" si="35"/>
        <v>0</v>
      </c>
      <c r="BU43" s="811">
        <f t="shared" si="35"/>
        <v>0</v>
      </c>
      <c r="BV43" s="811">
        <f t="shared" si="35"/>
        <v>0</v>
      </c>
      <c r="BW43" s="811">
        <f t="shared" si="35"/>
        <v>0</v>
      </c>
      <c r="BX43" s="811">
        <f t="shared" si="35"/>
        <v>0</v>
      </c>
      <c r="BY43" s="811">
        <f t="shared" si="35"/>
        <v>0</v>
      </c>
      <c r="BZ43" s="811">
        <f t="shared" si="35"/>
        <v>0</v>
      </c>
      <c r="CA43" s="811">
        <f t="shared" si="35"/>
        <v>0</v>
      </c>
      <c r="CB43" s="811">
        <f t="shared" si="35"/>
        <v>0</v>
      </c>
      <c r="CC43" s="811">
        <f t="shared" si="35"/>
        <v>0</v>
      </c>
      <c r="CD43" s="811">
        <f t="shared" si="35"/>
        <v>0</v>
      </c>
      <c r="CE43" s="811">
        <f t="shared" si="35"/>
        <v>0</v>
      </c>
      <c r="CF43" s="811">
        <f t="shared" si="35"/>
        <v>0</v>
      </c>
      <c r="CG43" s="811">
        <f t="shared" si="35"/>
        <v>0</v>
      </c>
      <c r="CH43" s="873">
        <f>SUM(CH24:CH40)</f>
        <v>0</v>
      </c>
      <c r="CI43" s="887"/>
      <c r="CJ43" s="910"/>
      <c r="CK43" s="829">
        <f t="shared" si="17"/>
        <v>0</v>
      </c>
      <c r="CL43" s="911"/>
      <c r="CQ43" s="302"/>
    </row>
    <row r="44" spans="1:95" s="811" customFormat="1" ht="14.5" hidden="1" thickBot="1" x14ac:dyDescent="0.35">
      <c r="A44" s="871"/>
      <c r="B44" s="871"/>
      <c r="C44" s="633" t="s">
        <v>68</v>
      </c>
      <c r="D44" s="912"/>
      <c r="E44" s="814">
        <f>E43-E45</f>
        <v>0</v>
      </c>
      <c r="F44" s="811">
        <f t="shared" ref="F44:BQ44" si="36">F43-F45</f>
        <v>0</v>
      </c>
      <c r="G44" s="811">
        <f t="shared" si="36"/>
        <v>0</v>
      </c>
      <c r="H44" s="811">
        <f t="shared" si="36"/>
        <v>0</v>
      </c>
      <c r="I44" s="811">
        <f t="shared" si="36"/>
        <v>0</v>
      </c>
      <c r="J44" s="811">
        <f t="shared" si="36"/>
        <v>0</v>
      </c>
      <c r="K44" s="811">
        <f t="shared" si="36"/>
        <v>0</v>
      </c>
      <c r="L44" s="811">
        <f t="shared" si="36"/>
        <v>0</v>
      </c>
      <c r="M44" s="811">
        <f t="shared" si="36"/>
        <v>0</v>
      </c>
      <c r="N44" s="829">
        <f t="shared" si="36"/>
        <v>0</v>
      </c>
      <c r="O44" s="814">
        <f t="shared" si="36"/>
        <v>0</v>
      </c>
      <c r="P44" s="811">
        <f t="shared" si="36"/>
        <v>0</v>
      </c>
      <c r="Q44" s="811">
        <f t="shared" si="36"/>
        <v>0</v>
      </c>
      <c r="R44" s="811">
        <f t="shared" si="36"/>
        <v>0</v>
      </c>
      <c r="S44" s="811">
        <f t="shared" si="36"/>
        <v>0</v>
      </c>
      <c r="T44" s="811">
        <f t="shared" si="36"/>
        <v>0</v>
      </c>
      <c r="U44" s="811">
        <f t="shared" si="36"/>
        <v>0</v>
      </c>
      <c r="V44" s="811">
        <f t="shared" si="36"/>
        <v>0</v>
      </c>
      <c r="W44" s="811">
        <f t="shared" si="36"/>
        <v>0</v>
      </c>
      <c r="X44" s="829">
        <f t="shared" si="36"/>
        <v>0</v>
      </c>
      <c r="Y44" s="814">
        <f t="shared" si="36"/>
        <v>0</v>
      </c>
      <c r="Z44" s="811">
        <f t="shared" si="36"/>
        <v>0</v>
      </c>
      <c r="AA44" s="811">
        <f t="shared" si="36"/>
        <v>0</v>
      </c>
      <c r="AB44" s="811">
        <f t="shared" si="36"/>
        <v>0</v>
      </c>
      <c r="AC44" s="811">
        <f t="shared" si="36"/>
        <v>0</v>
      </c>
      <c r="AD44" s="811">
        <f t="shared" si="36"/>
        <v>0</v>
      </c>
      <c r="AE44" s="811">
        <f t="shared" si="36"/>
        <v>0</v>
      </c>
      <c r="AF44" s="811">
        <f t="shared" si="36"/>
        <v>0</v>
      </c>
      <c r="AG44" s="811">
        <f t="shared" si="36"/>
        <v>0</v>
      </c>
      <c r="AH44" s="829">
        <f t="shared" si="36"/>
        <v>0</v>
      </c>
      <c r="AI44" s="814">
        <f t="shared" si="36"/>
        <v>0</v>
      </c>
      <c r="AJ44" s="811">
        <f t="shared" si="36"/>
        <v>0</v>
      </c>
      <c r="AK44" s="811">
        <f t="shared" si="36"/>
        <v>0</v>
      </c>
      <c r="AL44" s="811">
        <f t="shared" si="36"/>
        <v>0</v>
      </c>
      <c r="AM44" s="811">
        <f t="shared" si="36"/>
        <v>0</v>
      </c>
      <c r="AN44" s="811">
        <f t="shared" si="36"/>
        <v>0</v>
      </c>
      <c r="AO44" s="811">
        <f t="shared" si="36"/>
        <v>0</v>
      </c>
      <c r="AP44" s="811">
        <f t="shared" si="36"/>
        <v>0</v>
      </c>
      <c r="AQ44" s="811">
        <f t="shared" si="36"/>
        <v>0</v>
      </c>
      <c r="AR44" s="829">
        <f t="shared" si="36"/>
        <v>0</v>
      </c>
      <c r="AS44" s="814">
        <f t="shared" si="36"/>
        <v>0</v>
      </c>
      <c r="AT44" s="811">
        <f t="shared" si="36"/>
        <v>0</v>
      </c>
      <c r="AU44" s="811">
        <f t="shared" si="36"/>
        <v>0</v>
      </c>
      <c r="AV44" s="811">
        <f t="shared" si="36"/>
        <v>0</v>
      </c>
      <c r="AW44" s="811">
        <f t="shared" si="36"/>
        <v>0</v>
      </c>
      <c r="AX44" s="811">
        <f t="shared" si="36"/>
        <v>0</v>
      </c>
      <c r="AY44" s="811">
        <f t="shared" si="36"/>
        <v>0</v>
      </c>
      <c r="AZ44" s="811">
        <f t="shared" si="36"/>
        <v>0</v>
      </c>
      <c r="BA44" s="811">
        <f t="shared" si="36"/>
        <v>0</v>
      </c>
      <c r="BB44" s="829">
        <f t="shared" si="36"/>
        <v>0</v>
      </c>
      <c r="BC44" s="814">
        <f t="shared" si="36"/>
        <v>0</v>
      </c>
      <c r="BD44" s="811">
        <f t="shared" si="36"/>
        <v>0</v>
      </c>
      <c r="BE44" s="811">
        <f t="shared" si="36"/>
        <v>0</v>
      </c>
      <c r="BF44" s="811">
        <f t="shared" si="36"/>
        <v>0</v>
      </c>
      <c r="BG44" s="811">
        <f t="shared" si="36"/>
        <v>0</v>
      </c>
      <c r="BH44" s="811">
        <f t="shared" si="36"/>
        <v>0</v>
      </c>
      <c r="BI44" s="811">
        <f t="shared" si="36"/>
        <v>0</v>
      </c>
      <c r="BJ44" s="811">
        <f t="shared" si="36"/>
        <v>0</v>
      </c>
      <c r="BK44" s="811">
        <f t="shared" si="36"/>
        <v>0</v>
      </c>
      <c r="BL44" s="829">
        <f t="shared" si="36"/>
        <v>0</v>
      </c>
      <c r="BM44" s="814">
        <f t="shared" si="36"/>
        <v>0</v>
      </c>
      <c r="BN44" s="811">
        <f t="shared" si="36"/>
        <v>0</v>
      </c>
      <c r="BO44" s="811">
        <f t="shared" si="36"/>
        <v>0</v>
      </c>
      <c r="BP44" s="811">
        <f t="shared" si="36"/>
        <v>0</v>
      </c>
      <c r="BQ44" s="811">
        <f t="shared" si="36"/>
        <v>0</v>
      </c>
      <c r="BR44" s="811">
        <f t="shared" ref="BR44:CJ44" si="37">BR43-BR45</f>
        <v>0</v>
      </c>
      <c r="BS44" s="811">
        <f t="shared" si="37"/>
        <v>0</v>
      </c>
      <c r="BT44" s="811">
        <f t="shared" si="37"/>
        <v>0</v>
      </c>
      <c r="BU44" s="811">
        <f t="shared" si="37"/>
        <v>0</v>
      </c>
      <c r="BV44" s="829">
        <f t="shared" si="37"/>
        <v>0</v>
      </c>
      <c r="BW44" s="814">
        <f t="shared" si="37"/>
        <v>0</v>
      </c>
      <c r="BX44" s="811">
        <f t="shared" si="37"/>
        <v>0</v>
      </c>
      <c r="BY44" s="811">
        <f t="shared" si="37"/>
        <v>0</v>
      </c>
      <c r="BZ44" s="829">
        <f t="shared" si="37"/>
        <v>0</v>
      </c>
      <c r="CA44" s="814">
        <f t="shared" si="37"/>
        <v>0</v>
      </c>
      <c r="CB44" s="811">
        <f t="shared" si="37"/>
        <v>0</v>
      </c>
      <c r="CC44" s="811">
        <f t="shared" si="37"/>
        <v>0</v>
      </c>
      <c r="CD44" s="829">
        <f t="shared" si="37"/>
        <v>0</v>
      </c>
      <c r="CE44" s="811">
        <f t="shared" si="37"/>
        <v>0</v>
      </c>
      <c r="CF44" s="811">
        <f t="shared" si="37"/>
        <v>0</v>
      </c>
      <c r="CG44" s="811">
        <f t="shared" si="37"/>
        <v>0</v>
      </c>
      <c r="CH44" s="887">
        <f t="shared" si="37"/>
        <v>0</v>
      </c>
      <c r="CI44" s="887"/>
      <c r="CJ44" s="913">
        <f t="shared" si="37"/>
        <v>0</v>
      </c>
      <c r="CK44" s="829">
        <f t="shared" si="17"/>
        <v>0</v>
      </c>
      <c r="CL44" s="911"/>
      <c r="CQ44" s="302"/>
    </row>
    <row r="45" spans="1:95" s="811" customFormat="1" ht="14.25" hidden="1" customHeight="1" x14ac:dyDescent="0.3">
      <c r="A45" s="871"/>
      <c r="B45" s="871"/>
      <c r="C45" s="632" t="str">
        <f>C32</f>
        <v>RSVA - Global Adjustment 12</v>
      </c>
      <c r="D45" s="874">
        <v>1589</v>
      </c>
      <c r="E45" s="814">
        <f>E32</f>
        <v>0</v>
      </c>
      <c r="F45" s="811">
        <f t="shared" ref="F45:BL45" si="38">F32</f>
        <v>0</v>
      </c>
      <c r="G45" s="811">
        <f t="shared" si="38"/>
        <v>0</v>
      </c>
      <c r="H45" s="811">
        <f t="shared" si="38"/>
        <v>0</v>
      </c>
      <c r="I45" s="811">
        <f t="shared" si="38"/>
        <v>0</v>
      </c>
      <c r="J45" s="811">
        <f t="shared" si="38"/>
        <v>0</v>
      </c>
      <c r="K45" s="811">
        <f t="shared" si="38"/>
        <v>0</v>
      </c>
      <c r="L45" s="811">
        <f t="shared" si="38"/>
        <v>0</v>
      </c>
      <c r="M45" s="811">
        <f t="shared" si="38"/>
        <v>0</v>
      </c>
      <c r="N45" s="829">
        <f t="shared" si="38"/>
        <v>0</v>
      </c>
      <c r="O45" s="814">
        <f t="shared" si="38"/>
        <v>0</v>
      </c>
      <c r="P45" s="811">
        <f t="shared" si="38"/>
        <v>0</v>
      </c>
      <c r="Q45" s="811">
        <f t="shared" si="38"/>
        <v>0</v>
      </c>
      <c r="R45" s="811">
        <f t="shared" si="38"/>
        <v>0</v>
      </c>
      <c r="S45" s="811">
        <f t="shared" si="38"/>
        <v>0</v>
      </c>
      <c r="T45" s="811">
        <f t="shared" si="38"/>
        <v>0</v>
      </c>
      <c r="U45" s="811">
        <f t="shared" si="38"/>
        <v>0</v>
      </c>
      <c r="V45" s="811">
        <f t="shared" si="38"/>
        <v>0</v>
      </c>
      <c r="W45" s="811">
        <f t="shared" si="38"/>
        <v>0</v>
      </c>
      <c r="X45" s="829">
        <f t="shared" si="38"/>
        <v>0</v>
      </c>
      <c r="Y45" s="814">
        <f t="shared" si="38"/>
        <v>0</v>
      </c>
      <c r="Z45" s="811">
        <f t="shared" si="38"/>
        <v>0</v>
      </c>
      <c r="AA45" s="811">
        <f t="shared" si="38"/>
        <v>0</v>
      </c>
      <c r="AB45" s="811">
        <f t="shared" si="38"/>
        <v>0</v>
      </c>
      <c r="AC45" s="811">
        <f t="shared" si="38"/>
        <v>0</v>
      </c>
      <c r="AD45" s="811">
        <f t="shared" si="38"/>
        <v>0</v>
      </c>
      <c r="AE45" s="811">
        <f t="shared" si="38"/>
        <v>0</v>
      </c>
      <c r="AF45" s="811">
        <f t="shared" si="38"/>
        <v>0</v>
      </c>
      <c r="AG45" s="811">
        <f t="shared" si="38"/>
        <v>0</v>
      </c>
      <c r="AH45" s="829">
        <f t="shared" si="38"/>
        <v>0</v>
      </c>
      <c r="AI45" s="814">
        <f t="shared" si="38"/>
        <v>0</v>
      </c>
      <c r="AJ45" s="811">
        <f t="shared" si="38"/>
        <v>0</v>
      </c>
      <c r="AK45" s="811">
        <f t="shared" si="38"/>
        <v>0</v>
      </c>
      <c r="AL45" s="811">
        <f t="shared" si="38"/>
        <v>0</v>
      </c>
      <c r="AM45" s="811">
        <f t="shared" si="38"/>
        <v>0</v>
      </c>
      <c r="AN45" s="811">
        <f t="shared" si="38"/>
        <v>0</v>
      </c>
      <c r="AO45" s="811">
        <f t="shared" si="38"/>
        <v>0</v>
      </c>
      <c r="AP45" s="811">
        <f t="shared" si="38"/>
        <v>0</v>
      </c>
      <c r="AQ45" s="811">
        <f t="shared" si="38"/>
        <v>0</v>
      </c>
      <c r="AR45" s="829">
        <f t="shared" si="38"/>
        <v>0</v>
      </c>
      <c r="AS45" s="814">
        <f t="shared" si="38"/>
        <v>0</v>
      </c>
      <c r="AT45" s="811">
        <f t="shared" si="38"/>
        <v>0</v>
      </c>
      <c r="AU45" s="811">
        <f t="shared" si="38"/>
        <v>0</v>
      </c>
      <c r="AV45" s="811">
        <f t="shared" si="38"/>
        <v>0</v>
      </c>
      <c r="AW45" s="811">
        <f t="shared" si="38"/>
        <v>0</v>
      </c>
      <c r="AX45" s="811">
        <f t="shared" si="38"/>
        <v>0</v>
      </c>
      <c r="AY45" s="811">
        <f t="shared" si="38"/>
        <v>0</v>
      </c>
      <c r="AZ45" s="811">
        <f t="shared" si="38"/>
        <v>0</v>
      </c>
      <c r="BA45" s="811">
        <f t="shared" si="38"/>
        <v>0</v>
      </c>
      <c r="BB45" s="829">
        <f t="shared" si="38"/>
        <v>0</v>
      </c>
      <c r="BC45" s="814">
        <f t="shared" si="38"/>
        <v>0</v>
      </c>
      <c r="BD45" s="811">
        <f>BD32</f>
        <v>0</v>
      </c>
      <c r="BE45" s="811">
        <f t="shared" si="38"/>
        <v>0</v>
      </c>
      <c r="BF45" s="811">
        <f t="shared" si="38"/>
        <v>0</v>
      </c>
      <c r="BG45" s="811">
        <f t="shared" si="38"/>
        <v>0</v>
      </c>
      <c r="BH45" s="811">
        <f t="shared" si="38"/>
        <v>0</v>
      </c>
      <c r="BI45" s="811">
        <f t="shared" si="38"/>
        <v>0</v>
      </c>
      <c r="BJ45" s="811">
        <f t="shared" si="38"/>
        <v>0</v>
      </c>
      <c r="BK45" s="811">
        <f t="shared" si="38"/>
        <v>0</v>
      </c>
      <c r="BL45" s="829">
        <f t="shared" si="38"/>
        <v>0</v>
      </c>
      <c r="BM45" s="814">
        <f>BM32</f>
        <v>0</v>
      </c>
      <c r="BN45" s="811">
        <f>BN32</f>
        <v>0</v>
      </c>
      <c r="BO45" s="811">
        <f t="shared" ref="BO45:CE45" si="39">BO32</f>
        <v>0</v>
      </c>
      <c r="BP45" s="811">
        <f t="shared" si="39"/>
        <v>0</v>
      </c>
      <c r="BQ45" s="811">
        <f t="shared" si="39"/>
        <v>0</v>
      </c>
      <c r="BR45" s="811">
        <f t="shared" si="39"/>
        <v>0</v>
      </c>
      <c r="BS45" s="811">
        <f t="shared" si="39"/>
        <v>0</v>
      </c>
      <c r="BT45" s="811">
        <f t="shared" si="39"/>
        <v>0</v>
      </c>
      <c r="BU45" s="811">
        <f t="shared" si="39"/>
        <v>0</v>
      </c>
      <c r="BV45" s="829">
        <f t="shared" si="39"/>
        <v>0</v>
      </c>
      <c r="BW45" s="814">
        <f t="shared" si="39"/>
        <v>0</v>
      </c>
      <c r="BX45" s="811">
        <f t="shared" si="39"/>
        <v>0</v>
      </c>
      <c r="BY45" s="811">
        <f t="shared" si="39"/>
        <v>0</v>
      </c>
      <c r="BZ45" s="829">
        <f t="shared" si="39"/>
        <v>0</v>
      </c>
      <c r="CA45" s="814">
        <f t="shared" si="39"/>
        <v>0</v>
      </c>
      <c r="CB45" s="811">
        <f t="shared" si="39"/>
        <v>0</v>
      </c>
      <c r="CC45" s="811">
        <f t="shared" si="39"/>
        <v>0</v>
      </c>
      <c r="CD45" s="829">
        <f t="shared" si="39"/>
        <v>0</v>
      </c>
      <c r="CE45" s="811">
        <f t="shared" si="39"/>
        <v>0</v>
      </c>
      <c r="CF45" s="811">
        <f>CF32</f>
        <v>0</v>
      </c>
      <c r="CG45" s="811">
        <f>CG32</f>
        <v>0</v>
      </c>
      <c r="CH45" s="873">
        <f>SUM(CC45:CF45)</f>
        <v>0</v>
      </c>
      <c r="CI45" s="873"/>
      <c r="CJ45" s="913">
        <f>CJ32</f>
        <v>0</v>
      </c>
      <c r="CK45" s="829">
        <f t="shared" si="17"/>
        <v>0</v>
      </c>
      <c r="CL45" s="911"/>
      <c r="CQ45" s="302"/>
    </row>
    <row r="46" spans="1:95" s="819" customFormat="1" ht="14.5" hidden="1" thickBot="1" x14ac:dyDescent="0.35">
      <c r="A46"/>
      <c r="B46"/>
      <c r="C46" s="632"/>
      <c r="D46" s="914"/>
      <c r="E46" s="814"/>
      <c r="F46" s="811"/>
      <c r="G46" s="811"/>
      <c r="H46" s="811"/>
      <c r="I46" s="811"/>
      <c r="J46" s="811"/>
      <c r="K46" s="811"/>
      <c r="L46" s="811"/>
      <c r="M46" s="811"/>
      <c r="N46" s="829"/>
      <c r="O46" s="814"/>
      <c r="P46" s="811"/>
      <c r="Q46" s="811"/>
      <c r="R46" s="811"/>
      <c r="S46" s="811"/>
      <c r="T46" s="811"/>
      <c r="U46" s="811"/>
      <c r="V46" s="811"/>
      <c r="W46" s="811"/>
      <c r="X46" s="829"/>
      <c r="Y46" s="814"/>
      <c r="Z46" s="811"/>
      <c r="AA46" s="811"/>
      <c r="AB46" s="811"/>
      <c r="AC46" s="811"/>
      <c r="AD46" s="811"/>
      <c r="AE46" s="811"/>
      <c r="AF46" s="811"/>
      <c r="AG46" s="811"/>
      <c r="AH46" s="829"/>
      <c r="AI46" s="814"/>
      <c r="AJ46" s="811"/>
      <c r="AK46" s="811"/>
      <c r="AL46" s="811"/>
      <c r="AM46" s="811"/>
      <c r="AN46" s="811"/>
      <c r="AO46" s="811"/>
      <c r="AP46" s="811"/>
      <c r="AQ46" s="811"/>
      <c r="AR46" s="829"/>
      <c r="AS46" s="814"/>
      <c r="AT46" s="811"/>
      <c r="AU46" s="811"/>
      <c r="AV46" s="811"/>
      <c r="AW46" s="811"/>
      <c r="AX46" s="811"/>
      <c r="AY46" s="811"/>
      <c r="AZ46" s="811"/>
      <c r="BA46" s="811"/>
      <c r="BB46" s="829"/>
      <c r="BC46" s="814"/>
      <c r="BD46" s="811"/>
      <c r="BE46" s="811"/>
      <c r="BF46" s="811"/>
      <c r="BG46" s="811"/>
      <c r="BH46" s="811"/>
      <c r="BI46" s="811"/>
      <c r="BJ46" s="811"/>
      <c r="BK46" s="811"/>
      <c r="BL46" s="829"/>
      <c r="BM46" s="814"/>
      <c r="BN46" s="811"/>
      <c r="BO46" s="811"/>
      <c r="BP46" s="811"/>
      <c r="BQ46" s="811"/>
      <c r="BR46" s="811"/>
      <c r="BS46" s="811"/>
      <c r="BT46" s="811"/>
      <c r="BU46" s="811"/>
      <c r="BV46" s="829"/>
      <c r="BW46" s="814"/>
      <c r="BX46" s="811"/>
      <c r="BY46" s="811"/>
      <c r="BZ46" s="829"/>
      <c r="CA46" s="814"/>
      <c r="CB46" s="811"/>
      <c r="CC46" s="811"/>
      <c r="CD46" s="829"/>
      <c r="CH46" s="820"/>
      <c r="CI46" s="820"/>
      <c r="CJ46" s="889"/>
      <c r="CK46" s="838"/>
      <c r="CL46" s="822"/>
      <c r="CQ46" s="300"/>
    </row>
    <row r="47" spans="1:95" s="819" customFormat="1" ht="35.25" customHeight="1" thickBot="1" x14ac:dyDescent="0.35">
      <c r="A47"/>
      <c r="B47"/>
      <c r="C47" s="808" t="s">
        <v>22</v>
      </c>
      <c r="D47" s="809"/>
      <c r="E47" s="814"/>
      <c r="F47" s="811"/>
      <c r="G47" s="811"/>
      <c r="H47" s="811"/>
      <c r="I47" s="811"/>
      <c r="J47" s="811"/>
      <c r="K47" s="811"/>
      <c r="L47" s="811"/>
      <c r="M47" s="811"/>
      <c r="N47" s="829"/>
      <c r="O47" s="814"/>
      <c r="P47" s="811"/>
      <c r="Q47" s="811"/>
      <c r="R47" s="811"/>
      <c r="S47" s="811"/>
      <c r="T47" s="811"/>
      <c r="U47" s="811"/>
      <c r="V47" s="811"/>
      <c r="W47" s="811"/>
      <c r="X47" s="829"/>
      <c r="Y47" s="814"/>
      <c r="Z47" s="811"/>
      <c r="AA47" s="811"/>
      <c r="AB47" s="811"/>
      <c r="AC47" s="811"/>
      <c r="AD47" s="811"/>
      <c r="AE47" s="811"/>
      <c r="AF47" s="811"/>
      <c r="AG47" s="811"/>
      <c r="AH47" s="829"/>
      <c r="AI47" s="814"/>
      <c r="AJ47" s="811"/>
      <c r="AK47" s="811"/>
      <c r="AL47" s="811"/>
      <c r="AM47" s="811"/>
      <c r="AN47" s="811"/>
      <c r="AO47" s="811"/>
      <c r="AP47" s="811"/>
      <c r="AQ47" s="811"/>
      <c r="AR47" s="829"/>
      <c r="AS47" s="814"/>
      <c r="AT47" s="811"/>
      <c r="AU47" s="811"/>
      <c r="AV47" s="811"/>
      <c r="AW47" s="811"/>
      <c r="AX47" s="811"/>
      <c r="AY47" s="811"/>
      <c r="AZ47" s="811"/>
      <c r="BA47" s="811"/>
      <c r="BB47" s="829"/>
      <c r="BC47" s="814"/>
      <c r="BD47" s="811"/>
      <c r="BE47" s="811"/>
      <c r="BF47" s="811"/>
      <c r="BG47" s="811"/>
      <c r="BH47" s="811"/>
      <c r="BI47" s="811"/>
      <c r="BJ47" s="811"/>
      <c r="BK47" s="811"/>
      <c r="BL47" s="829"/>
      <c r="BM47" s="814"/>
      <c r="BN47" s="811"/>
      <c r="BO47" s="811"/>
      <c r="BP47" s="811"/>
      <c r="BQ47" s="811"/>
      <c r="BR47" s="811"/>
      <c r="BS47" s="811"/>
      <c r="BT47" s="811"/>
      <c r="BU47" s="811"/>
      <c r="BV47" s="829"/>
      <c r="BW47" s="814"/>
      <c r="BX47" s="811"/>
      <c r="BY47" s="811"/>
      <c r="BZ47" s="829"/>
      <c r="CA47" s="814"/>
      <c r="CB47" s="811"/>
      <c r="CC47" s="811"/>
      <c r="CD47" s="829"/>
      <c r="CH47" s="820"/>
      <c r="CI47" s="820"/>
      <c r="CJ47" s="889"/>
      <c r="CK47" s="838"/>
      <c r="CL47" s="822"/>
      <c r="CQ47" s="300"/>
    </row>
    <row r="48" spans="1:95" s="819" customFormat="1" ht="14.5" thickBot="1" x14ac:dyDescent="0.35">
      <c r="A48">
        <v>16</v>
      </c>
      <c r="B48"/>
      <c r="C48" s="709" t="s">
        <v>3067</v>
      </c>
      <c r="D48" s="823">
        <v>1508</v>
      </c>
      <c r="E48" s="903"/>
      <c r="F48" s="832"/>
      <c r="G48" s="832"/>
      <c r="H48" s="832"/>
      <c r="I48" s="811">
        <f t="shared" ref="I48:I82" si="40">E48+F48-G48+H48</f>
        <v>0</v>
      </c>
      <c r="J48" s="832"/>
      <c r="K48" s="915"/>
      <c r="L48" s="832"/>
      <c r="M48" s="832"/>
      <c r="N48" s="829">
        <f t="shared" ref="N48:N82" si="41">J48+K48-L48+M48</f>
        <v>0</v>
      </c>
      <c r="O48" s="830">
        <f t="shared" ref="O48:O78" si="42">I48</f>
        <v>0</v>
      </c>
      <c r="P48" s="916"/>
      <c r="Q48" s="832"/>
      <c r="R48" s="832"/>
      <c r="S48" s="811">
        <f t="shared" ref="S48:S82" si="43">O48+P48-Q48+R48</f>
        <v>0</v>
      </c>
      <c r="T48" s="831">
        <f t="shared" ref="T48:T82" si="44">N48</f>
        <v>0</v>
      </c>
      <c r="U48" s="917"/>
      <c r="V48" s="832"/>
      <c r="W48" s="832"/>
      <c r="X48" s="829">
        <f t="shared" ref="X48:X82" si="45">T48+U48-V48+W48</f>
        <v>0</v>
      </c>
      <c r="Y48" s="830">
        <f t="shared" ref="Y48:Y82" si="46">S48</f>
        <v>0</v>
      </c>
      <c r="Z48" s="832"/>
      <c r="AA48" s="832"/>
      <c r="AB48" s="832"/>
      <c r="AC48" s="811">
        <f t="shared" ref="AC48:AC82" si="47">Y48+Z48-AA48+AB48</f>
        <v>0</v>
      </c>
      <c r="AD48" s="831">
        <f t="shared" ref="AD48:AD82" si="48">X48</f>
        <v>0</v>
      </c>
      <c r="AE48" s="832"/>
      <c r="AF48" s="832"/>
      <c r="AG48" s="832"/>
      <c r="AH48" s="829">
        <f t="shared" ref="AH48:AH82" si="49">AD48+AE48-AF48+AG48</f>
        <v>0</v>
      </c>
      <c r="AI48" s="830">
        <f t="shared" ref="AI48:AI78" si="50">AC48</f>
        <v>0</v>
      </c>
      <c r="AJ48" s="832"/>
      <c r="AK48" s="832"/>
      <c r="AL48" s="832"/>
      <c r="AM48" s="811">
        <f t="shared" ref="AM48:AM82" si="51">AI48+AJ48-AK48+SUM(AL48:AL48)</f>
        <v>0</v>
      </c>
      <c r="AN48" s="831">
        <f t="shared" ref="AN48:AN82" si="52">AH48</f>
        <v>0</v>
      </c>
      <c r="AO48" s="832"/>
      <c r="AP48" s="832"/>
      <c r="AQ48" s="832"/>
      <c r="AR48" s="829">
        <f t="shared" ref="AR48:AR82" si="53">AN48+AO48-AP48+AQ48</f>
        <v>0</v>
      </c>
      <c r="AS48" s="830">
        <f t="shared" ref="AS48:AS78" si="54">AM48</f>
        <v>0</v>
      </c>
      <c r="AT48" s="832"/>
      <c r="AU48" s="832"/>
      <c r="AV48" s="832"/>
      <c r="AW48" s="811">
        <f t="shared" ref="AW48:AW82" si="55">AS48+AT48-AU48+AV48</f>
        <v>0</v>
      </c>
      <c r="AX48" s="831">
        <f t="shared" ref="AX48:AX82" si="56">AR48</f>
        <v>0</v>
      </c>
      <c r="AY48" s="832"/>
      <c r="AZ48" s="832"/>
      <c r="BA48" s="832"/>
      <c r="BB48" s="829">
        <f>AX48+AY48-AZ48+BA48</f>
        <v>0</v>
      </c>
      <c r="BC48" s="830">
        <f t="shared" ref="BC48:BC78" si="57">AW48</f>
        <v>0</v>
      </c>
      <c r="BD48" s="832"/>
      <c r="BE48" s="832"/>
      <c r="BF48" s="832"/>
      <c r="BG48" s="811">
        <f>BC48+BD48-BE48+SUM(BF48:BF48)</f>
        <v>0</v>
      </c>
      <c r="BH48" s="831">
        <f>BB48</f>
        <v>0</v>
      </c>
      <c r="BI48" s="832"/>
      <c r="BJ48" s="832"/>
      <c r="BK48" s="832"/>
      <c r="BL48" s="829">
        <f t="shared" ref="BL48:BL82" si="58">BH48+BI48-BJ48+BK48</f>
        <v>0</v>
      </c>
      <c r="BM48" s="830">
        <f t="shared" ref="BM48:BM82" si="59">BG48</f>
        <v>0</v>
      </c>
      <c r="BN48" s="832"/>
      <c r="BO48" s="832"/>
      <c r="BP48" s="832"/>
      <c r="BQ48" s="811">
        <f>BM48+BN48-BO48+SUM(BP48:BP48)</f>
        <v>0</v>
      </c>
      <c r="BR48" s="831">
        <f>BL48</f>
        <v>0</v>
      </c>
      <c r="BS48" s="832"/>
      <c r="BT48" s="832"/>
      <c r="BU48" s="832"/>
      <c r="BV48" s="829">
        <f t="shared" ref="BV48:BV82" si="60">BR48+BS48-BT48+BU48</f>
        <v>0</v>
      </c>
      <c r="BW48" s="833"/>
      <c r="BX48" s="832"/>
      <c r="BY48" s="831">
        <f>BQ48+BW48</f>
        <v>0</v>
      </c>
      <c r="BZ48" s="834">
        <f>BV48+BX48</f>
        <v>0</v>
      </c>
      <c r="CA48" s="833"/>
      <c r="CB48" s="832"/>
      <c r="CC48" s="831">
        <f>BY48-CA48</f>
        <v>0</v>
      </c>
      <c r="CD48" s="834">
        <f>BZ48-CB48</f>
        <v>0</v>
      </c>
      <c r="CE48" s="835"/>
      <c r="CF48" s="832"/>
      <c r="CG48" s="836">
        <f t="shared" ref="CG48:CG73" si="61">CD48+CE48+CF48</f>
        <v>0</v>
      </c>
      <c r="CH48" s="820">
        <f t="shared" ref="CH48:CH56" si="62">SUM(CC48:CF48)</f>
        <v>0</v>
      </c>
      <c r="CI48" s="918" t="s">
        <v>633</v>
      </c>
      <c r="CJ48" s="838">
        <v>0</v>
      </c>
      <c r="CK48" s="838">
        <f>CJ48-SUM(BQ48,BV48)</f>
        <v>0</v>
      </c>
      <c r="CL48" s="839" t="str">
        <f>IF(ABS(CK48)&gt;1,"Please provide an explanation of the variance in the tab 3 - Appendix A","")</f>
        <v/>
      </c>
      <c r="CQ48" s="300"/>
    </row>
    <row r="49" spans="1:95" s="819" customFormat="1" ht="17" thickBot="1" x14ac:dyDescent="0.35">
      <c r="A49">
        <v>17</v>
      </c>
      <c r="B49"/>
      <c r="C49" s="709" t="s">
        <v>2923</v>
      </c>
      <c r="D49" s="823">
        <v>1508</v>
      </c>
      <c r="E49" s="919"/>
      <c r="F49" s="919"/>
      <c r="G49" s="919"/>
      <c r="H49" s="919"/>
      <c r="I49" s="811">
        <f>E49+F49-G49+H49</f>
        <v>0</v>
      </c>
      <c r="J49" s="919"/>
      <c r="K49" s="919"/>
      <c r="L49" s="919"/>
      <c r="M49" s="919"/>
      <c r="N49" s="829">
        <f>J49+K49-L49+M49</f>
        <v>0</v>
      </c>
      <c r="O49" s="830">
        <f>I49</f>
        <v>0</v>
      </c>
      <c r="P49" s="916"/>
      <c r="Q49" s="832"/>
      <c r="R49" s="832"/>
      <c r="S49" s="811">
        <f t="shared" si="43"/>
        <v>0</v>
      </c>
      <c r="T49" s="831">
        <f t="shared" si="44"/>
        <v>0</v>
      </c>
      <c r="U49" s="916"/>
      <c r="V49" s="832"/>
      <c r="W49" s="832"/>
      <c r="X49" s="829">
        <f>T49+U49-V49+W49</f>
        <v>0</v>
      </c>
      <c r="Y49" s="830">
        <f t="shared" si="46"/>
        <v>0</v>
      </c>
      <c r="Z49" s="832"/>
      <c r="AA49" s="832"/>
      <c r="AB49" s="832"/>
      <c r="AC49" s="811">
        <f t="shared" si="47"/>
        <v>0</v>
      </c>
      <c r="AD49" s="831">
        <f t="shared" si="48"/>
        <v>0</v>
      </c>
      <c r="AE49" s="832"/>
      <c r="AF49" s="832"/>
      <c r="AG49" s="832"/>
      <c r="AH49" s="829">
        <f t="shared" si="49"/>
        <v>0</v>
      </c>
      <c r="AI49" s="830">
        <f t="shared" si="50"/>
        <v>0</v>
      </c>
      <c r="AJ49" s="832"/>
      <c r="AK49" s="832"/>
      <c r="AL49" s="832"/>
      <c r="AM49" s="811">
        <f t="shared" si="51"/>
        <v>0</v>
      </c>
      <c r="AN49" s="831">
        <f t="shared" si="52"/>
        <v>0</v>
      </c>
      <c r="AO49" s="832"/>
      <c r="AP49" s="832"/>
      <c r="AQ49" s="832"/>
      <c r="AR49" s="829">
        <f t="shared" si="53"/>
        <v>0</v>
      </c>
      <c r="AS49" s="830">
        <f t="shared" si="54"/>
        <v>0</v>
      </c>
      <c r="AT49" s="832"/>
      <c r="AU49" s="832"/>
      <c r="AV49" s="832"/>
      <c r="AW49" s="811">
        <f t="shared" si="55"/>
        <v>0</v>
      </c>
      <c r="AX49" s="831">
        <f t="shared" si="56"/>
        <v>0</v>
      </c>
      <c r="AY49" s="920"/>
      <c r="AZ49" s="920"/>
      <c r="BA49" s="920"/>
      <c r="BB49" s="829">
        <f t="shared" ref="BB49:BB82" si="63">AX49+AY49-AZ49+BA49</f>
        <v>0</v>
      </c>
      <c r="BC49" s="830">
        <f t="shared" si="57"/>
        <v>0</v>
      </c>
      <c r="BD49" s="832">
        <v>1106756.19</v>
      </c>
      <c r="BE49" s="832"/>
      <c r="BF49" s="832"/>
      <c r="BG49" s="811">
        <f>BC49+BD49-BE49+SUM(BF49:BF49)</f>
        <v>1106756.19</v>
      </c>
      <c r="BH49" s="831">
        <f>BB49</f>
        <v>0</v>
      </c>
      <c r="BI49" s="832">
        <v>8923.2218302500005</v>
      </c>
      <c r="BJ49" s="832"/>
      <c r="BK49" s="832"/>
      <c r="BL49" s="829">
        <f t="shared" si="58"/>
        <v>8923.2218302500005</v>
      </c>
      <c r="BM49" s="830">
        <f t="shared" si="59"/>
        <v>1106756.19</v>
      </c>
      <c r="BN49" s="832">
        <v>1562413.2450000006</v>
      </c>
      <c r="BO49" s="832"/>
      <c r="BP49" s="832"/>
      <c r="BQ49" s="811">
        <f>BM49+BN49-BO49+SUM(BP49:BP49)</f>
        <v>2669169.4350000005</v>
      </c>
      <c r="BR49" s="831">
        <f>BL49</f>
        <v>8923.2218302500005</v>
      </c>
      <c r="BS49" s="832">
        <v>74685.266101125017</v>
      </c>
      <c r="BT49" s="832"/>
      <c r="BU49" s="832"/>
      <c r="BV49" s="829">
        <f t="shared" si="60"/>
        <v>83608.487931375013</v>
      </c>
      <c r="BW49" s="833">
        <v>1374923</v>
      </c>
      <c r="BX49" s="832"/>
      <c r="BY49" s="831">
        <f>BQ49+BW49</f>
        <v>4044092.4350000005</v>
      </c>
      <c r="BZ49" s="834">
        <f t="shared" ref="BZ49:BZ82" si="64">BV49+BX49</f>
        <v>83608.487931375013</v>
      </c>
      <c r="CA49" s="833"/>
      <c r="CB49" s="832"/>
      <c r="CC49" s="831">
        <f t="shared" ref="CC49:CD82" si="65">BY49-CA49</f>
        <v>4044092.4350000005</v>
      </c>
      <c r="CD49" s="834">
        <f t="shared" si="65"/>
        <v>83608.487931375013</v>
      </c>
      <c r="CE49" s="835">
        <v>174843.62924399998</v>
      </c>
      <c r="CF49" s="832"/>
      <c r="CG49" s="836">
        <f t="shared" si="61"/>
        <v>258452.11717537499</v>
      </c>
      <c r="CH49" s="820">
        <f t="shared" si="62"/>
        <v>4302544.5521753756</v>
      </c>
      <c r="CI49" s="918" t="s">
        <v>3029</v>
      </c>
      <c r="CJ49" s="838">
        <v>2752778</v>
      </c>
      <c r="CK49" s="838">
        <f t="shared" ref="CK49:CK82" si="66">CJ49-SUM(BQ49,BV49)</f>
        <v>7.7068624552339315E-2</v>
      </c>
      <c r="CL49" s="839"/>
      <c r="CQ49" s="300"/>
    </row>
    <row r="50" spans="1:95" s="819" customFormat="1" ht="17" thickBot="1" x14ac:dyDescent="0.35">
      <c r="A50">
        <v>18</v>
      </c>
      <c r="B50"/>
      <c r="C50" s="921" t="s">
        <v>2920</v>
      </c>
      <c r="D50" s="823">
        <v>1508</v>
      </c>
      <c r="E50" s="919"/>
      <c r="F50" s="919"/>
      <c r="G50" s="919"/>
      <c r="H50" s="919"/>
      <c r="I50" s="811">
        <f>E50+F50-G50+H50</f>
        <v>0</v>
      </c>
      <c r="J50" s="919"/>
      <c r="K50" s="919"/>
      <c r="L50" s="919"/>
      <c r="M50" s="919"/>
      <c r="N50" s="829">
        <f>J50+K50-L50+M50</f>
        <v>0</v>
      </c>
      <c r="O50" s="830">
        <f>I50</f>
        <v>0</v>
      </c>
      <c r="P50" s="919"/>
      <c r="Q50" s="919"/>
      <c r="R50" s="919"/>
      <c r="S50" s="811">
        <f t="shared" si="43"/>
        <v>0</v>
      </c>
      <c r="T50" s="831">
        <f>N50</f>
        <v>0</v>
      </c>
      <c r="U50" s="919"/>
      <c r="V50" s="919"/>
      <c r="W50" s="919"/>
      <c r="X50" s="829">
        <f>T50+U50-V50+W50</f>
        <v>0</v>
      </c>
      <c r="Y50" s="830">
        <f>S50</f>
        <v>0</v>
      </c>
      <c r="Z50" s="832"/>
      <c r="AA50" s="832"/>
      <c r="AB50" s="832"/>
      <c r="AC50" s="811">
        <f t="shared" si="47"/>
        <v>0</v>
      </c>
      <c r="AD50" s="831">
        <f t="shared" si="48"/>
        <v>0</v>
      </c>
      <c r="AE50" s="832"/>
      <c r="AF50" s="832"/>
      <c r="AG50" s="832"/>
      <c r="AH50" s="829">
        <f t="shared" si="49"/>
        <v>0</v>
      </c>
      <c r="AI50" s="830">
        <f t="shared" si="50"/>
        <v>0</v>
      </c>
      <c r="AJ50" s="832"/>
      <c r="AK50" s="832"/>
      <c r="AL50" s="832"/>
      <c r="AM50" s="811">
        <f t="shared" si="51"/>
        <v>0</v>
      </c>
      <c r="AN50" s="831">
        <f t="shared" si="52"/>
        <v>0</v>
      </c>
      <c r="AO50" s="832"/>
      <c r="AP50" s="832"/>
      <c r="AQ50" s="832"/>
      <c r="AR50" s="829">
        <f t="shared" si="53"/>
        <v>0</v>
      </c>
      <c r="AS50" s="830">
        <f t="shared" si="54"/>
        <v>0</v>
      </c>
      <c r="AT50" s="832"/>
      <c r="AU50" s="832"/>
      <c r="AV50" s="832"/>
      <c r="AW50" s="811">
        <f t="shared" si="55"/>
        <v>0</v>
      </c>
      <c r="AX50" s="831">
        <f t="shared" si="56"/>
        <v>0</v>
      </c>
      <c r="AY50" s="920"/>
      <c r="AZ50" s="920"/>
      <c r="BA50" s="920"/>
      <c r="BB50" s="829">
        <f t="shared" si="63"/>
        <v>0</v>
      </c>
      <c r="BC50" s="830">
        <f t="shared" si="57"/>
        <v>0</v>
      </c>
      <c r="BD50" s="832"/>
      <c r="BE50" s="832"/>
      <c r="BF50" s="832"/>
      <c r="BG50" s="811">
        <f>BC50+BD50-BE50+SUM(BF50:BF50)</f>
        <v>0</v>
      </c>
      <c r="BH50" s="831">
        <f>BB50</f>
        <v>0</v>
      </c>
      <c r="BI50" s="832"/>
      <c r="BJ50" s="832"/>
      <c r="BK50" s="832"/>
      <c r="BL50" s="829">
        <f t="shared" si="58"/>
        <v>0</v>
      </c>
      <c r="BM50" s="830">
        <f t="shared" si="59"/>
        <v>0</v>
      </c>
      <c r="BN50" s="832"/>
      <c r="BO50" s="832"/>
      <c r="BP50" s="832"/>
      <c r="BQ50" s="811">
        <f>BM50+BN50-BO50+SUM(BP50:BP50)</f>
        <v>0</v>
      </c>
      <c r="BR50" s="831">
        <f>BL50</f>
        <v>0</v>
      </c>
      <c r="BS50" s="832"/>
      <c r="BT50" s="832"/>
      <c r="BU50" s="832"/>
      <c r="BV50" s="829">
        <f t="shared" si="60"/>
        <v>0</v>
      </c>
      <c r="BW50" s="833"/>
      <c r="BX50" s="832"/>
      <c r="BY50" s="831">
        <f t="shared" ref="BY50:BY82" si="67">BQ50+BW50</f>
        <v>0</v>
      </c>
      <c r="BZ50" s="834">
        <f t="shared" si="64"/>
        <v>0</v>
      </c>
      <c r="CA50" s="833"/>
      <c r="CB50" s="832"/>
      <c r="CC50" s="831">
        <f t="shared" si="65"/>
        <v>0</v>
      </c>
      <c r="CD50" s="834">
        <f t="shared" si="65"/>
        <v>0</v>
      </c>
      <c r="CE50" s="835"/>
      <c r="CF50" s="832"/>
      <c r="CG50" s="836">
        <f t="shared" si="61"/>
        <v>0</v>
      </c>
      <c r="CH50" s="820">
        <f t="shared" si="62"/>
        <v>0</v>
      </c>
      <c r="CI50" s="918" t="s">
        <v>633</v>
      </c>
      <c r="CJ50" s="838"/>
      <c r="CK50" s="838">
        <f t="shared" si="66"/>
        <v>0</v>
      </c>
      <c r="CL50" s="839"/>
      <c r="CQ50" s="300"/>
    </row>
    <row r="51" spans="1:95" s="819" customFormat="1" ht="17" thickBot="1" x14ac:dyDescent="0.35">
      <c r="A51">
        <v>19</v>
      </c>
      <c r="B51"/>
      <c r="C51" s="921" t="s">
        <v>3042</v>
      </c>
      <c r="D51" s="823">
        <v>1508</v>
      </c>
      <c r="E51" s="919"/>
      <c r="F51" s="919"/>
      <c r="G51" s="919"/>
      <c r="H51" s="919"/>
      <c r="I51" s="811">
        <f t="shared" si="40"/>
        <v>0</v>
      </c>
      <c r="J51" s="919"/>
      <c r="K51" s="919"/>
      <c r="L51" s="919"/>
      <c r="M51" s="919"/>
      <c r="N51" s="829">
        <f t="shared" si="41"/>
        <v>0</v>
      </c>
      <c r="O51" s="830">
        <f t="shared" si="42"/>
        <v>0</v>
      </c>
      <c r="P51" s="919"/>
      <c r="Q51" s="919"/>
      <c r="R51" s="919"/>
      <c r="S51" s="811">
        <f t="shared" si="43"/>
        <v>0</v>
      </c>
      <c r="T51" s="831">
        <f t="shared" si="44"/>
        <v>0</v>
      </c>
      <c r="U51" s="919"/>
      <c r="V51" s="919"/>
      <c r="W51" s="919"/>
      <c r="X51" s="829">
        <f t="shared" si="45"/>
        <v>0</v>
      </c>
      <c r="Y51" s="830">
        <f t="shared" si="46"/>
        <v>0</v>
      </c>
      <c r="Z51" s="919"/>
      <c r="AA51" s="919"/>
      <c r="AB51" s="919"/>
      <c r="AC51" s="811">
        <f t="shared" si="47"/>
        <v>0</v>
      </c>
      <c r="AD51" s="831">
        <f t="shared" si="48"/>
        <v>0</v>
      </c>
      <c r="AE51" s="919"/>
      <c r="AF51" s="919"/>
      <c r="AG51" s="919"/>
      <c r="AH51" s="829">
        <f t="shared" si="49"/>
        <v>0</v>
      </c>
      <c r="AI51" s="830">
        <f t="shared" si="50"/>
        <v>0</v>
      </c>
      <c r="AJ51" s="832"/>
      <c r="AK51" s="832"/>
      <c r="AL51" s="832"/>
      <c r="AM51" s="811">
        <f t="shared" si="51"/>
        <v>0</v>
      </c>
      <c r="AN51" s="831">
        <f t="shared" si="52"/>
        <v>0</v>
      </c>
      <c r="AO51" s="832"/>
      <c r="AP51" s="832"/>
      <c r="AQ51" s="832"/>
      <c r="AR51" s="829">
        <f t="shared" si="53"/>
        <v>0</v>
      </c>
      <c r="AS51" s="830">
        <f t="shared" si="54"/>
        <v>0</v>
      </c>
      <c r="AT51" s="832">
        <v>-206981</v>
      </c>
      <c r="AU51" s="832"/>
      <c r="AV51" s="832"/>
      <c r="AW51" s="811">
        <f t="shared" si="55"/>
        <v>-206981</v>
      </c>
      <c r="AX51" s="831">
        <f t="shared" si="56"/>
        <v>0</v>
      </c>
      <c r="AY51" s="832">
        <v>-98.315975000000009</v>
      </c>
      <c r="AZ51" s="832"/>
      <c r="BA51" s="832"/>
      <c r="BB51" s="829">
        <f t="shared" si="63"/>
        <v>-98.315975000000009</v>
      </c>
      <c r="BC51" s="830">
        <f t="shared" si="57"/>
        <v>-206981</v>
      </c>
      <c r="BD51" s="832">
        <v>264547.59000000003</v>
      </c>
      <c r="BE51" s="832"/>
      <c r="BF51" s="832"/>
      <c r="BG51" s="811">
        <f>BC51+BD51-BE51+SUM(BF51:BF51)</f>
        <v>57566.590000000026</v>
      </c>
      <c r="BH51" s="831">
        <f>BB51</f>
        <v>-98.315975000000009</v>
      </c>
      <c r="BI51" s="832">
        <v>-725.73326249999923</v>
      </c>
      <c r="BJ51" s="832"/>
      <c r="BK51" s="832"/>
      <c r="BL51" s="829">
        <f t="shared" si="58"/>
        <v>-824.04923749999921</v>
      </c>
      <c r="BM51" s="830">
        <f t="shared" si="59"/>
        <v>57566.590000000026</v>
      </c>
      <c r="BN51" s="832">
        <v>253399.79052930372</v>
      </c>
      <c r="BO51" s="832"/>
      <c r="BP51" s="832"/>
      <c r="BQ51" s="811">
        <f>BM51+BN51-BO51+SUM(BP51:BP51)</f>
        <v>310966.38052930374</v>
      </c>
      <c r="BR51" s="831">
        <f>BL51</f>
        <v>-824.04923749999921</v>
      </c>
      <c r="BS51" s="832">
        <v>8944.1256687147343</v>
      </c>
      <c r="BT51" s="832"/>
      <c r="BU51" s="832"/>
      <c r="BV51" s="829">
        <f t="shared" si="60"/>
        <v>8120.0764312147348</v>
      </c>
      <c r="BW51" s="833">
        <v>242251.95956068067</v>
      </c>
      <c r="BX51" s="832"/>
      <c r="BY51" s="831">
        <f t="shared" si="67"/>
        <v>553218.34008998447</v>
      </c>
      <c r="BZ51" s="834">
        <f t="shared" si="64"/>
        <v>8120.0764312147348</v>
      </c>
      <c r="CA51" s="833"/>
      <c r="CB51" s="832"/>
      <c r="CC51" s="831">
        <f t="shared" si="65"/>
        <v>553218.34008998447</v>
      </c>
      <c r="CD51" s="834">
        <f t="shared" si="65"/>
        <v>8120.0764312147348</v>
      </c>
      <c r="CE51" s="835">
        <v>23167.720870504403</v>
      </c>
      <c r="CF51" s="832"/>
      <c r="CG51" s="836">
        <f t="shared" si="61"/>
        <v>31287.79730171914</v>
      </c>
      <c r="CH51" s="820">
        <f t="shared" si="62"/>
        <v>584506.13739170355</v>
      </c>
      <c r="CI51" s="918" t="s">
        <v>3029</v>
      </c>
      <c r="CJ51" s="838">
        <v>319086</v>
      </c>
      <c r="CK51" s="838">
        <f t="shared" si="66"/>
        <v>-0.45696051849517971</v>
      </c>
      <c r="CL51" s="839"/>
      <c r="CP51" s="922">
        <v>1508</v>
      </c>
      <c r="CQ51" s="300" t="b">
        <v>0</v>
      </c>
    </row>
    <row r="52" spans="1:95" s="819" customFormat="1" ht="17" thickBot="1" x14ac:dyDescent="0.35">
      <c r="A52">
        <v>20</v>
      </c>
      <c r="B52"/>
      <c r="C52" s="921" t="s">
        <v>3444</v>
      </c>
      <c r="D52" s="823">
        <v>1508</v>
      </c>
      <c r="E52" s="919"/>
      <c r="F52" s="919"/>
      <c r="G52" s="919"/>
      <c r="H52" s="919"/>
      <c r="I52" s="811">
        <f t="shared" si="40"/>
        <v>0</v>
      </c>
      <c r="J52" s="919"/>
      <c r="K52" s="919"/>
      <c r="L52" s="919"/>
      <c r="M52" s="919"/>
      <c r="N52" s="829">
        <f t="shared" si="41"/>
        <v>0</v>
      </c>
      <c r="O52" s="830">
        <f t="shared" si="42"/>
        <v>0</v>
      </c>
      <c r="P52" s="919"/>
      <c r="Q52" s="919"/>
      <c r="R52" s="919"/>
      <c r="S52" s="811">
        <f t="shared" si="43"/>
        <v>0</v>
      </c>
      <c r="T52" s="831">
        <f t="shared" si="44"/>
        <v>0</v>
      </c>
      <c r="U52" s="919"/>
      <c r="V52" s="919"/>
      <c r="W52" s="919"/>
      <c r="X52" s="829">
        <f t="shared" si="45"/>
        <v>0</v>
      </c>
      <c r="Y52" s="830">
        <f t="shared" si="46"/>
        <v>0</v>
      </c>
      <c r="Z52" s="919"/>
      <c r="AA52" s="919"/>
      <c r="AB52" s="919"/>
      <c r="AC52" s="811">
        <f t="shared" si="47"/>
        <v>0</v>
      </c>
      <c r="AD52" s="831">
        <f t="shared" si="48"/>
        <v>0</v>
      </c>
      <c r="AE52" s="919"/>
      <c r="AF52" s="919"/>
      <c r="AG52" s="919"/>
      <c r="AH52" s="829">
        <f t="shared" si="49"/>
        <v>0</v>
      </c>
      <c r="AI52" s="830">
        <f t="shared" si="50"/>
        <v>0</v>
      </c>
      <c r="AJ52" s="919"/>
      <c r="AK52" s="919"/>
      <c r="AL52" s="919"/>
      <c r="AM52" s="811">
        <f t="shared" si="51"/>
        <v>0</v>
      </c>
      <c r="AN52" s="831">
        <f t="shared" si="52"/>
        <v>0</v>
      </c>
      <c r="AO52" s="919"/>
      <c r="AP52" s="919"/>
      <c r="AQ52" s="919"/>
      <c r="AR52" s="829">
        <f t="shared" si="53"/>
        <v>0</v>
      </c>
      <c r="AS52" s="830">
        <f t="shared" si="54"/>
        <v>0</v>
      </c>
      <c r="AT52" s="832">
        <v>1339.42</v>
      </c>
      <c r="AU52" s="832"/>
      <c r="AV52" s="832"/>
      <c r="AW52" s="811">
        <f t="shared" si="55"/>
        <v>1339.42</v>
      </c>
      <c r="AX52" s="831">
        <f t="shared" si="56"/>
        <v>0</v>
      </c>
      <c r="AY52" s="832">
        <v>0.63622450000000008</v>
      </c>
      <c r="AZ52" s="832"/>
      <c r="BA52" s="832"/>
      <c r="BB52" s="829">
        <f t="shared" si="63"/>
        <v>0.63622450000000008</v>
      </c>
      <c r="BC52" s="830">
        <f t="shared" si="57"/>
        <v>1339.42</v>
      </c>
      <c r="BD52" s="832">
        <v>2269.395</v>
      </c>
      <c r="BE52" s="832"/>
      <c r="BF52" s="832"/>
      <c r="BG52" s="811">
        <f t="shared" ref="BG52:BG73" si="68">BC52+BD52-BE52+SUM(BF52:BF52)</f>
        <v>3608.8150000000001</v>
      </c>
      <c r="BH52" s="831">
        <f t="shared" ref="BH52:BH73" si="69">BB52</f>
        <v>0.63622450000000008</v>
      </c>
      <c r="BI52" s="832">
        <v>63.678385374999984</v>
      </c>
      <c r="BJ52" s="832"/>
      <c r="BK52" s="832"/>
      <c r="BL52" s="829">
        <f t="shared" si="58"/>
        <v>64.314609874999988</v>
      </c>
      <c r="BM52" s="830">
        <f t="shared" si="59"/>
        <v>3608.8150000000001</v>
      </c>
      <c r="BN52" s="832"/>
      <c r="BO52" s="832"/>
      <c r="BP52" s="832"/>
      <c r="BQ52" s="811">
        <f t="shared" ref="BQ52:BQ73" si="70">BM52+BN52-BO52+SUM(BP52:BP52)</f>
        <v>3608.8150000000001</v>
      </c>
      <c r="BR52" s="831">
        <f t="shared" ref="BR52:BR82" si="71">BL52</f>
        <v>64.314609874999988</v>
      </c>
      <c r="BS52" s="832">
        <v>182.06471674999997</v>
      </c>
      <c r="BT52" s="832"/>
      <c r="BU52" s="832"/>
      <c r="BV52" s="829">
        <f t="shared" si="60"/>
        <v>246.37932662499998</v>
      </c>
      <c r="BW52" s="833"/>
      <c r="BX52" s="832"/>
      <c r="BY52" s="831">
        <f t="shared" si="67"/>
        <v>3608.8150000000001</v>
      </c>
      <c r="BZ52" s="834">
        <f t="shared" si="64"/>
        <v>246.37932662499998</v>
      </c>
      <c r="CA52" s="833"/>
      <c r="CB52" s="832"/>
      <c r="CC52" s="831">
        <f t="shared" si="65"/>
        <v>3608.8150000000001</v>
      </c>
      <c r="CD52" s="834">
        <f t="shared" si="65"/>
        <v>246.37932662499998</v>
      </c>
      <c r="CE52" s="835">
        <v>198.1239435</v>
      </c>
      <c r="CF52" s="832"/>
      <c r="CG52" s="836">
        <f t="shared" si="61"/>
        <v>444.50327012499997</v>
      </c>
      <c r="CH52" s="820">
        <f t="shared" si="62"/>
        <v>4053.3182701249998</v>
      </c>
      <c r="CI52" s="918" t="s">
        <v>633</v>
      </c>
      <c r="CJ52" s="838">
        <v>3855</v>
      </c>
      <c r="CK52" s="838">
        <f t="shared" si="66"/>
        <v>-0.19432662500003062</v>
      </c>
      <c r="CL52" s="839"/>
      <c r="CP52" s="922">
        <v>1508</v>
      </c>
      <c r="CQ52" s="300" t="b">
        <v>0</v>
      </c>
    </row>
    <row r="53" spans="1:95" s="819" customFormat="1" ht="17.25" customHeight="1" thickBot="1" x14ac:dyDescent="0.35">
      <c r="A53"/>
      <c r="B53"/>
      <c r="C53" s="921" t="s">
        <v>3981</v>
      </c>
      <c r="D53" s="823">
        <v>1508</v>
      </c>
      <c r="E53" s="919"/>
      <c r="F53" s="919"/>
      <c r="G53" s="919"/>
      <c r="H53" s="919"/>
      <c r="I53" s="811">
        <f>E53+F53-G53+H53</f>
        <v>0</v>
      </c>
      <c r="J53" s="919"/>
      <c r="K53" s="919"/>
      <c r="L53" s="919"/>
      <c r="M53" s="919"/>
      <c r="N53" s="829">
        <f>J53+K53-L53+M53</f>
        <v>0</v>
      </c>
      <c r="O53" s="830">
        <f>I53</f>
        <v>0</v>
      </c>
      <c r="P53" s="919"/>
      <c r="Q53" s="919"/>
      <c r="R53" s="919"/>
      <c r="S53" s="811">
        <f>O53+P53-Q53+R53</f>
        <v>0</v>
      </c>
      <c r="T53" s="831">
        <f>N53</f>
        <v>0</v>
      </c>
      <c r="U53" s="919"/>
      <c r="V53" s="919"/>
      <c r="W53" s="919"/>
      <c r="X53" s="829">
        <f>T53+U53-V53+W53</f>
        <v>0</v>
      </c>
      <c r="Y53" s="830">
        <f>S53</f>
        <v>0</v>
      </c>
      <c r="Z53" s="919"/>
      <c r="AA53" s="919"/>
      <c r="AB53" s="919"/>
      <c r="AC53" s="811">
        <f>Y53+Z53-AA53+AB53</f>
        <v>0</v>
      </c>
      <c r="AD53" s="831">
        <f>X53</f>
        <v>0</v>
      </c>
      <c r="AE53" s="919"/>
      <c r="AF53" s="919"/>
      <c r="AG53" s="919"/>
      <c r="AH53" s="829">
        <f>AD53+AE53-AF53+AG53</f>
        <v>0</v>
      </c>
      <c r="AI53" s="830">
        <f>AC53</f>
        <v>0</v>
      </c>
      <c r="AJ53" s="919"/>
      <c r="AK53" s="919"/>
      <c r="AL53" s="919"/>
      <c r="AM53" s="811">
        <f>AI53+AJ53-AK53+SUM(AL53:AL53)</f>
        <v>0</v>
      </c>
      <c r="AN53" s="831">
        <f>AH53</f>
        <v>0</v>
      </c>
      <c r="AO53" s="919"/>
      <c r="AP53" s="919"/>
      <c r="AQ53" s="919"/>
      <c r="AR53" s="829">
        <f>AN53+AO53-AP53+AQ53</f>
        <v>0</v>
      </c>
      <c r="AS53" s="830">
        <f>AM53</f>
        <v>0</v>
      </c>
      <c r="AT53" s="832"/>
      <c r="AU53" s="832"/>
      <c r="AV53" s="832"/>
      <c r="AW53" s="811">
        <f>AS53+AT53-AU53+AV53</f>
        <v>0</v>
      </c>
      <c r="AX53" s="831">
        <f>AR53</f>
        <v>0</v>
      </c>
      <c r="AY53" s="832"/>
      <c r="AZ53" s="832"/>
      <c r="BA53" s="832"/>
      <c r="BB53" s="829">
        <f>AX53+AY53-AZ53+BA53</f>
        <v>0</v>
      </c>
      <c r="BC53" s="830">
        <f>AW53</f>
        <v>0</v>
      </c>
      <c r="BD53" s="832"/>
      <c r="BE53" s="832"/>
      <c r="BF53" s="832"/>
      <c r="BG53" s="811">
        <f>BC53+BD53-BE53+SUM(BF53:BF53)</f>
        <v>0</v>
      </c>
      <c r="BH53" s="831">
        <f>BB53</f>
        <v>0</v>
      </c>
      <c r="BI53" s="832"/>
      <c r="BJ53" s="832"/>
      <c r="BK53" s="832"/>
      <c r="BL53" s="829">
        <f>BH53+BI53-BJ53+BK53</f>
        <v>0</v>
      </c>
      <c r="BM53" s="830">
        <f>BG53</f>
        <v>0</v>
      </c>
      <c r="BN53" s="832">
        <v>-630705.16</v>
      </c>
      <c r="BO53" s="832"/>
      <c r="BP53" s="832"/>
      <c r="BQ53" s="811">
        <f>BM53+BN53-BO53+SUM(BP53:BP53)</f>
        <v>-630705.16</v>
      </c>
      <c r="BR53" s="831">
        <f>BL53</f>
        <v>0</v>
      </c>
      <c r="BS53" s="832">
        <v>-1442.7380535000002</v>
      </c>
      <c r="BT53" s="832"/>
      <c r="BU53" s="832"/>
      <c r="BV53" s="829">
        <f>BR53+BS53-BT53+BU53</f>
        <v>-1442.7380535000002</v>
      </c>
      <c r="BW53" s="833">
        <v>746370.48058810842</v>
      </c>
      <c r="BX53" s="832"/>
      <c r="BY53" s="831">
        <f t="shared" si="67"/>
        <v>115665.32058810838</v>
      </c>
      <c r="BZ53" s="834">
        <f t="shared" si="64"/>
        <v>-1442.7380535000002</v>
      </c>
      <c r="CA53" s="833"/>
      <c r="CB53" s="832"/>
      <c r="CC53" s="831">
        <f t="shared" si="65"/>
        <v>115665.32058810838</v>
      </c>
      <c r="CD53" s="834">
        <f t="shared" si="65"/>
        <v>-1442.7380535000002</v>
      </c>
      <c r="CE53" s="835">
        <v>-15845.520538547</v>
      </c>
      <c r="CF53" s="832"/>
      <c r="CG53" s="836">
        <f t="shared" si="61"/>
        <v>-17288.258592047001</v>
      </c>
      <c r="CH53" s="820">
        <f>SUM(CC53:CF53)</f>
        <v>98377.061996061384</v>
      </c>
      <c r="CI53" s="918" t="s">
        <v>3029</v>
      </c>
      <c r="CJ53" s="838">
        <v>-632148</v>
      </c>
      <c r="CK53" s="838">
        <f t="shared" si="66"/>
        <v>-0.10194650001358241</v>
      </c>
      <c r="CL53" s="839"/>
      <c r="CP53" s="922"/>
      <c r="CQ53" s="300"/>
    </row>
    <row r="54" spans="1:95" s="819" customFormat="1" ht="17" thickBot="1" x14ac:dyDescent="0.35">
      <c r="A54">
        <v>21</v>
      </c>
      <c r="B54"/>
      <c r="C54" s="921" t="s">
        <v>3446</v>
      </c>
      <c r="D54" s="823">
        <v>1508</v>
      </c>
      <c r="E54" s="919"/>
      <c r="F54" s="919"/>
      <c r="G54" s="919"/>
      <c r="H54" s="919"/>
      <c r="I54" s="811">
        <f t="shared" si="40"/>
        <v>0</v>
      </c>
      <c r="J54" s="919"/>
      <c r="K54" s="919"/>
      <c r="L54" s="919"/>
      <c r="M54" s="919"/>
      <c r="N54" s="829">
        <f t="shared" si="41"/>
        <v>0</v>
      </c>
      <c r="O54" s="830">
        <f t="shared" si="42"/>
        <v>0</v>
      </c>
      <c r="P54" s="919"/>
      <c r="Q54" s="919"/>
      <c r="R54" s="919"/>
      <c r="S54" s="811">
        <f t="shared" si="43"/>
        <v>0</v>
      </c>
      <c r="T54" s="831">
        <f t="shared" si="44"/>
        <v>0</v>
      </c>
      <c r="U54" s="919"/>
      <c r="V54" s="919"/>
      <c r="W54" s="919"/>
      <c r="X54" s="829">
        <f t="shared" si="45"/>
        <v>0</v>
      </c>
      <c r="Y54" s="830">
        <f t="shared" si="46"/>
        <v>0</v>
      </c>
      <c r="Z54" s="919"/>
      <c r="AA54" s="919"/>
      <c r="AB54" s="919"/>
      <c r="AC54" s="811">
        <f t="shared" si="47"/>
        <v>0</v>
      </c>
      <c r="AD54" s="831">
        <f t="shared" si="48"/>
        <v>0</v>
      </c>
      <c r="AE54" s="919"/>
      <c r="AF54" s="919"/>
      <c r="AG54" s="919"/>
      <c r="AH54" s="829">
        <f t="shared" si="49"/>
        <v>0</v>
      </c>
      <c r="AI54" s="830">
        <f t="shared" si="50"/>
        <v>0</v>
      </c>
      <c r="AJ54" s="919"/>
      <c r="AK54" s="919"/>
      <c r="AL54" s="919"/>
      <c r="AM54" s="811">
        <f t="shared" si="51"/>
        <v>0</v>
      </c>
      <c r="AN54" s="831">
        <f t="shared" si="52"/>
        <v>0</v>
      </c>
      <c r="AO54" s="919"/>
      <c r="AP54" s="919"/>
      <c r="AQ54" s="919"/>
      <c r="AR54" s="829">
        <f t="shared" si="53"/>
        <v>0</v>
      </c>
      <c r="AS54" s="830">
        <f t="shared" si="54"/>
        <v>0</v>
      </c>
      <c r="AT54" s="832"/>
      <c r="AU54" s="832"/>
      <c r="AV54" s="832"/>
      <c r="AW54" s="811">
        <f t="shared" si="55"/>
        <v>0</v>
      </c>
      <c r="AX54" s="831">
        <f t="shared" si="56"/>
        <v>0</v>
      </c>
      <c r="AY54" s="832"/>
      <c r="AZ54" s="832"/>
      <c r="BA54" s="832"/>
      <c r="BB54" s="829">
        <f t="shared" si="63"/>
        <v>0</v>
      </c>
      <c r="BC54" s="830">
        <f t="shared" si="57"/>
        <v>0</v>
      </c>
      <c r="BD54" s="832"/>
      <c r="BE54" s="832"/>
      <c r="BF54" s="832"/>
      <c r="BG54" s="811">
        <f t="shared" si="68"/>
        <v>0</v>
      </c>
      <c r="BH54" s="831">
        <f t="shared" si="69"/>
        <v>0</v>
      </c>
      <c r="BI54" s="832"/>
      <c r="BJ54" s="832"/>
      <c r="BK54" s="832"/>
      <c r="BL54" s="829">
        <f t="shared" si="58"/>
        <v>0</v>
      </c>
      <c r="BM54" s="830">
        <f t="shared" si="59"/>
        <v>0</v>
      </c>
      <c r="BN54" s="832"/>
      <c r="BO54" s="832"/>
      <c r="BP54" s="832"/>
      <c r="BQ54" s="811">
        <f t="shared" si="70"/>
        <v>0</v>
      </c>
      <c r="BR54" s="831">
        <f t="shared" si="71"/>
        <v>0</v>
      </c>
      <c r="BS54" s="832"/>
      <c r="BT54" s="832"/>
      <c r="BU54" s="832"/>
      <c r="BV54" s="829">
        <f t="shared" si="60"/>
        <v>0</v>
      </c>
      <c r="BW54" s="833">
        <v>-405843.37700459082</v>
      </c>
      <c r="BX54" s="832"/>
      <c r="BY54" s="831">
        <f t="shared" si="67"/>
        <v>-405843.37700459082</v>
      </c>
      <c r="BZ54" s="834">
        <f t="shared" si="64"/>
        <v>0</v>
      </c>
      <c r="CA54" s="833"/>
      <c r="CB54" s="832"/>
      <c r="CC54" s="831">
        <f t="shared" si="65"/>
        <v>-405843.37700459082</v>
      </c>
      <c r="CD54" s="834">
        <f t="shared" si="65"/>
        <v>0</v>
      </c>
      <c r="CE54" s="835">
        <v>-5570.2003493880102</v>
      </c>
      <c r="CF54" s="832"/>
      <c r="CG54" s="836">
        <f t="shared" si="61"/>
        <v>-5570.2003493880102</v>
      </c>
      <c r="CH54" s="820">
        <f t="shared" si="62"/>
        <v>-411413.57735397882</v>
      </c>
      <c r="CI54" s="918" t="s">
        <v>3029</v>
      </c>
      <c r="CJ54" s="838"/>
      <c r="CK54" s="838">
        <f t="shared" si="66"/>
        <v>0</v>
      </c>
      <c r="CL54" s="839"/>
      <c r="CP54" s="922">
        <v>1508</v>
      </c>
      <c r="CQ54" s="300" t="b">
        <v>0</v>
      </c>
    </row>
    <row r="55" spans="1:95" s="819" customFormat="1" ht="14.5" thickBot="1" x14ac:dyDescent="0.35">
      <c r="A55"/>
      <c r="B55"/>
      <c r="C55" s="923" t="s">
        <v>3982</v>
      </c>
      <c r="D55" s="823">
        <v>1511</v>
      </c>
      <c r="E55" s="919"/>
      <c r="F55" s="919"/>
      <c r="G55" s="919"/>
      <c r="H55" s="919"/>
      <c r="I55" s="811">
        <f>E55+F55-G55+H55</f>
        <v>0</v>
      </c>
      <c r="J55" s="919"/>
      <c r="K55" s="919"/>
      <c r="L55" s="919"/>
      <c r="M55" s="919"/>
      <c r="N55" s="829">
        <f t="shared" si="41"/>
        <v>0</v>
      </c>
      <c r="O55" s="830">
        <f t="shared" si="42"/>
        <v>0</v>
      </c>
      <c r="P55" s="919"/>
      <c r="Q55" s="919"/>
      <c r="R55" s="919"/>
      <c r="S55" s="811">
        <f t="shared" si="43"/>
        <v>0</v>
      </c>
      <c r="T55" s="831">
        <f t="shared" si="44"/>
        <v>0</v>
      </c>
      <c r="U55" s="919"/>
      <c r="V55" s="919"/>
      <c r="W55" s="919"/>
      <c r="X55" s="829">
        <f t="shared" si="45"/>
        <v>0</v>
      </c>
      <c r="Y55" s="830">
        <f t="shared" si="46"/>
        <v>0</v>
      </c>
      <c r="Z55" s="919"/>
      <c r="AA55" s="919"/>
      <c r="AB55" s="919"/>
      <c r="AC55" s="811">
        <f t="shared" si="47"/>
        <v>0</v>
      </c>
      <c r="AD55" s="831">
        <f t="shared" si="48"/>
        <v>0</v>
      </c>
      <c r="AE55" s="919"/>
      <c r="AF55" s="919"/>
      <c r="AG55" s="919"/>
      <c r="AH55" s="829">
        <f t="shared" si="49"/>
        <v>0</v>
      </c>
      <c r="AI55" s="830">
        <f t="shared" si="50"/>
        <v>0</v>
      </c>
      <c r="AJ55" s="919"/>
      <c r="AK55" s="919"/>
      <c r="AL55" s="919"/>
      <c r="AM55" s="811">
        <f t="shared" si="51"/>
        <v>0</v>
      </c>
      <c r="AN55" s="831">
        <f t="shared" si="52"/>
        <v>0</v>
      </c>
      <c r="AO55" s="919"/>
      <c r="AP55" s="919"/>
      <c r="AQ55" s="919"/>
      <c r="AR55" s="829">
        <f t="shared" si="53"/>
        <v>0</v>
      </c>
      <c r="AS55" s="830">
        <f t="shared" si="54"/>
        <v>0</v>
      </c>
      <c r="AT55" s="832"/>
      <c r="AU55" s="832"/>
      <c r="AV55" s="832"/>
      <c r="AW55" s="811">
        <f t="shared" si="55"/>
        <v>0</v>
      </c>
      <c r="AX55" s="831">
        <f t="shared" si="56"/>
        <v>0</v>
      </c>
      <c r="AY55" s="832"/>
      <c r="AZ55" s="832"/>
      <c r="BA55" s="832"/>
      <c r="BB55" s="829">
        <f t="shared" si="63"/>
        <v>0</v>
      </c>
      <c r="BC55" s="830">
        <f t="shared" si="57"/>
        <v>0</v>
      </c>
      <c r="BD55" s="832"/>
      <c r="BE55" s="832"/>
      <c r="BF55" s="832"/>
      <c r="BG55" s="811">
        <f t="shared" si="68"/>
        <v>0</v>
      </c>
      <c r="BH55" s="831">
        <f t="shared" si="69"/>
        <v>0</v>
      </c>
      <c r="BI55" s="832"/>
      <c r="BJ55" s="832"/>
      <c r="BK55" s="832"/>
      <c r="BL55" s="829">
        <f t="shared" si="58"/>
        <v>0</v>
      </c>
      <c r="BM55" s="830">
        <f t="shared" si="59"/>
        <v>0</v>
      </c>
      <c r="BN55" s="832">
        <v>491543.65000000008</v>
      </c>
      <c r="BO55" s="832"/>
      <c r="BP55" s="832"/>
      <c r="BQ55" s="811">
        <f t="shared" si="70"/>
        <v>491543.65000000008</v>
      </c>
      <c r="BR55" s="831">
        <f t="shared" si="71"/>
        <v>0</v>
      </c>
      <c r="BS55" s="832"/>
      <c r="BT55" s="832"/>
      <c r="BU55" s="832"/>
      <c r="BV55" s="829">
        <f t="shared" si="60"/>
        <v>0</v>
      </c>
      <c r="BW55" s="833">
        <v>3500000.0000004</v>
      </c>
      <c r="BX55" s="832"/>
      <c r="BY55" s="831">
        <f t="shared" si="67"/>
        <v>3991543.6500003999</v>
      </c>
      <c r="BZ55" s="834">
        <f t="shared" si="64"/>
        <v>0</v>
      </c>
      <c r="CA55" s="833"/>
      <c r="CB55" s="832"/>
      <c r="CC55" s="831">
        <f t="shared" si="65"/>
        <v>3991543.6500003999</v>
      </c>
      <c r="CD55" s="834">
        <f t="shared" si="65"/>
        <v>0</v>
      </c>
      <c r="CE55" s="835">
        <v>115054.49638501006</v>
      </c>
      <c r="CF55" s="832"/>
      <c r="CG55" s="836">
        <f t="shared" si="61"/>
        <v>115054.49638501006</v>
      </c>
      <c r="CH55" s="820">
        <f>SUM(CC55:CF55)</f>
        <v>4106598.1463854099</v>
      </c>
      <c r="CI55" s="918" t="s">
        <v>3029</v>
      </c>
      <c r="CJ55" s="838">
        <v>491544</v>
      </c>
      <c r="CK55" s="838">
        <f t="shared" si="66"/>
        <v>0.34999999991850927</v>
      </c>
      <c r="CL55" s="839"/>
      <c r="CP55" s="922"/>
      <c r="CQ55" s="300"/>
    </row>
    <row r="56" spans="1:95" s="819" customFormat="1" ht="14.5" thickBot="1" x14ac:dyDescent="0.35">
      <c r="A56"/>
      <c r="B56"/>
      <c r="C56" s="923" t="s">
        <v>3983</v>
      </c>
      <c r="D56" s="823">
        <v>1508</v>
      </c>
      <c r="E56" s="919"/>
      <c r="F56" s="919"/>
      <c r="G56" s="919"/>
      <c r="H56" s="919"/>
      <c r="I56" s="811">
        <f t="shared" si="40"/>
        <v>0</v>
      </c>
      <c r="J56" s="919"/>
      <c r="K56" s="919"/>
      <c r="L56" s="919"/>
      <c r="M56" s="919"/>
      <c r="N56" s="829">
        <f t="shared" si="41"/>
        <v>0</v>
      </c>
      <c r="O56" s="830">
        <f t="shared" si="42"/>
        <v>0</v>
      </c>
      <c r="P56" s="919"/>
      <c r="Q56" s="919"/>
      <c r="R56" s="919"/>
      <c r="S56" s="811">
        <f t="shared" si="43"/>
        <v>0</v>
      </c>
      <c r="T56" s="831">
        <f t="shared" si="44"/>
        <v>0</v>
      </c>
      <c r="U56" s="919"/>
      <c r="V56" s="919"/>
      <c r="W56" s="919"/>
      <c r="X56" s="829">
        <f t="shared" si="45"/>
        <v>0</v>
      </c>
      <c r="Y56" s="830">
        <f t="shared" si="46"/>
        <v>0</v>
      </c>
      <c r="Z56" s="919"/>
      <c r="AA56" s="919"/>
      <c r="AB56" s="919"/>
      <c r="AC56" s="811">
        <f t="shared" si="47"/>
        <v>0</v>
      </c>
      <c r="AD56" s="831">
        <f t="shared" si="48"/>
        <v>0</v>
      </c>
      <c r="AE56" s="919"/>
      <c r="AF56" s="919"/>
      <c r="AG56" s="919"/>
      <c r="AH56" s="829">
        <f t="shared" si="49"/>
        <v>0</v>
      </c>
      <c r="AI56" s="830">
        <f t="shared" si="50"/>
        <v>0</v>
      </c>
      <c r="AJ56" s="919"/>
      <c r="AK56" s="919"/>
      <c r="AL56" s="919"/>
      <c r="AM56" s="811">
        <f t="shared" si="51"/>
        <v>0</v>
      </c>
      <c r="AN56" s="831">
        <f t="shared" si="52"/>
        <v>0</v>
      </c>
      <c r="AO56" s="919"/>
      <c r="AP56" s="919"/>
      <c r="AQ56" s="919"/>
      <c r="AR56" s="829">
        <f t="shared" si="53"/>
        <v>0</v>
      </c>
      <c r="AS56" s="830">
        <f t="shared" si="54"/>
        <v>0</v>
      </c>
      <c r="AT56" s="832"/>
      <c r="AU56" s="832"/>
      <c r="AV56" s="832"/>
      <c r="AW56" s="811">
        <f t="shared" si="55"/>
        <v>0</v>
      </c>
      <c r="AX56" s="831">
        <f t="shared" si="56"/>
        <v>0</v>
      </c>
      <c r="AY56" s="832"/>
      <c r="AZ56" s="832"/>
      <c r="BA56" s="832"/>
      <c r="BB56" s="829">
        <f t="shared" si="63"/>
        <v>0</v>
      </c>
      <c r="BC56" s="830">
        <f t="shared" si="57"/>
        <v>0</v>
      </c>
      <c r="BD56" s="832"/>
      <c r="BE56" s="832"/>
      <c r="BF56" s="832"/>
      <c r="BG56" s="811">
        <f t="shared" si="68"/>
        <v>0</v>
      </c>
      <c r="BH56" s="831">
        <f t="shared" si="69"/>
        <v>0</v>
      </c>
      <c r="BI56" s="832"/>
      <c r="BJ56" s="832"/>
      <c r="BK56" s="832"/>
      <c r="BL56" s="829">
        <f t="shared" si="58"/>
        <v>0</v>
      </c>
      <c r="BM56" s="830">
        <f t="shared" si="59"/>
        <v>0</v>
      </c>
      <c r="BN56" s="832">
        <v>910558.40453901468</v>
      </c>
      <c r="BO56" s="832"/>
      <c r="BP56" s="832"/>
      <c r="BQ56" s="811">
        <f t="shared" si="70"/>
        <v>910558.40453901468</v>
      </c>
      <c r="BR56" s="831">
        <f t="shared" si="71"/>
        <v>0</v>
      </c>
      <c r="BS56" s="832"/>
      <c r="BT56" s="832"/>
      <c r="BU56" s="832"/>
      <c r="BV56" s="829">
        <f t="shared" si="60"/>
        <v>0</v>
      </c>
      <c r="BW56" s="833">
        <v>1517482.4608405645</v>
      </c>
      <c r="BX56" s="832"/>
      <c r="BY56" s="831">
        <f t="shared" si="67"/>
        <v>2428040.8653795794</v>
      </c>
      <c r="BZ56" s="834">
        <f t="shared" si="64"/>
        <v>0</v>
      </c>
      <c r="CA56" s="833"/>
      <c r="CB56" s="832"/>
      <c r="CC56" s="831">
        <f t="shared" si="65"/>
        <v>2428040.8653795794</v>
      </c>
      <c r="CD56" s="834">
        <f t="shared" si="65"/>
        <v>0</v>
      </c>
      <c r="CE56" s="835">
        <v>88173.308830092603</v>
      </c>
      <c r="CF56" s="832"/>
      <c r="CG56" s="836">
        <f t="shared" si="61"/>
        <v>88173.308830092603</v>
      </c>
      <c r="CH56" s="820">
        <f t="shared" si="62"/>
        <v>2516214.174209672</v>
      </c>
      <c r="CI56" s="918" t="s">
        <v>3029</v>
      </c>
      <c r="CJ56" s="838">
        <v>910558</v>
      </c>
      <c r="CK56" s="838">
        <f t="shared" si="66"/>
        <v>-0.40453901467844844</v>
      </c>
      <c r="CL56" s="839"/>
      <c r="CP56" s="922"/>
      <c r="CQ56" s="300"/>
    </row>
    <row r="57" spans="1:95" s="819" customFormat="1" ht="17" thickBot="1" x14ac:dyDescent="0.35">
      <c r="A57">
        <v>22</v>
      </c>
      <c r="B57"/>
      <c r="C57" s="921" t="s">
        <v>3678</v>
      </c>
      <c r="D57" s="823">
        <v>1508</v>
      </c>
      <c r="E57" s="924"/>
      <c r="F57" s="924"/>
      <c r="G57" s="924"/>
      <c r="H57" s="924"/>
      <c r="I57" s="811">
        <f t="shared" si="40"/>
        <v>0</v>
      </c>
      <c r="J57" s="924"/>
      <c r="K57" s="924"/>
      <c r="L57" s="924"/>
      <c r="M57" s="924"/>
      <c r="N57" s="829">
        <f t="shared" si="41"/>
        <v>0</v>
      </c>
      <c r="O57" s="830">
        <f t="shared" si="42"/>
        <v>0</v>
      </c>
      <c r="P57" s="924"/>
      <c r="Q57" s="924"/>
      <c r="R57" s="924"/>
      <c r="S57" s="811">
        <f t="shared" si="43"/>
        <v>0</v>
      </c>
      <c r="T57" s="831">
        <f t="shared" si="44"/>
        <v>0</v>
      </c>
      <c r="U57" s="924"/>
      <c r="V57" s="924"/>
      <c r="W57" s="924"/>
      <c r="X57" s="829">
        <f t="shared" si="45"/>
        <v>0</v>
      </c>
      <c r="Y57" s="830">
        <f t="shared" si="46"/>
        <v>0</v>
      </c>
      <c r="Z57" s="924"/>
      <c r="AA57" s="924"/>
      <c r="AB57" s="924"/>
      <c r="AC57" s="811">
        <f t="shared" si="47"/>
        <v>0</v>
      </c>
      <c r="AD57" s="831">
        <f t="shared" si="48"/>
        <v>0</v>
      </c>
      <c r="AE57" s="924"/>
      <c r="AF57" s="924"/>
      <c r="AG57" s="924"/>
      <c r="AH57" s="829">
        <f t="shared" si="49"/>
        <v>0</v>
      </c>
      <c r="AI57" s="830">
        <f t="shared" si="50"/>
        <v>0</v>
      </c>
      <c r="AJ57" s="924"/>
      <c r="AK57" s="924"/>
      <c r="AL57" s="924"/>
      <c r="AM57" s="811">
        <f t="shared" si="51"/>
        <v>0</v>
      </c>
      <c r="AN57" s="831">
        <f t="shared" si="52"/>
        <v>0</v>
      </c>
      <c r="AO57" s="924"/>
      <c r="AP57" s="924"/>
      <c r="AQ57" s="924"/>
      <c r="AR57" s="829">
        <f t="shared" si="53"/>
        <v>0</v>
      </c>
      <c r="AS57" s="830">
        <f t="shared" si="54"/>
        <v>0</v>
      </c>
      <c r="AT57" s="924"/>
      <c r="AU57" s="924"/>
      <c r="AV57" s="924"/>
      <c r="AW57" s="811">
        <f t="shared" si="55"/>
        <v>0</v>
      </c>
      <c r="AX57" s="831">
        <f t="shared" si="56"/>
        <v>0</v>
      </c>
      <c r="AY57" s="924"/>
      <c r="AZ57" s="924"/>
      <c r="BA57" s="924"/>
      <c r="BB57" s="829">
        <f t="shared" si="63"/>
        <v>0</v>
      </c>
      <c r="BC57" s="830">
        <f t="shared" si="57"/>
        <v>0</v>
      </c>
      <c r="BD57" s="832"/>
      <c r="BE57" s="832"/>
      <c r="BF57" s="832"/>
      <c r="BG57" s="811">
        <f t="shared" si="68"/>
        <v>0</v>
      </c>
      <c r="BH57" s="831">
        <f t="shared" si="69"/>
        <v>0</v>
      </c>
      <c r="BI57" s="832"/>
      <c r="BJ57" s="832"/>
      <c r="BK57" s="832"/>
      <c r="BL57" s="829">
        <f t="shared" si="58"/>
        <v>0</v>
      </c>
      <c r="BM57" s="830">
        <f t="shared" si="59"/>
        <v>0</v>
      </c>
      <c r="BN57" s="832"/>
      <c r="BO57" s="832"/>
      <c r="BP57" s="832"/>
      <c r="BQ57" s="811">
        <f t="shared" si="70"/>
        <v>0</v>
      </c>
      <c r="BR57" s="831">
        <f t="shared" si="71"/>
        <v>0</v>
      </c>
      <c r="BS57" s="832"/>
      <c r="BT57" s="832"/>
      <c r="BU57" s="832"/>
      <c r="BV57" s="829">
        <f t="shared" si="60"/>
        <v>0</v>
      </c>
      <c r="BW57" s="833"/>
      <c r="BX57" s="832"/>
      <c r="BY57" s="831">
        <f t="shared" si="67"/>
        <v>0</v>
      </c>
      <c r="BZ57" s="834">
        <f t="shared" si="64"/>
        <v>0</v>
      </c>
      <c r="CA57" s="833"/>
      <c r="CB57" s="832"/>
      <c r="CC57" s="831">
        <f t="shared" si="65"/>
        <v>0</v>
      </c>
      <c r="CD57" s="834">
        <f t="shared" si="65"/>
        <v>0</v>
      </c>
      <c r="CE57" s="835"/>
      <c r="CF57" s="832"/>
      <c r="CG57" s="836">
        <f t="shared" si="61"/>
        <v>0</v>
      </c>
      <c r="CH57" s="820">
        <f t="shared" ref="CH57:CH73" si="72">IF(CI57="Yes", SUM(CC57:CF57), 0)</f>
        <v>0</v>
      </c>
      <c r="CI57" s="918"/>
      <c r="CJ57" s="838"/>
      <c r="CK57" s="838">
        <f t="shared" si="66"/>
        <v>0</v>
      </c>
      <c r="CL57" s="839"/>
      <c r="CP57" s="922">
        <v>1508</v>
      </c>
      <c r="CQ57" s="300" t="b">
        <v>0</v>
      </c>
    </row>
    <row r="58" spans="1:95" s="819" customFormat="1" ht="14.5" thickBot="1" x14ac:dyDescent="0.35">
      <c r="A58">
        <v>23</v>
      </c>
      <c r="B58"/>
      <c r="C58" s="903" t="s">
        <v>3984</v>
      </c>
      <c r="D58" s="823">
        <v>1508</v>
      </c>
      <c r="E58" s="903">
        <v>60167576</v>
      </c>
      <c r="F58" s="832">
        <v>25093000</v>
      </c>
      <c r="G58" s="832"/>
      <c r="H58" s="832"/>
      <c r="I58" s="811">
        <f t="shared" si="40"/>
        <v>85260576</v>
      </c>
      <c r="J58" s="832"/>
      <c r="K58" s="832"/>
      <c r="L58" s="832"/>
      <c r="M58" s="832"/>
      <c r="N58" s="829">
        <f t="shared" si="41"/>
        <v>0</v>
      </c>
      <c r="O58" s="830">
        <f t="shared" si="42"/>
        <v>85260576</v>
      </c>
      <c r="P58" s="925">
        <v>-37157000</v>
      </c>
      <c r="Q58" s="832"/>
      <c r="R58" s="832"/>
      <c r="S58" s="811">
        <f t="shared" si="43"/>
        <v>48103576</v>
      </c>
      <c r="T58" s="831">
        <f t="shared" si="44"/>
        <v>0</v>
      </c>
      <c r="U58" s="832"/>
      <c r="V58" s="832"/>
      <c r="W58" s="832"/>
      <c r="X58" s="829">
        <f t="shared" si="45"/>
        <v>0</v>
      </c>
      <c r="Y58" s="830">
        <f t="shared" si="46"/>
        <v>48103576</v>
      </c>
      <c r="Z58" s="832">
        <v>38175000</v>
      </c>
      <c r="AA58" s="832"/>
      <c r="AB58" s="832"/>
      <c r="AC58" s="811">
        <f t="shared" si="47"/>
        <v>86278576</v>
      </c>
      <c r="AD58" s="831">
        <f t="shared" si="48"/>
        <v>0</v>
      </c>
      <c r="AE58" s="832"/>
      <c r="AF58" s="832"/>
      <c r="AG58" s="832"/>
      <c r="AH58" s="829">
        <f t="shared" si="49"/>
        <v>0</v>
      </c>
      <c r="AI58" s="830">
        <f t="shared" si="50"/>
        <v>86278576</v>
      </c>
      <c r="AJ58" s="832">
        <v>-5066000</v>
      </c>
      <c r="AK58" s="832">
        <v>6441836.6399999997</v>
      </c>
      <c r="AL58" s="832"/>
      <c r="AM58" s="811">
        <f t="shared" si="51"/>
        <v>74770739.359999999</v>
      </c>
      <c r="AN58" s="831">
        <f t="shared" si="52"/>
        <v>0</v>
      </c>
      <c r="AO58" s="832"/>
      <c r="AP58" s="832"/>
      <c r="AQ58" s="832"/>
      <c r="AR58" s="829">
        <f t="shared" si="53"/>
        <v>0</v>
      </c>
      <c r="AS58" s="830">
        <f t="shared" si="54"/>
        <v>74770739.359999999</v>
      </c>
      <c r="AT58" s="832">
        <v>-26913000</v>
      </c>
      <c r="AU58" s="832"/>
      <c r="AV58" s="832"/>
      <c r="AW58" s="811">
        <f t="shared" si="55"/>
        <v>47857739.359999999</v>
      </c>
      <c r="AX58" s="831">
        <f t="shared" si="56"/>
        <v>0</v>
      </c>
      <c r="AY58" s="832"/>
      <c r="AZ58" s="832"/>
      <c r="BA58" s="832"/>
      <c r="BB58" s="829">
        <f t="shared" si="63"/>
        <v>0</v>
      </c>
      <c r="BC58" s="830">
        <f t="shared" si="57"/>
        <v>47857739.359999999</v>
      </c>
      <c r="BD58" s="832">
        <v>-76636000</v>
      </c>
      <c r="BE58" s="832"/>
      <c r="BF58" s="832"/>
      <c r="BG58" s="811">
        <f t="shared" si="68"/>
        <v>-28778260.640000001</v>
      </c>
      <c r="BH58" s="831">
        <f t="shared" si="69"/>
        <v>0</v>
      </c>
      <c r="BI58" s="832"/>
      <c r="BJ58" s="832"/>
      <c r="BK58" s="832"/>
      <c r="BL58" s="829">
        <f t="shared" si="58"/>
        <v>0</v>
      </c>
      <c r="BM58" s="830">
        <f t="shared" si="59"/>
        <v>-28778260.640000001</v>
      </c>
      <c r="BN58" s="832">
        <v>19087000</v>
      </c>
      <c r="BO58" s="832"/>
      <c r="BP58" s="832"/>
      <c r="BQ58" s="811">
        <f t="shared" si="70"/>
        <v>-9691260.6400000006</v>
      </c>
      <c r="BR58" s="831">
        <f t="shared" si="71"/>
        <v>0</v>
      </c>
      <c r="BS58" s="832"/>
      <c r="BT58" s="832"/>
      <c r="BU58" s="832"/>
      <c r="BV58" s="829">
        <f t="shared" si="60"/>
        <v>0</v>
      </c>
      <c r="BW58" s="833"/>
      <c r="BX58" s="832"/>
      <c r="BY58" s="831">
        <f t="shared" si="67"/>
        <v>-9691260.6400000006</v>
      </c>
      <c r="BZ58" s="834">
        <f t="shared" si="64"/>
        <v>0</v>
      </c>
      <c r="CA58" s="833"/>
      <c r="CB58" s="832"/>
      <c r="CC58" s="831">
        <f t="shared" si="65"/>
        <v>-9691260.6400000006</v>
      </c>
      <c r="CD58" s="834">
        <f t="shared" si="65"/>
        <v>0</v>
      </c>
      <c r="CE58" s="835"/>
      <c r="CF58" s="832"/>
      <c r="CG58" s="836">
        <f t="shared" si="61"/>
        <v>0</v>
      </c>
      <c r="CH58" s="820">
        <v>0</v>
      </c>
      <c r="CI58" s="918" t="s">
        <v>633</v>
      </c>
      <c r="CJ58" s="838">
        <v>-9691261</v>
      </c>
      <c r="CK58" s="838">
        <f t="shared" si="66"/>
        <v>-0.35999999940395355</v>
      </c>
      <c r="CL58" s="839"/>
      <c r="CP58" s="922">
        <v>1508</v>
      </c>
      <c r="CQ58" s="300" t="b">
        <v>0</v>
      </c>
    </row>
    <row r="59" spans="1:95" s="819" customFormat="1" ht="14.5" thickBot="1" x14ac:dyDescent="0.35">
      <c r="A59">
        <v>24</v>
      </c>
      <c r="B59"/>
      <c r="C59" s="903" t="s">
        <v>3985</v>
      </c>
      <c r="D59" s="823">
        <v>1508</v>
      </c>
      <c r="E59" s="903">
        <v>-8470557.6971209683</v>
      </c>
      <c r="F59" s="832">
        <v>-14277068.525615066</v>
      </c>
      <c r="G59" s="832"/>
      <c r="H59" s="832"/>
      <c r="I59" s="811">
        <f t="shared" si="40"/>
        <v>-22747626.222736035</v>
      </c>
      <c r="J59" s="832">
        <v>-68245.2</v>
      </c>
      <c r="K59" s="832">
        <v>-208681.82</v>
      </c>
      <c r="L59" s="832"/>
      <c r="M59" s="832"/>
      <c r="N59" s="829">
        <f t="shared" si="41"/>
        <v>-276927.02</v>
      </c>
      <c r="O59" s="830">
        <f t="shared" si="42"/>
        <v>-22747626.222736035</v>
      </c>
      <c r="P59" s="925">
        <v>-30124132.207263965</v>
      </c>
      <c r="Q59" s="832"/>
      <c r="R59" s="832"/>
      <c r="S59" s="811">
        <f t="shared" si="43"/>
        <v>-52871758.43</v>
      </c>
      <c r="T59" s="831">
        <f t="shared" si="44"/>
        <v>-276927.02</v>
      </c>
      <c r="U59" s="832">
        <v>-630950.24114118225</v>
      </c>
      <c r="V59" s="832"/>
      <c r="W59" s="832"/>
      <c r="X59" s="829">
        <f t="shared" si="45"/>
        <v>-907877.26114118227</v>
      </c>
      <c r="Y59" s="830">
        <f t="shared" si="46"/>
        <v>-52871758.43</v>
      </c>
      <c r="Z59" s="832">
        <v>-21790194.209999997</v>
      </c>
      <c r="AA59" s="832"/>
      <c r="AB59" s="832"/>
      <c r="AC59" s="811">
        <f t="shared" si="47"/>
        <v>-74661952.640000001</v>
      </c>
      <c r="AD59" s="831">
        <f t="shared" si="48"/>
        <v>-907877.26114118227</v>
      </c>
      <c r="AE59" s="832">
        <v>-1462218.8018338336</v>
      </c>
      <c r="AF59" s="832"/>
      <c r="AG59" s="832"/>
      <c r="AH59" s="829">
        <f t="shared" si="49"/>
        <v>-2370096.062975016</v>
      </c>
      <c r="AI59" s="830">
        <f t="shared" si="50"/>
        <v>-74661952.640000001</v>
      </c>
      <c r="AJ59" s="832">
        <v>243993.67000000062</v>
      </c>
      <c r="AK59" s="832"/>
      <c r="AL59" s="832"/>
      <c r="AM59" s="811">
        <f t="shared" si="51"/>
        <v>-74417958.969999999</v>
      </c>
      <c r="AN59" s="831">
        <f t="shared" si="52"/>
        <v>-2370096.062975016</v>
      </c>
      <c r="AO59" s="832">
        <v>-1087409.3602960834</v>
      </c>
      <c r="AP59" s="832"/>
      <c r="AQ59" s="832"/>
      <c r="AR59" s="829">
        <f t="shared" si="53"/>
        <v>-3457505.4232710991</v>
      </c>
      <c r="AS59" s="830">
        <f t="shared" si="54"/>
        <v>-74417958.969999999</v>
      </c>
      <c r="AT59" s="832"/>
      <c r="AU59" s="832"/>
      <c r="AV59" s="832"/>
      <c r="AW59" s="811">
        <f t="shared" si="55"/>
        <v>-74417958.969999999</v>
      </c>
      <c r="AX59" s="831">
        <f t="shared" si="56"/>
        <v>-3457505.4232710991</v>
      </c>
      <c r="AY59" s="832">
        <v>-424182.36612900009</v>
      </c>
      <c r="AZ59" s="832"/>
      <c r="BA59" s="832"/>
      <c r="BB59" s="829">
        <f t="shared" si="63"/>
        <v>-3881687.7894000993</v>
      </c>
      <c r="BC59" s="830">
        <f t="shared" si="57"/>
        <v>-74417958.969999999</v>
      </c>
      <c r="BD59" s="832"/>
      <c r="BE59" s="832"/>
      <c r="BF59" s="832"/>
      <c r="BG59" s="811">
        <f t="shared" si="68"/>
        <v>-74417958.969999999</v>
      </c>
      <c r="BH59" s="831">
        <f t="shared" si="69"/>
        <v>-3881687.7894000993</v>
      </c>
      <c r="BI59" s="832">
        <v>-1425103.9142755005</v>
      </c>
      <c r="BJ59" s="832"/>
      <c r="BK59" s="832"/>
      <c r="BL59" s="829">
        <f t="shared" si="58"/>
        <v>-5306791.7036755998</v>
      </c>
      <c r="BM59" s="830">
        <f t="shared" si="59"/>
        <v>-74417958.969999999</v>
      </c>
      <c r="BN59" s="832"/>
      <c r="BO59" s="832">
        <v>-74661953.060000002</v>
      </c>
      <c r="BP59" s="832">
        <v>-243993.88</v>
      </c>
      <c r="BQ59" s="811">
        <f t="shared" si="70"/>
        <v>0.21000000357162207</v>
      </c>
      <c r="BR59" s="831">
        <f t="shared" si="71"/>
        <v>-5306791.7036755998</v>
      </c>
      <c r="BS59" s="832"/>
      <c r="BT59" s="832">
        <v>-7174468.6600000001</v>
      </c>
      <c r="BU59" s="832">
        <v>-1867676.9578167074</v>
      </c>
      <c r="BV59" s="829">
        <f t="shared" si="60"/>
        <v>-1.4923070557415485E-3</v>
      </c>
      <c r="BW59" s="833"/>
      <c r="BX59" s="832"/>
      <c r="BY59" s="831">
        <f t="shared" si="67"/>
        <v>0.21000000357162207</v>
      </c>
      <c r="BZ59" s="834">
        <f t="shared" si="64"/>
        <v>-1.4923070557415485E-3</v>
      </c>
      <c r="CA59" s="833"/>
      <c r="CB59" s="832"/>
      <c r="CC59" s="831">
        <f t="shared" si="65"/>
        <v>0.21000000357162207</v>
      </c>
      <c r="CD59" s="834">
        <f t="shared" si="65"/>
        <v>-1.4923070557415485E-3</v>
      </c>
      <c r="CE59" s="835"/>
      <c r="CF59" s="832"/>
      <c r="CG59" s="836">
        <f t="shared" si="61"/>
        <v>-1.4923070557415485E-3</v>
      </c>
      <c r="CH59" s="820">
        <f t="shared" si="72"/>
        <v>0</v>
      </c>
      <c r="CI59" s="918" t="s">
        <v>633</v>
      </c>
      <c r="CJ59" s="838">
        <v>0</v>
      </c>
      <c r="CK59" s="838">
        <f t="shared" si="66"/>
        <v>-0.20850769651588053</v>
      </c>
      <c r="CL59" s="839"/>
      <c r="CP59" s="922">
        <v>1508</v>
      </c>
      <c r="CQ59" s="300" t="b">
        <v>0</v>
      </c>
    </row>
    <row r="60" spans="1:95" s="819" customFormat="1" ht="14.5" thickBot="1" x14ac:dyDescent="0.35">
      <c r="A60">
        <v>25</v>
      </c>
      <c r="B60"/>
      <c r="C60" s="903" t="s">
        <v>3986</v>
      </c>
      <c r="D60" s="823">
        <v>1508</v>
      </c>
      <c r="E60" s="903">
        <v>-627897.3452226338</v>
      </c>
      <c r="F60" s="832">
        <v>-698387.32492605923</v>
      </c>
      <c r="G60" s="832"/>
      <c r="H60" s="832"/>
      <c r="I60" s="811">
        <f t="shared" si="40"/>
        <v>-1326284.670148693</v>
      </c>
      <c r="J60" s="832">
        <v>-1153.92</v>
      </c>
      <c r="K60" s="832">
        <v>-3252.08</v>
      </c>
      <c r="L60" s="832"/>
      <c r="M60" s="832"/>
      <c r="N60" s="829">
        <f t="shared" si="41"/>
        <v>-4406</v>
      </c>
      <c r="O60" s="830">
        <f t="shared" si="42"/>
        <v>-1326284.670148693</v>
      </c>
      <c r="P60" s="925">
        <v>-918436.87000000011</v>
      </c>
      <c r="Q60" s="832"/>
      <c r="R60" s="832"/>
      <c r="S60" s="811">
        <f t="shared" si="43"/>
        <v>-2244721.5401486931</v>
      </c>
      <c r="T60" s="831">
        <f t="shared" si="44"/>
        <v>-4406</v>
      </c>
      <c r="U60" s="832">
        <v>-30653.243224749996</v>
      </c>
      <c r="V60" s="832"/>
      <c r="W60" s="832"/>
      <c r="X60" s="829">
        <f t="shared" si="45"/>
        <v>-35059.243224749996</v>
      </c>
      <c r="Y60" s="830">
        <f t="shared" si="46"/>
        <v>-2244721.5401486931</v>
      </c>
      <c r="Z60" s="832">
        <v>-823883.29</v>
      </c>
      <c r="AA60" s="832"/>
      <c r="AB60" s="832"/>
      <c r="AC60" s="811">
        <f t="shared" si="47"/>
        <v>-3068604.8301486932</v>
      </c>
      <c r="AD60" s="831">
        <f t="shared" si="48"/>
        <v>-35059.243224749996</v>
      </c>
      <c r="AE60" s="832">
        <v>-57170.341026500006</v>
      </c>
      <c r="AF60" s="832"/>
      <c r="AG60" s="832"/>
      <c r="AH60" s="829">
        <f t="shared" si="49"/>
        <v>-92229.584251249995</v>
      </c>
      <c r="AI60" s="830">
        <f t="shared" si="50"/>
        <v>-3068604.8301486932</v>
      </c>
      <c r="AJ60" s="832">
        <v>-788388.29</v>
      </c>
      <c r="AK60" s="832">
        <v>-3068604.83</v>
      </c>
      <c r="AL60" s="832"/>
      <c r="AM60" s="811">
        <f t="shared" si="51"/>
        <v>-788388.29014869314</v>
      </c>
      <c r="AN60" s="831">
        <f t="shared" si="52"/>
        <v>-92229.584251249995</v>
      </c>
      <c r="AO60" s="832">
        <v>-10710.97520266667</v>
      </c>
      <c r="AP60" s="832">
        <v>-103378.85</v>
      </c>
      <c r="AQ60" s="832"/>
      <c r="AR60" s="829">
        <f t="shared" si="53"/>
        <v>438.29054608334263</v>
      </c>
      <c r="AS60" s="830">
        <f t="shared" si="54"/>
        <v>-788388.29014869314</v>
      </c>
      <c r="AT60" s="832">
        <v>47552.35</v>
      </c>
      <c r="AU60" s="832"/>
      <c r="AV60" s="832"/>
      <c r="AW60" s="811">
        <f t="shared" si="55"/>
        <v>-740835.94014869316</v>
      </c>
      <c r="AX60" s="831">
        <f t="shared" si="56"/>
        <v>438.29054608334263</v>
      </c>
      <c r="AY60" s="832">
        <v>-4554.1607347500021</v>
      </c>
      <c r="AZ60" s="832"/>
      <c r="BA60" s="832"/>
      <c r="BB60" s="829">
        <f t="shared" si="63"/>
        <v>-4115.8701886666595</v>
      </c>
      <c r="BC60" s="830">
        <f t="shared" si="57"/>
        <v>-740835.94014869316</v>
      </c>
      <c r="BD60" s="832">
        <v>442036.92999999993</v>
      </c>
      <c r="BE60" s="832"/>
      <c r="BF60" s="832"/>
      <c r="BG60" s="811">
        <f t="shared" si="68"/>
        <v>-298799.01014869323</v>
      </c>
      <c r="BH60" s="831">
        <f t="shared" si="69"/>
        <v>-4115.8701886666595</v>
      </c>
      <c r="BI60" s="832">
        <v>-22809.89064225</v>
      </c>
      <c r="BJ60" s="832"/>
      <c r="BK60" s="832"/>
      <c r="BL60" s="829">
        <f t="shared" si="58"/>
        <v>-26925.760830916661</v>
      </c>
      <c r="BM60" s="830">
        <f t="shared" si="59"/>
        <v>-298799.01014869323</v>
      </c>
      <c r="BN60" s="832">
        <v>5454729.6599999983</v>
      </c>
      <c r="BO60" s="832"/>
      <c r="BP60" s="832"/>
      <c r="BQ60" s="811">
        <f t="shared" si="70"/>
        <v>5155930.6498513054</v>
      </c>
      <c r="BR60" s="831">
        <f t="shared" si="71"/>
        <v>-26925.760830916661</v>
      </c>
      <c r="BS60" s="832">
        <v>1788.6491594999843</v>
      </c>
      <c r="BT60" s="832"/>
      <c r="BU60" s="832"/>
      <c r="BV60" s="829">
        <f t="shared" si="60"/>
        <v>-25137.111671416678</v>
      </c>
      <c r="BW60" s="833">
        <v>3134560.7883491525</v>
      </c>
      <c r="BX60" s="832"/>
      <c r="BY60" s="831">
        <f t="shared" si="67"/>
        <v>8290491.438200458</v>
      </c>
      <c r="BZ60" s="834">
        <f t="shared" si="64"/>
        <v>-25137.111671416678</v>
      </c>
      <c r="CA60" s="833"/>
      <c r="CB60" s="832"/>
      <c r="CC60" s="831">
        <f t="shared" si="65"/>
        <v>8290491.438200458</v>
      </c>
      <c r="CD60" s="834">
        <f t="shared" si="65"/>
        <v>-25137.111671416678</v>
      </c>
      <c r="CE60" s="835">
        <v>345946.99783363799</v>
      </c>
      <c r="CF60" s="832"/>
      <c r="CG60" s="836">
        <f t="shared" si="61"/>
        <v>320809.88616222132</v>
      </c>
      <c r="CH60" s="820">
        <f t="shared" si="72"/>
        <v>8611301.3243626785</v>
      </c>
      <c r="CI60" s="918" t="s">
        <v>3029</v>
      </c>
      <c r="CJ60" s="838">
        <v>5130794</v>
      </c>
      <c r="CK60" s="838">
        <f t="shared" si="66"/>
        <v>0.46182011160999537</v>
      </c>
      <c r="CL60" s="839"/>
      <c r="CP60" s="922">
        <v>1508</v>
      </c>
      <c r="CQ60" s="300" t="b">
        <v>0</v>
      </c>
    </row>
    <row r="61" spans="1:95" s="819" customFormat="1" ht="14.5" thickBot="1" x14ac:dyDescent="0.35">
      <c r="A61">
        <v>26</v>
      </c>
      <c r="B61"/>
      <c r="C61" s="903" t="s">
        <v>3987</v>
      </c>
      <c r="D61" s="823">
        <v>1508</v>
      </c>
      <c r="E61" s="903">
        <v>-11623285.378092123</v>
      </c>
      <c r="F61" s="832">
        <v>-3870967.9526412748</v>
      </c>
      <c r="G61" s="832"/>
      <c r="H61" s="832"/>
      <c r="I61" s="811">
        <f t="shared" si="40"/>
        <v>-15494253.330733398</v>
      </c>
      <c r="J61" s="832">
        <v>-211231.3</v>
      </c>
      <c r="K61" s="832">
        <v>-192636.08000000002</v>
      </c>
      <c r="L61" s="832"/>
      <c r="M61" s="832"/>
      <c r="N61" s="829">
        <f t="shared" si="41"/>
        <v>-403867.38</v>
      </c>
      <c r="O61" s="830">
        <f t="shared" si="42"/>
        <v>-15494253.330733398</v>
      </c>
      <c r="P61" s="925">
        <v>-5487866.3043931453</v>
      </c>
      <c r="Q61" s="832"/>
      <c r="R61" s="832"/>
      <c r="S61" s="811">
        <f t="shared" si="43"/>
        <v>-20982119.635126542</v>
      </c>
      <c r="T61" s="831">
        <f t="shared" si="44"/>
        <v>-403867.38</v>
      </c>
      <c r="U61" s="832">
        <v>-383862.21822814073</v>
      </c>
      <c r="V61" s="832"/>
      <c r="W61" s="832"/>
      <c r="X61" s="829">
        <f t="shared" si="45"/>
        <v>-787729.59822814073</v>
      </c>
      <c r="Y61" s="830">
        <f t="shared" si="46"/>
        <v>-20982119.635126542</v>
      </c>
      <c r="Z61" s="832">
        <v>-10440835.676249947</v>
      </c>
      <c r="AA61" s="832"/>
      <c r="AB61" s="832"/>
      <c r="AC61" s="811">
        <f t="shared" si="47"/>
        <v>-31422955.31137649</v>
      </c>
      <c r="AD61" s="831">
        <f t="shared" si="48"/>
        <v>-787729.59822814073</v>
      </c>
      <c r="AE61" s="832">
        <v>-595039.22840420029</v>
      </c>
      <c r="AF61" s="832"/>
      <c r="AG61" s="832"/>
      <c r="AH61" s="829">
        <f t="shared" si="49"/>
        <v>-1382768.8266323409</v>
      </c>
      <c r="AI61" s="830">
        <f t="shared" si="50"/>
        <v>-31422955.31137649</v>
      </c>
      <c r="AJ61" s="832"/>
      <c r="AK61" s="832">
        <v>-31422955.32</v>
      </c>
      <c r="AL61" s="832"/>
      <c r="AM61" s="811">
        <f t="shared" si="51"/>
        <v>8.6235105991363525E-3</v>
      </c>
      <c r="AN61" s="831">
        <f t="shared" si="52"/>
        <v>-1382768.8266323409</v>
      </c>
      <c r="AO61" s="832">
        <v>-432065.63565000019</v>
      </c>
      <c r="AP61" s="832">
        <v>-2755383.74</v>
      </c>
      <c r="AQ61" s="832"/>
      <c r="AR61" s="829">
        <f t="shared" si="53"/>
        <v>940549.27771765925</v>
      </c>
      <c r="AS61" s="830">
        <f t="shared" si="54"/>
        <v>8.6235105991363525E-3</v>
      </c>
      <c r="AT61" s="832"/>
      <c r="AU61" s="832"/>
      <c r="AV61" s="832"/>
      <c r="AW61" s="811">
        <f t="shared" si="55"/>
        <v>8.6235105991363525E-3</v>
      </c>
      <c r="AX61" s="831">
        <f t="shared" si="56"/>
        <v>940549.27771765925</v>
      </c>
      <c r="AY61" s="832">
        <v>-179110.84532399999</v>
      </c>
      <c r="AZ61" s="832"/>
      <c r="BA61" s="832"/>
      <c r="BB61" s="829">
        <f t="shared" si="63"/>
        <v>761438.43239365926</v>
      </c>
      <c r="BC61" s="830">
        <f t="shared" si="57"/>
        <v>8.6235105991363525E-3</v>
      </c>
      <c r="BD61" s="832"/>
      <c r="BE61" s="832"/>
      <c r="BF61" s="832"/>
      <c r="BG61" s="811">
        <f t="shared" si="68"/>
        <v>8.6235105991363525E-3</v>
      </c>
      <c r="BH61" s="831">
        <f t="shared" si="69"/>
        <v>761438.43239365926</v>
      </c>
      <c r="BI61" s="832"/>
      <c r="BJ61" s="832"/>
      <c r="BK61" s="832">
        <v>-761438.43</v>
      </c>
      <c r="BL61" s="829">
        <f t="shared" si="58"/>
        <v>2.3936592042446136E-3</v>
      </c>
      <c r="BM61" s="830">
        <f t="shared" si="59"/>
        <v>8.6235105991363525E-3</v>
      </c>
      <c r="BN61" s="832"/>
      <c r="BO61" s="832"/>
      <c r="BP61" s="832"/>
      <c r="BQ61" s="811">
        <f t="shared" si="70"/>
        <v>8.6235105991363525E-3</v>
      </c>
      <c r="BR61" s="831">
        <f t="shared" si="71"/>
        <v>2.3936592042446136E-3</v>
      </c>
      <c r="BS61" s="832"/>
      <c r="BT61" s="832"/>
      <c r="BU61" s="832"/>
      <c r="BV61" s="829">
        <f t="shared" si="60"/>
        <v>2.3936592042446136E-3</v>
      </c>
      <c r="BW61" s="833"/>
      <c r="BX61" s="832"/>
      <c r="BY61" s="831">
        <f t="shared" si="67"/>
        <v>8.6235105991363525E-3</v>
      </c>
      <c r="BZ61" s="834">
        <f t="shared" si="64"/>
        <v>2.3936592042446136E-3</v>
      </c>
      <c r="CA61" s="833"/>
      <c r="CB61" s="832"/>
      <c r="CC61" s="831">
        <f t="shared" si="65"/>
        <v>8.6235105991363525E-3</v>
      </c>
      <c r="CD61" s="834">
        <f t="shared" si="65"/>
        <v>2.3936592042446136E-3</v>
      </c>
      <c r="CE61" s="835"/>
      <c r="CF61" s="832"/>
      <c r="CG61" s="836">
        <f t="shared" si="61"/>
        <v>2.3936592042446136E-3</v>
      </c>
      <c r="CH61" s="820">
        <f t="shared" si="72"/>
        <v>0</v>
      </c>
      <c r="CI61" s="918" t="s">
        <v>633</v>
      </c>
      <c r="CJ61" s="838">
        <v>0</v>
      </c>
      <c r="CK61" s="838">
        <f t="shared" si="66"/>
        <v>-1.1017169803380966E-2</v>
      </c>
      <c r="CL61" s="839"/>
      <c r="CP61" s="922">
        <v>1508</v>
      </c>
      <c r="CQ61" s="300" t="b">
        <v>0</v>
      </c>
    </row>
    <row r="62" spans="1:95" s="819" customFormat="1" ht="14.5" thickBot="1" x14ac:dyDescent="0.35">
      <c r="A62">
        <v>27</v>
      </c>
      <c r="B62"/>
      <c r="C62" s="903" t="s">
        <v>3988</v>
      </c>
      <c r="D62" s="823">
        <v>1508</v>
      </c>
      <c r="E62" s="903">
        <v>-312158.44</v>
      </c>
      <c r="F62" s="832">
        <v>-100000</v>
      </c>
      <c r="G62" s="832"/>
      <c r="H62" s="832"/>
      <c r="I62" s="811">
        <f t="shared" si="40"/>
        <v>-412158.44</v>
      </c>
      <c r="J62" s="832">
        <v>-5332.9779231417542</v>
      </c>
      <c r="K62" s="832">
        <v>-4395.647451854511</v>
      </c>
      <c r="L62" s="832"/>
      <c r="M62" s="832"/>
      <c r="N62" s="829">
        <f t="shared" si="41"/>
        <v>-9728.6253749962652</v>
      </c>
      <c r="O62" s="830">
        <f t="shared" si="42"/>
        <v>-412158.44</v>
      </c>
      <c r="P62" s="925">
        <v>-100000</v>
      </c>
      <c r="Q62" s="832"/>
      <c r="R62" s="832"/>
      <c r="S62" s="811">
        <f t="shared" si="43"/>
        <v>-512158.44</v>
      </c>
      <c r="T62" s="831">
        <f t="shared" si="44"/>
        <v>-9728.6253749962652</v>
      </c>
      <c r="U62" s="832">
        <v>-8376.4513174999975</v>
      </c>
      <c r="V62" s="832"/>
      <c r="W62" s="832"/>
      <c r="X62" s="829">
        <f t="shared" si="45"/>
        <v>-18105.076692496263</v>
      </c>
      <c r="Y62" s="830">
        <f t="shared" si="46"/>
        <v>-512158.44</v>
      </c>
      <c r="Z62" s="832">
        <v>-134305.59999999998</v>
      </c>
      <c r="AA62" s="832"/>
      <c r="AB62" s="832"/>
      <c r="AC62" s="811">
        <f t="shared" si="47"/>
        <v>-646464.04</v>
      </c>
      <c r="AD62" s="831">
        <f t="shared" si="48"/>
        <v>-18105.076692496263</v>
      </c>
      <c r="AE62" s="832">
        <v>-12782.428055166667</v>
      </c>
      <c r="AF62" s="832"/>
      <c r="AG62" s="832"/>
      <c r="AH62" s="829">
        <f t="shared" si="49"/>
        <v>-30887.50474766293</v>
      </c>
      <c r="AI62" s="830">
        <f t="shared" si="50"/>
        <v>-646464.04</v>
      </c>
      <c r="AJ62" s="832">
        <v>-570237.53</v>
      </c>
      <c r="AK62" s="832"/>
      <c r="AL62" s="832"/>
      <c r="AM62" s="811">
        <f t="shared" si="51"/>
        <v>-1216701.57</v>
      </c>
      <c r="AN62" s="831">
        <f t="shared" si="52"/>
        <v>-30887.50474766293</v>
      </c>
      <c r="AO62" s="832">
        <v>-3366.5816098333321</v>
      </c>
      <c r="AP62" s="832"/>
      <c r="AQ62" s="832"/>
      <c r="AR62" s="829">
        <f t="shared" si="53"/>
        <v>-34254.086357496264</v>
      </c>
      <c r="AS62" s="830">
        <f t="shared" si="54"/>
        <v>-1216701.57</v>
      </c>
      <c r="AT62" s="832">
        <v>-702713.36</v>
      </c>
      <c r="AU62" s="832">
        <v>-646464.06000000006</v>
      </c>
      <c r="AV62" s="832"/>
      <c r="AW62" s="811">
        <f t="shared" si="55"/>
        <v>-1272950.8700000001</v>
      </c>
      <c r="AX62" s="831">
        <f t="shared" si="56"/>
        <v>-34254.086357496264</v>
      </c>
      <c r="AY62" s="832">
        <v>-4722.2354377499996</v>
      </c>
      <c r="AZ62" s="832">
        <v>-47839.85</v>
      </c>
      <c r="BA62" s="832"/>
      <c r="BB62" s="829">
        <f t="shared" si="63"/>
        <v>8863.528204753733</v>
      </c>
      <c r="BC62" s="830">
        <f t="shared" si="57"/>
        <v>-1272950.8700000001</v>
      </c>
      <c r="BD62" s="832">
        <v>-447745.1399999999</v>
      </c>
      <c r="BE62" s="832"/>
      <c r="BF62" s="832"/>
      <c r="BG62" s="811">
        <f t="shared" si="68"/>
        <v>-1720696.01</v>
      </c>
      <c r="BH62" s="831">
        <f t="shared" si="69"/>
        <v>8863.528204753733</v>
      </c>
      <c r="BI62" s="832">
        <v>-25151.121490249992</v>
      </c>
      <c r="BJ62" s="832"/>
      <c r="BK62" s="832">
        <v>-8292.2099999999991</v>
      </c>
      <c r="BL62" s="829">
        <f t="shared" si="58"/>
        <v>-24579.803285496258</v>
      </c>
      <c r="BM62" s="830">
        <f t="shared" si="59"/>
        <v>-1720696.01</v>
      </c>
      <c r="BN62" s="832">
        <v>-709389.2899999998</v>
      </c>
      <c r="BO62" s="832"/>
      <c r="BP62" s="832"/>
      <c r="BQ62" s="811">
        <f t="shared" si="70"/>
        <v>-2430085.2999999998</v>
      </c>
      <c r="BR62" s="831">
        <f t="shared" si="71"/>
        <v>-24579.803285496258</v>
      </c>
      <c r="BS62" s="832">
        <v>-99797.312481500005</v>
      </c>
      <c r="BT62" s="832"/>
      <c r="BU62" s="832"/>
      <c r="BV62" s="829">
        <f t="shared" si="60"/>
        <v>-124377.11576699626</v>
      </c>
      <c r="BW62" s="833">
        <v>-846900</v>
      </c>
      <c r="BX62" s="832"/>
      <c r="BY62" s="831">
        <f t="shared" si="67"/>
        <v>-3276985.3</v>
      </c>
      <c r="BZ62" s="834">
        <f t="shared" si="64"/>
        <v>-124377.11576699626</v>
      </c>
      <c r="CA62" s="833"/>
      <c r="CB62" s="832"/>
      <c r="CC62" s="831">
        <f t="shared" si="65"/>
        <v>-3276985.3</v>
      </c>
      <c r="CD62" s="834">
        <f t="shared" si="65"/>
        <v>-124377.11576699626</v>
      </c>
      <c r="CE62" s="835">
        <v>-150847.23781799999</v>
      </c>
      <c r="CF62" s="832"/>
      <c r="CG62" s="836">
        <f t="shared" si="61"/>
        <v>-275224.35358499625</v>
      </c>
      <c r="CH62" s="820">
        <f t="shared" si="72"/>
        <v>-3552209.6535849958</v>
      </c>
      <c r="CI62" s="918" t="s">
        <v>3029</v>
      </c>
      <c r="CJ62" s="838">
        <v>-2554463</v>
      </c>
      <c r="CK62" s="838">
        <f t="shared" si="66"/>
        <v>-0.58423300413414836</v>
      </c>
      <c r="CL62" s="839"/>
      <c r="CP62" s="922">
        <v>1508</v>
      </c>
      <c r="CQ62" s="300" t="b">
        <v>0</v>
      </c>
    </row>
    <row r="63" spans="1:95" s="819" customFormat="1" ht="14.5" thickBot="1" x14ac:dyDescent="0.35">
      <c r="A63">
        <v>28</v>
      </c>
      <c r="B63"/>
      <c r="C63" s="903" t="s">
        <v>3989</v>
      </c>
      <c r="D63" s="823">
        <v>1508</v>
      </c>
      <c r="E63" s="903">
        <v>1993372.583333333</v>
      </c>
      <c r="F63" s="832">
        <v>2024793.3716281536</v>
      </c>
      <c r="G63" s="832"/>
      <c r="H63" s="832"/>
      <c r="I63" s="811">
        <f t="shared" si="40"/>
        <v>4018165.9549614866</v>
      </c>
      <c r="J63" s="832">
        <v>7871.2288681542059</v>
      </c>
      <c r="K63" s="832">
        <v>37270.484693391503</v>
      </c>
      <c r="L63" s="832"/>
      <c r="M63" s="832"/>
      <c r="N63" s="829">
        <f t="shared" si="41"/>
        <v>45141.713561545708</v>
      </c>
      <c r="O63" s="830">
        <f t="shared" si="42"/>
        <v>4018165.9549614866</v>
      </c>
      <c r="P63" s="925">
        <v>3332692.2399999993</v>
      </c>
      <c r="Q63" s="832"/>
      <c r="R63" s="832"/>
      <c r="S63" s="811">
        <f t="shared" si="43"/>
        <v>7350858.1949614864</v>
      </c>
      <c r="T63" s="831">
        <f t="shared" si="44"/>
        <v>45141.713561545708</v>
      </c>
      <c r="U63" s="832">
        <v>106106.25943246229</v>
      </c>
      <c r="V63" s="832"/>
      <c r="W63" s="832"/>
      <c r="X63" s="829">
        <f t="shared" si="45"/>
        <v>151247.97299400799</v>
      </c>
      <c r="Y63" s="830">
        <f t="shared" si="46"/>
        <v>7350858.1949614864</v>
      </c>
      <c r="Z63" s="832">
        <v>3681448.9670641106</v>
      </c>
      <c r="AA63" s="832"/>
      <c r="AB63" s="832"/>
      <c r="AC63" s="811">
        <f t="shared" si="47"/>
        <v>11032307.162025597</v>
      </c>
      <c r="AD63" s="831">
        <f t="shared" si="48"/>
        <v>151247.97299400799</v>
      </c>
      <c r="AE63" s="832">
        <v>201941.07970225002</v>
      </c>
      <c r="AF63" s="832"/>
      <c r="AG63" s="832"/>
      <c r="AH63" s="829">
        <f t="shared" si="49"/>
        <v>353189.052696258</v>
      </c>
      <c r="AI63" s="830">
        <f t="shared" si="50"/>
        <v>11032307.162025597</v>
      </c>
      <c r="AJ63" s="832"/>
      <c r="AK63" s="832">
        <v>11032307.16</v>
      </c>
      <c r="AL63" s="832"/>
      <c r="AM63" s="811">
        <f t="shared" si="51"/>
        <v>2.0255967974662781E-3</v>
      </c>
      <c r="AN63" s="831">
        <f t="shared" si="52"/>
        <v>353189.052696258</v>
      </c>
      <c r="AO63" s="832">
        <v>39634.557789666273</v>
      </c>
      <c r="AP63" s="832">
        <v>393257.31</v>
      </c>
      <c r="AQ63" s="832"/>
      <c r="AR63" s="829">
        <f t="shared" si="53"/>
        <v>-433.69951407570625</v>
      </c>
      <c r="AS63" s="830">
        <f t="shared" si="54"/>
        <v>2.0255967974662781E-3</v>
      </c>
      <c r="AT63" s="832"/>
      <c r="AU63" s="832"/>
      <c r="AV63" s="832"/>
      <c r="AW63" s="811">
        <f t="shared" si="55"/>
        <v>2.0255967974662781E-3</v>
      </c>
      <c r="AX63" s="831">
        <f t="shared" si="56"/>
        <v>-433.69951407570625</v>
      </c>
      <c r="AY63" s="832"/>
      <c r="AZ63" s="832"/>
      <c r="BA63" s="832"/>
      <c r="BB63" s="829">
        <f t="shared" si="63"/>
        <v>-433.69951407570625</v>
      </c>
      <c r="BC63" s="830">
        <f t="shared" si="57"/>
        <v>2.0255967974662781E-3</v>
      </c>
      <c r="BD63" s="832"/>
      <c r="BE63" s="832"/>
      <c r="BF63" s="832"/>
      <c r="BG63" s="811">
        <f t="shared" si="68"/>
        <v>2.0255967974662781E-3</v>
      </c>
      <c r="BH63" s="831">
        <f t="shared" si="69"/>
        <v>-433.69951407570625</v>
      </c>
      <c r="BI63" s="832"/>
      <c r="BJ63" s="832"/>
      <c r="BK63" s="832"/>
      <c r="BL63" s="829">
        <f t="shared" si="58"/>
        <v>-433.69951407570625</v>
      </c>
      <c r="BM63" s="830">
        <f t="shared" si="59"/>
        <v>2.0255967974662781E-3</v>
      </c>
      <c r="BN63" s="832"/>
      <c r="BO63" s="832"/>
      <c r="BP63" s="832"/>
      <c r="BQ63" s="811">
        <f t="shared" si="70"/>
        <v>2.0255967974662781E-3</v>
      </c>
      <c r="BR63" s="831">
        <f t="shared" si="71"/>
        <v>-433.69951407570625</v>
      </c>
      <c r="BS63" s="832"/>
      <c r="BT63" s="832"/>
      <c r="BU63" s="832">
        <v>433.72</v>
      </c>
      <c r="BV63" s="829">
        <f t="shared" si="60"/>
        <v>2.0485924293780045E-2</v>
      </c>
      <c r="BW63" s="833"/>
      <c r="BX63" s="832"/>
      <c r="BY63" s="831">
        <f t="shared" si="67"/>
        <v>2.0255967974662781E-3</v>
      </c>
      <c r="BZ63" s="834">
        <f t="shared" si="64"/>
        <v>2.0485924293780045E-2</v>
      </c>
      <c r="CA63" s="833"/>
      <c r="CB63" s="832"/>
      <c r="CC63" s="831">
        <f t="shared" si="65"/>
        <v>2.0255967974662781E-3</v>
      </c>
      <c r="CD63" s="834">
        <f t="shared" si="65"/>
        <v>2.0485924293780045E-2</v>
      </c>
      <c r="CE63" s="835"/>
      <c r="CF63" s="832"/>
      <c r="CG63" s="836">
        <f t="shared" si="61"/>
        <v>2.0485924293780045E-2</v>
      </c>
      <c r="CH63" s="820">
        <f t="shared" si="72"/>
        <v>0</v>
      </c>
      <c r="CI63" s="918" t="s">
        <v>633</v>
      </c>
      <c r="CJ63" s="838">
        <v>0</v>
      </c>
      <c r="CK63" s="838">
        <f t="shared" si="66"/>
        <v>-2.2511521091246323E-2</v>
      </c>
      <c r="CL63" s="839" t="s">
        <v>3990</v>
      </c>
      <c r="CP63" s="922">
        <v>1508</v>
      </c>
      <c r="CQ63" s="300" t="b">
        <v>0</v>
      </c>
    </row>
    <row r="64" spans="1:95" s="819" customFormat="1" ht="14.5" thickBot="1" x14ac:dyDescent="0.35">
      <c r="A64">
        <v>29</v>
      </c>
      <c r="B64"/>
      <c r="C64" s="903" t="s">
        <v>3991</v>
      </c>
      <c r="D64" s="823">
        <v>1508</v>
      </c>
      <c r="E64" s="903">
        <v>8642559.5006500036</v>
      </c>
      <c r="F64" s="832">
        <v>18394133.83935</v>
      </c>
      <c r="G64" s="832"/>
      <c r="H64" s="832"/>
      <c r="I64" s="811">
        <f t="shared" si="40"/>
        <v>27036693.340000004</v>
      </c>
      <c r="J64" s="832">
        <v>-77409.332052156285</v>
      </c>
      <c r="K64" s="832">
        <v>212644.59703742253</v>
      </c>
      <c r="L64" s="832"/>
      <c r="M64" s="832"/>
      <c r="N64" s="829">
        <f t="shared" si="41"/>
        <v>135235.26498526626</v>
      </c>
      <c r="O64" s="830">
        <f t="shared" si="42"/>
        <v>27036693.340000004</v>
      </c>
      <c r="P64" s="925">
        <v>-79824823.594649985</v>
      </c>
      <c r="Q64" s="832"/>
      <c r="R64" s="832"/>
      <c r="S64" s="811">
        <f t="shared" si="43"/>
        <v>-52788130.254649982</v>
      </c>
      <c r="T64" s="831">
        <f t="shared" si="44"/>
        <v>135235.26498526626</v>
      </c>
      <c r="U64" s="832">
        <v>-634606.46043796034</v>
      </c>
      <c r="V64" s="832"/>
      <c r="W64" s="832"/>
      <c r="X64" s="829">
        <f t="shared" si="45"/>
        <v>-499371.19545269408</v>
      </c>
      <c r="Y64" s="830">
        <f t="shared" si="46"/>
        <v>-52788130.254649982</v>
      </c>
      <c r="Z64" s="832">
        <v>1211325.5246499942</v>
      </c>
      <c r="AA64" s="832"/>
      <c r="AB64" s="832"/>
      <c r="AC64" s="811">
        <f t="shared" si="47"/>
        <v>-51576804.729999989</v>
      </c>
      <c r="AD64" s="831">
        <f t="shared" si="48"/>
        <v>-499371.19545269408</v>
      </c>
      <c r="AE64" s="832">
        <v>-1161339.9162688453</v>
      </c>
      <c r="AF64" s="832"/>
      <c r="AG64" s="832"/>
      <c r="AH64" s="829">
        <f t="shared" si="49"/>
        <v>-1660711.1117215394</v>
      </c>
      <c r="AI64" s="830">
        <f t="shared" si="50"/>
        <v>-51576804.729999989</v>
      </c>
      <c r="AJ64" s="832"/>
      <c r="AK64" s="832">
        <v>-71848143.510000005</v>
      </c>
      <c r="AL64" s="832">
        <v>-20271338.780000005</v>
      </c>
      <c r="AM64" s="811">
        <f t="shared" si="51"/>
        <v>0</v>
      </c>
      <c r="AN64" s="831">
        <f t="shared" si="52"/>
        <v>-1660711.1117215394</v>
      </c>
      <c r="AO64" s="832"/>
      <c r="AP64" s="832">
        <v>-1875149.68</v>
      </c>
      <c r="AQ64" s="832">
        <v>-214438.56681639235</v>
      </c>
      <c r="AR64" s="829">
        <f t="shared" si="53"/>
        <v>1.4620681758970022E-3</v>
      </c>
      <c r="AS64" s="830">
        <f t="shared" si="54"/>
        <v>0</v>
      </c>
      <c r="AT64" s="832"/>
      <c r="AU64" s="832"/>
      <c r="AV64" s="832"/>
      <c r="AW64" s="811">
        <f t="shared" si="55"/>
        <v>0</v>
      </c>
      <c r="AX64" s="831">
        <f t="shared" si="56"/>
        <v>1.4620681758970022E-3</v>
      </c>
      <c r="AY64" s="832"/>
      <c r="AZ64" s="832"/>
      <c r="BA64" s="832"/>
      <c r="BB64" s="829">
        <f t="shared" si="63"/>
        <v>1.4620681758970022E-3</v>
      </c>
      <c r="BC64" s="830">
        <f t="shared" si="57"/>
        <v>0</v>
      </c>
      <c r="BD64" s="832"/>
      <c r="BE64" s="832"/>
      <c r="BF64" s="832"/>
      <c r="BG64" s="811">
        <f t="shared" si="68"/>
        <v>0</v>
      </c>
      <c r="BH64" s="831">
        <f t="shared" si="69"/>
        <v>1.4620681758970022E-3</v>
      </c>
      <c r="BI64" s="832"/>
      <c r="BJ64" s="832"/>
      <c r="BK64" s="832"/>
      <c r="BL64" s="829">
        <f t="shared" si="58"/>
        <v>1.4620681758970022E-3</v>
      </c>
      <c r="BM64" s="830">
        <f t="shared" si="59"/>
        <v>0</v>
      </c>
      <c r="BN64" s="832"/>
      <c r="BO64" s="832"/>
      <c r="BP64" s="832">
        <v>1758343.6502500062</v>
      </c>
      <c r="BQ64" s="811">
        <f t="shared" si="70"/>
        <v>1758343.6502500062</v>
      </c>
      <c r="BR64" s="831">
        <f t="shared" si="71"/>
        <v>1.4620681758970022E-3</v>
      </c>
      <c r="BS64" s="832"/>
      <c r="BT64" s="832"/>
      <c r="BU64" s="832">
        <v>249732.73803547258</v>
      </c>
      <c r="BV64" s="829">
        <f t="shared" si="60"/>
        <v>249732.73949754075</v>
      </c>
      <c r="BW64" s="833"/>
      <c r="BX64" s="832"/>
      <c r="BY64" s="831">
        <f t="shared" si="67"/>
        <v>1758343.6502500062</v>
      </c>
      <c r="BZ64" s="834">
        <f t="shared" si="64"/>
        <v>249732.73949754075</v>
      </c>
      <c r="CA64" s="833"/>
      <c r="CB64" s="832"/>
      <c r="CC64" s="831">
        <f t="shared" si="65"/>
        <v>1758343.6502500062</v>
      </c>
      <c r="CD64" s="834">
        <f t="shared" si="65"/>
        <v>249732.73949754075</v>
      </c>
      <c r="CE64" s="835">
        <v>88488.644198831549</v>
      </c>
      <c r="CF64" s="832"/>
      <c r="CG64" s="836">
        <f t="shared" si="61"/>
        <v>338221.38369637227</v>
      </c>
      <c r="CH64" s="820">
        <f t="shared" si="72"/>
        <v>2096565.0339463786</v>
      </c>
      <c r="CI64" s="918" t="s">
        <v>3029</v>
      </c>
      <c r="CJ64" s="838">
        <v>2008077</v>
      </c>
      <c r="CK64" s="838">
        <f t="shared" si="66"/>
        <v>0.61025245301425457</v>
      </c>
      <c r="CL64" s="839"/>
      <c r="CP64" s="922">
        <v>1508</v>
      </c>
      <c r="CQ64" s="300" t="b">
        <v>0</v>
      </c>
    </row>
    <row r="65" spans="1:95" s="819" customFormat="1" ht="14.5" thickBot="1" x14ac:dyDescent="0.35">
      <c r="A65"/>
      <c r="B65"/>
      <c r="C65" s="903" t="s">
        <v>3992</v>
      </c>
      <c r="D65" s="823">
        <v>1508</v>
      </c>
      <c r="E65" s="903"/>
      <c r="F65" s="832">
        <v>-8043300.1400000006</v>
      </c>
      <c r="G65" s="832"/>
      <c r="H65" s="832"/>
      <c r="I65" s="811">
        <v>-8043300.1400000006</v>
      </c>
      <c r="J65" s="832"/>
      <c r="K65" s="832">
        <v>-52279.479279617262</v>
      </c>
      <c r="L65" s="832"/>
      <c r="M65" s="832"/>
      <c r="N65" s="829">
        <v>-52279.479279617262</v>
      </c>
      <c r="O65" s="830">
        <v>-8043300.1400000006</v>
      </c>
      <c r="P65" s="925">
        <v>-326377.99999999907</v>
      </c>
      <c r="Q65" s="832"/>
      <c r="R65" s="832"/>
      <c r="S65" s="811">
        <v>-8369678.1399999997</v>
      </c>
      <c r="T65" s="831">
        <v>-52279.479279617262</v>
      </c>
      <c r="U65" s="832">
        <v>-153119.20180750001</v>
      </c>
      <c r="V65" s="832"/>
      <c r="W65" s="832"/>
      <c r="X65" s="829">
        <v>-205398.68108711726</v>
      </c>
      <c r="Y65" s="830">
        <v>-8369678.1399999997</v>
      </c>
      <c r="Z65" s="832"/>
      <c r="AA65" s="832"/>
      <c r="AB65" s="832"/>
      <c r="AC65" s="811">
        <v>-8369678.1399999997</v>
      </c>
      <c r="AD65" s="831">
        <v>-205398.68108711726</v>
      </c>
      <c r="AE65" s="832">
        <v>-188108.51619649999</v>
      </c>
      <c r="AF65" s="832"/>
      <c r="AG65" s="832"/>
      <c r="AH65" s="829">
        <v>-393507.19728361722</v>
      </c>
      <c r="AI65" s="830">
        <v>-8369678.1399999997</v>
      </c>
      <c r="AJ65" s="832"/>
      <c r="AK65" s="832">
        <v>-11387317.140000001</v>
      </c>
      <c r="AL65" s="832">
        <v>-3017639.0000000009</v>
      </c>
      <c r="AM65" s="811">
        <v>0</v>
      </c>
      <c r="AN65" s="831">
        <v>-393507.19728361722</v>
      </c>
      <c r="AO65" s="832"/>
      <c r="AP65" s="832">
        <v>-423917.03</v>
      </c>
      <c r="AQ65" s="832">
        <v>-30409.832716382807</v>
      </c>
      <c r="AR65" s="829">
        <v>0</v>
      </c>
      <c r="AS65" s="830">
        <f t="shared" si="54"/>
        <v>0</v>
      </c>
      <c r="AT65" s="832"/>
      <c r="AU65" s="832"/>
      <c r="AV65" s="832"/>
      <c r="AW65" s="811">
        <f t="shared" si="55"/>
        <v>0</v>
      </c>
      <c r="AX65" s="831">
        <f t="shared" si="56"/>
        <v>0</v>
      </c>
      <c r="AY65" s="832"/>
      <c r="AZ65" s="832"/>
      <c r="BA65" s="832"/>
      <c r="BB65" s="829">
        <f t="shared" si="63"/>
        <v>0</v>
      </c>
      <c r="BC65" s="830">
        <f t="shared" si="57"/>
        <v>0</v>
      </c>
      <c r="BD65" s="832"/>
      <c r="BE65" s="832"/>
      <c r="BF65" s="832"/>
      <c r="BG65" s="811">
        <f t="shared" si="68"/>
        <v>0</v>
      </c>
      <c r="BH65" s="831">
        <f t="shared" si="69"/>
        <v>0</v>
      </c>
      <c r="BI65" s="832"/>
      <c r="BJ65" s="832"/>
      <c r="BK65" s="832"/>
      <c r="BL65" s="829">
        <f t="shared" si="58"/>
        <v>0</v>
      </c>
      <c r="BM65" s="830">
        <f t="shared" si="59"/>
        <v>0</v>
      </c>
      <c r="BN65" s="832"/>
      <c r="BO65" s="832"/>
      <c r="BP65" s="832">
        <v>0</v>
      </c>
      <c r="BQ65" s="811">
        <f t="shared" si="70"/>
        <v>0</v>
      </c>
      <c r="BR65" s="831">
        <f t="shared" si="71"/>
        <v>0</v>
      </c>
      <c r="BS65" s="832"/>
      <c r="BT65" s="832"/>
      <c r="BU65" s="832">
        <v>0</v>
      </c>
      <c r="BV65" s="829">
        <f t="shared" si="60"/>
        <v>0</v>
      </c>
      <c r="BW65" s="833"/>
      <c r="BX65" s="832"/>
      <c r="BY65" s="831">
        <f t="shared" si="67"/>
        <v>0</v>
      </c>
      <c r="BZ65" s="834">
        <f t="shared" si="64"/>
        <v>0</v>
      </c>
      <c r="CA65" s="833"/>
      <c r="CB65" s="832"/>
      <c r="CC65" s="831">
        <f t="shared" si="65"/>
        <v>0</v>
      </c>
      <c r="CD65" s="834">
        <f t="shared" si="65"/>
        <v>0</v>
      </c>
      <c r="CE65" s="835">
        <v>0</v>
      </c>
      <c r="CF65" s="832"/>
      <c r="CG65" s="836">
        <f t="shared" si="61"/>
        <v>0</v>
      </c>
      <c r="CH65" s="820">
        <f t="shared" si="72"/>
        <v>0</v>
      </c>
      <c r="CI65" s="918" t="s">
        <v>633</v>
      </c>
      <c r="CJ65" s="838">
        <v>0</v>
      </c>
      <c r="CK65" s="838">
        <f t="shared" si="66"/>
        <v>0</v>
      </c>
      <c r="CL65" s="839"/>
      <c r="CP65" s="922"/>
      <c r="CQ65" s="300"/>
    </row>
    <row r="66" spans="1:95" s="819" customFormat="1" ht="14.5" thickBot="1" x14ac:dyDescent="0.35">
      <c r="A66">
        <v>31</v>
      </c>
      <c r="B66"/>
      <c r="C66" s="903" t="s">
        <v>3993</v>
      </c>
      <c r="D66" s="823">
        <v>1508</v>
      </c>
      <c r="E66" s="903"/>
      <c r="F66" s="832">
        <v>-5081563.3699999982</v>
      </c>
      <c r="G66" s="832"/>
      <c r="H66" s="832"/>
      <c r="I66" s="811">
        <f t="shared" si="40"/>
        <v>-5081563.3699999982</v>
      </c>
      <c r="J66" s="832"/>
      <c r="K66" s="832">
        <v>-204580.48000000001</v>
      </c>
      <c r="L66" s="832"/>
      <c r="M66" s="832"/>
      <c r="N66" s="829">
        <f t="shared" si="41"/>
        <v>-204580.48000000001</v>
      </c>
      <c r="O66" s="830">
        <f t="shared" si="42"/>
        <v>-5081563.3699999982</v>
      </c>
      <c r="P66" s="925">
        <v>-2412581.5800000024</v>
      </c>
      <c r="Q66" s="832"/>
      <c r="R66" s="832"/>
      <c r="S66" s="811">
        <f t="shared" si="43"/>
        <v>-7494144.9500000011</v>
      </c>
      <c r="T66" s="831">
        <f t="shared" si="44"/>
        <v>-204580.48000000001</v>
      </c>
      <c r="U66" s="832">
        <v>-145327.78</v>
      </c>
      <c r="V66" s="832"/>
      <c r="W66" s="832"/>
      <c r="X66" s="829">
        <f t="shared" si="45"/>
        <v>-349908.26</v>
      </c>
      <c r="Y66" s="830">
        <f t="shared" si="46"/>
        <v>-7494144.9500000011</v>
      </c>
      <c r="Z66" s="832">
        <v>-2760425.3800000027</v>
      </c>
      <c r="AA66" s="832"/>
      <c r="AB66" s="832"/>
      <c r="AC66" s="811">
        <f t="shared" si="47"/>
        <v>-10254570.330000004</v>
      </c>
      <c r="AD66" s="831">
        <f t="shared" si="48"/>
        <v>-349908.26</v>
      </c>
      <c r="AE66" s="832">
        <v>-217663.72527616669</v>
      </c>
      <c r="AF66" s="832"/>
      <c r="AG66" s="832"/>
      <c r="AH66" s="829">
        <f t="shared" si="49"/>
        <v>-567571.9852761667</v>
      </c>
      <c r="AI66" s="830">
        <f t="shared" si="50"/>
        <v>-10254570.330000004</v>
      </c>
      <c r="AJ66" s="832">
        <v>-3673057.63</v>
      </c>
      <c r="AK66" s="832"/>
      <c r="AL66" s="832"/>
      <c r="AM66" s="811">
        <f t="shared" si="51"/>
        <v>-13927627.960000005</v>
      </c>
      <c r="AN66" s="831">
        <f t="shared" si="52"/>
        <v>-567571.9852761667</v>
      </c>
      <c r="AO66" s="832">
        <v>-41722.420914500035</v>
      </c>
      <c r="AP66" s="832"/>
      <c r="AQ66" s="832"/>
      <c r="AR66" s="829">
        <f t="shared" si="53"/>
        <v>-609294.40619066672</v>
      </c>
      <c r="AS66" s="830">
        <f t="shared" si="54"/>
        <v>-13927627.960000005</v>
      </c>
      <c r="AT66" s="832">
        <v>-2668333.4400000004</v>
      </c>
      <c r="AU66" s="832">
        <v>-10254570.33</v>
      </c>
      <c r="AV66" s="832"/>
      <c r="AW66" s="811">
        <f t="shared" si="55"/>
        <v>-6341391.0700000059</v>
      </c>
      <c r="AX66" s="831">
        <f t="shared" si="56"/>
        <v>-609294.40619066672</v>
      </c>
      <c r="AY66" s="832">
        <v>-27801.588979750013</v>
      </c>
      <c r="AZ66" s="832">
        <v>-791121.61</v>
      </c>
      <c r="BA66" s="832"/>
      <c r="BB66" s="829">
        <f t="shared" si="63"/>
        <v>154025.61482958321</v>
      </c>
      <c r="BC66" s="830">
        <f t="shared" si="57"/>
        <v>-6341391.0700000059</v>
      </c>
      <c r="BD66" s="832">
        <v>-836014.14849557716</v>
      </c>
      <c r="BE66" s="832"/>
      <c r="BF66" s="832"/>
      <c r="BG66" s="811">
        <f t="shared" si="68"/>
        <v>-7177405.2184955832</v>
      </c>
      <c r="BH66" s="831">
        <f t="shared" si="69"/>
        <v>154025.61482958321</v>
      </c>
      <c r="BI66" s="832">
        <v>-132299.28171565052</v>
      </c>
      <c r="BJ66" s="832"/>
      <c r="BK66" s="832">
        <v>-82549.23</v>
      </c>
      <c r="BL66" s="829">
        <f t="shared" si="58"/>
        <v>-60822.896886067305</v>
      </c>
      <c r="BM66" s="830">
        <f t="shared" si="59"/>
        <v>-7177405.2184955832</v>
      </c>
      <c r="BN66" s="832">
        <v>-574943.50026548945</v>
      </c>
      <c r="BO66" s="832"/>
      <c r="BP66" s="832"/>
      <c r="BQ66" s="811">
        <f t="shared" si="70"/>
        <v>-7752348.7187610725</v>
      </c>
      <c r="BR66" s="831">
        <f t="shared" si="71"/>
        <v>-60822.896886067305</v>
      </c>
      <c r="BS66" s="832">
        <v>-379344.46503873629</v>
      </c>
      <c r="BT66" s="832"/>
      <c r="BU66" s="832">
        <v>-108612.99074525003</v>
      </c>
      <c r="BV66" s="829">
        <f t="shared" si="60"/>
        <v>-548780.3526700536</v>
      </c>
      <c r="BW66" s="833"/>
      <c r="BX66" s="832"/>
      <c r="BY66" s="831">
        <f t="shared" si="67"/>
        <v>-7752348.7187610725</v>
      </c>
      <c r="BZ66" s="834">
        <f t="shared" si="64"/>
        <v>-548780.3526700536</v>
      </c>
      <c r="CA66" s="833"/>
      <c r="CB66" s="832"/>
      <c r="CC66" s="831">
        <f t="shared" si="65"/>
        <v>-7752348.7187610725</v>
      </c>
      <c r="CD66" s="834">
        <f t="shared" si="65"/>
        <v>-548780.3526700536</v>
      </c>
      <c r="CE66" s="835">
        <v>-425603.94465998263</v>
      </c>
      <c r="CF66" s="832"/>
      <c r="CG66" s="836">
        <f t="shared" si="61"/>
        <v>-974384.29733003629</v>
      </c>
      <c r="CH66" s="820">
        <f t="shared" si="72"/>
        <v>-8726733.0160911083</v>
      </c>
      <c r="CI66" s="918" t="s">
        <v>3029</v>
      </c>
      <c r="CJ66" s="838">
        <v>-8301130</v>
      </c>
      <c r="CK66" s="838">
        <f t="shared" si="66"/>
        <v>-0.92856887355446815</v>
      </c>
      <c r="CL66" s="839"/>
      <c r="CP66" s="922">
        <v>1508</v>
      </c>
      <c r="CQ66" s="300" t="b">
        <v>0</v>
      </c>
    </row>
    <row r="67" spans="1:95" s="819" customFormat="1" ht="14.5" thickBot="1" x14ac:dyDescent="0.35">
      <c r="A67">
        <v>32</v>
      </c>
      <c r="B67"/>
      <c r="C67" s="903" t="s">
        <v>3994</v>
      </c>
      <c r="D67" s="823">
        <v>1508</v>
      </c>
      <c r="E67" s="903"/>
      <c r="F67" s="832"/>
      <c r="G67" s="832"/>
      <c r="H67" s="832"/>
      <c r="I67" s="811">
        <f t="shared" si="40"/>
        <v>0</v>
      </c>
      <c r="J67" s="832"/>
      <c r="K67" s="832"/>
      <c r="L67" s="832"/>
      <c r="M67" s="832"/>
      <c r="N67" s="829">
        <f t="shared" si="41"/>
        <v>0</v>
      </c>
      <c r="O67" s="830">
        <f t="shared" si="42"/>
        <v>0</v>
      </c>
      <c r="P67" s="925">
        <v>-3290798</v>
      </c>
      <c r="Q67" s="832"/>
      <c r="R67" s="832"/>
      <c r="S67" s="811">
        <f t="shared" si="43"/>
        <v>-3290798</v>
      </c>
      <c r="T67" s="831">
        <f t="shared" si="44"/>
        <v>0</v>
      </c>
      <c r="U67" s="832">
        <v>-57177.615250000003</v>
      </c>
      <c r="V67" s="832"/>
      <c r="W67" s="832"/>
      <c r="X67" s="829">
        <f t="shared" si="45"/>
        <v>-57177.615250000003</v>
      </c>
      <c r="Y67" s="830">
        <f t="shared" si="46"/>
        <v>-3290798</v>
      </c>
      <c r="Z67" s="832"/>
      <c r="AA67" s="832"/>
      <c r="AB67" s="832"/>
      <c r="AC67" s="811">
        <f t="shared" si="47"/>
        <v>-3290798</v>
      </c>
      <c r="AD67" s="831">
        <f t="shared" si="48"/>
        <v>-57177.615250000003</v>
      </c>
      <c r="AE67" s="832"/>
      <c r="AF67" s="832"/>
      <c r="AG67" s="832">
        <v>57177.615250000003</v>
      </c>
      <c r="AH67" s="829">
        <f t="shared" si="49"/>
        <v>0</v>
      </c>
      <c r="AI67" s="830">
        <f t="shared" si="50"/>
        <v>-3290798</v>
      </c>
      <c r="AJ67" s="832">
        <v>28995.870000000112</v>
      </c>
      <c r="AK67" s="832"/>
      <c r="AL67" s="832"/>
      <c r="AM67" s="811">
        <f t="shared" si="51"/>
        <v>-3261802.13</v>
      </c>
      <c r="AN67" s="831">
        <f t="shared" si="52"/>
        <v>0</v>
      </c>
      <c r="AO67" s="832">
        <v>-45179.607996250044</v>
      </c>
      <c r="AP67" s="832"/>
      <c r="AQ67" s="832"/>
      <c r="AR67" s="829">
        <f t="shared" si="53"/>
        <v>-45179.607996250044</v>
      </c>
      <c r="AS67" s="830">
        <f t="shared" si="54"/>
        <v>-3261802.13</v>
      </c>
      <c r="AT67" s="832"/>
      <c r="AU67" s="832">
        <v>-3290798.0500000031</v>
      </c>
      <c r="AV67" s="832">
        <v>-28995.870000000112</v>
      </c>
      <c r="AW67" s="811">
        <f t="shared" si="55"/>
        <v>5.0000003073364496E-2</v>
      </c>
      <c r="AX67" s="831">
        <f t="shared" si="56"/>
        <v>-45179.607996250044</v>
      </c>
      <c r="AY67" s="832"/>
      <c r="AZ67" s="832">
        <v>-202877.3</v>
      </c>
      <c r="BA67" s="832">
        <v>-157697.69200374995</v>
      </c>
      <c r="BB67" s="829">
        <f t="shared" si="63"/>
        <v>0</v>
      </c>
      <c r="BC67" s="830">
        <f t="shared" si="57"/>
        <v>5.0000003073364496E-2</v>
      </c>
      <c r="BD67" s="832"/>
      <c r="BE67" s="832"/>
      <c r="BF67" s="832"/>
      <c r="BG67" s="811">
        <f t="shared" si="68"/>
        <v>5.0000003073364496E-2</v>
      </c>
      <c r="BH67" s="831">
        <f t="shared" si="69"/>
        <v>0</v>
      </c>
      <c r="BI67" s="832"/>
      <c r="BJ67" s="832"/>
      <c r="BK67" s="832"/>
      <c r="BL67" s="829">
        <f t="shared" si="58"/>
        <v>0</v>
      </c>
      <c r="BM67" s="830">
        <f t="shared" si="59"/>
        <v>5.0000003073364496E-2</v>
      </c>
      <c r="BN67" s="832"/>
      <c r="BO67" s="832"/>
      <c r="BP67" s="832"/>
      <c r="BQ67" s="811">
        <f t="shared" si="70"/>
        <v>5.0000003073364496E-2</v>
      </c>
      <c r="BR67" s="831">
        <f t="shared" si="71"/>
        <v>0</v>
      </c>
      <c r="BS67" s="832"/>
      <c r="BT67" s="832"/>
      <c r="BU67" s="832"/>
      <c r="BV67" s="829">
        <f t="shared" si="60"/>
        <v>0</v>
      </c>
      <c r="BW67" s="833"/>
      <c r="BX67" s="832"/>
      <c r="BY67" s="831">
        <f t="shared" si="67"/>
        <v>5.0000003073364496E-2</v>
      </c>
      <c r="BZ67" s="834">
        <f t="shared" si="64"/>
        <v>0</v>
      </c>
      <c r="CA67" s="833"/>
      <c r="CB67" s="832"/>
      <c r="CC67" s="831">
        <f t="shared" si="65"/>
        <v>5.0000003073364496E-2</v>
      </c>
      <c r="CD67" s="834">
        <f t="shared" si="65"/>
        <v>0</v>
      </c>
      <c r="CE67" s="835"/>
      <c r="CF67" s="832"/>
      <c r="CG67" s="836">
        <f t="shared" si="61"/>
        <v>0</v>
      </c>
      <c r="CH67" s="820">
        <f t="shared" si="72"/>
        <v>0</v>
      </c>
      <c r="CI67" s="918" t="s">
        <v>633</v>
      </c>
      <c r="CJ67" s="838">
        <v>0</v>
      </c>
      <c r="CK67" s="838">
        <f t="shared" si="66"/>
        <v>-5.0000003073364496E-2</v>
      </c>
      <c r="CL67" s="839"/>
      <c r="CP67" s="922">
        <v>1508</v>
      </c>
      <c r="CQ67" s="300" t="b">
        <v>0</v>
      </c>
    </row>
    <row r="68" spans="1:95" s="819" customFormat="1" ht="14.5" thickBot="1" x14ac:dyDescent="0.35">
      <c r="A68">
        <v>33</v>
      </c>
      <c r="B68"/>
      <c r="C68" s="903" t="s">
        <v>3995</v>
      </c>
      <c r="D68" s="823">
        <v>1508</v>
      </c>
      <c r="E68" s="903"/>
      <c r="F68" s="832"/>
      <c r="G68" s="832"/>
      <c r="H68" s="832"/>
      <c r="I68" s="811">
        <f t="shared" si="40"/>
        <v>0</v>
      </c>
      <c r="J68" s="832"/>
      <c r="K68" s="832"/>
      <c r="L68" s="832"/>
      <c r="M68" s="832"/>
      <c r="N68" s="829">
        <f t="shared" si="41"/>
        <v>0</v>
      </c>
      <c r="O68" s="830">
        <f t="shared" si="42"/>
        <v>0</v>
      </c>
      <c r="P68" s="925"/>
      <c r="Q68" s="832"/>
      <c r="R68" s="832"/>
      <c r="S68" s="811">
        <f t="shared" si="43"/>
        <v>0</v>
      </c>
      <c r="T68" s="831">
        <f t="shared" si="44"/>
        <v>0</v>
      </c>
      <c r="U68" s="832"/>
      <c r="V68" s="832"/>
      <c r="W68" s="832"/>
      <c r="X68" s="829">
        <f t="shared" si="45"/>
        <v>0</v>
      </c>
      <c r="Y68" s="830">
        <f t="shared" si="46"/>
        <v>0</v>
      </c>
      <c r="Z68" s="832"/>
      <c r="AA68" s="832"/>
      <c r="AB68" s="832"/>
      <c r="AC68" s="811">
        <f t="shared" si="47"/>
        <v>0</v>
      </c>
      <c r="AD68" s="831">
        <f t="shared" si="48"/>
        <v>0</v>
      </c>
      <c r="AE68" s="832"/>
      <c r="AF68" s="832"/>
      <c r="AG68" s="832"/>
      <c r="AH68" s="829">
        <f t="shared" si="49"/>
        <v>0</v>
      </c>
      <c r="AI68" s="830">
        <f t="shared" si="50"/>
        <v>0</v>
      </c>
      <c r="AJ68" s="832"/>
      <c r="AK68" s="832"/>
      <c r="AL68" s="832"/>
      <c r="AM68" s="811">
        <f t="shared" si="51"/>
        <v>0</v>
      </c>
      <c r="AN68" s="831">
        <f t="shared" si="52"/>
        <v>0</v>
      </c>
      <c r="AO68" s="832"/>
      <c r="AP68" s="832"/>
      <c r="AQ68" s="832"/>
      <c r="AR68" s="829">
        <f t="shared" si="53"/>
        <v>0</v>
      </c>
      <c r="AS68" s="830">
        <f t="shared" si="54"/>
        <v>0</v>
      </c>
      <c r="AT68" s="832"/>
      <c r="AU68" s="832"/>
      <c r="AV68" s="832"/>
      <c r="AW68" s="811">
        <f t="shared" si="55"/>
        <v>0</v>
      </c>
      <c r="AX68" s="831">
        <f t="shared" si="56"/>
        <v>0</v>
      </c>
      <c r="AY68" s="832"/>
      <c r="AZ68" s="832"/>
      <c r="BA68" s="832"/>
      <c r="BB68" s="829">
        <f t="shared" si="63"/>
        <v>0</v>
      </c>
      <c r="BC68" s="830">
        <f t="shared" si="57"/>
        <v>0</v>
      </c>
      <c r="BD68" s="832"/>
      <c r="BE68" s="832"/>
      <c r="BF68" s="832"/>
      <c r="BG68" s="811">
        <f t="shared" si="68"/>
        <v>0</v>
      </c>
      <c r="BH68" s="831">
        <f t="shared" si="69"/>
        <v>0</v>
      </c>
      <c r="BI68" s="832"/>
      <c r="BJ68" s="832"/>
      <c r="BK68" s="832"/>
      <c r="BL68" s="829">
        <f t="shared" si="58"/>
        <v>0</v>
      </c>
      <c r="BM68" s="830">
        <f t="shared" si="59"/>
        <v>0</v>
      </c>
      <c r="BN68" s="832">
        <v>-23776031.399999999</v>
      </c>
      <c r="BO68" s="832"/>
      <c r="BP68" s="832"/>
      <c r="BQ68" s="811">
        <f t="shared" si="70"/>
        <v>-23776031.399999999</v>
      </c>
      <c r="BR68" s="831">
        <f t="shared" si="71"/>
        <v>0</v>
      </c>
      <c r="BS68" s="832">
        <v>-911562.95932499983</v>
      </c>
      <c r="BT68" s="832"/>
      <c r="BU68" s="832"/>
      <c r="BV68" s="829">
        <f t="shared" si="60"/>
        <v>-911562.95932499983</v>
      </c>
      <c r="BW68" s="833"/>
      <c r="BX68" s="832"/>
      <c r="BY68" s="831">
        <f t="shared" si="67"/>
        <v>-23776031.399999999</v>
      </c>
      <c r="BZ68" s="834">
        <f t="shared" si="64"/>
        <v>-911562.95932499983</v>
      </c>
      <c r="CA68" s="833"/>
      <c r="CB68" s="832"/>
      <c r="CC68" s="831">
        <f t="shared" si="65"/>
        <v>-23776031.399999999</v>
      </c>
      <c r="CD68" s="834">
        <f t="shared" si="65"/>
        <v>-911562.95932499983</v>
      </c>
      <c r="CE68" s="835">
        <v>-1305304.1238599997</v>
      </c>
      <c r="CF68" s="832"/>
      <c r="CG68" s="836">
        <f t="shared" si="61"/>
        <v>-2216867.0831849994</v>
      </c>
      <c r="CH68" s="820">
        <v>-34565208.083185002</v>
      </c>
      <c r="CI68" s="918" t="s">
        <v>3029</v>
      </c>
      <c r="CJ68" s="838">
        <v>-24687594</v>
      </c>
      <c r="CK68" s="838">
        <f t="shared" si="66"/>
        <v>0.35932499915361404</v>
      </c>
      <c r="CL68" s="839"/>
      <c r="CP68" s="922">
        <v>1508</v>
      </c>
      <c r="CQ68" s="300" t="b">
        <v>0</v>
      </c>
    </row>
    <row r="69" spans="1:95" s="819" customFormat="1" ht="14.5" thickBot="1" x14ac:dyDescent="0.35">
      <c r="A69">
        <v>34</v>
      </c>
      <c r="B69"/>
      <c r="C69" s="903" t="s">
        <v>3996</v>
      </c>
      <c r="D69" s="823">
        <v>1508</v>
      </c>
      <c r="E69" s="903"/>
      <c r="F69" s="832"/>
      <c r="G69" s="832"/>
      <c r="H69" s="832"/>
      <c r="I69" s="811">
        <f t="shared" si="40"/>
        <v>0</v>
      </c>
      <c r="J69" s="832"/>
      <c r="K69" s="832"/>
      <c r="L69" s="832"/>
      <c r="M69" s="832"/>
      <c r="N69" s="829">
        <f t="shared" si="41"/>
        <v>0</v>
      </c>
      <c r="O69" s="830">
        <f t="shared" si="42"/>
        <v>0</v>
      </c>
      <c r="P69" s="925"/>
      <c r="Q69" s="832"/>
      <c r="R69" s="832"/>
      <c r="S69" s="811">
        <f t="shared" si="43"/>
        <v>0</v>
      </c>
      <c r="T69" s="831">
        <f t="shared" si="44"/>
        <v>0</v>
      </c>
      <c r="U69" s="832"/>
      <c r="V69" s="832"/>
      <c r="W69" s="832"/>
      <c r="X69" s="829">
        <f t="shared" si="45"/>
        <v>0</v>
      </c>
      <c r="Y69" s="830">
        <f t="shared" si="46"/>
        <v>0</v>
      </c>
      <c r="Z69" s="832"/>
      <c r="AA69" s="832"/>
      <c r="AB69" s="832"/>
      <c r="AC69" s="811">
        <f t="shared" si="47"/>
        <v>0</v>
      </c>
      <c r="AD69" s="831">
        <f t="shared" si="48"/>
        <v>0</v>
      </c>
      <c r="AE69" s="832"/>
      <c r="AF69" s="832"/>
      <c r="AG69" s="832"/>
      <c r="AH69" s="829">
        <f t="shared" si="49"/>
        <v>0</v>
      </c>
      <c r="AI69" s="830">
        <f t="shared" si="50"/>
        <v>0</v>
      </c>
      <c r="AJ69" s="832"/>
      <c r="AK69" s="832"/>
      <c r="AL69" s="832"/>
      <c r="AM69" s="811">
        <f t="shared" si="51"/>
        <v>0</v>
      </c>
      <c r="AN69" s="831">
        <f t="shared" si="52"/>
        <v>0</v>
      </c>
      <c r="AO69" s="832"/>
      <c r="AP69" s="832"/>
      <c r="AQ69" s="832"/>
      <c r="AR69" s="829">
        <f t="shared" si="53"/>
        <v>0</v>
      </c>
      <c r="AS69" s="830">
        <f t="shared" si="54"/>
        <v>0</v>
      </c>
      <c r="AT69" s="832"/>
      <c r="AU69" s="832"/>
      <c r="AV69" s="832"/>
      <c r="AW69" s="811">
        <f t="shared" si="55"/>
        <v>0</v>
      </c>
      <c r="AX69" s="831">
        <f t="shared" si="56"/>
        <v>0</v>
      </c>
      <c r="AY69" s="832"/>
      <c r="AZ69" s="832"/>
      <c r="BA69" s="832"/>
      <c r="BB69" s="829">
        <f t="shared" si="63"/>
        <v>0</v>
      </c>
      <c r="BC69" s="830">
        <f t="shared" si="57"/>
        <v>0</v>
      </c>
      <c r="BD69" s="832"/>
      <c r="BE69" s="832"/>
      <c r="BF69" s="832"/>
      <c r="BG69" s="811">
        <f t="shared" si="68"/>
        <v>0</v>
      </c>
      <c r="BH69" s="831">
        <f t="shared" si="69"/>
        <v>0</v>
      </c>
      <c r="BI69" s="832"/>
      <c r="BJ69" s="832"/>
      <c r="BK69" s="832"/>
      <c r="BL69" s="829">
        <f t="shared" si="58"/>
        <v>0</v>
      </c>
      <c r="BM69" s="830">
        <f t="shared" si="59"/>
        <v>0</v>
      </c>
      <c r="BN69" s="832">
        <v>-7306356.0899999999</v>
      </c>
      <c r="BO69" s="832"/>
      <c r="BP69" s="832"/>
      <c r="BQ69" s="811">
        <f t="shared" si="70"/>
        <v>-7306356.0899999999</v>
      </c>
      <c r="BR69" s="831">
        <f t="shared" si="71"/>
        <v>0</v>
      </c>
      <c r="BS69" s="832">
        <v>-269760.43387824995</v>
      </c>
      <c r="BT69" s="832"/>
      <c r="BU69" s="832"/>
      <c r="BV69" s="829">
        <f t="shared" si="60"/>
        <v>-269760.43387824995</v>
      </c>
      <c r="BW69" s="833"/>
      <c r="BX69" s="832"/>
      <c r="BY69" s="831">
        <f t="shared" si="67"/>
        <v>-7306356.0899999999</v>
      </c>
      <c r="BZ69" s="834">
        <f t="shared" si="64"/>
        <v>-269760.43387824995</v>
      </c>
      <c r="CA69" s="833"/>
      <c r="CB69" s="832"/>
      <c r="CC69" s="831">
        <f t="shared" si="65"/>
        <v>-7306356.0899999999</v>
      </c>
      <c r="CD69" s="834">
        <f t="shared" si="65"/>
        <v>-269760.43387824995</v>
      </c>
      <c r="CE69" s="835">
        <v>-401118.949341</v>
      </c>
      <c r="CF69" s="832"/>
      <c r="CG69" s="836">
        <f t="shared" si="61"/>
        <v>-670879.38321925001</v>
      </c>
      <c r="CH69" s="820">
        <v>-10611499.38321925</v>
      </c>
      <c r="CI69" s="918" t="s">
        <v>3029</v>
      </c>
      <c r="CJ69" s="838">
        <v>-7576116</v>
      </c>
      <c r="CK69" s="838">
        <f t="shared" si="66"/>
        <v>0.52387825027108192</v>
      </c>
      <c r="CL69" s="839"/>
      <c r="CP69" s="922">
        <v>1508</v>
      </c>
      <c r="CQ69" s="300" t="b">
        <v>0</v>
      </c>
    </row>
    <row r="70" spans="1:95" s="819" customFormat="1" ht="14.5" thickBot="1" x14ac:dyDescent="0.35">
      <c r="A70">
        <v>35</v>
      </c>
      <c r="B70"/>
      <c r="C70" s="903" t="s">
        <v>3997</v>
      </c>
      <c r="D70" s="823">
        <v>1508</v>
      </c>
      <c r="E70" s="903"/>
      <c r="F70" s="832"/>
      <c r="G70" s="832"/>
      <c r="H70" s="832"/>
      <c r="I70" s="811">
        <f t="shared" si="40"/>
        <v>0</v>
      </c>
      <c r="J70" s="832"/>
      <c r="K70" s="832"/>
      <c r="L70" s="832"/>
      <c r="M70" s="832"/>
      <c r="N70" s="829">
        <f t="shared" si="41"/>
        <v>0</v>
      </c>
      <c r="O70" s="830">
        <f t="shared" si="42"/>
        <v>0</v>
      </c>
      <c r="P70" s="925"/>
      <c r="Q70" s="832"/>
      <c r="R70" s="832"/>
      <c r="S70" s="811">
        <f t="shared" si="43"/>
        <v>0</v>
      </c>
      <c r="T70" s="831">
        <f t="shared" si="44"/>
        <v>0</v>
      </c>
      <c r="U70" s="832"/>
      <c r="V70" s="832"/>
      <c r="W70" s="832"/>
      <c r="X70" s="829">
        <f t="shared" si="45"/>
        <v>0</v>
      </c>
      <c r="Y70" s="830">
        <f t="shared" si="46"/>
        <v>0</v>
      </c>
      <c r="Z70" s="832"/>
      <c r="AA70" s="832"/>
      <c r="AB70" s="832"/>
      <c r="AC70" s="811">
        <f t="shared" si="47"/>
        <v>0</v>
      </c>
      <c r="AD70" s="831">
        <f t="shared" si="48"/>
        <v>0</v>
      </c>
      <c r="AE70" s="832"/>
      <c r="AF70" s="832"/>
      <c r="AG70" s="832"/>
      <c r="AH70" s="829">
        <f t="shared" si="49"/>
        <v>0</v>
      </c>
      <c r="AI70" s="830">
        <f t="shared" si="50"/>
        <v>0</v>
      </c>
      <c r="AJ70" s="832"/>
      <c r="AK70" s="832"/>
      <c r="AL70" s="832"/>
      <c r="AM70" s="811">
        <f t="shared" si="51"/>
        <v>0</v>
      </c>
      <c r="AN70" s="831">
        <f t="shared" si="52"/>
        <v>0</v>
      </c>
      <c r="AO70" s="832"/>
      <c r="AP70" s="832"/>
      <c r="AQ70" s="832"/>
      <c r="AR70" s="829">
        <f t="shared" si="53"/>
        <v>0</v>
      </c>
      <c r="AS70" s="830">
        <f t="shared" si="54"/>
        <v>0</v>
      </c>
      <c r="AT70" s="832"/>
      <c r="AU70" s="832"/>
      <c r="AV70" s="832"/>
      <c r="AW70" s="811">
        <f t="shared" si="55"/>
        <v>0</v>
      </c>
      <c r="AX70" s="831">
        <f t="shared" si="56"/>
        <v>0</v>
      </c>
      <c r="AY70" s="832"/>
      <c r="AZ70" s="832"/>
      <c r="BA70" s="832"/>
      <c r="BB70" s="829">
        <f t="shared" si="63"/>
        <v>0</v>
      </c>
      <c r="BC70" s="830">
        <f t="shared" si="57"/>
        <v>0</v>
      </c>
      <c r="BD70" s="832"/>
      <c r="BE70" s="832"/>
      <c r="BF70" s="832"/>
      <c r="BG70" s="811">
        <f t="shared" si="68"/>
        <v>0</v>
      </c>
      <c r="BH70" s="831">
        <f t="shared" si="69"/>
        <v>0</v>
      </c>
      <c r="BI70" s="832"/>
      <c r="BJ70" s="832"/>
      <c r="BK70" s="832"/>
      <c r="BL70" s="829">
        <f t="shared" si="58"/>
        <v>0</v>
      </c>
      <c r="BM70" s="830">
        <f t="shared" si="59"/>
        <v>0</v>
      </c>
      <c r="BN70" s="832">
        <v>-61331416.13000001</v>
      </c>
      <c r="BO70" s="832"/>
      <c r="BP70" s="832"/>
      <c r="BQ70" s="811">
        <f t="shared" si="70"/>
        <v>-61331416.13000001</v>
      </c>
      <c r="BR70" s="831">
        <f t="shared" si="71"/>
        <v>0</v>
      </c>
      <c r="BS70" s="832">
        <v>-1320015.7564410835</v>
      </c>
      <c r="BT70" s="832"/>
      <c r="BU70" s="832"/>
      <c r="BV70" s="829">
        <f t="shared" si="60"/>
        <v>-1320015.7564410835</v>
      </c>
      <c r="BW70" s="833">
        <v>-67893758.592521951</v>
      </c>
      <c r="BX70" s="832"/>
      <c r="BY70" s="831">
        <f t="shared" si="67"/>
        <v>-129225174.72252196</v>
      </c>
      <c r="BZ70" s="834">
        <f t="shared" si="64"/>
        <v>-1320015.7564410835</v>
      </c>
      <c r="CA70" s="833"/>
      <c r="CB70" s="832"/>
      <c r="CC70" s="831">
        <f t="shared" si="65"/>
        <v>-129225174.72252196</v>
      </c>
      <c r="CD70" s="834">
        <f t="shared" si="65"/>
        <v>-1320015.7564410835</v>
      </c>
      <c r="CE70" s="835">
        <v>-5053331.9880518885</v>
      </c>
      <c r="CF70" s="832"/>
      <c r="CG70" s="836">
        <f t="shared" si="61"/>
        <v>-6373347.7444929723</v>
      </c>
      <c r="CH70" s="820">
        <f t="shared" si="72"/>
        <v>-135598522.46701494</v>
      </c>
      <c r="CI70" s="918" t="s">
        <v>3029</v>
      </c>
      <c r="CJ70" s="838">
        <v>-62651432</v>
      </c>
      <c r="CK70" s="838">
        <f t="shared" si="66"/>
        <v>-0.11355890333652496</v>
      </c>
      <c r="CL70" s="839"/>
      <c r="CP70" s="922">
        <v>1508</v>
      </c>
      <c r="CQ70" s="300" t="b">
        <v>0</v>
      </c>
    </row>
    <row r="71" spans="1:95" s="819" customFormat="1" ht="14.5" thickBot="1" x14ac:dyDescent="0.35">
      <c r="A71">
        <v>36</v>
      </c>
      <c r="B71"/>
      <c r="C71" s="903" t="s">
        <v>3998</v>
      </c>
      <c r="D71" s="823">
        <v>1508</v>
      </c>
      <c r="E71" s="903"/>
      <c r="F71" s="832"/>
      <c r="G71" s="832"/>
      <c r="H71" s="832"/>
      <c r="I71" s="811">
        <f t="shared" si="40"/>
        <v>0</v>
      </c>
      <c r="J71" s="832"/>
      <c r="K71" s="832"/>
      <c r="L71" s="832"/>
      <c r="M71" s="832"/>
      <c r="N71" s="829">
        <f t="shared" si="41"/>
        <v>0</v>
      </c>
      <c r="O71" s="830">
        <f t="shared" si="42"/>
        <v>0</v>
      </c>
      <c r="P71" s="925"/>
      <c r="Q71" s="832"/>
      <c r="R71" s="832"/>
      <c r="S71" s="811">
        <f t="shared" si="43"/>
        <v>0</v>
      </c>
      <c r="T71" s="831">
        <f t="shared" si="44"/>
        <v>0</v>
      </c>
      <c r="U71" s="832"/>
      <c r="V71" s="832"/>
      <c r="W71" s="832"/>
      <c r="X71" s="829">
        <f t="shared" si="45"/>
        <v>0</v>
      </c>
      <c r="Y71" s="830">
        <f t="shared" si="46"/>
        <v>0</v>
      </c>
      <c r="Z71" s="832"/>
      <c r="AA71" s="832"/>
      <c r="AB71" s="832"/>
      <c r="AC71" s="811">
        <f t="shared" si="47"/>
        <v>0</v>
      </c>
      <c r="AD71" s="831">
        <f t="shared" si="48"/>
        <v>0</v>
      </c>
      <c r="AE71" s="832"/>
      <c r="AF71" s="832"/>
      <c r="AG71" s="832"/>
      <c r="AH71" s="829">
        <f t="shared" si="49"/>
        <v>0</v>
      </c>
      <c r="AI71" s="830">
        <f t="shared" si="50"/>
        <v>0</v>
      </c>
      <c r="AJ71" s="832">
        <v>1000000</v>
      </c>
      <c r="AK71" s="832"/>
      <c r="AL71" s="832"/>
      <c r="AM71" s="811">
        <f t="shared" si="51"/>
        <v>1000000</v>
      </c>
      <c r="AN71" s="831">
        <f t="shared" si="52"/>
        <v>0</v>
      </c>
      <c r="AO71" s="832">
        <v>2942.5</v>
      </c>
      <c r="AP71" s="832"/>
      <c r="AQ71" s="832"/>
      <c r="AR71" s="829">
        <f t="shared" si="53"/>
        <v>2942.5</v>
      </c>
      <c r="AS71" s="830">
        <f t="shared" si="54"/>
        <v>1000000</v>
      </c>
      <c r="AT71" s="832">
        <v>-550804.46666666679</v>
      </c>
      <c r="AU71" s="832"/>
      <c r="AV71" s="832"/>
      <c r="AW71" s="811">
        <f t="shared" si="55"/>
        <v>449195.53333333321</v>
      </c>
      <c r="AX71" s="831">
        <f t="shared" si="56"/>
        <v>2942.5</v>
      </c>
      <c r="AY71" s="832">
        <v>1682.8108986666659</v>
      </c>
      <c r="AZ71" s="832"/>
      <c r="BA71" s="832"/>
      <c r="BB71" s="829">
        <f t="shared" si="63"/>
        <v>4625.3108986666657</v>
      </c>
      <c r="BC71" s="830">
        <f t="shared" si="57"/>
        <v>449195.53333333321</v>
      </c>
      <c r="BD71" s="832">
        <v>999999.99999999988</v>
      </c>
      <c r="BE71" s="832"/>
      <c r="BF71" s="832"/>
      <c r="BG71" s="811">
        <f t="shared" si="68"/>
        <v>1449195.5333333332</v>
      </c>
      <c r="BH71" s="831">
        <f t="shared" si="69"/>
        <v>4625.3108986666657</v>
      </c>
      <c r="BI71" s="832">
        <v>20841.677791916663</v>
      </c>
      <c r="BJ71" s="832"/>
      <c r="BK71" s="832"/>
      <c r="BL71" s="829">
        <f t="shared" si="58"/>
        <v>25466.98869058333</v>
      </c>
      <c r="BM71" s="830">
        <f t="shared" si="59"/>
        <v>1449195.5333333332</v>
      </c>
      <c r="BN71" s="832">
        <v>-646566.87</v>
      </c>
      <c r="BO71" s="832"/>
      <c r="BP71" s="832">
        <v>-1935415.9899999995</v>
      </c>
      <c r="BQ71" s="811">
        <f t="shared" si="70"/>
        <v>-1132787.3266666662</v>
      </c>
      <c r="BR71" s="831">
        <f t="shared" si="71"/>
        <v>25466.98869058333</v>
      </c>
      <c r="BS71" s="832">
        <v>-29872.451163416641</v>
      </c>
      <c r="BT71" s="832"/>
      <c r="BU71" s="832">
        <v>-40153.925721916654</v>
      </c>
      <c r="BV71" s="829">
        <f>BR71+BS71-BT71+BU71</f>
        <v>-44559.388194749961</v>
      </c>
      <c r="BW71" s="833">
        <v>-800000.00000000012</v>
      </c>
      <c r="BX71" s="832"/>
      <c r="BY71" s="831">
        <f>BQ71+BW71</f>
        <v>-1932787.3266666662</v>
      </c>
      <c r="BZ71" s="834">
        <f>BV71+BX71</f>
        <v>-44559.388194749961</v>
      </c>
      <c r="CA71" s="833"/>
      <c r="CB71" s="832"/>
      <c r="CC71" s="831">
        <f>BY71-CA71</f>
        <v>-1932787.3266666662</v>
      </c>
      <c r="CD71" s="834">
        <f>BZ71-CB71</f>
        <v>-44559.388194749961</v>
      </c>
      <c r="CE71" s="835">
        <v>-78202.524874499941</v>
      </c>
      <c r="CF71" s="832"/>
      <c r="CG71" s="836">
        <f>CD71+CE71+CF71</f>
        <v>-122761.9130692499</v>
      </c>
      <c r="CH71" s="820">
        <f>IF(CI71="Yes", SUM(CC71:CF71), 0)</f>
        <v>-2055549.2397359163</v>
      </c>
      <c r="CI71" s="918" t="s">
        <v>3029</v>
      </c>
      <c r="CJ71" s="838">
        <v>-1177347</v>
      </c>
      <c r="CK71" s="838">
        <f t="shared" si="66"/>
        <v>-0.28513858374208212</v>
      </c>
      <c r="CL71" s="839"/>
      <c r="CP71" s="922">
        <v>1508</v>
      </c>
      <c r="CQ71" s="300" t="b">
        <v>0</v>
      </c>
    </row>
    <row r="72" spans="1:95" s="819" customFormat="1" ht="14.5" thickBot="1" x14ac:dyDescent="0.35">
      <c r="A72">
        <v>37</v>
      </c>
      <c r="B72"/>
      <c r="C72" s="903" t="s">
        <v>3999</v>
      </c>
      <c r="D72" s="823">
        <v>1508</v>
      </c>
      <c r="E72" s="903">
        <v>2971000</v>
      </c>
      <c r="F72" s="832">
        <v>1300000</v>
      </c>
      <c r="G72" s="832"/>
      <c r="H72" s="832"/>
      <c r="I72" s="811">
        <f t="shared" si="40"/>
        <v>4271000</v>
      </c>
      <c r="J72" s="832"/>
      <c r="K72" s="832"/>
      <c r="L72" s="832"/>
      <c r="M72" s="832"/>
      <c r="N72" s="829">
        <f t="shared" si="41"/>
        <v>0</v>
      </c>
      <c r="O72" s="830">
        <f t="shared" si="42"/>
        <v>4271000</v>
      </c>
      <c r="P72" s="925">
        <v>1182000</v>
      </c>
      <c r="Q72" s="832"/>
      <c r="R72" s="832"/>
      <c r="S72" s="811">
        <f t="shared" si="43"/>
        <v>5453000</v>
      </c>
      <c r="T72" s="831">
        <f t="shared" si="44"/>
        <v>0</v>
      </c>
      <c r="U72" s="832"/>
      <c r="V72" s="832"/>
      <c r="W72" s="832"/>
      <c r="X72" s="829">
        <f t="shared" si="45"/>
        <v>0</v>
      </c>
      <c r="Y72" s="830">
        <f t="shared" si="46"/>
        <v>5453000</v>
      </c>
      <c r="Z72" s="832">
        <v>1663000</v>
      </c>
      <c r="AA72" s="832"/>
      <c r="AB72" s="832"/>
      <c r="AC72" s="811">
        <f t="shared" si="47"/>
        <v>7116000</v>
      </c>
      <c r="AD72" s="831">
        <f t="shared" si="48"/>
        <v>0</v>
      </c>
      <c r="AE72" s="832"/>
      <c r="AF72" s="832"/>
      <c r="AG72" s="832"/>
      <c r="AH72" s="829">
        <f t="shared" si="49"/>
        <v>0</v>
      </c>
      <c r="AI72" s="830">
        <f t="shared" si="50"/>
        <v>7116000</v>
      </c>
      <c r="AJ72" s="832"/>
      <c r="AK72" s="832">
        <v>7116182.8399999999</v>
      </c>
      <c r="AL72" s="832"/>
      <c r="AM72" s="811">
        <f t="shared" si="51"/>
        <v>-182.83999999985099</v>
      </c>
      <c r="AN72" s="831">
        <f t="shared" si="52"/>
        <v>0</v>
      </c>
      <c r="AO72" s="832"/>
      <c r="AP72" s="832"/>
      <c r="AQ72" s="832"/>
      <c r="AR72" s="829">
        <f t="shared" si="53"/>
        <v>0</v>
      </c>
      <c r="AS72" s="830">
        <f t="shared" si="54"/>
        <v>-182.83999999985099</v>
      </c>
      <c r="AT72" s="832"/>
      <c r="AU72" s="832"/>
      <c r="AV72" s="832"/>
      <c r="AW72" s="811">
        <f t="shared" si="55"/>
        <v>-182.83999999985099</v>
      </c>
      <c r="AX72" s="831">
        <f t="shared" si="56"/>
        <v>0</v>
      </c>
      <c r="AY72" s="832"/>
      <c r="AZ72" s="832"/>
      <c r="BA72" s="832"/>
      <c r="BB72" s="829">
        <f t="shared" si="63"/>
        <v>0</v>
      </c>
      <c r="BC72" s="830">
        <f t="shared" si="57"/>
        <v>-182.83999999985099</v>
      </c>
      <c r="BD72" s="832">
        <v>182.84</v>
      </c>
      <c r="BE72" s="832"/>
      <c r="BF72" s="832"/>
      <c r="BG72" s="811">
        <f t="shared" si="68"/>
        <v>1.4901502254360821E-10</v>
      </c>
      <c r="BH72" s="831">
        <f t="shared" si="69"/>
        <v>0</v>
      </c>
      <c r="BI72" s="832"/>
      <c r="BJ72" s="832"/>
      <c r="BK72" s="832"/>
      <c r="BL72" s="829">
        <f t="shared" si="58"/>
        <v>0</v>
      </c>
      <c r="BM72" s="830">
        <f t="shared" si="59"/>
        <v>1.4901502254360821E-10</v>
      </c>
      <c r="BN72" s="832"/>
      <c r="BO72" s="832"/>
      <c r="BP72" s="832"/>
      <c r="BQ72" s="811">
        <f t="shared" si="70"/>
        <v>1.4901502254360821E-10</v>
      </c>
      <c r="BR72" s="831">
        <f t="shared" si="71"/>
        <v>0</v>
      </c>
      <c r="BS72" s="832"/>
      <c r="BT72" s="832"/>
      <c r="BU72" s="832"/>
      <c r="BV72" s="829">
        <f t="shared" si="60"/>
        <v>0</v>
      </c>
      <c r="BW72" s="833"/>
      <c r="BX72" s="832"/>
      <c r="BY72" s="831">
        <f t="shared" si="67"/>
        <v>1.4901502254360821E-10</v>
      </c>
      <c r="BZ72" s="834">
        <f t="shared" si="64"/>
        <v>0</v>
      </c>
      <c r="CA72" s="833"/>
      <c r="CB72" s="832"/>
      <c r="CC72" s="831">
        <f t="shared" si="65"/>
        <v>1.4901502254360821E-10</v>
      </c>
      <c r="CD72" s="834">
        <f t="shared" si="65"/>
        <v>0</v>
      </c>
      <c r="CE72" s="835"/>
      <c r="CF72" s="832"/>
      <c r="CG72" s="836">
        <f t="shared" si="61"/>
        <v>0</v>
      </c>
      <c r="CH72" s="820">
        <f t="shared" si="72"/>
        <v>0</v>
      </c>
      <c r="CI72" s="918" t="s">
        <v>633</v>
      </c>
      <c r="CJ72" s="838">
        <v>0</v>
      </c>
      <c r="CK72" s="838">
        <f t="shared" si="66"/>
        <v>-1.4901502254360821E-10</v>
      </c>
      <c r="CL72" s="839"/>
      <c r="CP72" s="922">
        <v>1508</v>
      </c>
      <c r="CQ72" s="300" t="b">
        <v>0</v>
      </c>
    </row>
    <row r="73" spans="1:95" s="819" customFormat="1" ht="14.5" thickBot="1" x14ac:dyDescent="0.35">
      <c r="A73">
        <v>38</v>
      </c>
      <c r="B73"/>
      <c r="C73" s="903" t="s">
        <v>4000</v>
      </c>
      <c r="D73" s="823">
        <v>1508</v>
      </c>
      <c r="E73" s="903"/>
      <c r="F73" s="832"/>
      <c r="G73" s="832"/>
      <c r="H73" s="832"/>
      <c r="I73" s="811">
        <f t="shared" si="40"/>
        <v>0</v>
      </c>
      <c r="J73" s="832"/>
      <c r="K73" s="832"/>
      <c r="L73" s="832"/>
      <c r="M73" s="832"/>
      <c r="N73" s="829">
        <f t="shared" si="41"/>
        <v>0</v>
      </c>
      <c r="O73" s="830">
        <f t="shared" si="42"/>
        <v>0</v>
      </c>
      <c r="P73" s="925"/>
      <c r="Q73" s="832"/>
      <c r="R73" s="832"/>
      <c r="S73" s="811">
        <f t="shared" si="43"/>
        <v>0</v>
      </c>
      <c r="T73" s="831">
        <f t="shared" si="44"/>
        <v>0</v>
      </c>
      <c r="U73" s="832"/>
      <c r="V73" s="832"/>
      <c r="W73" s="832"/>
      <c r="X73" s="829">
        <f t="shared" si="45"/>
        <v>0</v>
      </c>
      <c r="Y73" s="830">
        <f t="shared" si="46"/>
        <v>0</v>
      </c>
      <c r="Z73" s="832"/>
      <c r="AA73" s="832"/>
      <c r="AB73" s="832"/>
      <c r="AC73" s="811">
        <f t="shared" si="47"/>
        <v>0</v>
      </c>
      <c r="AD73" s="831">
        <f t="shared" si="48"/>
        <v>0</v>
      </c>
      <c r="AE73" s="832"/>
      <c r="AF73" s="832"/>
      <c r="AG73" s="832"/>
      <c r="AH73" s="829">
        <f t="shared" si="49"/>
        <v>0</v>
      </c>
      <c r="AI73" s="830">
        <f t="shared" si="50"/>
        <v>0</v>
      </c>
      <c r="AJ73" s="832"/>
      <c r="AK73" s="832"/>
      <c r="AL73" s="832"/>
      <c r="AM73" s="811">
        <f t="shared" si="51"/>
        <v>0</v>
      </c>
      <c r="AN73" s="831">
        <f t="shared" si="52"/>
        <v>0</v>
      </c>
      <c r="AO73" s="832"/>
      <c r="AP73" s="832"/>
      <c r="AQ73" s="832"/>
      <c r="AR73" s="829">
        <f t="shared" si="53"/>
        <v>0</v>
      </c>
      <c r="AS73" s="830">
        <f t="shared" si="54"/>
        <v>0</v>
      </c>
      <c r="AT73" s="832"/>
      <c r="AU73" s="832"/>
      <c r="AV73" s="832"/>
      <c r="AW73" s="811">
        <f t="shared" si="55"/>
        <v>0</v>
      </c>
      <c r="AX73" s="831">
        <f t="shared" si="56"/>
        <v>0</v>
      </c>
      <c r="AY73" s="832"/>
      <c r="AZ73" s="832"/>
      <c r="BA73" s="832"/>
      <c r="BB73" s="829">
        <f t="shared" si="63"/>
        <v>0</v>
      </c>
      <c r="BC73" s="830">
        <f t="shared" si="57"/>
        <v>0</v>
      </c>
      <c r="BD73" s="832"/>
      <c r="BE73" s="832"/>
      <c r="BF73" s="832"/>
      <c r="BG73" s="811">
        <f t="shared" si="68"/>
        <v>0</v>
      </c>
      <c r="BH73" s="831">
        <f t="shared" si="69"/>
        <v>0</v>
      </c>
      <c r="BI73" s="832"/>
      <c r="BJ73" s="832"/>
      <c r="BK73" s="832"/>
      <c r="BL73" s="829">
        <f t="shared" si="58"/>
        <v>0</v>
      </c>
      <c r="BM73" s="830">
        <f t="shared" si="59"/>
        <v>0</v>
      </c>
      <c r="BN73" s="832">
        <v>282461.38938053098</v>
      </c>
      <c r="BO73" s="832"/>
      <c r="BP73" s="832"/>
      <c r="BQ73" s="811">
        <f t="shared" si="70"/>
        <v>282461.38938053098</v>
      </c>
      <c r="BR73" s="831">
        <f t="shared" si="71"/>
        <v>0</v>
      </c>
      <c r="BS73" s="832"/>
      <c r="BT73" s="832"/>
      <c r="BU73" s="832"/>
      <c r="BV73" s="829">
        <f t="shared" si="60"/>
        <v>0</v>
      </c>
      <c r="BW73" s="833"/>
      <c r="BX73" s="832"/>
      <c r="BY73" s="831">
        <f t="shared" si="67"/>
        <v>282461.38938053098</v>
      </c>
      <c r="BZ73" s="834">
        <f t="shared" si="64"/>
        <v>0</v>
      </c>
      <c r="CA73" s="833"/>
      <c r="CB73" s="832"/>
      <c r="CC73" s="831">
        <f t="shared" si="65"/>
        <v>282461.38938053098</v>
      </c>
      <c r="CD73" s="834">
        <f t="shared" si="65"/>
        <v>0</v>
      </c>
      <c r="CE73" s="835">
        <v>15507.130276991151</v>
      </c>
      <c r="CF73" s="832"/>
      <c r="CG73" s="836">
        <f t="shared" si="61"/>
        <v>15507.130276991151</v>
      </c>
      <c r="CH73" s="820">
        <f t="shared" si="72"/>
        <v>0</v>
      </c>
      <c r="CI73" s="918" t="s">
        <v>633</v>
      </c>
      <c r="CJ73" s="838">
        <v>282461</v>
      </c>
      <c r="CK73" s="838">
        <f t="shared" si="66"/>
        <v>-0.38938053097808734</v>
      </c>
      <c r="CL73" s="839"/>
      <c r="CP73" s="922">
        <v>1508</v>
      </c>
      <c r="CQ73" s="300" t="b">
        <v>0</v>
      </c>
    </row>
    <row r="74" spans="1:95" s="819" customFormat="1" ht="14.5" thickBot="1" x14ac:dyDescent="0.35">
      <c r="A74"/>
      <c r="B74"/>
      <c r="C74" s="868"/>
      <c r="D74" s="823"/>
      <c r="E74" s="903"/>
      <c r="F74" s="832"/>
      <c r="G74" s="832"/>
      <c r="H74" s="832"/>
      <c r="I74" s="811"/>
      <c r="J74" s="832"/>
      <c r="K74" s="832"/>
      <c r="L74" s="832"/>
      <c r="M74" s="832"/>
      <c r="N74" s="829"/>
      <c r="O74" s="830"/>
      <c r="P74" s="925"/>
      <c r="Q74" s="832"/>
      <c r="R74" s="832"/>
      <c r="S74" s="811"/>
      <c r="T74" s="831"/>
      <c r="U74" s="832"/>
      <c r="V74" s="832"/>
      <c r="W74" s="832"/>
      <c r="X74" s="829"/>
      <c r="Y74" s="830"/>
      <c r="Z74" s="832"/>
      <c r="AA74" s="832"/>
      <c r="AB74" s="832"/>
      <c r="AC74" s="811"/>
      <c r="AD74" s="831"/>
      <c r="AE74" s="832"/>
      <c r="AF74" s="832"/>
      <c r="AG74" s="832"/>
      <c r="AH74" s="829"/>
      <c r="AI74" s="830"/>
      <c r="AJ74" s="832"/>
      <c r="AK74" s="832"/>
      <c r="AL74" s="832"/>
      <c r="AM74" s="811"/>
      <c r="AN74" s="831"/>
      <c r="AO74" s="832"/>
      <c r="AP74" s="832"/>
      <c r="AQ74" s="832"/>
      <c r="AR74" s="829"/>
      <c r="AS74" s="830"/>
      <c r="AT74" s="832"/>
      <c r="AU74" s="832"/>
      <c r="AV74" s="832"/>
      <c r="AW74" s="811"/>
      <c r="AX74" s="831"/>
      <c r="AY74" s="832"/>
      <c r="AZ74" s="832"/>
      <c r="BA74" s="832"/>
      <c r="BB74" s="829"/>
      <c r="BC74" s="830"/>
      <c r="BD74" s="832"/>
      <c r="BE74" s="832"/>
      <c r="BF74" s="832"/>
      <c r="BG74" s="811"/>
      <c r="BH74" s="831"/>
      <c r="BI74" s="832"/>
      <c r="BJ74" s="832"/>
      <c r="BK74" s="832"/>
      <c r="BL74" s="829"/>
      <c r="BM74" s="830"/>
      <c r="BN74" s="832"/>
      <c r="BO74" s="832"/>
      <c r="BP74" s="832"/>
      <c r="BQ74" s="811"/>
      <c r="BR74" s="831"/>
      <c r="BS74" s="832"/>
      <c r="BT74" s="832"/>
      <c r="BU74" s="832"/>
      <c r="BV74" s="829"/>
      <c r="BW74" s="833"/>
      <c r="BX74" s="832"/>
      <c r="BY74" s="831"/>
      <c r="BZ74" s="834"/>
      <c r="CA74" s="833"/>
      <c r="CB74" s="832"/>
      <c r="CC74" s="831"/>
      <c r="CD74" s="834"/>
      <c r="CE74" s="835"/>
      <c r="CF74" s="832"/>
      <c r="CG74" s="836"/>
      <c r="CH74" s="820"/>
      <c r="CI74" s="926"/>
      <c r="CJ74" s="838"/>
      <c r="CK74" s="838"/>
      <c r="CL74" s="839"/>
      <c r="CP74" s="922"/>
      <c r="CQ74" s="300"/>
    </row>
    <row r="75" spans="1:95" s="819" customFormat="1" ht="17" thickBot="1" x14ac:dyDescent="0.35">
      <c r="A75">
        <v>39</v>
      </c>
      <c r="B75"/>
      <c r="C75" s="709" t="s">
        <v>2921</v>
      </c>
      <c r="D75" s="823">
        <v>1518</v>
      </c>
      <c r="E75" s="927"/>
      <c r="F75" s="928"/>
      <c r="G75" s="832"/>
      <c r="H75" s="832"/>
      <c r="I75" s="811">
        <f t="shared" si="40"/>
        <v>0</v>
      </c>
      <c r="J75" s="929"/>
      <c r="K75" s="930"/>
      <c r="L75" s="832"/>
      <c r="M75" s="832"/>
      <c r="N75" s="829">
        <f t="shared" si="41"/>
        <v>0</v>
      </c>
      <c r="O75" s="830">
        <f t="shared" si="42"/>
        <v>0</v>
      </c>
      <c r="P75" s="832"/>
      <c r="Q75" s="832"/>
      <c r="R75" s="832"/>
      <c r="S75" s="811">
        <f t="shared" si="43"/>
        <v>0</v>
      </c>
      <c r="T75" s="831">
        <f t="shared" si="44"/>
        <v>0</v>
      </c>
      <c r="U75" s="931"/>
      <c r="V75" s="832"/>
      <c r="W75" s="832"/>
      <c r="X75" s="829">
        <f t="shared" si="45"/>
        <v>0</v>
      </c>
      <c r="Y75" s="830">
        <f t="shared" si="46"/>
        <v>0</v>
      </c>
      <c r="Z75" s="832"/>
      <c r="AA75" s="832"/>
      <c r="AB75" s="832"/>
      <c r="AC75" s="811">
        <f t="shared" si="47"/>
        <v>0</v>
      </c>
      <c r="AD75" s="831">
        <f t="shared" si="48"/>
        <v>0</v>
      </c>
      <c r="AE75" s="832"/>
      <c r="AF75" s="832"/>
      <c r="AG75" s="832"/>
      <c r="AH75" s="829">
        <f t="shared" si="49"/>
        <v>0</v>
      </c>
      <c r="AI75" s="830">
        <f t="shared" si="50"/>
        <v>0</v>
      </c>
      <c r="AJ75" s="832"/>
      <c r="AK75" s="832"/>
      <c r="AL75" s="832"/>
      <c r="AM75" s="811">
        <f t="shared" si="51"/>
        <v>0</v>
      </c>
      <c r="AN75" s="831">
        <f t="shared" si="52"/>
        <v>0</v>
      </c>
      <c r="AO75" s="832"/>
      <c r="AP75" s="832"/>
      <c r="AQ75" s="832"/>
      <c r="AR75" s="829">
        <f t="shared" si="53"/>
        <v>0</v>
      </c>
      <c r="AS75" s="830">
        <f t="shared" si="54"/>
        <v>0</v>
      </c>
      <c r="AT75" s="832"/>
      <c r="AU75" s="832"/>
      <c r="AV75" s="832"/>
      <c r="AW75" s="811">
        <f t="shared" si="55"/>
        <v>0</v>
      </c>
      <c r="AX75" s="831">
        <f t="shared" si="56"/>
        <v>0</v>
      </c>
      <c r="AY75" s="832"/>
      <c r="AZ75" s="832"/>
      <c r="BA75" s="832"/>
      <c r="BB75" s="829">
        <f t="shared" si="63"/>
        <v>0</v>
      </c>
      <c r="BC75" s="830">
        <f t="shared" si="57"/>
        <v>0</v>
      </c>
      <c r="BD75" s="832"/>
      <c r="BE75" s="832"/>
      <c r="BF75" s="832"/>
      <c r="BG75" s="811">
        <f t="shared" ref="BG75:BG82" si="73">BC75+BD75-BE75+SUM(BF75:BF75)</f>
        <v>0</v>
      </c>
      <c r="BH75" s="831">
        <f t="shared" ref="BH75:BH82" si="74">BB75</f>
        <v>0</v>
      </c>
      <c r="BI75" s="832"/>
      <c r="BJ75" s="832"/>
      <c r="BK75" s="832"/>
      <c r="BL75" s="829">
        <f t="shared" si="58"/>
        <v>0</v>
      </c>
      <c r="BM75" s="830">
        <f t="shared" si="59"/>
        <v>0</v>
      </c>
      <c r="BN75" s="832"/>
      <c r="BO75" s="832"/>
      <c r="BP75" s="832"/>
      <c r="BQ75" s="811">
        <f t="shared" ref="BQ75:BQ82" si="75">BM75+BN75-BO75+SUM(BP75:BP75)</f>
        <v>0</v>
      </c>
      <c r="BR75" s="831">
        <f t="shared" si="71"/>
        <v>0</v>
      </c>
      <c r="BS75" s="832"/>
      <c r="BT75" s="832"/>
      <c r="BU75" s="832"/>
      <c r="BV75" s="829">
        <f t="shared" si="60"/>
        <v>0</v>
      </c>
      <c r="BW75" s="833"/>
      <c r="BX75" s="832"/>
      <c r="BY75" s="831">
        <f t="shared" si="67"/>
        <v>0</v>
      </c>
      <c r="BZ75" s="834">
        <f t="shared" si="64"/>
        <v>0</v>
      </c>
      <c r="CA75" s="833"/>
      <c r="CB75" s="832"/>
      <c r="CC75" s="831">
        <f t="shared" si="65"/>
        <v>0</v>
      </c>
      <c r="CD75" s="834">
        <f t="shared" si="65"/>
        <v>0</v>
      </c>
      <c r="CE75" s="835"/>
      <c r="CF75" s="832"/>
      <c r="CG75" s="836">
        <f t="shared" ref="CG75:CG82" si="76">CD75+CE75+CF75</f>
        <v>0</v>
      </c>
      <c r="CH75" s="820">
        <f>SUM(CC75:CF75)</f>
        <v>0</v>
      </c>
      <c r="CI75" s="932"/>
      <c r="CJ75" s="838"/>
      <c r="CK75" s="838">
        <f t="shared" si="66"/>
        <v>0</v>
      </c>
      <c r="CL75" s="839" t="str">
        <f t="shared" ref="CL75:CL82" si="77">IF(ABS(CK75)&gt;1,"Please provide an explanation of the variance in the tab 3 - Appendix A","")</f>
        <v/>
      </c>
      <c r="CQ75" s="300"/>
    </row>
    <row r="76" spans="1:95" s="819" customFormat="1" ht="17" thickBot="1" x14ac:dyDescent="0.35">
      <c r="A76">
        <v>40</v>
      </c>
      <c r="B76"/>
      <c r="C76" s="933" t="s">
        <v>3044</v>
      </c>
      <c r="D76" s="823">
        <v>1522</v>
      </c>
      <c r="E76" s="919"/>
      <c r="F76" s="919"/>
      <c r="G76" s="919"/>
      <c r="H76" s="919"/>
      <c r="I76" s="811">
        <f t="shared" si="40"/>
        <v>0</v>
      </c>
      <c r="J76" s="919"/>
      <c r="K76" s="919"/>
      <c r="L76" s="919"/>
      <c r="M76" s="919"/>
      <c r="N76" s="829">
        <f t="shared" si="41"/>
        <v>0</v>
      </c>
      <c r="O76" s="830">
        <f t="shared" si="42"/>
        <v>0</v>
      </c>
      <c r="P76" s="832"/>
      <c r="Q76" s="832"/>
      <c r="R76" s="832"/>
      <c r="S76" s="811">
        <f t="shared" si="43"/>
        <v>0</v>
      </c>
      <c r="T76" s="831">
        <f t="shared" si="44"/>
        <v>0</v>
      </c>
      <c r="U76" s="832"/>
      <c r="V76" s="832"/>
      <c r="W76" s="832"/>
      <c r="X76" s="829">
        <f t="shared" si="45"/>
        <v>0</v>
      </c>
      <c r="Y76" s="830">
        <f t="shared" si="46"/>
        <v>0</v>
      </c>
      <c r="Z76" s="832"/>
      <c r="AA76" s="832"/>
      <c r="AB76" s="832"/>
      <c r="AC76" s="811">
        <f t="shared" si="47"/>
        <v>0</v>
      </c>
      <c r="AD76" s="831">
        <f t="shared" si="48"/>
        <v>0</v>
      </c>
      <c r="AE76" s="832"/>
      <c r="AF76" s="832"/>
      <c r="AG76" s="832"/>
      <c r="AH76" s="829">
        <f t="shared" si="49"/>
        <v>0</v>
      </c>
      <c r="AI76" s="830">
        <f t="shared" si="50"/>
        <v>0</v>
      </c>
      <c r="AJ76" s="832"/>
      <c r="AK76" s="832"/>
      <c r="AL76" s="832"/>
      <c r="AM76" s="811">
        <f t="shared" si="51"/>
        <v>0</v>
      </c>
      <c r="AN76" s="831">
        <f t="shared" si="52"/>
        <v>0</v>
      </c>
      <c r="AO76" s="832">
        <v>-27266.359522178605</v>
      </c>
      <c r="AP76" s="832"/>
      <c r="AQ76" s="832"/>
      <c r="AR76" s="829">
        <f t="shared" si="53"/>
        <v>-27266.359522178605</v>
      </c>
      <c r="AS76" s="830">
        <f t="shared" si="54"/>
        <v>0</v>
      </c>
      <c r="AT76" s="832"/>
      <c r="AU76" s="832"/>
      <c r="AV76" s="832"/>
      <c r="AW76" s="811">
        <f t="shared" si="55"/>
        <v>0</v>
      </c>
      <c r="AX76" s="831">
        <f t="shared" si="56"/>
        <v>-27266.359522178605</v>
      </c>
      <c r="AY76" s="920">
        <v>-14892.187622089328</v>
      </c>
      <c r="AZ76" s="920"/>
      <c r="BA76" s="920"/>
      <c r="BB76" s="829">
        <f t="shared" si="63"/>
        <v>-42158.547144267934</v>
      </c>
      <c r="BC76" s="830">
        <f t="shared" si="57"/>
        <v>0</v>
      </c>
      <c r="BD76" s="832"/>
      <c r="BE76" s="832"/>
      <c r="BF76" s="832"/>
      <c r="BG76" s="811">
        <f t="shared" si="73"/>
        <v>0</v>
      </c>
      <c r="BH76" s="831">
        <f t="shared" si="74"/>
        <v>-42158.547144267934</v>
      </c>
      <c r="BI76" s="832"/>
      <c r="BJ76" s="154"/>
      <c r="BK76" s="154"/>
      <c r="BL76" s="829">
        <f t="shared" si="58"/>
        <v>-42158.547144267934</v>
      </c>
      <c r="BM76" s="830">
        <f t="shared" si="59"/>
        <v>0</v>
      </c>
      <c r="BN76" s="832"/>
      <c r="BO76" s="832"/>
      <c r="BP76" s="832"/>
      <c r="BQ76" s="811">
        <f t="shared" si="75"/>
        <v>0</v>
      </c>
      <c r="BR76" s="831">
        <f t="shared" si="71"/>
        <v>-42158.547144267934</v>
      </c>
      <c r="BS76" s="832">
        <v>23819.736574953091</v>
      </c>
      <c r="BT76" s="154"/>
      <c r="BU76" s="154"/>
      <c r="BV76" s="829">
        <f t="shared" si="60"/>
        <v>-18338.810569314843</v>
      </c>
      <c r="BW76" s="833"/>
      <c r="BX76" s="832"/>
      <c r="BY76" s="831">
        <f t="shared" si="67"/>
        <v>0</v>
      </c>
      <c r="BZ76" s="834">
        <f t="shared" si="64"/>
        <v>-18338.810569314843</v>
      </c>
      <c r="CA76" s="833"/>
      <c r="CB76" s="832"/>
      <c r="CC76" s="831">
        <f t="shared" si="65"/>
        <v>0</v>
      </c>
      <c r="CD76" s="834">
        <f t="shared" si="65"/>
        <v>-18338.810569314843</v>
      </c>
      <c r="CE76" s="835"/>
      <c r="CF76" s="832"/>
      <c r="CG76" s="836">
        <f t="shared" si="76"/>
        <v>-18338.810569314843</v>
      </c>
      <c r="CH76" s="861">
        <f xml:space="preserve"> SUM(CC76:CF76)</f>
        <v>-18338.810569314843</v>
      </c>
      <c r="CI76" s="918" t="s">
        <v>633</v>
      </c>
      <c r="CJ76" s="838">
        <v>-18338.80999999959</v>
      </c>
      <c r="CK76" s="838">
        <f t="shared" si="66"/>
        <v>5.6931525250547566E-4</v>
      </c>
      <c r="CL76" s="839" t="str">
        <f t="shared" si="77"/>
        <v/>
      </c>
      <c r="CP76">
        <v>1525</v>
      </c>
      <c r="CQ76" s="300" t="b">
        <v>0</v>
      </c>
    </row>
    <row r="77" spans="1:95" s="819" customFormat="1" ht="14.5" thickBot="1" x14ac:dyDescent="0.35">
      <c r="A77">
        <v>41</v>
      </c>
      <c r="B77"/>
      <c r="C77" s="709" t="s">
        <v>9</v>
      </c>
      <c r="D77" s="823">
        <v>1525</v>
      </c>
      <c r="E77" s="903"/>
      <c r="F77" s="832"/>
      <c r="G77" s="832"/>
      <c r="H77" s="832"/>
      <c r="I77" s="811">
        <f>E77+F77-G77+H77</f>
        <v>0</v>
      </c>
      <c r="J77" s="188"/>
      <c r="K77" s="832"/>
      <c r="L77" s="832"/>
      <c r="M77" s="832"/>
      <c r="N77" s="829">
        <f>J77+K77-L77+M77</f>
        <v>0</v>
      </c>
      <c r="O77" s="830">
        <f>I77</f>
        <v>0</v>
      </c>
      <c r="P77" s="925"/>
      <c r="Q77" s="832"/>
      <c r="R77" s="832"/>
      <c r="S77" s="811">
        <f t="shared" si="43"/>
        <v>0</v>
      </c>
      <c r="T77" s="831">
        <f>N77</f>
        <v>0</v>
      </c>
      <c r="U77" s="832"/>
      <c r="V77" s="832"/>
      <c r="W77" s="832"/>
      <c r="X77" s="829">
        <f>T77+U77-V77+W77</f>
        <v>0</v>
      </c>
      <c r="Y77" s="830">
        <f>S77</f>
        <v>0</v>
      </c>
      <c r="Z77" s="832"/>
      <c r="AA77" s="832"/>
      <c r="AB77" s="832"/>
      <c r="AC77" s="811">
        <f t="shared" si="47"/>
        <v>0</v>
      </c>
      <c r="AD77" s="831">
        <f>X77</f>
        <v>0</v>
      </c>
      <c r="AE77" s="832"/>
      <c r="AF77" s="832"/>
      <c r="AG77" s="832"/>
      <c r="AH77" s="829">
        <f>AD77+AE77-AF77+AG77</f>
        <v>0</v>
      </c>
      <c r="AI77" s="830">
        <f>AC77</f>
        <v>0</v>
      </c>
      <c r="AJ77" s="832"/>
      <c r="AK77" s="832"/>
      <c r="AL77" s="832"/>
      <c r="AM77" s="811">
        <f>AI77+AJ77-AK77+SUM(AL77:AL77)</f>
        <v>0</v>
      </c>
      <c r="AN77" s="831">
        <f>AH77</f>
        <v>0</v>
      </c>
      <c r="AO77" s="832"/>
      <c r="AP77" s="832"/>
      <c r="AQ77" s="832"/>
      <c r="AR77" s="829">
        <f t="shared" si="53"/>
        <v>0</v>
      </c>
      <c r="AS77" s="830">
        <f>AM77</f>
        <v>0</v>
      </c>
      <c r="AT77" s="832"/>
      <c r="AU77" s="832"/>
      <c r="AV77" s="832"/>
      <c r="AW77" s="811">
        <f t="shared" si="55"/>
        <v>0</v>
      </c>
      <c r="AX77" s="831">
        <f>AR77</f>
        <v>0</v>
      </c>
      <c r="AY77" s="832"/>
      <c r="AZ77" s="832"/>
      <c r="BA77" s="832"/>
      <c r="BB77" s="829">
        <f t="shared" si="63"/>
        <v>0</v>
      </c>
      <c r="BC77" s="830">
        <f>AW77</f>
        <v>0</v>
      </c>
      <c r="BD77" s="832"/>
      <c r="BE77" s="832"/>
      <c r="BF77" s="832"/>
      <c r="BG77" s="811">
        <f t="shared" si="73"/>
        <v>0</v>
      </c>
      <c r="BH77" s="831">
        <f t="shared" si="74"/>
        <v>0</v>
      </c>
      <c r="BI77" s="832"/>
      <c r="BJ77" s="205"/>
      <c r="BK77" s="154"/>
      <c r="BL77" s="829">
        <f t="shared" si="58"/>
        <v>0</v>
      </c>
      <c r="BM77" s="830">
        <f t="shared" si="59"/>
        <v>0</v>
      </c>
      <c r="BN77" s="832"/>
      <c r="BO77" s="832"/>
      <c r="BP77" s="832"/>
      <c r="BQ77" s="811">
        <f t="shared" si="75"/>
        <v>0</v>
      </c>
      <c r="BR77" s="831">
        <f t="shared" si="71"/>
        <v>0</v>
      </c>
      <c r="BS77" s="832"/>
      <c r="BT77" s="205"/>
      <c r="BU77" s="154"/>
      <c r="BV77" s="829">
        <f t="shared" si="60"/>
        <v>0</v>
      </c>
      <c r="BW77" s="833"/>
      <c r="BX77" s="832"/>
      <c r="BY77" s="831">
        <f t="shared" si="67"/>
        <v>0</v>
      </c>
      <c r="BZ77" s="834">
        <f t="shared" si="64"/>
        <v>0</v>
      </c>
      <c r="CA77" s="833"/>
      <c r="CB77" s="832"/>
      <c r="CC77" s="831">
        <f t="shared" si="65"/>
        <v>0</v>
      </c>
      <c r="CD77" s="834">
        <f t="shared" si="65"/>
        <v>0</v>
      </c>
      <c r="CE77" s="835"/>
      <c r="CF77" s="832"/>
      <c r="CG77" s="836">
        <f t="shared" si="76"/>
        <v>0</v>
      </c>
      <c r="CH77" s="820">
        <f>IF(CI77="Yes", SUM(CC77:CF77), 0)</f>
        <v>0</v>
      </c>
      <c r="CI77" s="918"/>
      <c r="CJ77" s="838"/>
      <c r="CK77" s="838">
        <f t="shared" si="66"/>
        <v>0</v>
      </c>
      <c r="CL77" s="839" t="str">
        <f t="shared" si="77"/>
        <v/>
      </c>
      <c r="CQ77" s="300"/>
    </row>
    <row r="78" spans="1:95" s="819" customFormat="1" ht="17" thickBot="1" x14ac:dyDescent="0.35">
      <c r="A78">
        <v>42</v>
      </c>
      <c r="B78"/>
      <c r="C78" s="709" t="s">
        <v>2922</v>
      </c>
      <c r="D78" s="823">
        <v>1548</v>
      </c>
      <c r="E78" s="152"/>
      <c r="F78" s="154"/>
      <c r="G78" s="154"/>
      <c r="H78" s="154"/>
      <c r="I78" s="811">
        <f>E78+F78-G78+H78</f>
        <v>0</v>
      </c>
      <c r="J78" s="188"/>
      <c r="K78" s="154"/>
      <c r="L78" s="154"/>
      <c r="M78" s="154"/>
      <c r="N78" s="829">
        <f>J78+K78-L78+M78</f>
        <v>0</v>
      </c>
      <c r="O78" s="830">
        <f t="shared" si="42"/>
        <v>0</v>
      </c>
      <c r="P78" s="832"/>
      <c r="Q78" s="832"/>
      <c r="R78" s="832"/>
      <c r="S78" s="811">
        <f t="shared" si="43"/>
        <v>0</v>
      </c>
      <c r="T78" s="831">
        <f t="shared" si="44"/>
        <v>0</v>
      </c>
      <c r="U78" s="832"/>
      <c r="V78" s="832"/>
      <c r="W78" s="832"/>
      <c r="X78" s="829">
        <f>T78+U78-V78+W78</f>
        <v>0</v>
      </c>
      <c r="Y78" s="830">
        <f t="shared" si="46"/>
        <v>0</v>
      </c>
      <c r="Z78" s="832"/>
      <c r="AA78" s="832"/>
      <c r="AB78" s="832"/>
      <c r="AC78" s="811">
        <f t="shared" si="47"/>
        <v>0</v>
      </c>
      <c r="AD78" s="831">
        <f t="shared" si="48"/>
        <v>0</v>
      </c>
      <c r="AE78" s="832"/>
      <c r="AF78" s="832"/>
      <c r="AG78" s="832"/>
      <c r="AH78" s="829">
        <f t="shared" si="49"/>
        <v>0</v>
      </c>
      <c r="AI78" s="830">
        <f t="shared" si="50"/>
        <v>0</v>
      </c>
      <c r="AJ78" s="832"/>
      <c r="AK78" s="832"/>
      <c r="AL78" s="832"/>
      <c r="AM78" s="811">
        <f t="shared" si="51"/>
        <v>0</v>
      </c>
      <c r="AN78" s="831">
        <f t="shared" si="52"/>
        <v>0</v>
      </c>
      <c r="AO78" s="832"/>
      <c r="AP78" s="832"/>
      <c r="AQ78" s="832"/>
      <c r="AR78" s="829">
        <f t="shared" si="53"/>
        <v>0</v>
      </c>
      <c r="AS78" s="830">
        <f t="shared" si="54"/>
        <v>0</v>
      </c>
      <c r="AT78" s="832"/>
      <c r="AU78" s="832"/>
      <c r="AV78" s="832"/>
      <c r="AW78" s="811">
        <f t="shared" si="55"/>
        <v>0</v>
      </c>
      <c r="AX78" s="831">
        <f t="shared" si="56"/>
        <v>0</v>
      </c>
      <c r="AY78" s="832"/>
      <c r="AZ78" s="832"/>
      <c r="BA78" s="832"/>
      <c r="BB78" s="829">
        <f t="shared" si="63"/>
        <v>0</v>
      </c>
      <c r="BC78" s="830">
        <f t="shared" si="57"/>
        <v>0</v>
      </c>
      <c r="BD78" s="832"/>
      <c r="BE78" s="832"/>
      <c r="BF78" s="832"/>
      <c r="BG78" s="811">
        <f t="shared" si="73"/>
        <v>0</v>
      </c>
      <c r="BH78" s="831">
        <f t="shared" si="74"/>
        <v>0</v>
      </c>
      <c r="BI78" s="832"/>
      <c r="BJ78" s="832"/>
      <c r="BK78" s="832"/>
      <c r="BL78" s="829">
        <f t="shared" si="58"/>
        <v>0</v>
      </c>
      <c r="BM78" s="830">
        <f t="shared" si="59"/>
        <v>0</v>
      </c>
      <c r="BN78" s="832"/>
      <c r="BO78" s="832"/>
      <c r="BP78" s="832"/>
      <c r="BQ78" s="811">
        <f t="shared" si="75"/>
        <v>0</v>
      </c>
      <c r="BR78" s="831">
        <f t="shared" si="71"/>
        <v>0</v>
      </c>
      <c r="BS78" s="832"/>
      <c r="BT78" s="832"/>
      <c r="BU78" s="832"/>
      <c r="BV78" s="829">
        <f t="shared" si="60"/>
        <v>0</v>
      </c>
      <c r="BW78" s="833"/>
      <c r="BX78" s="832"/>
      <c r="BY78" s="831">
        <f t="shared" si="67"/>
        <v>0</v>
      </c>
      <c r="BZ78" s="834">
        <f t="shared" si="64"/>
        <v>0</v>
      </c>
      <c r="CA78" s="833"/>
      <c r="CB78" s="832"/>
      <c r="CC78" s="831">
        <f t="shared" si="65"/>
        <v>0</v>
      </c>
      <c r="CD78" s="834">
        <f t="shared" si="65"/>
        <v>0</v>
      </c>
      <c r="CE78" s="835"/>
      <c r="CF78" s="832"/>
      <c r="CG78" s="836">
        <f t="shared" si="76"/>
        <v>0</v>
      </c>
      <c r="CH78" s="820">
        <f>SUM(CC78:CF78)</f>
        <v>0</v>
      </c>
      <c r="CI78" s="932"/>
      <c r="CJ78" s="838"/>
      <c r="CK78" s="838">
        <f t="shared" si="66"/>
        <v>0</v>
      </c>
      <c r="CL78" s="839" t="str">
        <f t="shared" si="77"/>
        <v/>
      </c>
      <c r="CQ78" s="300"/>
    </row>
    <row r="79" spans="1:95" s="819" customFormat="1" ht="14.5" thickBot="1" x14ac:dyDescent="0.35">
      <c r="A79">
        <v>43</v>
      </c>
      <c r="B79"/>
      <c r="C79" s="709" t="s">
        <v>10</v>
      </c>
      <c r="D79" s="823">
        <v>1572</v>
      </c>
      <c r="E79" s="903"/>
      <c r="F79" s="832"/>
      <c r="G79" s="832"/>
      <c r="H79" s="832"/>
      <c r="I79" s="811">
        <f t="shared" si="40"/>
        <v>0</v>
      </c>
      <c r="J79" s="154"/>
      <c r="K79" s="832"/>
      <c r="L79" s="832"/>
      <c r="M79" s="832"/>
      <c r="N79" s="829">
        <f t="shared" si="41"/>
        <v>0</v>
      </c>
      <c r="O79" s="830">
        <f>I79</f>
        <v>0</v>
      </c>
      <c r="P79" s="832"/>
      <c r="Q79" s="832"/>
      <c r="R79" s="832"/>
      <c r="S79" s="811">
        <f t="shared" si="43"/>
        <v>0</v>
      </c>
      <c r="T79" s="831">
        <f t="shared" si="44"/>
        <v>0</v>
      </c>
      <c r="U79" s="832"/>
      <c r="V79" s="832"/>
      <c r="W79" s="832"/>
      <c r="X79" s="829">
        <f t="shared" si="45"/>
        <v>0</v>
      </c>
      <c r="Y79" s="830">
        <f t="shared" si="46"/>
        <v>0</v>
      </c>
      <c r="Z79" s="832"/>
      <c r="AA79" s="832"/>
      <c r="AB79" s="832"/>
      <c r="AC79" s="811">
        <f t="shared" si="47"/>
        <v>0</v>
      </c>
      <c r="AD79" s="831">
        <f t="shared" si="48"/>
        <v>0</v>
      </c>
      <c r="AE79" s="832"/>
      <c r="AF79" s="832"/>
      <c r="AG79" s="832"/>
      <c r="AH79" s="829">
        <f t="shared" si="49"/>
        <v>0</v>
      </c>
      <c r="AI79" s="830">
        <f>AC79</f>
        <v>0</v>
      </c>
      <c r="AJ79" s="832"/>
      <c r="AK79" s="832"/>
      <c r="AL79" s="832"/>
      <c r="AM79" s="811">
        <f t="shared" si="51"/>
        <v>0</v>
      </c>
      <c r="AN79" s="831">
        <f t="shared" si="52"/>
        <v>0</v>
      </c>
      <c r="AO79" s="832"/>
      <c r="AP79" s="832"/>
      <c r="AQ79" s="832"/>
      <c r="AR79" s="829">
        <f t="shared" si="53"/>
        <v>0</v>
      </c>
      <c r="AS79" s="830">
        <f>AM79</f>
        <v>0</v>
      </c>
      <c r="AT79" s="832"/>
      <c r="AU79" s="832"/>
      <c r="AV79" s="832"/>
      <c r="AW79" s="811">
        <f t="shared" si="55"/>
        <v>0</v>
      </c>
      <c r="AX79" s="831">
        <f t="shared" si="56"/>
        <v>0</v>
      </c>
      <c r="AY79" s="832"/>
      <c r="AZ79" s="832"/>
      <c r="BA79" s="832"/>
      <c r="BB79" s="829">
        <f t="shared" si="63"/>
        <v>0</v>
      </c>
      <c r="BC79" s="830">
        <f>AW79</f>
        <v>0</v>
      </c>
      <c r="BD79" s="832"/>
      <c r="BE79" s="832"/>
      <c r="BF79" s="832"/>
      <c r="BG79" s="811">
        <f t="shared" si="73"/>
        <v>0</v>
      </c>
      <c r="BH79" s="831">
        <f t="shared" si="74"/>
        <v>0</v>
      </c>
      <c r="BI79" s="832"/>
      <c r="BJ79" s="832"/>
      <c r="BK79" s="832"/>
      <c r="BL79" s="829">
        <f t="shared" si="58"/>
        <v>0</v>
      </c>
      <c r="BM79" s="830">
        <f t="shared" si="59"/>
        <v>0</v>
      </c>
      <c r="BN79" s="832"/>
      <c r="BO79" s="832"/>
      <c r="BP79" s="832"/>
      <c r="BQ79" s="811">
        <f t="shared" si="75"/>
        <v>0</v>
      </c>
      <c r="BR79" s="831">
        <f t="shared" si="71"/>
        <v>0</v>
      </c>
      <c r="BS79" s="832"/>
      <c r="BT79" s="832"/>
      <c r="BU79" s="832"/>
      <c r="BV79" s="829">
        <f t="shared" si="60"/>
        <v>0</v>
      </c>
      <c r="BW79" s="833"/>
      <c r="BX79" s="832"/>
      <c r="BY79" s="831">
        <f t="shared" si="67"/>
        <v>0</v>
      </c>
      <c r="BZ79" s="834">
        <f t="shared" si="64"/>
        <v>0</v>
      </c>
      <c r="CA79" s="833"/>
      <c r="CB79" s="832"/>
      <c r="CC79" s="831">
        <f t="shared" si="65"/>
        <v>0</v>
      </c>
      <c r="CD79" s="834">
        <f t="shared" si="65"/>
        <v>0</v>
      </c>
      <c r="CE79" s="835"/>
      <c r="CF79" s="832"/>
      <c r="CG79" s="836">
        <f t="shared" si="76"/>
        <v>0</v>
      </c>
      <c r="CH79" s="820">
        <f>SUM(CC79:CF79)</f>
        <v>0</v>
      </c>
      <c r="CI79" s="932"/>
      <c r="CJ79" s="838"/>
      <c r="CK79" s="838">
        <f t="shared" si="66"/>
        <v>0</v>
      </c>
      <c r="CL79" s="839" t="str">
        <f t="shared" si="77"/>
        <v/>
      </c>
      <c r="CQ79" s="300"/>
    </row>
    <row r="80" spans="1:95" s="819" customFormat="1" ht="14.5" thickBot="1" x14ac:dyDescent="0.35">
      <c r="A80">
        <v>44</v>
      </c>
      <c r="B80"/>
      <c r="C80" s="709" t="s">
        <v>6</v>
      </c>
      <c r="D80" s="823">
        <v>1574</v>
      </c>
      <c r="E80" s="903"/>
      <c r="F80" s="832"/>
      <c r="G80" s="832"/>
      <c r="H80" s="832"/>
      <c r="I80" s="811">
        <f t="shared" si="40"/>
        <v>0</v>
      </c>
      <c r="J80" s="154"/>
      <c r="K80" s="832"/>
      <c r="L80" s="832"/>
      <c r="M80" s="832"/>
      <c r="N80" s="829">
        <f t="shared" si="41"/>
        <v>0</v>
      </c>
      <c r="O80" s="830">
        <f>I80</f>
        <v>0</v>
      </c>
      <c r="P80" s="832"/>
      <c r="Q80" s="832"/>
      <c r="R80" s="832"/>
      <c r="S80" s="811">
        <f t="shared" si="43"/>
        <v>0</v>
      </c>
      <c r="T80" s="831">
        <f t="shared" si="44"/>
        <v>0</v>
      </c>
      <c r="U80" s="832"/>
      <c r="V80" s="832"/>
      <c r="W80" s="832"/>
      <c r="X80" s="829">
        <f t="shared" si="45"/>
        <v>0</v>
      </c>
      <c r="Y80" s="830">
        <f t="shared" si="46"/>
        <v>0</v>
      </c>
      <c r="Z80" s="832"/>
      <c r="AA80" s="832"/>
      <c r="AB80" s="832"/>
      <c r="AC80" s="811">
        <f t="shared" si="47"/>
        <v>0</v>
      </c>
      <c r="AD80" s="831">
        <f t="shared" si="48"/>
        <v>0</v>
      </c>
      <c r="AE80" s="832"/>
      <c r="AF80" s="832"/>
      <c r="AG80" s="832"/>
      <c r="AH80" s="829">
        <f t="shared" si="49"/>
        <v>0</v>
      </c>
      <c r="AI80" s="830">
        <f>AC80</f>
        <v>0</v>
      </c>
      <c r="AJ80" s="832"/>
      <c r="AK80" s="832"/>
      <c r="AL80" s="832"/>
      <c r="AM80" s="811">
        <f t="shared" si="51"/>
        <v>0</v>
      </c>
      <c r="AN80" s="831">
        <f t="shared" si="52"/>
        <v>0</v>
      </c>
      <c r="AO80" s="832"/>
      <c r="AP80" s="832"/>
      <c r="AQ80" s="832"/>
      <c r="AR80" s="829">
        <f t="shared" si="53"/>
        <v>0</v>
      </c>
      <c r="AS80" s="830">
        <f>AM80</f>
        <v>0</v>
      </c>
      <c r="AT80" s="832"/>
      <c r="AU80" s="832"/>
      <c r="AV80" s="832"/>
      <c r="AW80" s="811">
        <f t="shared" si="55"/>
        <v>0</v>
      </c>
      <c r="AX80" s="831">
        <f t="shared" si="56"/>
        <v>0</v>
      </c>
      <c r="AY80" s="832"/>
      <c r="AZ80" s="832"/>
      <c r="BA80" s="832"/>
      <c r="BB80" s="829">
        <f t="shared" si="63"/>
        <v>0</v>
      </c>
      <c r="BC80" s="830">
        <f>AW80</f>
        <v>0</v>
      </c>
      <c r="BD80" s="832"/>
      <c r="BE80" s="832"/>
      <c r="BF80" s="832"/>
      <c r="BG80" s="811">
        <f t="shared" si="73"/>
        <v>0</v>
      </c>
      <c r="BH80" s="831">
        <f t="shared" si="74"/>
        <v>0</v>
      </c>
      <c r="BI80" s="832"/>
      <c r="BJ80" s="832"/>
      <c r="BK80" s="832"/>
      <c r="BL80" s="829">
        <f t="shared" si="58"/>
        <v>0</v>
      </c>
      <c r="BM80" s="830">
        <f t="shared" si="59"/>
        <v>0</v>
      </c>
      <c r="BN80" s="832"/>
      <c r="BO80" s="832"/>
      <c r="BP80" s="832"/>
      <c r="BQ80" s="811">
        <f t="shared" si="75"/>
        <v>0</v>
      </c>
      <c r="BR80" s="831">
        <f t="shared" si="71"/>
        <v>0</v>
      </c>
      <c r="BS80" s="832"/>
      <c r="BT80" s="832"/>
      <c r="BU80" s="832"/>
      <c r="BV80" s="829">
        <f t="shared" si="60"/>
        <v>0</v>
      </c>
      <c r="BW80" s="833"/>
      <c r="BX80" s="832"/>
      <c r="BY80" s="831">
        <f t="shared" si="67"/>
        <v>0</v>
      </c>
      <c r="BZ80" s="834">
        <f t="shared" si="64"/>
        <v>0</v>
      </c>
      <c r="CA80" s="833"/>
      <c r="CB80" s="832"/>
      <c r="CC80" s="831">
        <f t="shared" si="65"/>
        <v>0</v>
      </c>
      <c r="CD80" s="834">
        <f t="shared" si="65"/>
        <v>0</v>
      </c>
      <c r="CE80" s="835"/>
      <c r="CF80" s="832"/>
      <c r="CG80" s="836">
        <f t="shared" si="76"/>
        <v>0</v>
      </c>
      <c r="CH80" s="820">
        <f>SUM(CC80:CF80)</f>
        <v>0</v>
      </c>
      <c r="CI80" s="932"/>
      <c r="CJ80" s="838"/>
      <c r="CK80" s="838">
        <f t="shared" si="66"/>
        <v>0</v>
      </c>
      <c r="CL80" s="839" t="str">
        <f t="shared" si="77"/>
        <v/>
      </c>
      <c r="CQ80" s="300"/>
    </row>
    <row r="81" spans="1:95" s="819" customFormat="1" ht="14.5" thickBot="1" x14ac:dyDescent="0.35">
      <c r="A81">
        <v>45</v>
      </c>
      <c r="B81"/>
      <c r="C81" s="709" t="s">
        <v>24</v>
      </c>
      <c r="D81" s="823">
        <v>1582</v>
      </c>
      <c r="E81" s="934"/>
      <c r="F81" s="935"/>
      <c r="G81" s="832"/>
      <c r="H81" s="832"/>
      <c r="I81" s="811">
        <f t="shared" si="40"/>
        <v>0</v>
      </c>
      <c r="J81" s="189"/>
      <c r="K81" s="832"/>
      <c r="L81" s="832"/>
      <c r="M81" s="832"/>
      <c r="N81" s="829">
        <f t="shared" si="41"/>
        <v>0</v>
      </c>
      <c r="O81" s="830">
        <f>I81</f>
        <v>0</v>
      </c>
      <c r="P81" s="832"/>
      <c r="Q81" s="832"/>
      <c r="R81" s="832"/>
      <c r="S81" s="811">
        <f t="shared" si="43"/>
        <v>0</v>
      </c>
      <c r="T81" s="831">
        <f t="shared" si="44"/>
        <v>0</v>
      </c>
      <c r="U81" s="936"/>
      <c r="V81" s="832"/>
      <c r="W81" s="832"/>
      <c r="X81" s="829">
        <f t="shared" si="45"/>
        <v>0</v>
      </c>
      <c r="Y81" s="830">
        <f t="shared" si="46"/>
        <v>0</v>
      </c>
      <c r="Z81" s="832"/>
      <c r="AA81" s="832"/>
      <c r="AB81" s="832"/>
      <c r="AC81" s="811">
        <f t="shared" si="47"/>
        <v>0</v>
      </c>
      <c r="AD81" s="831">
        <f t="shared" si="48"/>
        <v>0</v>
      </c>
      <c r="AE81" s="832"/>
      <c r="AF81" s="832"/>
      <c r="AG81" s="832"/>
      <c r="AH81" s="829">
        <f t="shared" si="49"/>
        <v>0</v>
      </c>
      <c r="AI81" s="830">
        <f>AC81</f>
        <v>0</v>
      </c>
      <c r="AJ81" s="832"/>
      <c r="AK81" s="832"/>
      <c r="AL81" s="832"/>
      <c r="AM81" s="811">
        <f t="shared" si="51"/>
        <v>0</v>
      </c>
      <c r="AN81" s="831">
        <f t="shared" si="52"/>
        <v>0</v>
      </c>
      <c r="AO81" s="832"/>
      <c r="AP81" s="832"/>
      <c r="AQ81" s="832"/>
      <c r="AR81" s="829">
        <f t="shared" si="53"/>
        <v>0</v>
      </c>
      <c r="AS81" s="830">
        <f>AM81</f>
        <v>0</v>
      </c>
      <c r="AT81" s="832"/>
      <c r="AU81" s="832"/>
      <c r="AV81" s="832"/>
      <c r="AW81" s="811">
        <f t="shared" si="55"/>
        <v>0</v>
      </c>
      <c r="AX81" s="831">
        <f t="shared" si="56"/>
        <v>0</v>
      </c>
      <c r="AY81" s="832"/>
      <c r="AZ81" s="832"/>
      <c r="BA81" s="832"/>
      <c r="BB81" s="829">
        <f t="shared" si="63"/>
        <v>0</v>
      </c>
      <c r="BC81" s="830">
        <f>AW81</f>
        <v>0</v>
      </c>
      <c r="BD81" s="832"/>
      <c r="BE81" s="832"/>
      <c r="BF81" s="832"/>
      <c r="BG81" s="811">
        <f t="shared" si="73"/>
        <v>0</v>
      </c>
      <c r="BH81" s="831">
        <f t="shared" si="74"/>
        <v>0</v>
      </c>
      <c r="BI81" s="832"/>
      <c r="BJ81" s="832"/>
      <c r="BK81" s="832"/>
      <c r="BL81" s="829">
        <f t="shared" si="58"/>
        <v>0</v>
      </c>
      <c r="BM81" s="830">
        <f t="shared" si="59"/>
        <v>0</v>
      </c>
      <c r="BN81" s="832"/>
      <c r="BO81" s="832"/>
      <c r="BP81" s="832"/>
      <c r="BQ81" s="811">
        <f t="shared" si="75"/>
        <v>0</v>
      </c>
      <c r="BR81" s="831">
        <f t="shared" si="71"/>
        <v>0</v>
      </c>
      <c r="BS81" s="832"/>
      <c r="BT81" s="832"/>
      <c r="BU81" s="832"/>
      <c r="BV81" s="829">
        <f t="shared" si="60"/>
        <v>0</v>
      </c>
      <c r="BW81" s="833"/>
      <c r="BX81" s="832"/>
      <c r="BY81" s="831">
        <f t="shared" si="67"/>
        <v>0</v>
      </c>
      <c r="BZ81" s="834">
        <f t="shared" si="64"/>
        <v>0</v>
      </c>
      <c r="CA81" s="833"/>
      <c r="CB81" s="832"/>
      <c r="CC81" s="831">
        <f t="shared" si="65"/>
        <v>0</v>
      </c>
      <c r="CD81" s="834">
        <f t="shared" si="65"/>
        <v>0</v>
      </c>
      <c r="CE81" s="835"/>
      <c r="CF81" s="832"/>
      <c r="CG81" s="836">
        <f t="shared" si="76"/>
        <v>0</v>
      </c>
      <c r="CH81" s="820">
        <f>SUM(CC81:CF81)</f>
        <v>0</v>
      </c>
      <c r="CI81" s="932"/>
      <c r="CJ81" s="838"/>
      <c r="CK81" s="838">
        <f t="shared" si="66"/>
        <v>0</v>
      </c>
      <c r="CL81" s="839" t="str">
        <f t="shared" si="77"/>
        <v/>
      </c>
      <c r="CQ81" s="300"/>
    </row>
    <row r="82" spans="1:95" s="819" customFormat="1" ht="14.5" thickBot="1" x14ac:dyDescent="0.35">
      <c r="A82">
        <v>46</v>
      </c>
      <c r="B82"/>
      <c r="C82" s="709" t="s">
        <v>7</v>
      </c>
      <c r="D82" s="823">
        <v>2425</v>
      </c>
      <c r="E82" s="903"/>
      <c r="F82" s="832"/>
      <c r="G82" s="832"/>
      <c r="H82" s="832"/>
      <c r="I82" s="811">
        <f t="shared" si="40"/>
        <v>0</v>
      </c>
      <c r="J82" s="154"/>
      <c r="K82" s="832"/>
      <c r="L82" s="832"/>
      <c r="M82" s="832"/>
      <c r="N82" s="829">
        <f t="shared" si="41"/>
        <v>0</v>
      </c>
      <c r="O82" s="830">
        <f>I82</f>
        <v>0</v>
      </c>
      <c r="P82" s="832"/>
      <c r="Q82" s="832"/>
      <c r="R82" s="832"/>
      <c r="S82" s="811">
        <f t="shared" si="43"/>
        <v>0</v>
      </c>
      <c r="T82" s="831">
        <f t="shared" si="44"/>
        <v>0</v>
      </c>
      <c r="U82" s="832"/>
      <c r="V82" s="832"/>
      <c r="W82" s="832"/>
      <c r="X82" s="829">
        <f t="shared" si="45"/>
        <v>0</v>
      </c>
      <c r="Y82" s="830">
        <f t="shared" si="46"/>
        <v>0</v>
      </c>
      <c r="Z82" s="832"/>
      <c r="AA82" s="832"/>
      <c r="AB82" s="832"/>
      <c r="AC82" s="811">
        <f t="shared" si="47"/>
        <v>0</v>
      </c>
      <c r="AD82" s="831">
        <f t="shared" si="48"/>
        <v>0</v>
      </c>
      <c r="AE82" s="832"/>
      <c r="AF82" s="832"/>
      <c r="AG82" s="832"/>
      <c r="AH82" s="829">
        <f t="shared" si="49"/>
        <v>0</v>
      </c>
      <c r="AI82" s="830">
        <f>AC82</f>
        <v>0</v>
      </c>
      <c r="AJ82" s="832"/>
      <c r="AK82" s="832"/>
      <c r="AL82" s="832"/>
      <c r="AM82" s="811">
        <f t="shared" si="51"/>
        <v>0</v>
      </c>
      <c r="AN82" s="831">
        <f t="shared" si="52"/>
        <v>0</v>
      </c>
      <c r="AO82" s="832"/>
      <c r="AP82" s="832"/>
      <c r="AQ82" s="832"/>
      <c r="AR82" s="829">
        <f t="shared" si="53"/>
        <v>0</v>
      </c>
      <c r="AS82" s="830">
        <f>AM82</f>
        <v>0</v>
      </c>
      <c r="AT82" s="832"/>
      <c r="AU82" s="832"/>
      <c r="AV82" s="832"/>
      <c r="AW82" s="811">
        <f t="shared" si="55"/>
        <v>0</v>
      </c>
      <c r="AX82" s="831">
        <f t="shared" si="56"/>
        <v>0</v>
      </c>
      <c r="AY82" s="832"/>
      <c r="AZ82" s="832"/>
      <c r="BA82" s="832"/>
      <c r="BB82" s="829">
        <f t="shared" si="63"/>
        <v>0</v>
      </c>
      <c r="BC82" s="830">
        <f>AW82</f>
        <v>0</v>
      </c>
      <c r="BD82" s="832"/>
      <c r="BE82" s="832"/>
      <c r="BF82" s="832"/>
      <c r="BG82" s="811">
        <f t="shared" si="73"/>
        <v>0</v>
      </c>
      <c r="BH82" s="831">
        <f t="shared" si="74"/>
        <v>0</v>
      </c>
      <c r="BI82" s="832"/>
      <c r="BJ82" s="832"/>
      <c r="BK82" s="832"/>
      <c r="BL82" s="829">
        <f t="shared" si="58"/>
        <v>0</v>
      </c>
      <c r="BM82" s="830">
        <f t="shared" si="59"/>
        <v>0</v>
      </c>
      <c r="BN82" s="832"/>
      <c r="BO82" s="832"/>
      <c r="BP82" s="832"/>
      <c r="BQ82" s="811">
        <f t="shared" si="75"/>
        <v>0</v>
      </c>
      <c r="BR82" s="831">
        <f t="shared" si="71"/>
        <v>0</v>
      </c>
      <c r="BS82" s="832"/>
      <c r="BT82" s="832"/>
      <c r="BU82" s="832"/>
      <c r="BV82" s="829">
        <f t="shared" si="60"/>
        <v>0</v>
      </c>
      <c r="BW82" s="833"/>
      <c r="BX82" s="832"/>
      <c r="BY82" s="831">
        <f t="shared" si="67"/>
        <v>0</v>
      </c>
      <c r="BZ82" s="834">
        <f t="shared" si="64"/>
        <v>0</v>
      </c>
      <c r="CA82" s="833"/>
      <c r="CB82" s="832"/>
      <c r="CC82" s="831">
        <f t="shared" si="65"/>
        <v>0</v>
      </c>
      <c r="CD82" s="834">
        <f t="shared" si="65"/>
        <v>0</v>
      </c>
      <c r="CE82" s="835"/>
      <c r="CF82" s="832"/>
      <c r="CG82" s="836">
        <f t="shared" si="76"/>
        <v>0</v>
      </c>
      <c r="CH82" s="820">
        <f>IF(CI82="Yes", SUM(CC82:CF82), 0)</f>
        <v>0</v>
      </c>
      <c r="CI82" s="918"/>
      <c r="CJ82" s="838"/>
      <c r="CK82" s="838">
        <f t="shared" si="66"/>
        <v>0</v>
      </c>
      <c r="CL82" s="839" t="str">
        <f t="shared" si="77"/>
        <v/>
      </c>
      <c r="CP82">
        <v>2425</v>
      </c>
      <c r="CQ82" s="300" t="b">
        <v>0</v>
      </c>
    </row>
    <row r="83" spans="1:95" s="819" customFormat="1" ht="14" x14ac:dyDescent="0.3">
      <c r="A83"/>
      <c r="B83"/>
      <c r="C83" s="709"/>
      <c r="D83" s="870"/>
      <c r="E83" s="814"/>
      <c r="F83" s="811"/>
      <c r="G83" s="811"/>
      <c r="H83" s="811"/>
      <c r="I83" s="811"/>
      <c r="J83" s="811"/>
      <c r="K83" s="811"/>
      <c r="L83" s="811"/>
      <c r="M83" s="811"/>
      <c r="N83" s="829"/>
      <c r="O83" s="814"/>
      <c r="P83" s="811"/>
      <c r="Q83" s="811"/>
      <c r="R83" s="811"/>
      <c r="S83" s="811"/>
      <c r="T83" s="811"/>
      <c r="U83" s="811"/>
      <c r="V83" s="811"/>
      <c r="W83" s="811"/>
      <c r="X83" s="829"/>
      <c r="Y83" s="814"/>
      <c r="Z83" s="811"/>
      <c r="AA83" s="811"/>
      <c r="AB83" s="811"/>
      <c r="AC83" s="811"/>
      <c r="AD83" s="811"/>
      <c r="AE83" s="811"/>
      <c r="AF83" s="811"/>
      <c r="AG83" s="811"/>
      <c r="AH83" s="829"/>
      <c r="AI83" s="814"/>
      <c r="AJ83" s="811"/>
      <c r="AK83" s="811"/>
      <c r="AL83" s="811"/>
      <c r="AM83" s="811"/>
      <c r="AN83" s="811"/>
      <c r="AO83" s="811"/>
      <c r="AP83" s="811"/>
      <c r="AQ83" s="811"/>
      <c r="AR83" s="829"/>
      <c r="AS83" s="814"/>
      <c r="AT83" s="811"/>
      <c r="AU83" s="811"/>
      <c r="AV83" s="811"/>
      <c r="AW83" s="811"/>
      <c r="AX83" s="811"/>
      <c r="AY83" s="811"/>
      <c r="AZ83" s="811"/>
      <c r="BA83" s="811"/>
      <c r="BB83" s="829"/>
      <c r="BC83" s="814"/>
      <c r="BD83" s="811"/>
      <c r="BE83" s="811"/>
      <c r="BF83" s="811"/>
      <c r="BG83" s="811"/>
      <c r="BH83" s="811"/>
      <c r="BI83" s="811"/>
      <c r="BJ83" s="811"/>
      <c r="BK83" s="811"/>
      <c r="BL83" s="829"/>
      <c r="BM83" s="814"/>
      <c r="BN83" s="811"/>
      <c r="BO83" s="811"/>
      <c r="BP83" s="811"/>
      <c r="BQ83" s="811"/>
      <c r="BR83" s="811"/>
      <c r="BS83" s="811"/>
      <c r="BT83" s="811"/>
      <c r="BU83" s="811"/>
      <c r="BV83" s="829"/>
      <c r="BW83" s="814"/>
      <c r="BX83" s="811"/>
      <c r="BY83" s="811"/>
      <c r="BZ83" s="829"/>
      <c r="CA83" s="814"/>
      <c r="CB83" s="811"/>
      <c r="CC83" s="811"/>
      <c r="CD83" s="829"/>
      <c r="CH83" s="820"/>
      <c r="CI83" s="932"/>
      <c r="CJ83" s="838"/>
      <c r="CK83" s="838"/>
      <c r="CL83" s="839" t="str">
        <f t="shared" ref="CL83:CL91" si="78">IF(ABS(CK83)&gt;1,"Please provide an explanation of the variance in the Manager's Summary","")</f>
        <v/>
      </c>
      <c r="CQ83" s="300"/>
    </row>
    <row r="84" spans="1:95" s="811" customFormat="1" ht="14" x14ac:dyDescent="0.3">
      <c r="A84" s="871"/>
      <c r="B84" s="871"/>
      <c r="C84" s="633" t="s">
        <v>14</v>
      </c>
      <c r="D84" s="870"/>
      <c r="E84" s="811">
        <f t="shared" ref="E84:Y84" si="79">SUM(E48:E82)</f>
        <v>52740609.223547615</v>
      </c>
      <c r="F84" s="811">
        <f t="shared" si="79"/>
        <v>14740639.897795755</v>
      </c>
      <c r="G84" s="811">
        <f t="shared" si="79"/>
        <v>0</v>
      </c>
      <c r="H84" s="811">
        <f t="shared" si="79"/>
        <v>0</v>
      </c>
      <c r="I84" s="811">
        <f t="shared" si="79"/>
        <v>67481249.121343374</v>
      </c>
      <c r="J84" s="811">
        <f t="shared" si="79"/>
        <v>-355501.50110714376</v>
      </c>
      <c r="K84" s="811">
        <f t="shared" si="79"/>
        <v>-415910.50500065775</v>
      </c>
      <c r="L84" s="811">
        <f t="shared" si="79"/>
        <v>0</v>
      </c>
      <c r="M84" s="811">
        <f t="shared" si="79"/>
        <v>0</v>
      </c>
      <c r="N84" s="829">
        <f t="shared" si="79"/>
        <v>-771412.00610780157</v>
      </c>
      <c r="O84" s="814">
        <f t="shared" si="79"/>
        <v>67481249.121343374</v>
      </c>
      <c r="P84" s="811">
        <f t="shared" si="79"/>
        <v>-155127324.3163071</v>
      </c>
      <c r="Q84" s="811">
        <f t="shared" si="79"/>
        <v>0</v>
      </c>
      <c r="R84" s="811">
        <f t="shared" si="79"/>
        <v>0</v>
      </c>
      <c r="S84" s="811">
        <f t="shared" si="79"/>
        <v>-87646075.194963738</v>
      </c>
      <c r="T84" s="811">
        <f t="shared" si="79"/>
        <v>-771412.00610780157</v>
      </c>
      <c r="U84" s="811">
        <f t="shared" si="79"/>
        <v>-1937966.9519745714</v>
      </c>
      <c r="V84" s="811">
        <f t="shared" si="79"/>
        <v>0</v>
      </c>
      <c r="W84" s="811">
        <f t="shared" si="79"/>
        <v>0</v>
      </c>
      <c r="X84" s="829">
        <f t="shared" si="79"/>
        <v>-2709378.9580823723</v>
      </c>
      <c r="Y84" s="814">
        <f t="shared" si="79"/>
        <v>-87646075.194963738</v>
      </c>
      <c r="Z84" s="811">
        <v>8781130.335464159</v>
      </c>
      <c r="AA84" s="811">
        <f t="shared" ref="AA84:AN84" si="80">SUM(AA48:AA82)</f>
        <v>0</v>
      </c>
      <c r="AB84" s="811">
        <f t="shared" si="80"/>
        <v>0</v>
      </c>
      <c r="AC84" s="811">
        <f t="shared" si="80"/>
        <v>-78864944.859499574</v>
      </c>
      <c r="AD84" s="811">
        <f t="shared" si="80"/>
        <v>-2709378.9580823723</v>
      </c>
      <c r="AE84" s="811">
        <f t="shared" si="80"/>
        <v>-3492381.8773589628</v>
      </c>
      <c r="AF84" s="811">
        <f t="shared" si="80"/>
        <v>0</v>
      </c>
      <c r="AG84" s="811">
        <f t="shared" si="80"/>
        <v>57177.615250000003</v>
      </c>
      <c r="AH84" s="829">
        <f t="shared" si="80"/>
        <v>-6144583.2201913353</v>
      </c>
      <c r="AI84" s="814">
        <f t="shared" si="80"/>
        <v>-78864944.859499574</v>
      </c>
      <c r="AJ84" s="811">
        <f t="shared" si="80"/>
        <v>-8824693.9100000001</v>
      </c>
      <c r="AK84" s="811">
        <f t="shared" si="80"/>
        <v>-93136694.160000011</v>
      </c>
      <c r="AL84" s="811">
        <f t="shared" si="80"/>
        <v>-23288977.780000005</v>
      </c>
      <c r="AM84" s="811">
        <f t="shared" si="80"/>
        <v>-17841922.38949959</v>
      </c>
      <c r="AN84" s="811">
        <f t="shared" si="80"/>
        <v>-6144583.2201913353</v>
      </c>
      <c r="AO84" s="811">
        <v>-1577877.5238796673</v>
      </c>
      <c r="AP84" s="811">
        <v>-4764571.99</v>
      </c>
      <c r="AQ84" s="811">
        <v>-244848.39953277516</v>
      </c>
      <c r="AR84" s="829">
        <f t="shared" ref="AR84:AX84" si="81">SUM(AR48:AR82)</f>
        <v>-3230003.5131259561</v>
      </c>
      <c r="AS84" s="814">
        <f t="shared" si="81"/>
        <v>-17841922.38949959</v>
      </c>
      <c r="AT84" s="811">
        <f t="shared" si="81"/>
        <v>-30992940.496666662</v>
      </c>
      <c r="AU84" s="811">
        <f t="shared" si="81"/>
        <v>-14191832.440000003</v>
      </c>
      <c r="AV84" s="811">
        <f t="shared" si="81"/>
        <v>-28995.870000000112</v>
      </c>
      <c r="AW84" s="811">
        <f t="shared" si="81"/>
        <v>-34672026.316166252</v>
      </c>
      <c r="AX84" s="811">
        <f t="shared" si="81"/>
        <v>-3230003.5131259561</v>
      </c>
      <c r="AY84" s="811">
        <v>-653678.25307917281</v>
      </c>
      <c r="AZ84" s="811">
        <v>-1041838.76</v>
      </c>
      <c r="BA84" s="811">
        <v>-157697.69200374995</v>
      </c>
      <c r="BB84" s="829">
        <f>SUM(BB48:BB82)</f>
        <v>-2999540.6982088783</v>
      </c>
      <c r="BC84" s="814">
        <f>SUM(BC48:BC82)</f>
        <v>-34672026.316166252</v>
      </c>
      <c r="BD84" s="811">
        <v>-75103966.343495563</v>
      </c>
      <c r="BE84" s="811">
        <f>SUM(BE48:BE82)</f>
        <v>0</v>
      </c>
      <c r="BF84" s="811">
        <f>SUM(BF48:BF82)</f>
        <v>0</v>
      </c>
      <c r="BG84" s="811">
        <f>SUM(BG48:BG82)</f>
        <v>-109775992.65966184</v>
      </c>
      <c r="BH84" s="811">
        <f>SUM(BH48:BH82)</f>
        <v>-2999540.6982088783</v>
      </c>
      <c r="BI84" s="811">
        <v>-1576261.3633786091</v>
      </c>
      <c r="BJ84" s="811">
        <v>0</v>
      </c>
      <c r="BK84" s="811">
        <v>-852279.87</v>
      </c>
      <c r="BL84" s="829">
        <f>SUM(BL48:BL82)</f>
        <v>-5428081.9315874884</v>
      </c>
      <c r="BM84" s="814">
        <f>SUM(BM48:BM82)</f>
        <v>-109775992.65966184</v>
      </c>
      <c r="BN84" s="811">
        <v>-66933302.300816655</v>
      </c>
      <c r="BO84" s="811">
        <v>-74661953.060000002</v>
      </c>
      <c r="BP84" s="811">
        <v>-421066.21974999341</v>
      </c>
      <c r="BQ84" s="811">
        <f t="shared" ref="BQ84:CF84" si="82">SUM(BQ48:BQ82)</f>
        <v>-102468408.12022847</v>
      </c>
      <c r="BR84" s="811">
        <f t="shared" si="82"/>
        <v>-5428081.9315874884</v>
      </c>
      <c r="BS84" s="811">
        <f t="shared" si="82"/>
        <v>-2902376.2741604433</v>
      </c>
      <c r="BT84" s="811">
        <f t="shared" si="82"/>
        <v>-7174468.6600000001</v>
      </c>
      <c r="BU84" s="811">
        <f t="shared" si="82"/>
        <v>-1766277.4162484016</v>
      </c>
      <c r="BV84" s="829">
        <f t="shared" si="82"/>
        <v>-2922266.9619963327</v>
      </c>
      <c r="BW84" s="814">
        <f t="shared" si="82"/>
        <v>-59430913.280187637</v>
      </c>
      <c r="BX84" s="811">
        <f t="shared" si="82"/>
        <v>0</v>
      </c>
      <c r="BY84" s="811">
        <f t="shared" si="82"/>
        <v>-161899321.40041608</v>
      </c>
      <c r="BZ84" s="829">
        <f t="shared" si="82"/>
        <v>-2922266.9619963327</v>
      </c>
      <c r="CA84" s="814">
        <f t="shared" si="82"/>
        <v>0</v>
      </c>
      <c r="CB84" s="811">
        <f t="shared" si="82"/>
        <v>0</v>
      </c>
      <c r="CC84" s="811">
        <f t="shared" si="82"/>
        <v>-161899321.40041608</v>
      </c>
      <c r="CD84" s="829">
        <f t="shared" si="82"/>
        <v>-2922266.9619963327</v>
      </c>
      <c r="CE84" s="811">
        <f t="shared" si="82"/>
        <v>-6584444.4379107384</v>
      </c>
      <c r="CF84" s="811">
        <f t="shared" si="82"/>
        <v>0</v>
      </c>
      <c r="CG84" s="811">
        <f>SUM(CG48:CG82)</f>
        <v>-9506711.3999070711</v>
      </c>
      <c r="CH84" s="820">
        <f>SUM(CH48:CH82)</f>
        <v>-173219314.48201707</v>
      </c>
      <c r="CI84" s="932"/>
      <c r="CJ84" s="838">
        <f>SUM(CJ48:CJ82)</f>
        <v>-105390676.81</v>
      </c>
      <c r="CK84" s="838">
        <f>CJ84-SUM(BQ84,BV84)</f>
        <v>-1.7277752012014389</v>
      </c>
      <c r="CL84" s="839"/>
      <c r="CQ84" s="302"/>
    </row>
    <row r="85" spans="1:95" s="819" customFormat="1" ht="14.5" thickBot="1" x14ac:dyDescent="0.35">
      <c r="A85"/>
      <c r="B85"/>
      <c r="C85" s="709"/>
      <c r="D85" s="870"/>
      <c r="E85" s="814"/>
      <c r="F85" s="811"/>
      <c r="G85" s="811"/>
      <c r="H85" s="811"/>
      <c r="I85" s="811"/>
      <c r="J85" s="811"/>
      <c r="K85" s="811"/>
      <c r="L85" s="811"/>
      <c r="M85" s="811"/>
      <c r="N85" s="829"/>
      <c r="O85" s="814"/>
      <c r="P85" s="811"/>
      <c r="Q85" s="811"/>
      <c r="R85" s="811"/>
      <c r="S85" s="811"/>
      <c r="T85" s="811"/>
      <c r="U85" s="811"/>
      <c r="V85" s="811"/>
      <c r="W85" s="811"/>
      <c r="X85" s="829"/>
      <c r="Y85" s="814"/>
      <c r="Z85" s="811"/>
      <c r="AA85" s="811"/>
      <c r="AB85" s="811"/>
      <c r="AC85" s="811"/>
      <c r="AD85" s="811"/>
      <c r="AE85" s="811"/>
      <c r="AF85" s="811"/>
      <c r="AG85" s="811"/>
      <c r="AH85" s="829"/>
      <c r="AI85" s="814"/>
      <c r="AJ85" s="811"/>
      <c r="AK85" s="811"/>
      <c r="AL85" s="811"/>
      <c r="AM85" s="811"/>
      <c r="AN85" s="811"/>
      <c r="AO85" s="811"/>
      <c r="AP85" s="811"/>
      <c r="AQ85" s="811"/>
      <c r="AR85" s="829"/>
      <c r="AS85" s="814"/>
      <c r="AT85" s="811"/>
      <c r="AU85" s="811"/>
      <c r="AV85" s="811"/>
      <c r="AW85" s="811"/>
      <c r="AX85" s="811"/>
      <c r="AY85" s="811"/>
      <c r="AZ85" s="811"/>
      <c r="BA85" s="811"/>
      <c r="BB85" s="829"/>
      <c r="BC85" s="814"/>
      <c r="BD85" s="811"/>
      <c r="BE85" s="811"/>
      <c r="BF85" s="811"/>
      <c r="BG85" s="811"/>
      <c r="BH85" s="811"/>
      <c r="BI85" s="811"/>
      <c r="BJ85" s="811"/>
      <c r="BK85" s="811"/>
      <c r="BL85" s="829"/>
      <c r="BM85" s="814"/>
      <c r="BN85" s="811"/>
      <c r="BO85" s="811"/>
      <c r="BP85" s="811"/>
      <c r="BQ85" s="811"/>
      <c r="BR85" s="811"/>
      <c r="BS85" s="811"/>
      <c r="BT85" s="811"/>
      <c r="BU85" s="811"/>
      <c r="BV85" s="829"/>
      <c r="BW85" s="814"/>
      <c r="BX85" s="811"/>
      <c r="BY85" s="811"/>
      <c r="BZ85" s="829"/>
      <c r="CA85" s="814"/>
      <c r="CB85" s="811"/>
      <c r="CC85" s="811"/>
      <c r="CD85" s="829"/>
      <c r="CH85" s="820"/>
      <c r="CI85" s="932"/>
      <c r="CJ85" s="838"/>
      <c r="CK85" s="838"/>
      <c r="CL85" s="839" t="str">
        <f t="shared" si="78"/>
        <v/>
      </c>
      <c r="CQ85" s="300"/>
    </row>
    <row r="86" spans="1:95" s="819" customFormat="1" ht="28.5" thickBot="1" x14ac:dyDescent="0.35">
      <c r="A86">
        <v>47</v>
      </c>
      <c r="B86"/>
      <c r="C86" s="937" t="s">
        <v>31</v>
      </c>
      <c r="D86" s="938">
        <v>1592</v>
      </c>
      <c r="E86" s="939"/>
      <c r="F86" s="832"/>
      <c r="G86" s="832"/>
      <c r="H86" s="832"/>
      <c r="I86" s="811">
        <f>E86+F86-G86+H86</f>
        <v>0</v>
      </c>
      <c r="J86" s="183"/>
      <c r="K86" s="940"/>
      <c r="L86" s="832"/>
      <c r="M86" s="832"/>
      <c r="N86" s="829">
        <f>J86+K86-L86+M86</f>
        <v>0</v>
      </c>
      <c r="O86" s="830">
        <f>I86</f>
        <v>0</v>
      </c>
      <c r="P86" s="832"/>
      <c r="Q86" s="832"/>
      <c r="R86" s="832"/>
      <c r="S86" s="811">
        <f>O86+P86-Q86+R86</f>
        <v>0</v>
      </c>
      <c r="T86" s="831">
        <f>N86</f>
        <v>0</v>
      </c>
      <c r="U86" s="941"/>
      <c r="V86" s="832"/>
      <c r="W86" s="832"/>
      <c r="X86" s="829">
        <f>T86+U86-V86+W86</f>
        <v>0</v>
      </c>
      <c r="Y86" s="830">
        <f>S86</f>
        <v>0</v>
      </c>
      <c r="Z86" s="832">
        <v>-10854395</v>
      </c>
      <c r="AA86" s="832"/>
      <c r="AB86" s="832"/>
      <c r="AC86" s="811">
        <f>Y86+Z86-AA86+AB86</f>
        <v>-10854395</v>
      </c>
      <c r="AD86" s="831">
        <f>X86</f>
        <v>0</v>
      </c>
      <c r="AE86" s="832"/>
      <c r="AF86" s="832"/>
      <c r="AG86" s="832"/>
      <c r="AH86" s="829">
        <f>AD86+AE86-AF86+AG86</f>
        <v>0</v>
      </c>
      <c r="AI86" s="830">
        <f>AC86</f>
        <v>-10854395</v>
      </c>
      <c r="AJ86" s="832">
        <v>336865</v>
      </c>
      <c r="AK86" s="832"/>
      <c r="AL86" s="832"/>
      <c r="AM86" s="811">
        <f>AI86+AJ86-AK86+SUM(AL86:AL86)</f>
        <v>-10517530</v>
      </c>
      <c r="AN86" s="831">
        <f>AH86</f>
        <v>0</v>
      </c>
      <c r="AO86" s="832">
        <v>-148287.86599999998</v>
      </c>
      <c r="AP86" s="832"/>
      <c r="AQ86" s="832"/>
      <c r="AR86" s="829">
        <f>AN86+AO86-AP86+AQ86</f>
        <v>-148287.86599999998</v>
      </c>
      <c r="AS86" s="830">
        <f>AM86</f>
        <v>-10517530</v>
      </c>
      <c r="AT86" s="832"/>
      <c r="AU86" s="832"/>
      <c r="AV86" s="832"/>
      <c r="AW86" s="811">
        <f>AS86+AT86-AU86+AV86</f>
        <v>-10517530</v>
      </c>
      <c r="AX86" s="831">
        <f>AR86</f>
        <v>-148287.86599999998</v>
      </c>
      <c r="AY86" s="832">
        <v>-59949.921000000002</v>
      </c>
      <c r="AZ86" s="832"/>
      <c r="BA86" s="832"/>
      <c r="BB86" s="829">
        <f>AX86+AY86-AZ86+BA86</f>
        <v>-208237.78699999998</v>
      </c>
      <c r="BC86" s="830">
        <f>AW86</f>
        <v>-10517530</v>
      </c>
      <c r="BD86" s="832">
        <v>-1081632</v>
      </c>
      <c r="BE86" s="832"/>
      <c r="BF86" s="832"/>
      <c r="BG86" s="811">
        <f>BC86+BD86-BE86+SUM(BF86:BF86)</f>
        <v>-11599162</v>
      </c>
      <c r="BH86" s="831">
        <f>BB86</f>
        <v>-208237.78699999998</v>
      </c>
      <c r="BI86" s="832">
        <v>-215713.02930000002</v>
      </c>
      <c r="BJ86" s="832"/>
      <c r="BK86" s="832"/>
      <c r="BL86" s="829">
        <f>BH86+BI86-BJ86+BK86</f>
        <v>-423950.81630000001</v>
      </c>
      <c r="BM86" s="830">
        <f>BG86</f>
        <v>-11599162</v>
      </c>
      <c r="BN86" s="832">
        <v>-540816</v>
      </c>
      <c r="BO86" s="832">
        <v>-10854395</v>
      </c>
      <c r="BP86" s="832">
        <v>-336865.00000000373</v>
      </c>
      <c r="BQ86" s="811">
        <f>BM86+BN86-BO86+SUM(BP86:BP86)</f>
        <v>-1622448.0000000037</v>
      </c>
      <c r="BR86" s="831">
        <f>BL86</f>
        <v>-423950.81630000001</v>
      </c>
      <c r="BS86" s="832">
        <v>-67458.909100000004</v>
      </c>
      <c r="BT86" s="832">
        <v>-749700.78</v>
      </c>
      <c r="BU86" s="832">
        <v>-340052.2934999998</v>
      </c>
      <c r="BV86" s="829">
        <f>BR86+BS86-BT86+BU86</f>
        <v>-81761.238899999764</v>
      </c>
      <c r="BW86" s="833"/>
      <c r="BX86" s="832"/>
      <c r="BY86" s="831">
        <f>BQ86+BW86</f>
        <v>-1622448.0000000037</v>
      </c>
      <c r="BZ86" s="834">
        <f>BV86+BX86</f>
        <v>-81761.238899999764</v>
      </c>
      <c r="CA86" s="833"/>
      <c r="CB86" s="832"/>
      <c r="CC86" s="831">
        <f>BY86-CA86</f>
        <v>-1622448.0000000037</v>
      </c>
      <c r="CD86" s="834">
        <f>BZ86-CB86</f>
        <v>-81761.238899999764</v>
      </c>
      <c r="CE86" s="835">
        <v>-89072.395199999999</v>
      </c>
      <c r="CF86" s="832"/>
      <c r="CG86" s="836">
        <f>CD86+CE86+CF86</f>
        <v>-170833.63409999976</v>
      </c>
      <c r="CH86" s="820">
        <f>SUM(CC86:CF86)</f>
        <v>-1793281.6341000034</v>
      </c>
      <c r="CI86" s="918" t="s">
        <v>3029</v>
      </c>
      <c r="CJ86" s="838">
        <v>-1704209</v>
      </c>
      <c r="CK86" s="838">
        <f>CJ86-SUM(BQ86,BV86)</f>
        <v>0.23890000348910689</v>
      </c>
      <c r="CL86" s="839" t="str">
        <f>IF(ABS(CK86)&gt;1,"Please provide an explanation of the variance in the tab 3 - Appendix A","")</f>
        <v/>
      </c>
      <c r="CQ86" s="300"/>
    </row>
    <row r="87" spans="1:95" s="819" customFormat="1" ht="17" thickBot="1" x14ac:dyDescent="0.35">
      <c r="A87">
        <v>48</v>
      </c>
      <c r="B87"/>
      <c r="C87" s="937" t="s">
        <v>3457</v>
      </c>
      <c r="D87" s="938">
        <v>1592</v>
      </c>
      <c r="E87" s="919"/>
      <c r="F87" s="919"/>
      <c r="G87" s="919"/>
      <c r="H87" s="919"/>
      <c r="I87" s="811">
        <f>E87+F87-G87+H87</f>
        <v>0</v>
      </c>
      <c r="J87" s="919"/>
      <c r="K87" s="919"/>
      <c r="L87" s="919"/>
      <c r="M87" s="919"/>
      <c r="N87" s="829">
        <f>J87+K87-L87+M87</f>
        <v>0</v>
      </c>
      <c r="O87" s="830">
        <f>I87</f>
        <v>0</v>
      </c>
      <c r="P87" s="832"/>
      <c r="Q87" s="832"/>
      <c r="R87" s="832"/>
      <c r="S87" s="811">
        <f>O87+P87-Q87+R87</f>
        <v>0</v>
      </c>
      <c r="T87" s="831">
        <f>N87</f>
        <v>0</v>
      </c>
      <c r="U87" s="832"/>
      <c r="V87" s="832"/>
      <c r="W87" s="832"/>
      <c r="X87" s="829">
        <f>T87+U87-V87+W87</f>
        <v>0</v>
      </c>
      <c r="Y87" s="830">
        <f>S87</f>
        <v>0</v>
      </c>
      <c r="Z87" s="832"/>
      <c r="AA87" s="832"/>
      <c r="AB87" s="832"/>
      <c r="AC87" s="811">
        <f>Y87+Z87-AA87+AB87</f>
        <v>0</v>
      </c>
      <c r="AD87" s="831">
        <f>X87</f>
        <v>0</v>
      </c>
      <c r="AE87" s="832"/>
      <c r="AF87" s="832"/>
      <c r="AG87" s="832"/>
      <c r="AH87" s="829">
        <f>AD87+AE87-AF87+AG87</f>
        <v>0</v>
      </c>
      <c r="AI87" s="830">
        <f>AC87</f>
        <v>0</v>
      </c>
      <c r="AJ87" s="832"/>
      <c r="AK87" s="832"/>
      <c r="AL87" s="832"/>
      <c r="AM87" s="811">
        <f>AI87+AJ87-AK87+SUM(AL87:AL87)</f>
        <v>0</v>
      </c>
      <c r="AN87" s="831">
        <f>AH87</f>
        <v>0</v>
      </c>
      <c r="AO87" s="832"/>
      <c r="AP87" s="832"/>
      <c r="AQ87" s="832"/>
      <c r="AR87" s="829">
        <f>AN87+AO87-AP87+AQ87</f>
        <v>0</v>
      </c>
      <c r="AS87" s="830">
        <f>AM87</f>
        <v>0</v>
      </c>
      <c r="AT87" s="832"/>
      <c r="AU87" s="832"/>
      <c r="AV87" s="832"/>
      <c r="AW87" s="811">
        <f>AS87+AT87-AU87+AV87</f>
        <v>0</v>
      </c>
      <c r="AX87" s="831">
        <f>AR87</f>
        <v>0</v>
      </c>
      <c r="AY87" s="832"/>
      <c r="AZ87" s="832"/>
      <c r="BA87" s="832"/>
      <c r="BB87" s="829">
        <f>AX87+AY87-AZ87+BA87</f>
        <v>0</v>
      </c>
      <c r="BC87" s="830">
        <f>AW87</f>
        <v>0</v>
      </c>
      <c r="BD87" s="832"/>
      <c r="BE87" s="832"/>
      <c r="BF87" s="832"/>
      <c r="BG87" s="811">
        <f>BC87+BD87-BE87+SUM(BF87:BF87)</f>
        <v>0</v>
      </c>
      <c r="BH87" s="831">
        <f>BB87</f>
        <v>0</v>
      </c>
      <c r="BI87" s="832"/>
      <c r="BJ87" s="832"/>
      <c r="BK87" s="832"/>
      <c r="BL87" s="829">
        <f>BH87+BI87-BJ87+BK87</f>
        <v>0</v>
      </c>
      <c r="BM87" s="830">
        <f>BG87</f>
        <v>0</v>
      </c>
      <c r="BN87" s="832"/>
      <c r="BO87" s="832"/>
      <c r="BP87" s="832"/>
      <c r="BQ87" s="811">
        <f>BM87+BN87-BO87+SUM(BP87:BP87)</f>
        <v>0</v>
      </c>
      <c r="BR87" s="831">
        <f>BL87</f>
        <v>0</v>
      </c>
      <c r="BS87" s="832"/>
      <c r="BT87" s="832"/>
      <c r="BU87" s="832"/>
      <c r="BV87" s="829">
        <f>BR87+BS87-BT87+BU87</f>
        <v>0</v>
      </c>
      <c r="BW87" s="833"/>
      <c r="BX87" s="832"/>
      <c r="BY87" s="831">
        <f>BQ87+BW87</f>
        <v>0</v>
      </c>
      <c r="BZ87" s="834">
        <f>BV87+BX87</f>
        <v>0</v>
      </c>
      <c r="CA87" s="833"/>
      <c r="CB87" s="832"/>
      <c r="CC87" s="831">
        <f>BY87-CA87</f>
        <v>0</v>
      </c>
      <c r="CD87" s="834">
        <f>BZ87-CB87</f>
        <v>0</v>
      </c>
      <c r="CE87" s="835"/>
      <c r="CF87" s="832"/>
      <c r="CG87" s="836">
        <f>CD87+CE87+CF87</f>
        <v>0</v>
      </c>
      <c r="CH87" s="820">
        <f>SUM(CC87:CF87)</f>
        <v>0</v>
      </c>
      <c r="CI87" s="820"/>
      <c r="CJ87" s="838"/>
      <c r="CK87" s="838">
        <f>CJ87-SUM(BQ87,BV87)</f>
        <v>0</v>
      </c>
      <c r="CL87" s="839"/>
      <c r="CQ87" s="300"/>
    </row>
    <row r="88" spans="1:95" s="819" customFormat="1" ht="14" x14ac:dyDescent="0.3">
      <c r="A88"/>
      <c r="B88"/>
      <c r="C88" s="709"/>
      <c r="D88" s="870"/>
      <c r="E88" s="814"/>
      <c r="F88" s="811"/>
      <c r="G88" s="811"/>
      <c r="H88" s="811"/>
      <c r="I88" s="811"/>
      <c r="J88" s="811"/>
      <c r="K88" s="811"/>
      <c r="L88" s="811"/>
      <c r="M88" s="811"/>
      <c r="N88" s="811"/>
      <c r="O88" s="814"/>
      <c r="P88" s="811"/>
      <c r="Q88" s="811"/>
      <c r="R88" s="811"/>
      <c r="S88" s="811"/>
      <c r="T88" s="811"/>
      <c r="U88" s="811"/>
      <c r="V88" s="811"/>
      <c r="W88" s="811"/>
      <c r="X88" s="811"/>
      <c r="Y88" s="814"/>
      <c r="Z88" s="811"/>
      <c r="AA88" s="811"/>
      <c r="AB88" s="811"/>
      <c r="AC88" s="811"/>
      <c r="AD88" s="811"/>
      <c r="AE88" s="811"/>
      <c r="AF88" s="811"/>
      <c r="AG88" s="811"/>
      <c r="AH88" s="811"/>
      <c r="AI88" s="814"/>
      <c r="AJ88" s="811"/>
      <c r="AK88" s="811"/>
      <c r="AL88" s="811"/>
      <c r="AM88" s="811"/>
      <c r="AN88" s="811"/>
      <c r="AO88" s="811"/>
      <c r="AP88" s="811"/>
      <c r="AQ88" s="811"/>
      <c r="AR88" s="811"/>
      <c r="AS88" s="814"/>
      <c r="AT88" s="811"/>
      <c r="AU88" s="811"/>
      <c r="AV88" s="811"/>
      <c r="AW88" s="811"/>
      <c r="AX88" s="811"/>
      <c r="AY88" s="811"/>
      <c r="AZ88" s="811"/>
      <c r="BA88" s="811"/>
      <c r="BB88" s="811"/>
      <c r="BC88" s="814"/>
      <c r="BD88" s="811"/>
      <c r="BE88" s="811"/>
      <c r="BF88" s="811"/>
      <c r="BG88" s="811"/>
      <c r="BH88" s="811"/>
      <c r="BI88" s="811"/>
      <c r="BJ88" s="811"/>
      <c r="BK88" s="811"/>
      <c r="BL88" s="811"/>
      <c r="BM88" s="814"/>
      <c r="BN88" s="811"/>
      <c r="BO88" s="811"/>
      <c r="BP88" s="811"/>
      <c r="BQ88" s="811"/>
      <c r="BR88" s="811"/>
      <c r="BS88" s="811"/>
      <c r="BT88" s="811"/>
      <c r="BU88" s="811"/>
      <c r="BV88" s="811"/>
      <c r="BW88" s="814"/>
      <c r="BX88" s="811"/>
      <c r="BY88" s="811"/>
      <c r="BZ88" s="811"/>
      <c r="CA88" s="814"/>
      <c r="CB88" s="811"/>
      <c r="CC88" s="811"/>
      <c r="CD88" s="811"/>
      <c r="CE88" s="814"/>
      <c r="CF88" s="811"/>
      <c r="CG88" s="811"/>
      <c r="CH88" s="820"/>
      <c r="CI88" s="820"/>
      <c r="CJ88" s="838"/>
      <c r="CK88" s="838"/>
      <c r="CL88" s="839"/>
      <c r="CQ88" s="300"/>
    </row>
    <row r="89" spans="1:95" s="811" customFormat="1" ht="14.5" hidden="1" thickBot="1" x14ac:dyDescent="0.35">
      <c r="A89" s="871"/>
      <c r="B89" s="871"/>
      <c r="C89" s="633" t="s">
        <v>178</v>
      </c>
      <c r="D89" s="870"/>
      <c r="E89" s="814">
        <f t="shared" ref="E89:BP89" si="83">SUM(E86:E87,E84, E43)</f>
        <v>52740609.223547615</v>
      </c>
      <c r="F89" s="811">
        <f t="shared" si="83"/>
        <v>14740639.897795755</v>
      </c>
      <c r="G89" s="811">
        <f t="shared" si="83"/>
        <v>0</v>
      </c>
      <c r="H89" s="811">
        <f t="shared" si="83"/>
        <v>0</v>
      </c>
      <c r="I89" s="811">
        <f t="shared" si="83"/>
        <v>67481249.121343374</v>
      </c>
      <c r="J89" s="811">
        <f t="shared" si="83"/>
        <v>-355501.50110714376</v>
      </c>
      <c r="K89" s="811">
        <f t="shared" si="83"/>
        <v>-415910.50500065775</v>
      </c>
      <c r="L89" s="811">
        <f t="shared" si="83"/>
        <v>0</v>
      </c>
      <c r="M89" s="811">
        <f t="shared" si="83"/>
        <v>0</v>
      </c>
      <c r="N89" s="811">
        <f t="shared" si="83"/>
        <v>-771412.00610780157</v>
      </c>
      <c r="O89" s="830">
        <f t="shared" si="83"/>
        <v>67481249.121343374</v>
      </c>
      <c r="P89" s="811">
        <f t="shared" si="83"/>
        <v>-155127324.3163071</v>
      </c>
      <c r="Q89" s="811">
        <f t="shared" si="83"/>
        <v>0</v>
      </c>
      <c r="R89" s="811">
        <f t="shared" si="83"/>
        <v>0</v>
      </c>
      <c r="S89" s="811">
        <f t="shared" si="83"/>
        <v>-87646075.194963738</v>
      </c>
      <c r="T89" s="811">
        <f t="shared" si="83"/>
        <v>-771412.00610780157</v>
      </c>
      <c r="U89" s="811">
        <f t="shared" si="83"/>
        <v>-1937966.9519745714</v>
      </c>
      <c r="V89" s="811">
        <f t="shared" si="83"/>
        <v>0</v>
      </c>
      <c r="W89" s="811">
        <f t="shared" si="83"/>
        <v>0</v>
      </c>
      <c r="X89" s="811">
        <f t="shared" si="83"/>
        <v>-2709378.9580823723</v>
      </c>
      <c r="Y89" s="830">
        <f t="shared" si="83"/>
        <v>-87646075.194963738</v>
      </c>
      <c r="Z89" s="811">
        <f t="shared" si="83"/>
        <v>-2073264.664535841</v>
      </c>
      <c r="AA89" s="811">
        <f t="shared" si="83"/>
        <v>0</v>
      </c>
      <c r="AB89" s="811">
        <f t="shared" si="83"/>
        <v>0</v>
      </c>
      <c r="AC89" s="811">
        <f t="shared" si="83"/>
        <v>-89719339.859499574</v>
      </c>
      <c r="AD89" s="811">
        <f t="shared" si="83"/>
        <v>-2709378.9580823723</v>
      </c>
      <c r="AE89" s="811">
        <f t="shared" si="83"/>
        <v>-3492381.8773589628</v>
      </c>
      <c r="AF89" s="811">
        <f t="shared" si="83"/>
        <v>0</v>
      </c>
      <c r="AG89" s="811">
        <f t="shared" si="83"/>
        <v>57177.615250000003</v>
      </c>
      <c r="AH89" s="811">
        <f t="shared" si="83"/>
        <v>-6144583.2201913353</v>
      </c>
      <c r="AI89" s="830">
        <f t="shared" si="83"/>
        <v>-89719339.859499574</v>
      </c>
      <c r="AJ89" s="811">
        <f t="shared" si="83"/>
        <v>-8487828.9100000001</v>
      </c>
      <c r="AK89" s="811">
        <f t="shared" si="83"/>
        <v>-93136694.160000011</v>
      </c>
      <c r="AL89" s="811">
        <f t="shared" si="83"/>
        <v>-23288977.780000005</v>
      </c>
      <c r="AM89" s="811">
        <f t="shared" si="83"/>
        <v>-28359452.38949959</v>
      </c>
      <c r="AN89" s="811">
        <f t="shared" si="83"/>
        <v>-6144583.2201913353</v>
      </c>
      <c r="AO89" s="811">
        <f t="shared" si="83"/>
        <v>-1726165.3898796672</v>
      </c>
      <c r="AP89" s="811">
        <f t="shared" si="83"/>
        <v>-4764571.99</v>
      </c>
      <c r="AQ89" s="811">
        <f t="shared" si="83"/>
        <v>-244848.39953277516</v>
      </c>
      <c r="AR89" s="811">
        <f t="shared" si="83"/>
        <v>-3378291.379125956</v>
      </c>
      <c r="AS89" s="830">
        <f t="shared" si="83"/>
        <v>-28359452.38949959</v>
      </c>
      <c r="AT89" s="811">
        <f t="shared" si="83"/>
        <v>-30992940.496666662</v>
      </c>
      <c r="AU89" s="811">
        <f t="shared" si="83"/>
        <v>-14191832.440000003</v>
      </c>
      <c r="AV89" s="811">
        <f t="shared" si="83"/>
        <v>-28995.870000000112</v>
      </c>
      <c r="AW89" s="811">
        <f t="shared" si="83"/>
        <v>-45189556.316166252</v>
      </c>
      <c r="AX89" s="811">
        <f t="shared" si="83"/>
        <v>-3378291.379125956</v>
      </c>
      <c r="AY89" s="811">
        <f t="shared" si="83"/>
        <v>-713628.17407917278</v>
      </c>
      <c r="AZ89" s="811">
        <f t="shared" si="83"/>
        <v>-1041838.76</v>
      </c>
      <c r="BA89" s="811">
        <f t="shared" si="83"/>
        <v>-157697.69200374995</v>
      </c>
      <c r="BB89" s="811">
        <f t="shared" si="83"/>
        <v>-3207778.4852088783</v>
      </c>
      <c r="BC89" s="830">
        <f t="shared" si="83"/>
        <v>-45189556.316166252</v>
      </c>
      <c r="BD89" s="811">
        <f t="shared" si="83"/>
        <v>-76185598.343495563</v>
      </c>
      <c r="BE89" s="811">
        <f t="shared" si="83"/>
        <v>0</v>
      </c>
      <c r="BF89" s="811">
        <f t="shared" si="83"/>
        <v>0</v>
      </c>
      <c r="BG89" s="811">
        <f t="shared" si="83"/>
        <v>-121375154.65966184</v>
      </c>
      <c r="BH89" s="811">
        <f t="shared" si="83"/>
        <v>-3207778.4852088783</v>
      </c>
      <c r="BI89" s="811">
        <f t="shared" si="83"/>
        <v>-1791974.3926786091</v>
      </c>
      <c r="BJ89" s="811">
        <f t="shared" si="83"/>
        <v>0</v>
      </c>
      <c r="BK89" s="811">
        <f t="shared" si="83"/>
        <v>-852279.87</v>
      </c>
      <c r="BL89" s="811">
        <f t="shared" si="83"/>
        <v>-5852032.7478874885</v>
      </c>
      <c r="BM89" s="830">
        <f t="shared" si="83"/>
        <v>-121375154.65966184</v>
      </c>
      <c r="BN89" s="811">
        <f t="shared" si="83"/>
        <v>-67474118.300816655</v>
      </c>
      <c r="BO89" s="811">
        <f t="shared" si="83"/>
        <v>-85516348.060000002</v>
      </c>
      <c r="BP89" s="811">
        <f t="shared" si="83"/>
        <v>-757931.21974999714</v>
      </c>
      <c r="BQ89" s="811">
        <f t="shared" ref="BQ89:CH89" si="84">SUM(BQ86:BQ87,BQ84, BQ43)</f>
        <v>-104090856.12022847</v>
      </c>
      <c r="BR89" s="811">
        <f t="shared" si="84"/>
        <v>-5852032.7478874885</v>
      </c>
      <c r="BS89" s="811">
        <f t="shared" si="84"/>
        <v>-2969835.1832604432</v>
      </c>
      <c r="BT89" s="811">
        <f t="shared" si="84"/>
        <v>-7924169.4400000004</v>
      </c>
      <c r="BU89" s="811">
        <f t="shared" si="84"/>
        <v>-2106329.7097484013</v>
      </c>
      <c r="BV89" s="811">
        <f t="shared" si="84"/>
        <v>-3004028.2008963325</v>
      </c>
      <c r="BW89" s="830">
        <f t="shared" si="84"/>
        <v>-59430913.280187637</v>
      </c>
      <c r="BX89" s="811">
        <f t="shared" si="84"/>
        <v>0</v>
      </c>
      <c r="BY89" s="811">
        <f t="shared" si="84"/>
        <v>-163521769.40041608</v>
      </c>
      <c r="BZ89" s="811">
        <f t="shared" si="84"/>
        <v>-3004028.2008963325</v>
      </c>
      <c r="CA89" s="830">
        <f t="shared" si="84"/>
        <v>0</v>
      </c>
      <c r="CB89" s="811">
        <f t="shared" si="84"/>
        <v>0</v>
      </c>
      <c r="CC89" s="811">
        <f t="shared" si="84"/>
        <v>-163521769.40041608</v>
      </c>
      <c r="CD89" s="811">
        <f t="shared" si="84"/>
        <v>-3004028.2008963325</v>
      </c>
      <c r="CE89" s="830">
        <f t="shared" si="84"/>
        <v>-6673516.8331107385</v>
      </c>
      <c r="CF89" s="811">
        <f t="shared" si="84"/>
        <v>0</v>
      </c>
      <c r="CG89" s="811">
        <f t="shared" si="84"/>
        <v>-9677545.0340070706</v>
      </c>
      <c r="CH89" s="887">
        <f t="shared" si="84"/>
        <v>-175012596.11611706</v>
      </c>
      <c r="CI89" s="887"/>
      <c r="CJ89" s="838"/>
      <c r="CK89" s="838">
        <f>CJ89-SUM(BQ89,BV89)</f>
        <v>107094884.32112481</v>
      </c>
      <c r="CL89" s="839" t="str">
        <f t="shared" si="78"/>
        <v>Please provide an explanation of the variance in the Manager's Summary</v>
      </c>
      <c r="CQ89" s="302"/>
    </row>
    <row r="90" spans="1:95" s="946" customFormat="1" ht="14" x14ac:dyDescent="0.3">
      <c r="A90" s="942"/>
      <c r="B90" s="942"/>
      <c r="C90" s="633" t="s">
        <v>3443</v>
      </c>
      <c r="D90" s="912"/>
      <c r="E90" s="943">
        <f t="shared" ref="E90:AJ90" si="85">SUM(E48:E82)+E86+E87</f>
        <v>52740609.223547615</v>
      </c>
      <c r="F90" s="944">
        <f t="shared" si="85"/>
        <v>14740639.897795755</v>
      </c>
      <c r="G90" s="944">
        <f t="shared" si="85"/>
        <v>0</v>
      </c>
      <c r="H90" s="944">
        <f t="shared" si="85"/>
        <v>0</v>
      </c>
      <c r="I90" s="944">
        <f t="shared" si="85"/>
        <v>67481249.121343374</v>
      </c>
      <c r="J90" s="944">
        <f t="shared" si="85"/>
        <v>-355501.50110714376</v>
      </c>
      <c r="K90" s="944">
        <f t="shared" si="85"/>
        <v>-415910.50500065775</v>
      </c>
      <c r="L90" s="944">
        <f t="shared" si="85"/>
        <v>0</v>
      </c>
      <c r="M90" s="944">
        <f t="shared" si="85"/>
        <v>0</v>
      </c>
      <c r="N90" s="945">
        <f t="shared" si="85"/>
        <v>-771412.00610780157</v>
      </c>
      <c r="O90" s="943">
        <f t="shared" si="85"/>
        <v>67481249.121343374</v>
      </c>
      <c r="P90" s="944">
        <f t="shared" si="85"/>
        <v>-155127324.3163071</v>
      </c>
      <c r="Q90" s="944">
        <f t="shared" si="85"/>
        <v>0</v>
      </c>
      <c r="R90" s="944">
        <f t="shared" si="85"/>
        <v>0</v>
      </c>
      <c r="S90" s="944">
        <f t="shared" si="85"/>
        <v>-87646075.194963738</v>
      </c>
      <c r="T90" s="944">
        <f t="shared" si="85"/>
        <v>-771412.00610780157</v>
      </c>
      <c r="U90" s="944">
        <f t="shared" si="85"/>
        <v>-1937966.9519745714</v>
      </c>
      <c r="V90" s="944">
        <f t="shared" si="85"/>
        <v>0</v>
      </c>
      <c r="W90" s="944">
        <f t="shared" si="85"/>
        <v>0</v>
      </c>
      <c r="X90" s="945">
        <f t="shared" si="85"/>
        <v>-2709378.9580823723</v>
      </c>
      <c r="Y90" s="943">
        <f t="shared" si="85"/>
        <v>-87646075.194963738</v>
      </c>
      <c r="Z90" s="944">
        <f t="shared" si="85"/>
        <v>-2073264.664535841</v>
      </c>
      <c r="AA90" s="944">
        <f t="shared" si="85"/>
        <v>0</v>
      </c>
      <c r="AB90" s="944">
        <f t="shared" si="85"/>
        <v>0</v>
      </c>
      <c r="AC90" s="944">
        <f t="shared" si="85"/>
        <v>-89719339.859499574</v>
      </c>
      <c r="AD90" s="944">
        <f t="shared" si="85"/>
        <v>-2709378.9580823723</v>
      </c>
      <c r="AE90" s="944">
        <f t="shared" si="85"/>
        <v>-3492381.8773589628</v>
      </c>
      <c r="AF90" s="944">
        <f t="shared" si="85"/>
        <v>0</v>
      </c>
      <c r="AG90" s="944">
        <f t="shared" si="85"/>
        <v>57177.615250000003</v>
      </c>
      <c r="AH90" s="945">
        <f t="shared" si="85"/>
        <v>-6144583.2201913353</v>
      </c>
      <c r="AI90" s="943">
        <f t="shared" si="85"/>
        <v>-89719339.859499574</v>
      </c>
      <c r="AJ90" s="944">
        <f t="shared" si="85"/>
        <v>-8487828.9100000001</v>
      </c>
      <c r="AK90" s="944">
        <f t="shared" ref="AK90:BP90" si="86">SUM(AK48:AK82)+AK86+AK87</f>
        <v>-93136694.160000011</v>
      </c>
      <c r="AL90" s="944">
        <f t="shared" si="86"/>
        <v>-23288977.780000005</v>
      </c>
      <c r="AM90" s="944">
        <f t="shared" si="86"/>
        <v>-28359452.38949959</v>
      </c>
      <c r="AN90" s="944">
        <f t="shared" si="86"/>
        <v>-6144583.2201913353</v>
      </c>
      <c r="AO90" s="944">
        <f t="shared" si="86"/>
        <v>-1753431.7494018457</v>
      </c>
      <c r="AP90" s="944">
        <f t="shared" si="86"/>
        <v>-4764571.99</v>
      </c>
      <c r="AQ90" s="944">
        <f t="shared" si="86"/>
        <v>-244848.39953277516</v>
      </c>
      <c r="AR90" s="945">
        <f t="shared" si="86"/>
        <v>-3378291.379125956</v>
      </c>
      <c r="AS90" s="943">
        <f t="shared" si="86"/>
        <v>-28359452.38949959</v>
      </c>
      <c r="AT90" s="944">
        <f t="shared" si="86"/>
        <v>-30992940.496666662</v>
      </c>
      <c r="AU90" s="944">
        <f t="shared" si="86"/>
        <v>-14191832.440000003</v>
      </c>
      <c r="AV90" s="944">
        <f t="shared" si="86"/>
        <v>-28995.870000000112</v>
      </c>
      <c r="AW90" s="944">
        <f t="shared" si="86"/>
        <v>-45189556.316166252</v>
      </c>
      <c r="AX90" s="944">
        <f t="shared" si="86"/>
        <v>-3378291.379125956</v>
      </c>
      <c r="AY90" s="944">
        <f t="shared" si="86"/>
        <v>-713628.17407917278</v>
      </c>
      <c r="AZ90" s="944">
        <f t="shared" si="86"/>
        <v>-1041838.76</v>
      </c>
      <c r="BA90" s="944">
        <f t="shared" si="86"/>
        <v>-157697.69200374995</v>
      </c>
      <c r="BB90" s="945">
        <f t="shared" si="86"/>
        <v>-3207778.4852088783</v>
      </c>
      <c r="BC90" s="943">
        <f t="shared" si="86"/>
        <v>-45189556.316166252</v>
      </c>
      <c r="BD90" s="944">
        <f t="shared" si="86"/>
        <v>-76185598.343495563</v>
      </c>
      <c r="BE90" s="944">
        <f t="shared" si="86"/>
        <v>0</v>
      </c>
      <c r="BF90" s="944">
        <f t="shared" si="86"/>
        <v>0</v>
      </c>
      <c r="BG90" s="944">
        <f t="shared" si="86"/>
        <v>-121375154.65966184</v>
      </c>
      <c r="BH90" s="944">
        <f t="shared" si="86"/>
        <v>-3207778.4852088783</v>
      </c>
      <c r="BI90" s="944">
        <f t="shared" si="86"/>
        <v>-1791974.3926786091</v>
      </c>
      <c r="BJ90" s="944">
        <f t="shared" si="86"/>
        <v>0</v>
      </c>
      <c r="BK90" s="944">
        <f t="shared" si="86"/>
        <v>-852279.87</v>
      </c>
      <c r="BL90" s="945">
        <f t="shared" si="86"/>
        <v>-5852032.7478874885</v>
      </c>
      <c r="BM90" s="943">
        <f t="shared" si="86"/>
        <v>-121375154.65966184</v>
      </c>
      <c r="BN90" s="944">
        <f t="shared" si="86"/>
        <v>-67474118.300816655</v>
      </c>
      <c r="BO90" s="944">
        <f>SUM(BO48:BO82)+BO86+BO87</f>
        <v>-85516348.060000002</v>
      </c>
      <c r="BP90" s="944">
        <f t="shared" si="86"/>
        <v>-757931.21974999714</v>
      </c>
      <c r="BQ90" s="944">
        <f>SUM(BQ48:BQ82)+BQ86+BQ87</f>
        <v>-104090856.12022847</v>
      </c>
      <c r="BR90" s="944">
        <f t="shared" ref="BR90:CG90" si="87">SUM(BR48:BR82)+BR86+BR87</f>
        <v>-5852032.7478874885</v>
      </c>
      <c r="BS90" s="944">
        <f t="shared" si="87"/>
        <v>-2969835.1832604432</v>
      </c>
      <c r="BT90" s="944">
        <f t="shared" si="87"/>
        <v>-7924169.4400000004</v>
      </c>
      <c r="BU90" s="944">
        <f t="shared" si="87"/>
        <v>-2106329.7097484013</v>
      </c>
      <c r="BV90" s="945">
        <f t="shared" si="87"/>
        <v>-3004028.2008963325</v>
      </c>
      <c r="BW90" s="943">
        <f t="shared" si="87"/>
        <v>-59430913.280187637</v>
      </c>
      <c r="BX90" s="944">
        <f t="shared" si="87"/>
        <v>0</v>
      </c>
      <c r="BY90" s="944">
        <f t="shared" si="87"/>
        <v>-163521769.40041608</v>
      </c>
      <c r="BZ90" s="945">
        <f t="shared" si="87"/>
        <v>-3004028.2008963325</v>
      </c>
      <c r="CA90" s="943">
        <f t="shared" si="87"/>
        <v>0</v>
      </c>
      <c r="CB90" s="944">
        <f t="shared" si="87"/>
        <v>0</v>
      </c>
      <c r="CC90" s="944">
        <f t="shared" si="87"/>
        <v>-163521769.40041608</v>
      </c>
      <c r="CD90" s="945">
        <f t="shared" si="87"/>
        <v>-3004028.2008963325</v>
      </c>
      <c r="CE90" s="946">
        <f>SUM(CE48:CE82)+CE86+CE87</f>
        <v>-6673516.8331107385</v>
      </c>
      <c r="CF90" s="946">
        <f t="shared" si="87"/>
        <v>0</v>
      </c>
      <c r="CG90" s="946">
        <f t="shared" si="87"/>
        <v>-9677545.0340070706</v>
      </c>
      <c r="CH90" s="947">
        <f>SUM(CH48:CH82)+CH86+CH87</f>
        <v>-175012596.11611706</v>
      </c>
      <c r="CI90" s="947"/>
      <c r="CJ90" s="947">
        <f>SUM(CJ48:CJ82)+CJ86+CJ87</f>
        <v>-107094885.81</v>
      </c>
      <c r="CK90" s="838">
        <f>CJ90-SUM(BQ90,BV90)</f>
        <v>-1.4888751953840256</v>
      </c>
      <c r="CL90" s="948" t="str">
        <f t="shared" si="78"/>
        <v>Please provide an explanation of the variance in the Manager's Summary</v>
      </c>
      <c r="CQ90" s="708"/>
    </row>
    <row r="91" spans="1:95" s="819" customFormat="1" ht="14.5" thickBot="1" x14ac:dyDescent="0.35">
      <c r="A91"/>
      <c r="B91"/>
      <c r="C91" s="709"/>
      <c r="D91" s="870"/>
      <c r="E91" s="814"/>
      <c r="F91" s="811"/>
      <c r="G91" s="811"/>
      <c r="H91" s="811"/>
      <c r="I91" s="811"/>
      <c r="J91" s="811"/>
      <c r="K91" s="811"/>
      <c r="L91" s="811"/>
      <c r="M91" s="811"/>
      <c r="N91" s="829"/>
      <c r="O91" s="814"/>
      <c r="P91" s="811"/>
      <c r="Q91" s="811"/>
      <c r="R91" s="811"/>
      <c r="S91" s="811"/>
      <c r="T91" s="811"/>
      <c r="U91" s="811"/>
      <c r="V91" s="811"/>
      <c r="W91" s="811"/>
      <c r="X91" s="829"/>
      <c r="Y91" s="814"/>
      <c r="Z91" s="811"/>
      <c r="AA91" s="811"/>
      <c r="AB91" s="811"/>
      <c r="AC91" s="811"/>
      <c r="AD91" s="811"/>
      <c r="AE91" s="811"/>
      <c r="AF91" s="811"/>
      <c r="AG91" s="811"/>
      <c r="AH91" s="829"/>
      <c r="AI91" s="814"/>
      <c r="AJ91" s="811"/>
      <c r="AK91" s="811"/>
      <c r="AL91" s="811"/>
      <c r="AM91" s="811"/>
      <c r="AN91" s="811"/>
      <c r="AO91" s="811"/>
      <c r="AP91" s="811"/>
      <c r="AQ91" s="811"/>
      <c r="AR91" s="829"/>
      <c r="AS91" s="814"/>
      <c r="AT91" s="811"/>
      <c r="AU91" s="811"/>
      <c r="AV91" s="811"/>
      <c r="AW91" s="811"/>
      <c r="AX91" s="811"/>
      <c r="AY91" s="811"/>
      <c r="AZ91" s="811"/>
      <c r="BA91" s="811"/>
      <c r="BB91" s="829"/>
      <c r="BC91" s="814"/>
      <c r="BD91" s="811"/>
      <c r="BE91" s="811"/>
      <c r="BF91" s="811"/>
      <c r="BG91" s="811"/>
      <c r="BH91" s="811"/>
      <c r="BI91" s="811"/>
      <c r="BJ91" s="811"/>
      <c r="BK91" s="811"/>
      <c r="BL91" s="829"/>
      <c r="BM91" s="814"/>
      <c r="BN91" s="811"/>
      <c r="BO91" s="811"/>
      <c r="BP91" s="811"/>
      <c r="BQ91" s="811"/>
      <c r="BR91" s="811"/>
      <c r="BS91" s="811"/>
      <c r="BT91" s="811"/>
      <c r="BU91" s="811"/>
      <c r="BV91" s="829"/>
      <c r="BW91" s="814"/>
      <c r="BX91" s="811"/>
      <c r="BY91" s="811"/>
      <c r="BZ91" s="829"/>
      <c r="CA91" s="814"/>
      <c r="CB91" s="811"/>
      <c r="CC91" s="811"/>
      <c r="CD91" s="829"/>
      <c r="CH91" s="820"/>
      <c r="CI91" s="820"/>
      <c r="CJ91" s="838"/>
      <c r="CK91" s="838"/>
      <c r="CL91" s="839" t="str">
        <f t="shared" si="78"/>
        <v/>
      </c>
      <c r="CQ91" s="300"/>
    </row>
    <row r="92" spans="1:95" s="819" customFormat="1" ht="16.5" thickBot="1" x14ac:dyDescent="0.35">
      <c r="A92">
        <v>49</v>
      </c>
      <c r="B92"/>
      <c r="C92" s="937" t="s">
        <v>2924</v>
      </c>
      <c r="D92" s="823">
        <v>1568</v>
      </c>
      <c r="E92" s="152">
        <v>11258368.803453874</v>
      </c>
      <c r="F92" s="154">
        <v>9612739.1993909609</v>
      </c>
      <c r="G92" s="154">
        <v>4810834</v>
      </c>
      <c r="H92" s="154"/>
      <c r="I92" s="811">
        <f>E92+F92-G92+H92</f>
        <v>16060274.002844833</v>
      </c>
      <c r="J92" s="188">
        <v>194672.71921831236</v>
      </c>
      <c r="K92" s="154">
        <v>156370.452588307</v>
      </c>
      <c r="L92" s="154">
        <v>139236</v>
      </c>
      <c r="M92" s="154"/>
      <c r="N92" s="829">
        <f>J92+K92-L92+M92</f>
        <v>211807.17180661939</v>
      </c>
      <c r="O92" s="830">
        <f>I92</f>
        <v>16060274.002844833</v>
      </c>
      <c r="P92" s="89">
        <v>18290140.792532466</v>
      </c>
      <c r="Q92" s="89">
        <v>6447545</v>
      </c>
      <c r="R92" s="89"/>
      <c r="S92" s="811">
        <f>O92+P92-Q92+R92</f>
        <v>27902869.795377299</v>
      </c>
      <c r="T92" s="831">
        <f>N92</f>
        <v>211807.17180661939</v>
      </c>
      <c r="U92" s="89">
        <v>410304.26019756577</v>
      </c>
      <c r="V92" s="89">
        <v>121812</v>
      </c>
      <c r="W92" s="89"/>
      <c r="X92" s="829">
        <f>T92+U92-V92+W92</f>
        <v>500299.43200418516</v>
      </c>
      <c r="Y92" s="830">
        <f>S92</f>
        <v>27902869.795377299</v>
      </c>
      <c r="Z92" s="89">
        <v>18121715.581871141</v>
      </c>
      <c r="AA92" s="89">
        <v>12048215.1</v>
      </c>
      <c r="AB92" s="89"/>
      <c r="AC92" s="811">
        <f>Y92+Z92-AA92+AB92</f>
        <v>33976370.277248435</v>
      </c>
      <c r="AD92" s="811">
        <f>X92</f>
        <v>500299.43200418516</v>
      </c>
      <c r="AE92" s="89">
        <v>697683.50549993245</v>
      </c>
      <c r="AF92" s="89">
        <v>295181.27</v>
      </c>
      <c r="AG92" s="832"/>
      <c r="AH92" s="829">
        <f>AD92+AE92-AF92+AG92</f>
        <v>902801.66750411759</v>
      </c>
      <c r="AI92" s="830">
        <f>AC92</f>
        <v>33976370.277248435</v>
      </c>
      <c r="AJ92" s="89">
        <v>-1974472.38</v>
      </c>
      <c r="AK92" s="89"/>
      <c r="AL92" s="89"/>
      <c r="AM92" s="811">
        <f>AI92+AJ92-AK92+SUM(AL92:AL92)</f>
        <v>32001897.897248436</v>
      </c>
      <c r="AN92" s="811">
        <f>AH92</f>
        <v>902801.66750411759</v>
      </c>
      <c r="AO92" s="89">
        <v>209890.86988233941</v>
      </c>
      <c r="AP92" s="89"/>
      <c r="AQ92" s="832"/>
      <c r="AR92" s="829">
        <f>AN92+AO92-AP92+AQ92</f>
        <v>1112692.537386457</v>
      </c>
      <c r="AS92" s="830">
        <f>AM92</f>
        <v>32001897.897248436</v>
      </c>
      <c r="AT92" s="89"/>
      <c r="AU92" s="89">
        <v>32007060</v>
      </c>
      <c r="AV92" s="89">
        <v>5163.01</v>
      </c>
      <c r="AW92" s="811">
        <f>AS92+AT92-AU92+AV92</f>
        <v>0.90724843576572312</v>
      </c>
      <c r="AX92" s="811">
        <f>AR92</f>
        <v>1112692.537386457</v>
      </c>
      <c r="AY92" s="89"/>
      <c r="AZ92" s="89">
        <v>1097243</v>
      </c>
      <c r="BA92" s="832">
        <v>-15449.519880964188</v>
      </c>
      <c r="BB92" s="829">
        <f>AX92+AY92-AZ92+BA92</f>
        <v>1.7505492782220244E-2</v>
      </c>
      <c r="BC92" s="830">
        <f>AW92</f>
        <v>0.90724843576572312</v>
      </c>
      <c r="BD92" s="832"/>
      <c r="BE92" s="89"/>
      <c r="BF92" s="89"/>
      <c r="BG92" s="811">
        <f>BC92+BD92-BE92+SUM(BF92:BF92)</f>
        <v>0.90724843576572312</v>
      </c>
      <c r="BH92" s="811">
        <f>BB92</f>
        <v>1.7505492782220244E-2</v>
      </c>
      <c r="BI92" s="89">
        <v>0</v>
      </c>
      <c r="BJ92" s="89"/>
      <c r="BK92" s="89"/>
      <c r="BL92" s="829">
        <f>BH92+BI92-BJ92+BK92</f>
        <v>1.7505492782220244E-2</v>
      </c>
      <c r="BM92" s="830">
        <f>BG92</f>
        <v>0.90724843576572312</v>
      </c>
      <c r="BN92" s="832"/>
      <c r="BO92" s="89"/>
      <c r="BP92" s="89"/>
      <c r="BQ92" s="811">
        <f>BM92+BN92-BO92+SUM(BP92:BP92)</f>
        <v>0.90724843576572312</v>
      </c>
      <c r="BR92" s="811">
        <f>BL92</f>
        <v>1.7505492782220244E-2</v>
      </c>
      <c r="BS92" s="89">
        <v>0</v>
      </c>
      <c r="BT92" s="89"/>
      <c r="BU92" s="89"/>
      <c r="BV92" s="829">
        <v>0</v>
      </c>
      <c r="BW92" s="89"/>
      <c r="BX92" s="89"/>
      <c r="BY92" s="831">
        <f>BC92-BW92</f>
        <v>0.90724843576572312</v>
      </c>
      <c r="BZ92" s="834">
        <f>BH92-BX92</f>
        <v>1.7505492782220244E-2</v>
      </c>
      <c r="CA92" s="89"/>
      <c r="CB92" s="89"/>
      <c r="CC92" s="831">
        <f>BY92-CA92</f>
        <v>0.90724843576572312</v>
      </c>
      <c r="CD92" s="834">
        <f>BZ92-CB92</f>
        <v>1.7505492782220244E-2</v>
      </c>
      <c r="CE92" s="835"/>
      <c r="CF92" s="89"/>
      <c r="CG92" s="836">
        <f>CD92+CE92+CF92</f>
        <v>1.7505492782220244E-2</v>
      </c>
      <c r="CH92" s="820">
        <f>SUM(CC92:CF92)</f>
        <v>0.92475392854794336</v>
      </c>
      <c r="CI92" s="820"/>
      <c r="CJ92" s="838">
        <v>0</v>
      </c>
      <c r="CK92" s="838">
        <f>CJ92-SUM(BQ92,BV92)</f>
        <v>-0.90724843576572312</v>
      </c>
      <c r="CL92" s="839" t="str">
        <f>IF(ABS(CK92)&gt;1,"Please provide an explanation of the variance in the tab 3 - Appendix A","")</f>
        <v/>
      </c>
      <c r="CQ92" s="300"/>
    </row>
    <row r="93" spans="1:95" s="819" customFormat="1" ht="14" x14ac:dyDescent="0.3">
      <c r="A93"/>
      <c r="B93"/>
      <c r="C93" s="949"/>
      <c r="D93" s="950"/>
      <c r="E93" s="814"/>
      <c r="F93" s="811"/>
      <c r="G93" s="811"/>
      <c r="H93" s="811"/>
      <c r="I93" s="811"/>
      <c r="J93" s="811"/>
      <c r="K93" s="811"/>
      <c r="L93" s="811"/>
      <c r="M93" s="811"/>
      <c r="N93" s="811"/>
      <c r="O93" s="814"/>
      <c r="P93" s="811"/>
      <c r="Q93" s="811"/>
      <c r="R93" s="811"/>
      <c r="S93" s="811"/>
      <c r="T93" s="811"/>
      <c r="U93" s="811"/>
      <c r="V93" s="811"/>
      <c r="W93" s="811"/>
      <c r="X93" s="811"/>
      <c r="Y93" s="814"/>
      <c r="Z93" s="811"/>
      <c r="AA93" s="811"/>
      <c r="AB93" s="811"/>
      <c r="AC93" s="811"/>
      <c r="AD93" s="811"/>
      <c r="AE93" s="811"/>
      <c r="AF93" s="811"/>
      <c r="AG93" s="811"/>
      <c r="AH93" s="811"/>
      <c r="AI93" s="814"/>
      <c r="AJ93" s="811"/>
      <c r="AK93" s="811"/>
      <c r="AL93" s="811"/>
      <c r="AM93" s="811"/>
      <c r="AN93" s="811"/>
      <c r="AO93" s="811"/>
      <c r="AP93" s="811"/>
      <c r="AQ93" s="811"/>
      <c r="AR93" s="811"/>
      <c r="AS93" s="814"/>
      <c r="AT93" s="811"/>
      <c r="AU93" s="811"/>
      <c r="AV93" s="811"/>
      <c r="AW93" s="811"/>
      <c r="AX93" s="811"/>
      <c r="AY93" s="811"/>
      <c r="AZ93" s="811"/>
      <c r="BA93" s="811"/>
      <c r="BB93" s="811"/>
      <c r="BC93" s="814"/>
      <c r="BD93" s="811"/>
      <c r="BE93" s="811"/>
      <c r="BF93" s="811"/>
      <c r="BG93" s="811"/>
      <c r="BH93" s="811"/>
      <c r="BI93" s="811"/>
      <c r="BJ93" s="811"/>
      <c r="BK93" s="811"/>
      <c r="BL93" s="811"/>
      <c r="BM93" s="814"/>
      <c r="BN93" s="811"/>
      <c r="BO93" s="811"/>
      <c r="BP93" s="811"/>
      <c r="BQ93" s="811"/>
      <c r="BR93" s="811"/>
      <c r="BS93" s="811"/>
      <c r="BT93" s="811"/>
      <c r="BU93" s="811"/>
      <c r="BV93" s="811"/>
      <c r="BW93" s="814"/>
      <c r="BX93" s="811"/>
      <c r="BY93" s="811"/>
      <c r="BZ93" s="829"/>
      <c r="CA93" s="814"/>
      <c r="CB93" s="811"/>
      <c r="CC93" s="811"/>
      <c r="CD93" s="829"/>
      <c r="CH93" s="820"/>
      <c r="CI93" s="820"/>
      <c r="CJ93" s="838"/>
      <c r="CK93" s="838"/>
      <c r="CL93" s="822"/>
      <c r="CQ93" s="300"/>
    </row>
    <row r="94" spans="1:95" s="819" customFormat="1" ht="14" x14ac:dyDescent="0.3">
      <c r="A94"/>
      <c r="B94"/>
      <c r="C94" s="949"/>
      <c r="D94" s="950"/>
      <c r="E94" s="814"/>
      <c r="F94" s="811"/>
      <c r="G94" s="811"/>
      <c r="H94" s="811"/>
      <c r="I94" s="811"/>
      <c r="J94" s="811"/>
      <c r="K94" s="811"/>
      <c r="L94" s="811"/>
      <c r="M94" s="811"/>
      <c r="N94" s="811"/>
      <c r="O94" s="814"/>
      <c r="P94" s="811"/>
      <c r="Q94" s="811"/>
      <c r="R94" s="811"/>
      <c r="S94" s="811"/>
      <c r="T94" s="811"/>
      <c r="U94" s="811"/>
      <c r="V94" s="811"/>
      <c r="W94" s="811"/>
      <c r="X94" s="811"/>
      <c r="Y94" s="814"/>
      <c r="Z94" s="811"/>
      <c r="AA94" s="811"/>
      <c r="AB94" s="811"/>
      <c r="AC94" s="811"/>
      <c r="AD94" s="811"/>
      <c r="AE94" s="811"/>
      <c r="AF94" s="811"/>
      <c r="AG94" s="811"/>
      <c r="AH94" s="811"/>
      <c r="AI94" s="814"/>
      <c r="AJ94" s="811"/>
      <c r="AK94" s="811"/>
      <c r="AL94" s="811"/>
      <c r="AM94" s="811"/>
      <c r="AN94" s="811"/>
      <c r="AO94" s="811"/>
      <c r="AP94" s="811"/>
      <c r="AQ94" s="811"/>
      <c r="AR94" s="811"/>
      <c r="AS94" s="814"/>
      <c r="AT94" s="811"/>
      <c r="AU94" s="811"/>
      <c r="AV94" s="811"/>
      <c r="AW94" s="811"/>
      <c r="AX94" s="811"/>
      <c r="AY94" s="811"/>
      <c r="AZ94" s="811"/>
      <c r="BA94" s="811"/>
      <c r="BB94" s="811"/>
      <c r="BC94" s="814"/>
      <c r="BD94" s="811"/>
      <c r="BE94" s="811"/>
      <c r="BF94" s="811"/>
      <c r="BG94" s="811"/>
      <c r="BH94" s="811"/>
      <c r="BI94" s="811"/>
      <c r="BJ94" s="811"/>
      <c r="BK94" s="811"/>
      <c r="BL94" s="811"/>
      <c r="BM94" s="814"/>
      <c r="BN94" s="811"/>
      <c r="BO94" s="811"/>
      <c r="BP94" s="811"/>
      <c r="BQ94" s="811"/>
      <c r="BR94" s="811"/>
      <c r="BS94" s="811"/>
      <c r="BT94" s="811"/>
      <c r="BU94" s="811"/>
      <c r="BV94" s="811"/>
      <c r="BW94" s="814"/>
      <c r="BX94" s="811"/>
      <c r="BY94" s="811"/>
      <c r="BZ94" s="945"/>
      <c r="CA94" s="814"/>
      <c r="CB94" s="811"/>
      <c r="CC94" s="811"/>
      <c r="CD94" s="945"/>
      <c r="CH94" s="820"/>
      <c r="CI94" s="820"/>
      <c r="CJ94" s="838"/>
      <c r="CK94" s="838"/>
      <c r="CL94" s="822"/>
      <c r="CQ94" s="300"/>
    </row>
    <row r="95" spans="1:95" s="944" customFormat="1" ht="14" x14ac:dyDescent="0.3">
      <c r="A95" s="909"/>
      <c r="B95" s="909"/>
      <c r="C95" s="633" t="s">
        <v>74</v>
      </c>
      <c r="D95" s="912"/>
      <c r="E95" s="944">
        <f t="shared" ref="E95:BP95" si="88">E90+E92</f>
        <v>63998978.027001485</v>
      </c>
      <c r="F95" s="944">
        <f t="shared" si="88"/>
        <v>24353379.097186714</v>
      </c>
      <c r="G95" s="944">
        <f t="shared" si="88"/>
        <v>4810834</v>
      </c>
      <c r="H95" s="944">
        <f t="shared" si="88"/>
        <v>0</v>
      </c>
      <c r="I95" s="944">
        <f t="shared" si="88"/>
        <v>83541523.124188215</v>
      </c>
      <c r="J95" s="944">
        <f t="shared" si="88"/>
        <v>-160828.78188883141</v>
      </c>
      <c r="K95" s="944">
        <f t="shared" si="88"/>
        <v>-259540.05241235075</v>
      </c>
      <c r="L95" s="944">
        <f t="shared" si="88"/>
        <v>139236</v>
      </c>
      <c r="M95" s="944">
        <f t="shared" si="88"/>
        <v>0</v>
      </c>
      <c r="N95" s="945">
        <f t="shared" si="88"/>
        <v>-559604.83430118219</v>
      </c>
      <c r="O95" s="944">
        <f t="shared" si="88"/>
        <v>83541523.124188215</v>
      </c>
      <c r="P95" s="944">
        <f t="shared" si="88"/>
        <v>-136837183.52377462</v>
      </c>
      <c r="Q95" s="944">
        <f t="shared" si="88"/>
        <v>6447545</v>
      </c>
      <c r="R95" s="944">
        <f t="shared" si="88"/>
        <v>0</v>
      </c>
      <c r="S95" s="944">
        <f t="shared" si="88"/>
        <v>-59743205.399586439</v>
      </c>
      <c r="T95" s="944">
        <f t="shared" si="88"/>
        <v>-559604.83430118219</v>
      </c>
      <c r="U95" s="944">
        <f t="shared" si="88"/>
        <v>-1527662.6917770058</v>
      </c>
      <c r="V95" s="944">
        <f t="shared" si="88"/>
        <v>121812</v>
      </c>
      <c r="W95" s="944">
        <f t="shared" si="88"/>
        <v>0</v>
      </c>
      <c r="X95" s="945">
        <f t="shared" si="88"/>
        <v>-2209079.5260781869</v>
      </c>
      <c r="Y95" s="944">
        <f t="shared" si="88"/>
        <v>-59743205.399586439</v>
      </c>
      <c r="Z95" s="944">
        <f t="shared" si="88"/>
        <v>16048450.9173353</v>
      </c>
      <c r="AA95" s="944">
        <f t="shared" si="88"/>
        <v>12048215.1</v>
      </c>
      <c r="AB95" s="944">
        <f t="shared" si="88"/>
        <v>0</v>
      </c>
      <c r="AC95" s="944">
        <f t="shared" si="88"/>
        <v>-55742969.582251139</v>
      </c>
      <c r="AD95" s="944">
        <f t="shared" si="88"/>
        <v>-2209079.5260781869</v>
      </c>
      <c r="AE95" s="944">
        <f t="shared" si="88"/>
        <v>-2794698.3718590303</v>
      </c>
      <c r="AF95" s="944">
        <f t="shared" si="88"/>
        <v>295181.27</v>
      </c>
      <c r="AG95" s="944">
        <f t="shared" si="88"/>
        <v>57177.615250000003</v>
      </c>
      <c r="AH95" s="945">
        <f t="shared" si="88"/>
        <v>-5241781.5526872175</v>
      </c>
      <c r="AI95" s="944">
        <f t="shared" si="88"/>
        <v>-55742969.582251139</v>
      </c>
      <c r="AJ95" s="944">
        <f t="shared" si="88"/>
        <v>-10462301.289999999</v>
      </c>
      <c r="AK95" s="944">
        <f t="shared" si="88"/>
        <v>-93136694.160000011</v>
      </c>
      <c r="AL95" s="944">
        <f t="shared" si="88"/>
        <v>-23288977.780000005</v>
      </c>
      <c r="AM95" s="944">
        <f t="shared" si="88"/>
        <v>3642445.507748846</v>
      </c>
      <c r="AN95" s="944">
        <f t="shared" si="88"/>
        <v>-5241781.5526872175</v>
      </c>
      <c r="AO95" s="944">
        <f t="shared" si="88"/>
        <v>-1543540.8795195064</v>
      </c>
      <c r="AP95" s="944">
        <f t="shared" si="88"/>
        <v>-4764571.99</v>
      </c>
      <c r="AQ95" s="944">
        <f t="shared" si="88"/>
        <v>-244848.39953277516</v>
      </c>
      <c r="AR95" s="945">
        <f t="shared" si="88"/>
        <v>-2265598.841739499</v>
      </c>
      <c r="AS95" s="944">
        <f t="shared" si="88"/>
        <v>3642445.507748846</v>
      </c>
      <c r="AT95" s="944">
        <f t="shared" si="88"/>
        <v>-30992940.496666662</v>
      </c>
      <c r="AU95" s="944">
        <f t="shared" si="88"/>
        <v>17815227.559999995</v>
      </c>
      <c r="AV95" s="944">
        <f t="shared" si="88"/>
        <v>-23832.86000000011</v>
      </c>
      <c r="AW95" s="944">
        <f t="shared" si="88"/>
        <v>-45189555.408917814</v>
      </c>
      <c r="AX95" s="944">
        <f t="shared" si="88"/>
        <v>-2265598.841739499</v>
      </c>
      <c r="AY95" s="944">
        <f t="shared" si="88"/>
        <v>-713628.17407917278</v>
      </c>
      <c r="AZ95" s="944">
        <f t="shared" si="88"/>
        <v>55404.239999999991</v>
      </c>
      <c r="BA95" s="944">
        <f t="shared" si="88"/>
        <v>-173147.21188471414</v>
      </c>
      <c r="BB95" s="945">
        <f t="shared" si="88"/>
        <v>-3207778.4677033853</v>
      </c>
      <c r="BC95" s="944">
        <f t="shared" si="88"/>
        <v>-45189555.408917814</v>
      </c>
      <c r="BD95" s="944">
        <f t="shared" si="88"/>
        <v>-76185598.343495563</v>
      </c>
      <c r="BE95" s="944">
        <f t="shared" si="88"/>
        <v>0</v>
      </c>
      <c r="BF95" s="944">
        <f t="shared" si="88"/>
        <v>0</v>
      </c>
      <c r="BG95" s="944">
        <f t="shared" si="88"/>
        <v>-121375153.75241341</v>
      </c>
      <c r="BH95" s="944">
        <f t="shared" si="88"/>
        <v>-3207778.4677033853</v>
      </c>
      <c r="BI95" s="944">
        <f t="shared" si="88"/>
        <v>-1791974.3926786091</v>
      </c>
      <c r="BJ95" s="944">
        <f t="shared" si="88"/>
        <v>0</v>
      </c>
      <c r="BK95" s="944">
        <f t="shared" si="88"/>
        <v>-852279.87</v>
      </c>
      <c r="BL95" s="945">
        <f t="shared" si="88"/>
        <v>-5852032.7303819954</v>
      </c>
      <c r="BM95" s="944">
        <f t="shared" si="88"/>
        <v>-121375153.75241341</v>
      </c>
      <c r="BN95" s="944">
        <f t="shared" si="88"/>
        <v>-67474118.300816655</v>
      </c>
      <c r="BO95" s="944">
        <f t="shared" si="88"/>
        <v>-85516348.060000002</v>
      </c>
      <c r="BP95" s="944">
        <f t="shared" si="88"/>
        <v>-757931.21974999714</v>
      </c>
      <c r="BQ95" s="944">
        <f t="shared" ref="BQ95:CG95" si="89">BQ90+BQ92</f>
        <v>-104090855.21298003</v>
      </c>
      <c r="BR95" s="944">
        <f t="shared" si="89"/>
        <v>-5852032.7303819954</v>
      </c>
      <c r="BS95" s="944">
        <f t="shared" si="89"/>
        <v>-2969835.1832604432</v>
      </c>
      <c r="BT95" s="944">
        <f t="shared" si="89"/>
        <v>-7924169.4400000004</v>
      </c>
      <c r="BU95" s="944">
        <f t="shared" si="89"/>
        <v>-2106329.7097484013</v>
      </c>
      <c r="BV95" s="945">
        <f t="shared" si="89"/>
        <v>-3004028.2008963325</v>
      </c>
      <c r="BW95" s="944">
        <f t="shared" si="89"/>
        <v>-59430913.280187637</v>
      </c>
      <c r="BX95" s="944">
        <f t="shared" si="89"/>
        <v>0</v>
      </c>
      <c r="BY95" s="944">
        <f t="shared" si="89"/>
        <v>-163521768.49316764</v>
      </c>
      <c r="BZ95" s="945">
        <f t="shared" si="89"/>
        <v>-3004028.18339084</v>
      </c>
      <c r="CA95" s="944">
        <f t="shared" si="89"/>
        <v>0</v>
      </c>
      <c r="CB95" s="944">
        <f t="shared" si="89"/>
        <v>0</v>
      </c>
      <c r="CC95" s="944">
        <f t="shared" si="89"/>
        <v>-163521768.49316764</v>
      </c>
      <c r="CD95" s="945">
        <f t="shared" si="89"/>
        <v>-3004028.18339084</v>
      </c>
      <c r="CE95" s="944">
        <f t="shared" si="89"/>
        <v>-6673516.8331107385</v>
      </c>
      <c r="CF95" s="944">
        <f t="shared" si="89"/>
        <v>0</v>
      </c>
      <c r="CG95" s="944">
        <f t="shared" si="89"/>
        <v>-9677545.0165015776</v>
      </c>
      <c r="CH95" s="951">
        <f>CH90+CH92</f>
        <v>-175012595.19136313</v>
      </c>
      <c r="CI95" s="951"/>
      <c r="CJ95" s="951">
        <f>CJ90+CJ92</f>
        <v>-107094885.81</v>
      </c>
      <c r="CK95" s="838">
        <f>CJ95-SUM(BQ95,BV95)</f>
        <v>-2.3961236327886581</v>
      </c>
      <c r="CL95" s="952"/>
      <c r="CQ95" s="727"/>
    </row>
    <row r="96" spans="1:95" s="819" customFormat="1" ht="14.5" thickBot="1" x14ac:dyDescent="0.35">
      <c r="A96"/>
      <c r="B96"/>
      <c r="C96" s="709"/>
      <c r="D96" s="870"/>
      <c r="E96" s="814"/>
      <c r="F96" s="811"/>
      <c r="G96" s="811"/>
      <c r="H96" s="811"/>
      <c r="I96" s="811"/>
      <c r="J96" s="811"/>
      <c r="K96" s="811"/>
      <c r="L96" s="811"/>
      <c r="M96" s="811"/>
      <c r="N96" s="829"/>
      <c r="O96" s="814"/>
      <c r="P96" s="811"/>
      <c r="Q96" s="811"/>
      <c r="R96" s="811"/>
      <c r="S96" s="811"/>
      <c r="T96" s="811"/>
      <c r="U96" s="811"/>
      <c r="V96" s="811"/>
      <c r="W96" s="811"/>
      <c r="X96" s="829"/>
      <c r="Y96" s="814"/>
      <c r="Z96" s="811"/>
      <c r="AA96" s="811"/>
      <c r="AB96" s="811"/>
      <c r="AC96" s="811"/>
      <c r="AD96" s="811"/>
      <c r="AE96" s="811"/>
      <c r="AF96" s="811"/>
      <c r="AG96" s="811"/>
      <c r="AH96" s="829"/>
      <c r="AI96" s="814"/>
      <c r="AJ96" s="811"/>
      <c r="AK96" s="811"/>
      <c r="AL96" s="811"/>
      <c r="AM96" s="811"/>
      <c r="AN96" s="811"/>
      <c r="AO96" s="811"/>
      <c r="AP96" s="811"/>
      <c r="AQ96" s="811"/>
      <c r="AR96" s="829"/>
      <c r="AS96" s="814"/>
      <c r="AT96" s="811"/>
      <c r="AU96" s="811"/>
      <c r="AV96" s="811"/>
      <c r="AW96" s="811"/>
      <c r="AX96" s="811"/>
      <c r="AY96" s="811"/>
      <c r="AZ96" s="811"/>
      <c r="BA96" s="811"/>
      <c r="BB96" s="829"/>
      <c r="BC96" s="814"/>
      <c r="BD96" s="811"/>
      <c r="BE96" s="811"/>
      <c r="BF96" s="811"/>
      <c r="BG96" s="811"/>
      <c r="BH96" s="811"/>
      <c r="BI96" s="811"/>
      <c r="BJ96" s="811"/>
      <c r="BK96" s="811"/>
      <c r="BL96" s="829"/>
      <c r="BM96" s="814"/>
      <c r="BN96" s="811"/>
      <c r="BO96" s="811"/>
      <c r="BP96" s="811"/>
      <c r="BQ96" s="811"/>
      <c r="BR96" s="811"/>
      <c r="BS96" s="811"/>
      <c r="BT96" s="811"/>
      <c r="BU96" s="811"/>
      <c r="BV96" s="829"/>
      <c r="BW96" s="814"/>
      <c r="BX96" s="811"/>
      <c r="BY96" s="811"/>
      <c r="BZ96" s="829"/>
      <c r="CA96" s="814"/>
      <c r="CB96" s="811"/>
      <c r="CC96" s="811"/>
      <c r="CD96" s="829"/>
      <c r="CH96" s="820"/>
      <c r="CI96" s="820"/>
      <c r="CJ96" s="838"/>
      <c r="CK96" s="838">
        <f t="shared" ref="CK96:CK114" si="90">CJ96-SUM(BQ96,BV96)</f>
        <v>0</v>
      </c>
      <c r="CL96" s="822"/>
      <c r="CQ96" s="300"/>
    </row>
    <row r="97" spans="1:95" s="819" customFormat="1" ht="17" thickBot="1" x14ac:dyDescent="0.35">
      <c r="A97"/>
      <c r="B97"/>
      <c r="C97" s="933" t="s">
        <v>3045</v>
      </c>
      <c r="D97" s="823">
        <v>1522</v>
      </c>
      <c r="E97" s="919"/>
      <c r="F97" s="919"/>
      <c r="G97" s="919"/>
      <c r="H97" s="919"/>
      <c r="I97" s="811">
        <f>E97+F97-G97+H97</f>
        <v>0</v>
      </c>
      <c r="J97" s="919"/>
      <c r="K97" s="919"/>
      <c r="L97" s="919"/>
      <c r="M97" s="919"/>
      <c r="N97" s="829">
        <f>J97+K97-L97+M97</f>
        <v>0</v>
      </c>
      <c r="O97" s="830">
        <f>I97</f>
        <v>0</v>
      </c>
      <c r="P97" s="919"/>
      <c r="Q97" s="919"/>
      <c r="R97" s="919"/>
      <c r="S97" s="811">
        <f>O97+P97-Q97+R97</f>
        <v>0</v>
      </c>
      <c r="T97" s="831">
        <f>N97</f>
        <v>0</v>
      </c>
      <c r="U97" s="919"/>
      <c r="V97" s="919"/>
      <c r="W97" s="919"/>
      <c r="X97" s="829">
        <f>T97+U97-V97+W97</f>
        <v>0</v>
      </c>
      <c r="Y97" s="830">
        <f>S97</f>
        <v>0</v>
      </c>
      <c r="Z97" s="832"/>
      <c r="AA97" s="832"/>
      <c r="AB97" s="832"/>
      <c r="AC97" s="811">
        <f>Y97+Z97-AA97+AB97</f>
        <v>0</v>
      </c>
      <c r="AD97" s="831">
        <f>X97</f>
        <v>0</v>
      </c>
      <c r="AE97" s="832"/>
      <c r="AF97" s="832"/>
      <c r="AG97" s="832"/>
      <c r="AH97" s="829">
        <f>AD97+AE97-AF97+AG97</f>
        <v>0</v>
      </c>
      <c r="AI97" s="830">
        <f>AC97</f>
        <v>0</v>
      </c>
      <c r="AJ97" s="832">
        <v>-3546767.6373299607</v>
      </c>
      <c r="AK97" s="832"/>
      <c r="AL97" s="832"/>
      <c r="AM97" s="811">
        <f>AI97+AJ97-AK97+SUM(AL97:AL97)</f>
        <v>-3546767.6373299607</v>
      </c>
      <c r="AN97" s="831">
        <f>AH97</f>
        <v>0</v>
      </c>
      <c r="AO97" s="832"/>
      <c r="AP97" s="832"/>
      <c r="AQ97" s="154"/>
      <c r="AR97" s="829">
        <f>AN97+AO97-AP97+AQ97</f>
        <v>0</v>
      </c>
      <c r="AS97" s="830">
        <f>AM97</f>
        <v>-3546767.6373299607</v>
      </c>
      <c r="AT97" s="832">
        <v>5575609.327192883</v>
      </c>
      <c r="AU97" s="832"/>
      <c r="AV97" s="832"/>
      <c r="AW97" s="811">
        <f>AS97+AT97-AU97+AV97</f>
        <v>2028841.6898629223</v>
      </c>
      <c r="AX97" s="831">
        <f>AR97</f>
        <v>0</v>
      </c>
      <c r="AY97" s="832"/>
      <c r="AZ97" s="832"/>
      <c r="BA97" s="154"/>
      <c r="BB97" s="829">
        <f>AX97+AY97-AZ97+BA97</f>
        <v>0</v>
      </c>
      <c r="BC97" s="830">
        <f t="shared" ref="BC97:BC109" si="91">AW97</f>
        <v>2028841.6898629223</v>
      </c>
      <c r="BD97" s="832">
        <v>3515482.1297301953</v>
      </c>
      <c r="BE97" s="832"/>
      <c r="BF97" s="832"/>
      <c r="BG97" s="811">
        <f>BC97+BD97-BE97+SUM(BF97:BF97)</f>
        <v>5544323.8195931176</v>
      </c>
      <c r="BH97" s="831">
        <f>BB97</f>
        <v>0</v>
      </c>
      <c r="BI97" s="832"/>
      <c r="BJ97" s="832"/>
      <c r="BK97" s="154"/>
      <c r="BL97" s="829">
        <f>BH97+BI97-BJ97+BK97</f>
        <v>0</v>
      </c>
      <c r="BM97" s="830">
        <f t="shared" ref="BM97:BM109" si="92">BG97</f>
        <v>5544323.8195931176</v>
      </c>
      <c r="BN97" s="832">
        <v>651039.9524168463</v>
      </c>
      <c r="BO97" s="832"/>
      <c r="BP97" s="832"/>
      <c r="BQ97" s="811">
        <f>BM97+BN97-BO97+SUM(BP97:BP97)</f>
        <v>6195363.7720099641</v>
      </c>
      <c r="BR97" s="831">
        <f>BL97</f>
        <v>0</v>
      </c>
      <c r="BS97" s="832"/>
      <c r="BT97" s="832"/>
      <c r="BU97" s="154"/>
      <c r="BV97" s="829">
        <f>BR97+BS97-BT97+BU97</f>
        <v>0</v>
      </c>
      <c r="BW97" s="832"/>
      <c r="BX97" s="832"/>
      <c r="BY97" s="831">
        <f t="shared" ref="BY97:BY109" si="93">BQ97+BW97</f>
        <v>6195363.7720099641</v>
      </c>
      <c r="BZ97" s="834">
        <f t="shared" ref="BZ97:BZ109" si="94">BV97+BX97</f>
        <v>0</v>
      </c>
      <c r="CA97" s="832"/>
      <c r="CB97" s="832"/>
      <c r="CC97" s="831">
        <f t="shared" ref="CC97:CD112" si="95">BY97-CA97</f>
        <v>6195363.7720099641</v>
      </c>
      <c r="CD97" s="834">
        <f t="shared" si="95"/>
        <v>0</v>
      </c>
      <c r="CE97" s="835"/>
      <c r="CF97" s="832"/>
      <c r="CG97" s="836">
        <f>CD97+CE97+CF97</f>
        <v>0</v>
      </c>
      <c r="CH97" s="820">
        <f>SUM(CC97:CF97)</f>
        <v>6195363.7720099641</v>
      </c>
      <c r="CI97" s="918" t="s">
        <v>633</v>
      </c>
      <c r="CJ97" s="838">
        <v>6195363.7699999996</v>
      </c>
      <c r="CK97" s="838">
        <f t="shared" si="90"/>
        <v>-2.0099645480513573E-3</v>
      </c>
      <c r="CL97" s="839"/>
      <c r="CQ97" s="300"/>
    </row>
    <row r="98" spans="1:95" s="819" customFormat="1" ht="17" thickBot="1" x14ac:dyDescent="0.35">
      <c r="A98"/>
      <c r="B98"/>
      <c r="C98" s="933" t="s">
        <v>3046</v>
      </c>
      <c r="D98" s="823">
        <v>1522</v>
      </c>
      <c r="E98" s="919"/>
      <c r="F98" s="919"/>
      <c r="G98" s="919"/>
      <c r="H98" s="919"/>
      <c r="I98" s="811">
        <f>E98+F98-G98+H98</f>
        <v>0</v>
      </c>
      <c r="J98" s="919"/>
      <c r="K98" s="919"/>
      <c r="L98" s="919"/>
      <c r="M98" s="919"/>
      <c r="N98" s="829">
        <f>J98+K98-L98+M98</f>
        <v>0</v>
      </c>
      <c r="O98" s="830">
        <f>I98</f>
        <v>0</v>
      </c>
      <c r="P98" s="919"/>
      <c r="Q98" s="919"/>
      <c r="R98" s="919"/>
      <c r="S98" s="811">
        <f>O98+P98-Q98+R98</f>
        <v>0</v>
      </c>
      <c r="T98" s="831">
        <f>N98</f>
        <v>0</v>
      </c>
      <c r="U98" s="919"/>
      <c r="V98" s="919"/>
      <c r="W98" s="919"/>
      <c r="X98" s="829">
        <f>T98+U98-V98+W98</f>
        <v>0</v>
      </c>
      <c r="Y98" s="830">
        <f>S98</f>
        <v>0</v>
      </c>
      <c r="Z98" s="832"/>
      <c r="AA98" s="832"/>
      <c r="AB98" s="832"/>
      <c r="AC98" s="811">
        <f>Y98+Z98-AA98+AB98</f>
        <v>0</v>
      </c>
      <c r="AD98" s="831">
        <f>X98</f>
        <v>0</v>
      </c>
      <c r="AE98" s="832"/>
      <c r="AF98" s="832"/>
      <c r="AG98" s="832"/>
      <c r="AH98" s="829">
        <f>AD98+AE98-AF98+AG98</f>
        <v>0</v>
      </c>
      <c r="AI98" s="830">
        <f>AC98</f>
        <v>0</v>
      </c>
      <c r="AJ98" s="832">
        <v>3546767.6373299607</v>
      </c>
      <c r="AK98" s="832"/>
      <c r="AL98" s="832"/>
      <c r="AM98" s="811">
        <f>AI98+AJ98-AK98+SUM(AL98:AL98)</f>
        <v>3546767.6373299607</v>
      </c>
      <c r="AN98" s="831">
        <f>AH98</f>
        <v>0</v>
      </c>
      <c r="AO98" s="832"/>
      <c r="AP98" s="832"/>
      <c r="AQ98" s="154"/>
      <c r="AR98" s="829">
        <f>AN98+AO98-AP98+AQ98</f>
        <v>0</v>
      </c>
      <c r="AS98" s="830">
        <f>AM98</f>
        <v>3546767.6373299607</v>
      </c>
      <c r="AT98" s="832">
        <v>-5575609.327192883</v>
      </c>
      <c r="AU98" s="832"/>
      <c r="AV98" s="832"/>
      <c r="AW98" s="811">
        <f>AS98+AT98-AU98+AV98</f>
        <v>-2028841.6898629223</v>
      </c>
      <c r="AX98" s="831">
        <f>AR98</f>
        <v>0</v>
      </c>
      <c r="AY98" s="832"/>
      <c r="AZ98" s="832"/>
      <c r="BA98" s="154"/>
      <c r="BB98" s="829">
        <f>AX98+AY98-AZ98+BA98</f>
        <v>0</v>
      </c>
      <c r="BC98" s="830">
        <f t="shared" si="91"/>
        <v>-2028841.6898629223</v>
      </c>
      <c r="BD98" s="832">
        <v>-3515482.1297301953</v>
      </c>
      <c r="BE98" s="832"/>
      <c r="BF98" s="832"/>
      <c r="BG98" s="811">
        <f>BC98+BD98-BE98+SUM(BF98:BF98)</f>
        <v>-5544323.8195931176</v>
      </c>
      <c r="BH98" s="831">
        <f>BB98</f>
        <v>0</v>
      </c>
      <c r="BI98" s="832"/>
      <c r="BJ98" s="832"/>
      <c r="BK98" s="154"/>
      <c r="BL98" s="829">
        <f>BH98+BI98-BJ98+BK98</f>
        <v>0</v>
      </c>
      <c r="BM98" s="830">
        <f t="shared" si="92"/>
        <v>-5544323.8195931176</v>
      </c>
      <c r="BN98" s="832">
        <v>-651039.9524168463</v>
      </c>
      <c r="BO98" s="832"/>
      <c r="BP98" s="832"/>
      <c r="BQ98" s="811">
        <f>BM98+BN98-BO98+SUM(BP98:BP98)</f>
        <v>-6195363.7720099641</v>
      </c>
      <c r="BR98" s="831">
        <f>BL98</f>
        <v>0</v>
      </c>
      <c r="BS98" s="832"/>
      <c r="BT98" s="832"/>
      <c r="BU98" s="154"/>
      <c r="BV98" s="829">
        <f t="shared" ref="BV98:BV112" si="96">BR98+BS98-BT98+BU98</f>
        <v>0</v>
      </c>
      <c r="BW98" s="832"/>
      <c r="BX98" s="832"/>
      <c r="BY98" s="831">
        <f t="shared" si="93"/>
        <v>-6195363.7720099641</v>
      </c>
      <c r="BZ98" s="834">
        <f t="shared" si="94"/>
        <v>0</v>
      </c>
      <c r="CA98" s="832"/>
      <c r="CB98" s="832"/>
      <c r="CC98" s="831">
        <f t="shared" si="95"/>
        <v>-6195363.7720099641</v>
      </c>
      <c r="CD98" s="834">
        <f t="shared" si="95"/>
        <v>0</v>
      </c>
      <c r="CE98" s="835"/>
      <c r="CF98" s="832"/>
      <c r="CG98" s="836">
        <f>CD98+CE98+CF98</f>
        <v>0</v>
      </c>
      <c r="CH98" s="820">
        <f>SUM(CC98:CF98)</f>
        <v>-6195363.7720099641</v>
      </c>
      <c r="CI98" s="918" t="s">
        <v>633</v>
      </c>
      <c r="CJ98" s="838">
        <v>-6195363.7699999996</v>
      </c>
      <c r="CK98" s="838">
        <f t="shared" si="90"/>
        <v>2.0099645480513573E-3</v>
      </c>
      <c r="CL98" s="839"/>
      <c r="CQ98" s="300"/>
    </row>
    <row r="99" spans="1:95" s="819" customFormat="1" ht="14.5" thickBot="1" x14ac:dyDescent="0.35">
      <c r="A99">
        <v>50</v>
      </c>
      <c r="B99"/>
      <c r="C99" s="709" t="s">
        <v>25</v>
      </c>
      <c r="D99" s="823">
        <v>1531</v>
      </c>
      <c r="E99" s="180"/>
      <c r="F99" s="154"/>
      <c r="G99" s="154"/>
      <c r="H99" s="154"/>
      <c r="I99" s="811">
        <f t="shared" ref="I99:I108" si="97">E99+F99-G99+H99</f>
        <v>0</v>
      </c>
      <c r="J99" s="154"/>
      <c r="K99" s="154"/>
      <c r="L99" s="154"/>
      <c r="M99" s="154"/>
      <c r="N99" s="829">
        <f t="shared" ref="N99:N108" si="98">J99+K99-L99+M99</f>
        <v>0</v>
      </c>
      <c r="O99" s="830">
        <f t="shared" ref="O99:O108" si="99">I99</f>
        <v>0</v>
      </c>
      <c r="P99" s="832"/>
      <c r="Q99" s="832"/>
      <c r="R99" s="832"/>
      <c r="S99" s="811">
        <f t="shared" ref="S99:S109" si="100">O99+P99-Q99+R99</f>
        <v>0</v>
      </c>
      <c r="T99" s="831">
        <f t="shared" ref="T99:T108" si="101">N99</f>
        <v>0</v>
      </c>
      <c r="U99" s="832"/>
      <c r="V99" s="832"/>
      <c r="W99" s="832"/>
      <c r="X99" s="829">
        <f t="shared" ref="X99:X109" si="102">T99+U99-V99+W99</f>
        <v>0</v>
      </c>
      <c r="Y99" s="830">
        <f t="shared" ref="Y99:Y109" si="103">S99</f>
        <v>0</v>
      </c>
      <c r="Z99" s="832"/>
      <c r="AA99" s="832"/>
      <c r="AB99" s="832"/>
      <c r="AC99" s="811">
        <f t="shared" ref="AC99:AC108" si="104">Y99+Z99-AA99+AB99</f>
        <v>0</v>
      </c>
      <c r="AD99" s="831">
        <f t="shared" ref="AD99:AD108" si="105">X99</f>
        <v>0</v>
      </c>
      <c r="AE99" s="832"/>
      <c r="AF99" s="832"/>
      <c r="AG99" s="154"/>
      <c r="AH99" s="829">
        <f t="shared" ref="AH99:AH109" si="106">AD99+AE99-AF99+AG99</f>
        <v>0</v>
      </c>
      <c r="AI99" s="830">
        <f t="shared" ref="AI99:AI112" si="107">AC99</f>
        <v>0</v>
      </c>
      <c r="AJ99" s="832"/>
      <c r="AK99" s="832"/>
      <c r="AL99" s="832"/>
      <c r="AM99" s="811">
        <f t="shared" ref="AM99:AM108" si="108">AI99+AJ99-AK99+SUM(AL99:AL99)</f>
        <v>0</v>
      </c>
      <c r="AN99" s="831">
        <f t="shared" ref="AN99:AN109" si="109">AH99</f>
        <v>0</v>
      </c>
      <c r="AO99" s="832"/>
      <c r="AP99" s="832"/>
      <c r="AQ99" s="154"/>
      <c r="AR99" s="829">
        <f t="shared" ref="AR99:AR109" si="110">AN99+AO99-AP99+AQ99</f>
        <v>0</v>
      </c>
      <c r="AS99" s="830">
        <f t="shared" ref="AS99:AS108" si="111">AM99</f>
        <v>0</v>
      </c>
      <c r="AT99" s="832"/>
      <c r="AU99" s="832"/>
      <c r="AV99" s="832"/>
      <c r="AW99" s="811">
        <f t="shared" ref="AW99:AW112" si="112">AS99+AT99-AU99+AV99</f>
        <v>0</v>
      </c>
      <c r="AX99" s="831">
        <f t="shared" ref="AX99:AX108" si="113">AR99</f>
        <v>0</v>
      </c>
      <c r="AY99" s="832"/>
      <c r="AZ99" s="832"/>
      <c r="BA99" s="154"/>
      <c r="BB99" s="829">
        <f t="shared" ref="BB99:BB108" si="114">AX99+AY99-AZ99+BA99</f>
        <v>0</v>
      </c>
      <c r="BC99" s="830">
        <f t="shared" si="91"/>
        <v>0</v>
      </c>
      <c r="BD99" s="832"/>
      <c r="BE99" s="832"/>
      <c r="BF99" s="832"/>
      <c r="BG99" s="811">
        <f t="shared" ref="BG99:BG109" si="115">BC99+BD99-BE99+SUM(BF99:BF99)</f>
        <v>0</v>
      </c>
      <c r="BH99" s="831">
        <f t="shared" ref="BH99:BH109" si="116">BB99</f>
        <v>0</v>
      </c>
      <c r="BI99" s="832"/>
      <c r="BJ99" s="832"/>
      <c r="BK99" s="154"/>
      <c r="BL99" s="829">
        <f t="shared" ref="BL99:BL109" si="117">BH99+BI99-BJ99+BK99</f>
        <v>0</v>
      </c>
      <c r="BM99" s="830">
        <f t="shared" si="92"/>
        <v>0</v>
      </c>
      <c r="BN99" s="832"/>
      <c r="BO99" s="832"/>
      <c r="BP99" s="832"/>
      <c r="BQ99" s="811">
        <f t="shared" ref="BQ99:BQ109" si="118">BM99+BN99-BO99+SUM(BP99:BP99)</f>
        <v>0</v>
      </c>
      <c r="BR99" s="831">
        <f t="shared" ref="BR99:BR109" si="119">BL99</f>
        <v>0</v>
      </c>
      <c r="BS99" s="832"/>
      <c r="BT99" s="832"/>
      <c r="BU99" s="154"/>
      <c r="BV99" s="829">
        <f t="shared" si="96"/>
        <v>0</v>
      </c>
      <c r="BW99" s="832"/>
      <c r="BX99" s="832"/>
      <c r="BY99" s="831">
        <f t="shared" si="93"/>
        <v>0</v>
      </c>
      <c r="BZ99" s="834">
        <f t="shared" si="94"/>
        <v>0</v>
      </c>
      <c r="CA99" s="832"/>
      <c r="CB99" s="832"/>
      <c r="CC99" s="831">
        <f t="shared" si="95"/>
        <v>0</v>
      </c>
      <c r="CD99" s="834">
        <f t="shared" si="95"/>
        <v>0</v>
      </c>
      <c r="CE99" s="835"/>
      <c r="CF99" s="832"/>
      <c r="CG99" s="836">
        <f t="shared" ref="CG99:CG109" si="120">CD99+CE99+CF99</f>
        <v>0</v>
      </c>
      <c r="CH99" s="820">
        <f t="shared" ref="CH99:CH104" si="121">SUM(CC99:CF99)</f>
        <v>0</v>
      </c>
      <c r="CI99" s="820"/>
      <c r="CJ99" s="838">
        <v>0</v>
      </c>
      <c r="CK99" s="838">
        <f t="shared" si="90"/>
        <v>0</v>
      </c>
      <c r="CL99" s="839" t="str">
        <f t="shared" ref="CL99:CL104" si="122">IF(ABS(CK99)&gt;1,"Please provide an explanation of the variance in the tab 3 - Appendix A","")</f>
        <v/>
      </c>
      <c r="CQ99" s="300"/>
    </row>
    <row r="100" spans="1:95" s="819" customFormat="1" ht="14.5" thickBot="1" x14ac:dyDescent="0.35">
      <c r="A100">
        <v>51</v>
      </c>
      <c r="B100"/>
      <c r="C100" s="709" t="s">
        <v>26</v>
      </c>
      <c r="D100" s="823">
        <v>1532</v>
      </c>
      <c r="E100" s="180"/>
      <c r="F100" s="154"/>
      <c r="G100" s="154"/>
      <c r="H100" s="154"/>
      <c r="I100" s="811">
        <f t="shared" si="97"/>
        <v>0</v>
      </c>
      <c r="J100" s="154"/>
      <c r="K100" s="154"/>
      <c r="L100" s="154"/>
      <c r="M100" s="154"/>
      <c r="N100" s="829">
        <f t="shared" si="98"/>
        <v>0</v>
      </c>
      <c r="O100" s="830">
        <f t="shared" si="99"/>
        <v>0</v>
      </c>
      <c r="P100" s="953"/>
      <c r="Q100" s="832"/>
      <c r="R100" s="832"/>
      <c r="S100" s="811">
        <f t="shared" si="100"/>
        <v>0</v>
      </c>
      <c r="T100" s="831">
        <f t="shared" si="101"/>
        <v>0</v>
      </c>
      <c r="U100" s="954"/>
      <c r="V100" s="832"/>
      <c r="W100" s="832"/>
      <c r="X100" s="829">
        <f t="shared" si="102"/>
        <v>0</v>
      </c>
      <c r="Y100" s="830">
        <f t="shared" si="103"/>
        <v>0</v>
      </c>
      <c r="Z100" s="832"/>
      <c r="AA100" s="832"/>
      <c r="AB100" s="832"/>
      <c r="AC100" s="811">
        <f t="shared" si="104"/>
        <v>0</v>
      </c>
      <c r="AD100" s="831">
        <f t="shared" si="105"/>
        <v>0</v>
      </c>
      <c r="AE100" s="832"/>
      <c r="AF100" s="832"/>
      <c r="AG100" s="154"/>
      <c r="AH100" s="829">
        <f t="shared" si="106"/>
        <v>0</v>
      </c>
      <c r="AI100" s="830">
        <f t="shared" si="107"/>
        <v>0</v>
      </c>
      <c r="AJ100" s="832"/>
      <c r="AK100" s="832"/>
      <c r="AL100" s="832"/>
      <c r="AM100" s="811">
        <f t="shared" si="108"/>
        <v>0</v>
      </c>
      <c r="AN100" s="831">
        <f t="shared" si="109"/>
        <v>0</v>
      </c>
      <c r="AO100" s="832"/>
      <c r="AP100" s="832"/>
      <c r="AQ100" s="154"/>
      <c r="AR100" s="829">
        <f t="shared" si="110"/>
        <v>0</v>
      </c>
      <c r="AS100" s="830">
        <f t="shared" si="111"/>
        <v>0</v>
      </c>
      <c r="AT100" s="832"/>
      <c r="AU100" s="832"/>
      <c r="AV100" s="832"/>
      <c r="AW100" s="811">
        <f t="shared" si="112"/>
        <v>0</v>
      </c>
      <c r="AX100" s="831">
        <f t="shared" si="113"/>
        <v>0</v>
      </c>
      <c r="AY100" s="832"/>
      <c r="AZ100" s="832"/>
      <c r="BA100" s="154"/>
      <c r="BB100" s="829">
        <f t="shared" si="114"/>
        <v>0</v>
      </c>
      <c r="BC100" s="830">
        <f t="shared" si="91"/>
        <v>0</v>
      </c>
      <c r="BD100" s="832"/>
      <c r="BE100" s="832"/>
      <c r="BF100" s="832"/>
      <c r="BG100" s="811">
        <f t="shared" si="115"/>
        <v>0</v>
      </c>
      <c r="BH100" s="831">
        <f t="shared" si="116"/>
        <v>0</v>
      </c>
      <c r="BI100" s="832"/>
      <c r="BJ100" s="832"/>
      <c r="BK100" s="154"/>
      <c r="BL100" s="829">
        <f t="shared" si="117"/>
        <v>0</v>
      </c>
      <c r="BM100" s="830">
        <f t="shared" si="92"/>
        <v>0</v>
      </c>
      <c r="BN100" s="832"/>
      <c r="BO100" s="832"/>
      <c r="BP100" s="832"/>
      <c r="BQ100" s="811">
        <f t="shared" si="118"/>
        <v>0</v>
      </c>
      <c r="BR100" s="831">
        <f t="shared" si="119"/>
        <v>0</v>
      </c>
      <c r="BS100" s="832"/>
      <c r="BT100" s="832"/>
      <c r="BU100" s="154"/>
      <c r="BV100" s="829">
        <f t="shared" si="96"/>
        <v>0</v>
      </c>
      <c r="BW100" s="832"/>
      <c r="BX100" s="832"/>
      <c r="BY100" s="831">
        <f t="shared" si="93"/>
        <v>0</v>
      </c>
      <c r="BZ100" s="834">
        <f t="shared" si="94"/>
        <v>0</v>
      </c>
      <c r="CA100" s="832"/>
      <c r="CB100" s="832"/>
      <c r="CC100" s="831">
        <f t="shared" si="95"/>
        <v>0</v>
      </c>
      <c r="CD100" s="834">
        <f t="shared" si="95"/>
        <v>0</v>
      </c>
      <c r="CE100" s="835"/>
      <c r="CF100" s="832"/>
      <c r="CG100" s="836">
        <f t="shared" si="120"/>
        <v>0</v>
      </c>
      <c r="CH100" s="820">
        <f>IF(CI100="Yes", SUM(CC100:CF100), 0)</f>
        <v>0</v>
      </c>
      <c r="CI100" s="918"/>
      <c r="CJ100" s="838">
        <v>0</v>
      </c>
      <c r="CK100" s="838">
        <f t="shared" si="90"/>
        <v>0</v>
      </c>
      <c r="CL100" s="839" t="str">
        <f t="shared" si="122"/>
        <v/>
      </c>
      <c r="CQ100" s="300"/>
    </row>
    <row r="101" spans="1:95" s="819" customFormat="1" ht="14.5" thickBot="1" x14ac:dyDescent="0.35">
      <c r="A101">
        <v>52</v>
      </c>
      <c r="B101"/>
      <c r="C101" s="709" t="s">
        <v>17</v>
      </c>
      <c r="D101" s="823">
        <v>1533</v>
      </c>
      <c r="E101" s="180">
        <v>-1026599</v>
      </c>
      <c r="F101" s="154">
        <v>-1400409.7499999998</v>
      </c>
      <c r="G101" s="154"/>
      <c r="H101" s="154"/>
      <c r="I101" s="811">
        <f t="shared" si="97"/>
        <v>-2427008.75</v>
      </c>
      <c r="J101" s="154"/>
      <c r="K101" s="154"/>
      <c r="L101" s="154"/>
      <c r="M101" s="154"/>
      <c r="N101" s="829">
        <f t="shared" si="98"/>
        <v>0</v>
      </c>
      <c r="O101" s="830">
        <f t="shared" si="99"/>
        <v>-2427008.75</v>
      </c>
      <c r="P101" s="832">
        <v>-1873867.4600000004</v>
      </c>
      <c r="Q101" s="832"/>
      <c r="R101" s="832"/>
      <c r="S101" s="811">
        <f t="shared" si="100"/>
        <v>-4300876.2100000009</v>
      </c>
      <c r="T101" s="831">
        <f t="shared" si="101"/>
        <v>0</v>
      </c>
      <c r="U101" s="832"/>
      <c r="V101" s="832"/>
      <c r="W101" s="832"/>
      <c r="X101" s="829">
        <f t="shared" si="102"/>
        <v>0</v>
      </c>
      <c r="Y101" s="830">
        <f t="shared" si="103"/>
        <v>-4300876.2100000009</v>
      </c>
      <c r="Z101" s="832">
        <v>-1835651.51</v>
      </c>
      <c r="AA101" s="832"/>
      <c r="AB101" s="832"/>
      <c r="AC101" s="811">
        <f t="shared" si="104"/>
        <v>-6136527.7200000007</v>
      </c>
      <c r="AD101" s="831">
        <f t="shared" si="105"/>
        <v>0</v>
      </c>
      <c r="AE101" s="832"/>
      <c r="AF101" s="832"/>
      <c r="AG101" s="154"/>
      <c r="AH101" s="829">
        <f t="shared" si="106"/>
        <v>0</v>
      </c>
      <c r="AI101" s="830">
        <f t="shared" si="107"/>
        <v>-6136527.7200000007</v>
      </c>
      <c r="AJ101" s="832">
        <v>5365813.32</v>
      </c>
      <c r="AK101" s="832"/>
      <c r="AL101" s="832"/>
      <c r="AM101" s="811">
        <f t="shared" si="108"/>
        <v>-770714.40000000037</v>
      </c>
      <c r="AN101" s="831">
        <f t="shared" si="109"/>
        <v>0</v>
      </c>
      <c r="AO101" s="832"/>
      <c r="AP101" s="832"/>
      <c r="AQ101" s="154"/>
      <c r="AR101" s="829">
        <f t="shared" si="110"/>
        <v>0</v>
      </c>
      <c r="AS101" s="830">
        <f t="shared" si="111"/>
        <v>-770714.40000000037</v>
      </c>
      <c r="AT101" s="832">
        <v>-946616.47000000009</v>
      </c>
      <c r="AU101" s="832"/>
      <c r="AV101" s="832"/>
      <c r="AW101" s="811">
        <f t="shared" si="112"/>
        <v>-1717330.8700000006</v>
      </c>
      <c r="AX101" s="831">
        <f t="shared" si="113"/>
        <v>0</v>
      </c>
      <c r="AY101" s="832"/>
      <c r="AZ101" s="832"/>
      <c r="BA101" s="154"/>
      <c r="BB101" s="829">
        <f t="shared" si="114"/>
        <v>0</v>
      </c>
      <c r="BC101" s="830">
        <f t="shared" si="91"/>
        <v>-1717330.8700000006</v>
      </c>
      <c r="BD101" s="832">
        <v>-1329655.1300000004</v>
      </c>
      <c r="BE101" s="832"/>
      <c r="BF101" s="832"/>
      <c r="BG101" s="811">
        <f t="shared" si="115"/>
        <v>-3046986.0000000009</v>
      </c>
      <c r="BH101" s="831">
        <f t="shared" si="116"/>
        <v>0</v>
      </c>
      <c r="BI101" s="832"/>
      <c r="BJ101" s="832"/>
      <c r="BK101" s="154"/>
      <c r="BL101" s="829">
        <f t="shared" si="117"/>
        <v>0</v>
      </c>
      <c r="BM101" s="830">
        <f t="shared" si="92"/>
        <v>-3046986.0000000009</v>
      </c>
      <c r="BN101" s="832">
        <v>-1688823.2100000002</v>
      </c>
      <c r="BO101" s="832"/>
      <c r="BP101" s="832"/>
      <c r="BQ101" s="811">
        <f t="shared" si="118"/>
        <v>-4735809.2100000009</v>
      </c>
      <c r="BR101" s="831">
        <f t="shared" si="119"/>
        <v>0</v>
      </c>
      <c r="BS101" s="832"/>
      <c r="BT101" s="832"/>
      <c r="BU101" s="154"/>
      <c r="BV101" s="829">
        <f t="shared" si="96"/>
        <v>0</v>
      </c>
      <c r="BW101" s="832">
        <v>-2567379.5200000075</v>
      </c>
      <c r="BX101" s="832"/>
      <c r="BY101" s="831">
        <f t="shared" si="93"/>
        <v>-7303188.7300000079</v>
      </c>
      <c r="BZ101" s="834">
        <f>BV101+BX101</f>
        <v>0</v>
      </c>
      <c r="CA101" s="832"/>
      <c r="CB101" s="832"/>
      <c r="CC101" s="831">
        <f t="shared" si="95"/>
        <v>-7303188.7300000079</v>
      </c>
      <c r="CD101" s="834">
        <f t="shared" si="95"/>
        <v>0</v>
      </c>
      <c r="CE101" s="835"/>
      <c r="CF101" s="832"/>
      <c r="CG101" s="836">
        <f t="shared" si="120"/>
        <v>0</v>
      </c>
      <c r="CH101" s="820">
        <f t="shared" si="121"/>
        <v>-7303188.7300000079</v>
      </c>
      <c r="CI101" s="918" t="s">
        <v>3029</v>
      </c>
      <c r="CJ101" s="838">
        <v>-4735809.3</v>
      </c>
      <c r="CK101" s="838">
        <f t="shared" si="90"/>
        <v>-8.9999998919665813E-2</v>
      </c>
      <c r="CL101" s="839" t="str">
        <f t="shared" si="122"/>
        <v/>
      </c>
      <c r="CQ101" s="300"/>
    </row>
    <row r="102" spans="1:95" s="819" customFormat="1" ht="14.5" thickBot="1" x14ac:dyDescent="0.35">
      <c r="A102">
        <v>53</v>
      </c>
      <c r="B102"/>
      <c r="C102" s="709" t="s">
        <v>12</v>
      </c>
      <c r="D102" s="823">
        <v>1534</v>
      </c>
      <c r="E102" s="180"/>
      <c r="F102" s="154"/>
      <c r="G102" s="154"/>
      <c r="H102" s="154"/>
      <c r="I102" s="811">
        <f t="shared" si="97"/>
        <v>0</v>
      </c>
      <c r="J102" s="154"/>
      <c r="K102" s="154"/>
      <c r="L102" s="154"/>
      <c r="M102" s="154"/>
      <c r="N102" s="829">
        <f t="shared" si="98"/>
        <v>0</v>
      </c>
      <c r="O102" s="830">
        <f t="shared" si="99"/>
        <v>0</v>
      </c>
      <c r="P102" s="832"/>
      <c r="Q102" s="832"/>
      <c r="R102" s="832"/>
      <c r="S102" s="811">
        <f t="shared" si="100"/>
        <v>0</v>
      </c>
      <c r="T102" s="831">
        <f t="shared" si="101"/>
        <v>0</v>
      </c>
      <c r="U102" s="832"/>
      <c r="V102" s="832"/>
      <c r="W102" s="832"/>
      <c r="X102" s="829">
        <f t="shared" si="102"/>
        <v>0</v>
      </c>
      <c r="Y102" s="830">
        <f t="shared" si="103"/>
        <v>0</v>
      </c>
      <c r="Z102" s="832"/>
      <c r="AA102" s="832"/>
      <c r="AB102" s="832"/>
      <c r="AC102" s="811">
        <f t="shared" si="104"/>
        <v>0</v>
      </c>
      <c r="AD102" s="831">
        <f t="shared" si="105"/>
        <v>0</v>
      </c>
      <c r="AE102" s="832"/>
      <c r="AF102" s="832"/>
      <c r="AG102" s="154"/>
      <c r="AH102" s="829">
        <f t="shared" si="106"/>
        <v>0</v>
      </c>
      <c r="AI102" s="830">
        <f t="shared" si="107"/>
        <v>0</v>
      </c>
      <c r="AJ102" s="832"/>
      <c r="AK102" s="832"/>
      <c r="AL102" s="832"/>
      <c r="AM102" s="811">
        <f t="shared" si="108"/>
        <v>0</v>
      </c>
      <c r="AN102" s="831">
        <f t="shared" si="109"/>
        <v>0</v>
      </c>
      <c r="AO102" s="832"/>
      <c r="AP102" s="832"/>
      <c r="AQ102" s="154"/>
      <c r="AR102" s="829">
        <f t="shared" si="110"/>
        <v>0</v>
      </c>
      <c r="AS102" s="830">
        <f t="shared" si="111"/>
        <v>0</v>
      </c>
      <c r="AT102" s="832"/>
      <c r="AU102" s="832"/>
      <c r="AV102" s="832"/>
      <c r="AW102" s="811">
        <f t="shared" si="112"/>
        <v>0</v>
      </c>
      <c r="AX102" s="831">
        <f t="shared" si="113"/>
        <v>0</v>
      </c>
      <c r="AY102" s="832"/>
      <c r="AZ102" s="832"/>
      <c r="BA102" s="154"/>
      <c r="BB102" s="829">
        <f t="shared" si="114"/>
        <v>0</v>
      </c>
      <c r="BC102" s="830">
        <f t="shared" si="91"/>
        <v>0</v>
      </c>
      <c r="BD102" s="832"/>
      <c r="BE102" s="832"/>
      <c r="BF102" s="832"/>
      <c r="BG102" s="811">
        <f t="shared" si="115"/>
        <v>0</v>
      </c>
      <c r="BH102" s="831">
        <f t="shared" si="116"/>
        <v>0</v>
      </c>
      <c r="BI102" s="832"/>
      <c r="BJ102" s="832"/>
      <c r="BK102" s="154"/>
      <c r="BL102" s="829">
        <f t="shared" si="117"/>
        <v>0</v>
      </c>
      <c r="BM102" s="830">
        <f t="shared" si="92"/>
        <v>0</v>
      </c>
      <c r="BN102" s="832"/>
      <c r="BO102" s="832"/>
      <c r="BP102" s="832"/>
      <c r="BQ102" s="811">
        <f t="shared" si="118"/>
        <v>0</v>
      </c>
      <c r="BR102" s="831">
        <f t="shared" si="119"/>
        <v>0</v>
      </c>
      <c r="BS102" s="832"/>
      <c r="BT102" s="832"/>
      <c r="BU102" s="154"/>
      <c r="BV102" s="829">
        <f t="shared" si="96"/>
        <v>0</v>
      </c>
      <c r="BW102" s="832"/>
      <c r="BX102" s="832"/>
      <c r="BY102" s="831">
        <f t="shared" si="93"/>
        <v>0</v>
      </c>
      <c r="BZ102" s="834">
        <f t="shared" si="94"/>
        <v>0</v>
      </c>
      <c r="CA102" s="832"/>
      <c r="CB102" s="832"/>
      <c r="CC102" s="831">
        <f t="shared" si="95"/>
        <v>0</v>
      </c>
      <c r="CD102" s="834">
        <f t="shared" si="95"/>
        <v>0</v>
      </c>
      <c r="CE102" s="835"/>
      <c r="CF102" s="832"/>
      <c r="CG102" s="836">
        <f t="shared" si="120"/>
        <v>0</v>
      </c>
      <c r="CH102" s="820">
        <f t="shared" si="121"/>
        <v>0</v>
      </c>
      <c r="CI102" s="932"/>
      <c r="CJ102" s="838">
        <v>0</v>
      </c>
      <c r="CK102" s="838">
        <f t="shared" si="90"/>
        <v>0</v>
      </c>
      <c r="CL102" s="839" t="str">
        <f t="shared" si="122"/>
        <v/>
      </c>
      <c r="CQ102" s="300"/>
    </row>
    <row r="103" spans="1:95" s="819" customFormat="1" ht="14.5" thickBot="1" x14ac:dyDescent="0.35">
      <c r="A103">
        <v>54</v>
      </c>
      <c r="B103"/>
      <c r="C103" s="709" t="s">
        <v>13</v>
      </c>
      <c r="D103" s="823">
        <v>1535</v>
      </c>
      <c r="E103" s="180"/>
      <c r="F103" s="154"/>
      <c r="G103" s="154"/>
      <c r="H103" s="154"/>
      <c r="I103" s="811">
        <f t="shared" si="97"/>
        <v>0</v>
      </c>
      <c r="J103" s="154"/>
      <c r="K103" s="154"/>
      <c r="L103" s="154"/>
      <c r="M103" s="154"/>
      <c r="N103" s="829">
        <f t="shared" si="98"/>
        <v>0</v>
      </c>
      <c r="O103" s="830">
        <f t="shared" si="99"/>
        <v>0</v>
      </c>
      <c r="P103" s="955"/>
      <c r="Q103" s="832"/>
      <c r="R103" s="832"/>
      <c r="S103" s="811">
        <f t="shared" si="100"/>
        <v>0</v>
      </c>
      <c r="T103" s="831">
        <f t="shared" si="101"/>
        <v>0</v>
      </c>
      <c r="U103" s="956"/>
      <c r="V103" s="832"/>
      <c r="W103" s="832"/>
      <c r="X103" s="829">
        <f t="shared" si="102"/>
        <v>0</v>
      </c>
      <c r="Y103" s="830">
        <f t="shared" si="103"/>
        <v>0</v>
      </c>
      <c r="Z103" s="832"/>
      <c r="AA103" s="832"/>
      <c r="AB103" s="832"/>
      <c r="AC103" s="811">
        <f t="shared" si="104"/>
        <v>0</v>
      </c>
      <c r="AD103" s="831">
        <f t="shared" si="105"/>
        <v>0</v>
      </c>
      <c r="AE103" s="832"/>
      <c r="AF103" s="832"/>
      <c r="AG103" s="154"/>
      <c r="AH103" s="829">
        <f t="shared" si="106"/>
        <v>0</v>
      </c>
      <c r="AI103" s="830">
        <f t="shared" si="107"/>
        <v>0</v>
      </c>
      <c r="AJ103" s="832"/>
      <c r="AK103" s="832"/>
      <c r="AL103" s="832"/>
      <c r="AM103" s="811">
        <f t="shared" si="108"/>
        <v>0</v>
      </c>
      <c r="AN103" s="831">
        <f t="shared" si="109"/>
        <v>0</v>
      </c>
      <c r="AO103" s="832"/>
      <c r="AP103" s="832"/>
      <c r="AQ103" s="154"/>
      <c r="AR103" s="829">
        <f t="shared" si="110"/>
        <v>0</v>
      </c>
      <c r="AS103" s="830">
        <f t="shared" si="111"/>
        <v>0</v>
      </c>
      <c r="AT103" s="832"/>
      <c r="AU103" s="832"/>
      <c r="AV103" s="832"/>
      <c r="AW103" s="811">
        <f t="shared" si="112"/>
        <v>0</v>
      </c>
      <c r="AX103" s="831">
        <f t="shared" si="113"/>
        <v>0</v>
      </c>
      <c r="AY103" s="832"/>
      <c r="AZ103" s="832"/>
      <c r="BA103" s="154"/>
      <c r="BB103" s="829">
        <f t="shared" si="114"/>
        <v>0</v>
      </c>
      <c r="BC103" s="830">
        <f t="shared" si="91"/>
        <v>0</v>
      </c>
      <c r="BD103" s="832"/>
      <c r="BE103" s="832"/>
      <c r="BF103" s="832"/>
      <c r="BG103" s="811">
        <f t="shared" si="115"/>
        <v>0</v>
      </c>
      <c r="BH103" s="831">
        <f t="shared" si="116"/>
        <v>0</v>
      </c>
      <c r="BI103" s="832"/>
      <c r="BJ103" s="832"/>
      <c r="BK103" s="154"/>
      <c r="BL103" s="829">
        <f t="shared" si="117"/>
        <v>0</v>
      </c>
      <c r="BM103" s="830">
        <f t="shared" si="92"/>
        <v>0</v>
      </c>
      <c r="BN103" s="832"/>
      <c r="BO103" s="832"/>
      <c r="BP103" s="832"/>
      <c r="BQ103" s="811">
        <f t="shared" si="118"/>
        <v>0</v>
      </c>
      <c r="BR103" s="831">
        <f t="shared" si="119"/>
        <v>0</v>
      </c>
      <c r="BS103" s="832"/>
      <c r="BT103" s="832"/>
      <c r="BU103" s="154"/>
      <c r="BV103" s="829">
        <f t="shared" si="96"/>
        <v>0</v>
      </c>
      <c r="BW103" s="832"/>
      <c r="BX103" s="832"/>
      <c r="BY103" s="831">
        <f t="shared" si="93"/>
        <v>0</v>
      </c>
      <c r="BZ103" s="834">
        <f t="shared" si="94"/>
        <v>0</v>
      </c>
      <c r="CA103" s="832"/>
      <c r="CB103" s="832"/>
      <c r="CC103" s="831">
        <f t="shared" si="95"/>
        <v>0</v>
      </c>
      <c r="CD103" s="834">
        <f t="shared" si="95"/>
        <v>0</v>
      </c>
      <c r="CE103" s="835"/>
      <c r="CF103" s="832"/>
      <c r="CG103" s="836">
        <f t="shared" si="120"/>
        <v>0</v>
      </c>
      <c r="CH103" s="820">
        <f t="shared" si="121"/>
        <v>0</v>
      </c>
      <c r="CI103" s="932"/>
      <c r="CJ103" s="838">
        <v>0</v>
      </c>
      <c r="CK103" s="838">
        <f t="shared" si="90"/>
        <v>0</v>
      </c>
      <c r="CL103" s="839" t="str">
        <f t="shared" si="122"/>
        <v/>
      </c>
      <c r="CQ103" s="300"/>
    </row>
    <row r="104" spans="1:95" s="819" customFormat="1" ht="14.5" thickBot="1" x14ac:dyDescent="0.35">
      <c r="A104">
        <v>55</v>
      </c>
      <c r="B104"/>
      <c r="C104" s="709" t="s">
        <v>15</v>
      </c>
      <c r="D104" s="823">
        <v>1536</v>
      </c>
      <c r="E104" s="180"/>
      <c r="F104" s="154"/>
      <c r="G104" s="154"/>
      <c r="H104" s="154"/>
      <c r="I104" s="811">
        <f t="shared" si="97"/>
        <v>0</v>
      </c>
      <c r="J104" s="154"/>
      <c r="K104" s="154"/>
      <c r="L104" s="154"/>
      <c r="M104" s="154"/>
      <c r="N104" s="829">
        <f t="shared" si="98"/>
        <v>0</v>
      </c>
      <c r="O104" s="830">
        <f t="shared" si="99"/>
        <v>0</v>
      </c>
      <c r="P104" s="832"/>
      <c r="Q104" s="832"/>
      <c r="R104" s="832"/>
      <c r="S104" s="811">
        <f t="shared" si="100"/>
        <v>0</v>
      </c>
      <c r="T104" s="831">
        <f t="shared" si="101"/>
        <v>0</v>
      </c>
      <c r="U104" s="832"/>
      <c r="V104" s="832"/>
      <c r="W104" s="832"/>
      <c r="X104" s="829">
        <f t="shared" si="102"/>
        <v>0</v>
      </c>
      <c r="Y104" s="830">
        <f t="shared" si="103"/>
        <v>0</v>
      </c>
      <c r="Z104" s="832"/>
      <c r="AA104" s="832"/>
      <c r="AB104" s="832"/>
      <c r="AC104" s="811">
        <f t="shared" si="104"/>
        <v>0</v>
      </c>
      <c r="AD104" s="831">
        <f t="shared" si="105"/>
        <v>0</v>
      </c>
      <c r="AE104" s="832"/>
      <c r="AF104" s="832"/>
      <c r="AG104" s="154"/>
      <c r="AH104" s="829">
        <f t="shared" si="106"/>
        <v>0</v>
      </c>
      <c r="AI104" s="830">
        <f t="shared" si="107"/>
        <v>0</v>
      </c>
      <c r="AJ104" s="832"/>
      <c r="AK104" s="832"/>
      <c r="AL104" s="832"/>
      <c r="AM104" s="811">
        <f t="shared" si="108"/>
        <v>0</v>
      </c>
      <c r="AN104" s="831">
        <f t="shared" si="109"/>
        <v>0</v>
      </c>
      <c r="AO104" s="832"/>
      <c r="AP104" s="832"/>
      <c r="AQ104" s="154"/>
      <c r="AR104" s="829">
        <f t="shared" si="110"/>
        <v>0</v>
      </c>
      <c r="AS104" s="830">
        <f t="shared" si="111"/>
        <v>0</v>
      </c>
      <c r="AT104" s="832"/>
      <c r="AU104" s="832"/>
      <c r="AV104" s="832"/>
      <c r="AW104" s="811">
        <f t="shared" si="112"/>
        <v>0</v>
      </c>
      <c r="AX104" s="831">
        <f t="shared" si="113"/>
        <v>0</v>
      </c>
      <c r="AY104" s="832"/>
      <c r="AZ104" s="832"/>
      <c r="BA104" s="154"/>
      <c r="BB104" s="829">
        <f t="shared" si="114"/>
        <v>0</v>
      </c>
      <c r="BC104" s="830">
        <f t="shared" si="91"/>
        <v>0</v>
      </c>
      <c r="BD104" s="832"/>
      <c r="BE104" s="832"/>
      <c r="BF104" s="832"/>
      <c r="BG104" s="811">
        <f t="shared" si="115"/>
        <v>0</v>
      </c>
      <c r="BH104" s="831">
        <f t="shared" si="116"/>
        <v>0</v>
      </c>
      <c r="BI104" s="832"/>
      <c r="BJ104" s="832"/>
      <c r="BK104" s="154"/>
      <c r="BL104" s="829">
        <f t="shared" si="117"/>
        <v>0</v>
      </c>
      <c r="BM104" s="830">
        <f t="shared" si="92"/>
        <v>0</v>
      </c>
      <c r="BN104" s="832"/>
      <c r="BO104" s="832"/>
      <c r="BP104" s="832"/>
      <c r="BQ104" s="811">
        <f t="shared" si="118"/>
        <v>0</v>
      </c>
      <c r="BR104" s="831">
        <f t="shared" si="119"/>
        <v>0</v>
      </c>
      <c r="BS104" s="832"/>
      <c r="BT104" s="832"/>
      <c r="BU104" s="154"/>
      <c r="BV104" s="829">
        <f t="shared" si="96"/>
        <v>0</v>
      </c>
      <c r="BW104" s="832"/>
      <c r="BX104" s="832"/>
      <c r="BY104" s="831">
        <f t="shared" si="93"/>
        <v>0</v>
      </c>
      <c r="BZ104" s="834">
        <f t="shared" si="94"/>
        <v>0</v>
      </c>
      <c r="CA104" s="832"/>
      <c r="CB104" s="832"/>
      <c r="CC104" s="831">
        <f t="shared" si="95"/>
        <v>0</v>
      </c>
      <c r="CD104" s="834">
        <f t="shared" si="95"/>
        <v>0</v>
      </c>
      <c r="CE104" s="835"/>
      <c r="CF104" s="832"/>
      <c r="CG104" s="836">
        <f t="shared" si="120"/>
        <v>0</v>
      </c>
      <c r="CH104" s="820">
        <f t="shared" si="121"/>
        <v>0</v>
      </c>
      <c r="CI104" s="932"/>
      <c r="CJ104" s="838">
        <v>0</v>
      </c>
      <c r="CK104" s="838">
        <f t="shared" si="90"/>
        <v>0</v>
      </c>
      <c r="CL104" s="839" t="str">
        <f t="shared" si="122"/>
        <v/>
      </c>
      <c r="CQ104" s="300"/>
    </row>
    <row r="105" spans="1:95" s="819" customFormat="1" ht="17" hidden="1" thickBot="1" x14ac:dyDescent="0.35">
      <c r="A105">
        <v>56</v>
      </c>
      <c r="B105"/>
      <c r="C105" s="709" t="s">
        <v>396</v>
      </c>
      <c r="D105" s="823">
        <v>1555</v>
      </c>
      <c r="E105" s="152"/>
      <c r="F105" s="154"/>
      <c r="G105" s="154"/>
      <c r="H105" s="154"/>
      <c r="I105" s="811">
        <f t="shared" si="97"/>
        <v>0</v>
      </c>
      <c r="J105" s="154"/>
      <c r="K105" s="832"/>
      <c r="L105" s="832"/>
      <c r="M105" s="832"/>
      <c r="N105" s="829">
        <f t="shared" si="98"/>
        <v>0</v>
      </c>
      <c r="O105" s="830">
        <f t="shared" si="99"/>
        <v>0</v>
      </c>
      <c r="P105" s="832"/>
      <c r="Q105" s="832"/>
      <c r="R105" s="832"/>
      <c r="S105" s="811">
        <f t="shared" si="100"/>
        <v>0</v>
      </c>
      <c r="T105" s="831">
        <f t="shared" si="101"/>
        <v>0</v>
      </c>
      <c r="U105" s="832"/>
      <c r="V105" s="205"/>
      <c r="W105" s="205"/>
      <c r="X105" s="829">
        <f t="shared" si="102"/>
        <v>0</v>
      </c>
      <c r="Y105" s="830">
        <f t="shared" si="103"/>
        <v>0</v>
      </c>
      <c r="Z105" s="832"/>
      <c r="AA105" s="832"/>
      <c r="AB105" s="832"/>
      <c r="AC105" s="811">
        <f t="shared" si="104"/>
        <v>0</v>
      </c>
      <c r="AD105" s="831">
        <f t="shared" si="105"/>
        <v>0</v>
      </c>
      <c r="AE105" s="832"/>
      <c r="AF105" s="205"/>
      <c r="AG105" s="205"/>
      <c r="AH105" s="829">
        <f t="shared" si="106"/>
        <v>0</v>
      </c>
      <c r="AI105" s="830">
        <f t="shared" si="107"/>
        <v>0</v>
      </c>
      <c r="AJ105" s="832"/>
      <c r="AK105" s="832"/>
      <c r="AL105" s="832"/>
      <c r="AM105" s="811">
        <f t="shared" si="108"/>
        <v>0</v>
      </c>
      <c r="AN105" s="831">
        <f t="shared" si="109"/>
        <v>0</v>
      </c>
      <c r="AO105" s="832"/>
      <c r="AP105" s="205"/>
      <c r="AQ105" s="205"/>
      <c r="AR105" s="829">
        <f t="shared" si="110"/>
        <v>0</v>
      </c>
      <c r="AS105" s="830">
        <f t="shared" si="111"/>
        <v>0</v>
      </c>
      <c r="AT105" s="832"/>
      <c r="AU105" s="832"/>
      <c r="AV105" s="832"/>
      <c r="AW105" s="811">
        <f t="shared" si="112"/>
        <v>0</v>
      </c>
      <c r="AX105" s="831">
        <f t="shared" si="113"/>
        <v>0</v>
      </c>
      <c r="AY105" s="832"/>
      <c r="AZ105" s="205"/>
      <c r="BA105" s="205"/>
      <c r="BB105" s="829">
        <f t="shared" si="114"/>
        <v>0</v>
      </c>
      <c r="BC105" s="830">
        <f t="shared" si="91"/>
        <v>0</v>
      </c>
      <c r="BD105" s="832"/>
      <c r="BE105" s="832"/>
      <c r="BF105" s="832"/>
      <c r="BG105" s="811">
        <f t="shared" si="115"/>
        <v>0</v>
      </c>
      <c r="BH105" s="831">
        <f t="shared" si="116"/>
        <v>0</v>
      </c>
      <c r="BI105" s="832"/>
      <c r="BJ105" s="205"/>
      <c r="BK105" s="205"/>
      <c r="BL105" s="829">
        <f t="shared" si="117"/>
        <v>0</v>
      </c>
      <c r="BM105" s="830">
        <f t="shared" si="92"/>
        <v>0</v>
      </c>
      <c r="BN105" s="832"/>
      <c r="BO105" s="832"/>
      <c r="BP105" s="832"/>
      <c r="BQ105" s="811">
        <f t="shared" si="118"/>
        <v>0</v>
      </c>
      <c r="BR105" s="831">
        <f t="shared" si="119"/>
        <v>0</v>
      </c>
      <c r="BS105" s="832"/>
      <c r="BT105" s="205"/>
      <c r="BU105" s="205"/>
      <c r="BV105" s="829">
        <f t="shared" si="96"/>
        <v>0</v>
      </c>
      <c r="BW105" s="833"/>
      <c r="BX105" s="832"/>
      <c r="BY105" s="831">
        <f t="shared" si="93"/>
        <v>0</v>
      </c>
      <c r="BZ105" s="834">
        <f t="shared" si="94"/>
        <v>0</v>
      </c>
      <c r="CA105" s="833"/>
      <c r="CB105" s="832"/>
      <c r="CC105" s="831">
        <f t="shared" si="95"/>
        <v>0</v>
      </c>
      <c r="CD105" s="834">
        <f t="shared" si="95"/>
        <v>0</v>
      </c>
      <c r="CE105" s="835"/>
      <c r="CF105" s="832"/>
      <c r="CG105" s="836">
        <f t="shared" si="120"/>
        <v>0</v>
      </c>
      <c r="CH105" s="820">
        <f>SUM(CC105:CF105)</f>
        <v>0</v>
      </c>
      <c r="CI105" s="932"/>
      <c r="CJ105" s="838">
        <v>0</v>
      </c>
      <c r="CK105" s="838">
        <f t="shared" si="90"/>
        <v>0</v>
      </c>
      <c r="CL105" s="822"/>
      <c r="CQ105" s="300"/>
    </row>
    <row r="106" spans="1:95" s="819" customFormat="1" ht="17" hidden="1" thickBot="1" x14ac:dyDescent="0.35">
      <c r="A106">
        <v>57</v>
      </c>
      <c r="B106"/>
      <c r="C106" s="709" t="s">
        <v>397</v>
      </c>
      <c r="D106" s="823">
        <v>1555</v>
      </c>
      <c r="E106" s="179"/>
      <c r="F106" s="178"/>
      <c r="G106" s="154"/>
      <c r="H106" s="154"/>
      <c r="I106" s="811">
        <f t="shared" si="97"/>
        <v>0</v>
      </c>
      <c r="J106" s="154"/>
      <c r="K106" s="832"/>
      <c r="L106" s="832"/>
      <c r="M106" s="832"/>
      <c r="N106" s="829">
        <f t="shared" si="98"/>
        <v>0</v>
      </c>
      <c r="O106" s="830">
        <f t="shared" si="99"/>
        <v>0</v>
      </c>
      <c r="P106" s="832"/>
      <c r="Q106" s="832"/>
      <c r="R106" s="832"/>
      <c r="S106" s="811">
        <f t="shared" si="100"/>
        <v>0</v>
      </c>
      <c r="T106" s="831">
        <f t="shared" si="101"/>
        <v>0</v>
      </c>
      <c r="U106" s="832"/>
      <c r="V106" s="205"/>
      <c r="W106" s="205"/>
      <c r="X106" s="829">
        <f t="shared" si="102"/>
        <v>0</v>
      </c>
      <c r="Y106" s="830">
        <f t="shared" si="103"/>
        <v>0</v>
      </c>
      <c r="Z106" s="832"/>
      <c r="AA106" s="832"/>
      <c r="AB106" s="832"/>
      <c r="AC106" s="811">
        <f t="shared" si="104"/>
        <v>0</v>
      </c>
      <c r="AD106" s="831">
        <f t="shared" si="105"/>
        <v>0</v>
      </c>
      <c r="AE106" s="832"/>
      <c r="AF106" s="205"/>
      <c r="AG106" s="205"/>
      <c r="AH106" s="829">
        <f t="shared" si="106"/>
        <v>0</v>
      </c>
      <c r="AI106" s="830">
        <f t="shared" si="107"/>
        <v>0</v>
      </c>
      <c r="AJ106" s="832"/>
      <c r="AK106" s="832"/>
      <c r="AL106" s="832"/>
      <c r="AM106" s="811">
        <f t="shared" si="108"/>
        <v>0</v>
      </c>
      <c r="AN106" s="831">
        <f t="shared" si="109"/>
        <v>0</v>
      </c>
      <c r="AO106" s="832"/>
      <c r="AP106" s="205"/>
      <c r="AQ106" s="205"/>
      <c r="AR106" s="829">
        <f t="shared" si="110"/>
        <v>0</v>
      </c>
      <c r="AS106" s="830">
        <f t="shared" si="111"/>
        <v>0</v>
      </c>
      <c r="AT106" s="832"/>
      <c r="AU106" s="832"/>
      <c r="AV106" s="832"/>
      <c r="AW106" s="811">
        <f t="shared" si="112"/>
        <v>0</v>
      </c>
      <c r="AX106" s="831">
        <f t="shared" si="113"/>
        <v>0</v>
      </c>
      <c r="AY106" s="832"/>
      <c r="AZ106" s="205"/>
      <c r="BA106" s="205"/>
      <c r="BB106" s="829">
        <f t="shared" si="114"/>
        <v>0</v>
      </c>
      <c r="BC106" s="830">
        <f t="shared" si="91"/>
        <v>0</v>
      </c>
      <c r="BD106" s="832"/>
      <c r="BE106" s="832"/>
      <c r="BF106" s="832"/>
      <c r="BG106" s="811">
        <f t="shared" si="115"/>
        <v>0</v>
      </c>
      <c r="BH106" s="831">
        <f t="shared" si="116"/>
        <v>0</v>
      </c>
      <c r="BI106" s="832"/>
      <c r="BJ106" s="205"/>
      <c r="BK106" s="205"/>
      <c r="BL106" s="829">
        <f t="shared" si="117"/>
        <v>0</v>
      </c>
      <c r="BM106" s="830">
        <f t="shared" si="92"/>
        <v>0</v>
      </c>
      <c r="BN106" s="832"/>
      <c r="BO106" s="832"/>
      <c r="BP106" s="832"/>
      <c r="BQ106" s="811">
        <f t="shared" si="118"/>
        <v>0</v>
      </c>
      <c r="BR106" s="831">
        <f t="shared" si="119"/>
        <v>0</v>
      </c>
      <c r="BS106" s="832"/>
      <c r="BT106" s="205"/>
      <c r="BU106" s="205"/>
      <c r="BV106" s="829">
        <f t="shared" si="96"/>
        <v>0</v>
      </c>
      <c r="BW106" s="833"/>
      <c r="BX106" s="832"/>
      <c r="BY106" s="831">
        <f t="shared" si="93"/>
        <v>0</v>
      </c>
      <c r="BZ106" s="834">
        <f t="shared" si="94"/>
        <v>0</v>
      </c>
      <c r="CA106" s="833"/>
      <c r="CB106" s="832"/>
      <c r="CC106" s="831">
        <f t="shared" si="95"/>
        <v>0</v>
      </c>
      <c r="CD106" s="834">
        <f t="shared" si="95"/>
        <v>0</v>
      </c>
      <c r="CE106" s="835"/>
      <c r="CF106" s="832"/>
      <c r="CG106" s="836">
        <f t="shared" si="120"/>
        <v>0</v>
      </c>
      <c r="CH106" s="820">
        <f>SUM(CC106:CF106)</f>
        <v>0</v>
      </c>
      <c r="CI106" s="932"/>
      <c r="CJ106" s="838">
        <v>0</v>
      </c>
      <c r="CK106" s="838">
        <f t="shared" si="90"/>
        <v>0</v>
      </c>
      <c r="CL106" s="822"/>
      <c r="CQ106" s="300"/>
    </row>
    <row r="107" spans="1:95" s="819" customFormat="1" ht="14.5" thickBot="1" x14ac:dyDescent="0.35">
      <c r="A107">
        <v>58</v>
      </c>
      <c r="B107"/>
      <c r="C107" s="709" t="s">
        <v>451</v>
      </c>
      <c r="D107" s="823">
        <v>1555</v>
      </c>
      <c r="E107" s="179">
        <v>11301842.790000005</v>
      </c>
      <c r="F107" s="178">
        <v>-3985515.8</v>
      </c>
      <c r="G107" s="154"/>
      <c r="H107" s="154"/>
      <c r="I107" s="811">
        <f t="shared" si="97"/>
        <v>7316326.9900000049</v>
      </c>
      <c r="J107" s="154">
        <v>110022.12498706111</v>
      </c>
      <c r="K107" s="832">
        <v>109434.99163316378</v>
      </c>
      <c r="L107" s="832"/>
      <c r="M107" s="832"/>
      <c r="N107" s="829">
        <f t="shared" si="98"/>
        <v>219457.1166202249</v>
      </c>
      <c r="O107" s="830">
        <f t="shared" si="99"/>
        <v>7316326.9900000049</v>
      </c>
      <c r="P107" s="832">
        <v>-4029307.580000001</v>
      </c>
      <c r="Q107" s="832"/>
      <c r="R107" s="832"/>
      <c r="S107" s="811">
        <f t="shared" si="100"/>
        <v>3287019.4100000039</v>
      </c>
      <c r="T107" s="831">
        <f t="shared" si="101"/>
        <v>219457.1166202249</v>
      </c>
      <c r="U107" s="832">
        <v>98856.111133000013</v>
      </c>
      <c r="V107" s="832"/>
      <c r="W107" s="832"/>
      <c r="X107" s="829">
        <f t="shared" si="102"/>
        <v>318313.2277532249</v>
      </c>
      <c r="Y107" s="830">
        <f t="shared" si="103"/>
        <v>3287019.4100000039</v>
      </c>
      <c r="Z107" s="832">
        <v>-4046170.1399999987</v>
      </c>
      <c r="AA107" s="832"/>
      <c r="AB107" s="832"/>
      <c r="AC107" s="811">
        <f t="shared" si="104"/>
        <v>-759150.72999999486</v>
      </c>
      <c r="AD107" s="831">
        <f t="shared" si="105"/>
        <v>318313.2277532249</v>
      </c>
      <c r="AE107" s="832">
        <v>33134.356333666699</v>
      </c>
      <c r="AF107" s="832"/>
      <c r="AG107" s="832"/>
      <c r="AH107" s="829">
        <f t="shared" si="106"/>
        <v>351447.58408689161</v>
      </c>
      <c r="AI107" s="830">
        <f t="shared" si="107"/>
        <v>-759150.72999999486</v>
      </c>
      <c r="AJ107" s="832">
        <v>-244323.41999999998</v>
      </c>
      <c r="AK107" s="832"/>
      <c r="AL107" s="832"/>
      <c r="AM107" s="811">
        <f t="shared" si="108"/>
        <v>-1003474.1499999948</v>
      </c>
      <c r="AN107" s="831">
        <f t="shared" si="109"/>
        <v>351447.58408689161</v>
      </c>
      <c r="AO107" s="832">
        <v>-13289.077800166651</v>
      </c>
      <c r="AP107" s="832"/>
      <c r="AQ107" s="832"/>
      <c r="AR107" s="829">
        <f t="shared" si="110"/>
        <v>338158.50628672494</v>
      </c>
      <c r="AS107" s="830">
        <f t="shared" si="111"/>
        <v>-1003474.1499999948</v>
      </c>
      <c r="AT107" s="832">
        <v>297184.75</v>
      </c>
      <c r="AU107" s="832"/>
      <c r="AV107" s="832"/>
      <c r="AW107" s="811">
        <f t="shared" si="112"/>
        <v>-706289.39999999478</v>
      </c>
      <c r="AX107" s="831">
        <f t="shared" si="113"/>
        <v>338158.50628672494</v>
      </c>
      <c r="AY107" s="832">
        <v>-5021.8328574999923</v>
      </c>
      <c r="AZ107" s="832"/>
      <c r="BA107" s="832"/>
      <c r="BB107" s="829">
        <f t="shared" si="114"/>
        <v>333136.67342922493</v>
      </c>
      <c r="BC107" s="830">
        <f t="shared" si="91"/>
        <v>-706289.39999999478</v>
      </c>
      <c r="BD107" s="832">
        <v>316186.11</v>
      </c>
      <c r="BE107" s="832"/>
      <c r="BF107" s="832"/>
      <c r="BG107" s="811">
        <f t="shared" si="115"/>
        <v>-390103.2899999948</v>
      </c>
      <c r="BH107" s="831">
        <f t="shared" si="116"/>
        <v>333136.67342922493</v>
      </c>
      <c r="BI107" s="832">
        <v>-9671.7956883333063</v>
      </c>
      <c r="BJ107" s="832"/>
      <c r="BK107" s="832">
        <v>-11167.31</v>
      </c>
      <c r="BL107" s="829">
        <f t="shared" si="117"/>
        <v>312297.56774089165</v>
      </c>
      <c r="BM107" s="830">
        <f t="shared" si="92"/>
        <v>-390103.2899999948</v>
      </c>
      <c r="BN107" s="832">
        <v>319968.15000000002</v>
      </c>
      <c r="BO107" s="832"/>
      <c r="BP107" s="832">
        <v>-383766.30577800138</v>
      </c>
      <c r="BQ107" s="811">
        <f t="shared" si="118"/>
        <v>-453901.44577799615</v>
      </c>
      <c r="BR107" s="831">
        <f t="shared" si="119"/>
        <v>312297.56774089165</v>
      </c>
      <c r="BS107" s="832"/>
      <c r="BT107" s="832"/>
      <c r="BU107" s="832">
        <v>-312297.56774089165</v>
      </c>
      <c r="BV107" s="829">
        <f t="shared" si="96"/>
        <v>0</v>
      </c>
      <c r="BW107" s="833"/>
      <c r="BX107" s="832"/>
      <c r="BY107" s="831">
        <f t="shared" si="93"/>
        <v>-453901.44577799615</v>
      </c>
      <c r="BZ107" s="834">
        <f t="shared" si="94"/>
        <v>0</v>
      </c>
      <c r="CA107" s="833"/>
      <c r="CB107" s="832"/>
      <c r="CC107" s="831">
        <f t="shared" si="95"/>
        <v>-453901.44577799615</v>
      </c>
      <c r="CD107" s="834">
        <f t="shared" si="95"/>
        <v>0</v>
      </c>
      <c r="CE107" s="835">
        <v>-2298.9925372499138</v>
      </c>
      <c r="CF107" s="832"/>
      <c r="CG107" s="836">
        <f t="shared" si="120"/>
        <v>-2298.9925372499138</v>
      </c>
      <c r="CH107" s="820">
        <f>IF(CI107="Yes", SUM(CC107:CF107), 0)</f>
        <v>0</v>
      </c>
      <c r="CI107" s="918" t="s">
        <v>633</v>
      </c>
      <c r="CJ107" s="838">
        <v>-453902</v>
      </c>
      <c r="CK107" s="838">
        <f t="shared" si="90"/>
        <v>-0.55422200384782627</v>
      </c>
      <c r="CL107" s="839" t="str">
        <f>IF(ABS(CK107)&gt;1,"Please provide an explanation of the variance in the tab 3 - Appendix A","")</f>
        <v/>
      </c>
      <c r="CQ107" s="300"/>
    </row>
    <row r="108" spans="1:95" s="819" customFormat="1" ht="17" hidden="1" thickBot="1" x14ac:dyDescent="0.35">
      <c r="A108">
        <v>59</v>
      </c>
      <c r="B108"/>
      <c r="C108" s="709" t="s">
        <v>398</v>
      </c>
      <c r="D108" s="823">
        <v>1556</v>
      </c>
      <c r="E108" s="179"/>
      <c r="F108" s="178"/>
      <c r="G108" s="154"/>
      <c r="H108" s="154"/>
      <c r="I108" s="811">
        <f t="shared" si="97"/>
        <v>0</v>
      </c>
      <c r="J108" s="181"/>
      <c r="K108" s="182"/>
      <c r="L108" s="154"/>
      <c r="M108" s="154"/>
      <c r="N108" s="829">
        <f t="shared" si="98"/>
        <v>0</v>
      </c>
      <c r="O108" s="957">
        <f t="shared" si="99"/>
        <v>0</v>
      </c>
      <c r="P108" s="832"/>
      <c r="Q108" s="832"/>
      <c r="R108" s="832"/>
      <c r="S108" s="811">
        <f t="shared" si="100"/>
        <v>0</v>
      </c>
      <c r="T108" s="958">
        <f t="shared" si="101"/>
        <v>0</v>
      </c>
      <c r="U108" s="832"/>
      <c r="V108" s="832"/>
      <c r="W108" s="832"/>
      <c r="X108" s="829">
        <f t="shared" si="102"/>
        <v>0</v>
      </c>
      <c r="Y108" s="957">
        <f t="shared" si="103"/>
        <v>0</v>
      </c>
      <c r="Z108" s="832"/>
      <c r="AA108" s="832"/>
      <c r="AB108" s="832"/>
      <c r="AC108" s="811">
        <f t="shared" si="104"/>
        <v>0</v>
      </c>
      <c r="AD108" s="958">
        <f t="shared" si="105"/>
        <v>0</v>
      </c>
      <c r="AE108" s="832"/>
      <c r="AF108" s="832"/>
      <c r="AG108" s="832"/>
      <c r="AH108" s="829">
        <f t="shared" si="106"/>
        <v>0</v>
      </c>
      <c r="AI108" s="957">
        <f t="shared" si="107"/>
        <v>0</v>
      </c>
      <c r="AJ108" s="832"/>
      <c r="AK108" s="832"/>
      <c r="AL108" s="832"/>
      <c r="AM108" s="811">
        <f t="shared" si="108"/>
        <v>0</v>
      </c>
      <c r="AN108" s="958">
        <f t="shared" si="109"/>
        <v>0</v>
      </c>
      <c r="AO108" s="832"/>
      <c r="AP108" s="832"/>
      <c r="AQ108" s="832"/>
      <c r="AR108" s="829">
        <f t="shared" si="110"/>
        <v>0</v>
      </c>
      <c r="AS108" s="957">
        <f t="shared" si="111"/>
        <v>0</v>
      </c>
      <c r="AT108" s="832"/>
      <c r="AU108" s="832"/>
      <c r="AV108" s="832"/>
      <c r="AW108" s="811">
        <f t="shared" si="112"/>
        <v>0</v>
      </c>
      <c r="AX108" s="958">
        <f t="shared" si="113"/>
        <v>0</v>
      </c>
      <c r="AY108" s="832"/>
      <c r="AZ108" s="832"/>
      <c r="BA108" s="832"/>
      <c r="BB108" s="829">
        <f t="shared" si="114"/>
        <v>0</v>
      </c>
      <c r="BC108" s="957">
        <f t="shared" si="91"/>
        <v>0</v>
      </c>
      <c r="BD108" s="832"/>
      <c r="BE108" s="832"/>
      <c r="BF108" s="832"/>
      <c r="BG108" s="811">
        <f t="shared" si="115"/>
        <v>0</v>
      </c>
      <c r="BH108" s="958">
        <f t="shared" si="116"/>
        <v>0</v>
      </c>
      <c r="BI108" s="832"/>
      <c r="BJ108" s="832"/>
      <c r="BK108" s="832"/>
      <c r="BL108" s="829">
        <f t="shared" si="117"/>
        <v>0</v>
      </c>
      <c r="BM108" s="957">
        <f t="shared" si="92"/>
        <v>0</v>
      </c>
      <c r="BN108" s="832"/>
      <c r="BO108" s="832"/>
      <c r="BP108" s="832"/>
      <c r="BQ108" s="811">
        <f t="shared" si="118"/>
        <v>0</v>
      </c>
      <c r="BR108" s="958">
        <f t="shared" si="119"/>
        <v>0</v>
      </c>
      <c r="BS108" s="832"/>
      <c r="BT108" s="832"/>
      <c r="BU108" s="832"/>
      <c r="BV108" s="829">
        <f t="shared" si="96"/>
        <v>0</v>
      </c>
      <c r="BW108" s="833"/>
      <c r="BX108" s="832"/>
      <c r="BY108" s="831">
        <f t="shared" si="93"/>
        <v>0</v>
      </c>
      <c r="BZ108" s="834">
        <f t="shared" si="94"/>
        <v>0</v>
      </c>
      <c r="CA108" s="833"/>
      <c r="CB108" s="832"/>
      <c r="CC108" s="831">
        <f t="shared" si="95"/>
        <v>0</v>
      </c>
      <c r="CD108" s="834">
        <f t="shared" si="95"/>
        <v>0</v>
      </c>
      <c r="CE108" s="835"/>
      <c r="CF108" s="832"/>
      <c r="CG108" s="836">
        <f t="shared" si="120"/>
        <v>0</v>
      </c>
      <c r="CH108" s="820">
        <f>SUM(CC108:CF108)</f>
        <v>0</v>
      </c>
      <c r="CI108" s="932"/>
      <c r="CJ108" s="838"/>
      <c r="CK108" s="838">
        <f t="shared" si="90"/>
        <v>0</v>
      </c>
      <c r="CL108" s="822"/>
      <c r="CQ108" s="300"/>
    </row>
    <row r="109" spans="1:95" s="819" customFormat="1" ht="17" thickBot="1" x14ac:dyDescent="0.35">
      <c r="A109">
        <v>60</v>
      </c>
      <c r="B109"/>
      <c r="C109" s="709" t="s">
        <v>2950</v>
      </c>
      <c r="D109" s="823">
        <v>1557</v>
      </c>
      <c r="E109" s="959"/>
      <c r="F109" s="919"/>
      <c r="G109" s="919"/>
      <c r="H109" s="919"/>
      <c r="I109" s="811"/>
      <c r="J109" s="895"/>
      <c r="K109" s="919"/>
      <c r="L109" s="919"/>
      <c r="M109" s="919"/>
      <c r="N109" s="829"/>
      <c r="O109" s="830"/>
      <c r="P109" s="924"/>
      <c r="Q109" s="924"/>
      <c r="R109" s="924"/>
      <c r="S109" s="811">
        <f t="shared" si="100"/>
        <v>0</v>
      </c>
      <c r="T109" s="831"/>
      <c r="U109" s="832"/>
      <c r="V109" s="832"/>
      <c r="W109" s="832"/>
      <c r="X109" s="829">
        <f t="shared" si="102"/>
        <v>0</v>
      </c>
      <c r="Y109" s="830">
        <f t="shared" si="103"/>
        <v>0</v>
      </c>
      <c r="Z109" s="832"/>
      <c r="AA109" s="832"/>
      <c r="AB109" s="832"/>
      <c r="AC109" s="811">
        <f>Y109+Z109-AA109+AB109</f>
        <v>0</v>
      </c>
      <c r="AD109" s="831">
        <f>X109</f>
        <v>0</v>
      </c>
      <c r="AE109" s="832"/>
      <c r="AF109" s="832"/>
      <c r="AG109" s="832"/>
      <c r="AH109" s="829">
        <f t="shared" si="106"/>
        <v>0</v>
      </c>
      <c r="AI109" s="957">
        <f t="shared" si="107"/>
        <v>0</v>
      </c>
      <c r="AJ109" s="832"/>
      <c r="AK109" s="832"/>
      <c r="AL109" s="832"/>
      <c r="AM109" s="811">
        <f>AI109+AJ109-AK109+SUM(AL109:AL109)</f>
        <v>0</v>
      </c>
      <c r="AN109" s="958">
        <f t="shared" si="109"/>
        <v>0</v>
      </c>
      <c r="AO109" s="832"/>
      <c r="AP109" s="832"/>
      <c r="AQ109" s="832"/>
      <c r="AR109" s="829">
        <f t="shared" si="110"/>
        <v>0</v>
      </c>
      <c r="AS109" s="830">
        <f>AM109</f>
        <v>0</v>
      </c>
      <c r="AT109" s="832"/>
      <c r="AU109" s="832"/>
      <c r="AV109" s="832"/>
      <c r="AW109" s="811">
        <f>AS109+AT109-AU109+AV109</f>
        <v>0</v>
      </c>
      <c r="AX109" s="831">
        <f>AR109</f>
        <v>0</v>
      </c>
      <c r="AY109" s="832"/>
      <c r="AZ109" s="832"/>
      <c r="BA109" s="832"/>
      <c r="BB109" s="829">
        <f>AX109+AY109-AZ109+BA109</f>
        <v>0</v>
      </c>
      <c r="BC109" s="830">
        <f t="shared" si="91"/>
        <v>0</v>
      </c>
      <c r="BD109" s="832"/>
      <c r="BE109" s="832"/>
      <c r="BF109" s="832"/>
      <c r="BG109" s="811">
        <f t="shared" si="115"/>
        <v>0</v>
      </c>
      <c r="BH109" s="831">
        <f t="shared" si="116"/>
        <v>0</v>
      </c>
      <c r="BI109" s="832"/>
      <c r="BJ109" s="832"/>
      <c r="BK109" s="832"/>
      <c r="BL109" s="829">
        <f t="shared" si="117"/>
        <v>0</v>
      </c>
      <c r="BM109" s="830">
        <f t="shared" si="92"/>
        <v>0</v>
      </c>
      <c r="BN109" s="832"/>
      <c r="BO109" s="832"/>
      <c r="BP109" s="832"/>
      <c r="BQ109" s="811">
        <f t="shared" si="118"/>
        <v>0</v>
      </c>
      <c r="BR109" s="831">
        <f t="shared" si="119"/>
        <v>0</v>
      </c>
      <c r="BS109" s="832"/>
      <c r="BT109" s="832"/>
      <c r="BU109" s="832"/>
      <c r="BV109" s="829">
        <f t="shared" si="96"/>
        <v>0</v>
      </c>
      <c r="BW109" s="833"/>
      <c r="BX109" s="832"/>
      <c r="BY109" s="831">
        <f t="shared" si="93"/>
        <v>0</v>
      </c>
      <c r="BZ109" s="834">
        <f t="shared" si="94"/>
        <v>0</v>
      </c>
      <c r="CA109" s="833"/>
      <c r="CB109" s="832"/>
      <c r="CC109" s="831">
        <f t="shared" si="95"/>
        <v>0</v>
      </c>
      <c r="CD109" s="834">
        <f t="shared" si="95"/>
        <v>0</v>
      </c>
      <c r="CE109" s="835"/>
      <c r="CF109" s="832"/>
      <c r="CG109" s="836">
        <f t="shared" si="120"/>
        <v>0</v>
      </c>
      <c r="CH109" s="820">
        <f>SUM(CC109:CF109)</f>
        <v>0</v>
      </c>
      <c r="CI109" s="932"/>
      <c r="CJ109" s="838">
        <v>0</v>
      </c>
      <c r="CK109" s="838">
        <f t="shared" si="90"/>
        <v>0</v>
      </c>
      <c r="CL109" s="839" t="str">
        <f>IF(ABS(CK109)&gt;1,"Please provide an explanation of the variance in the tab 3 - Appendix A","")</f>
        <v/>
      </c>
      <c r="CQ109" s="300"/>
    </row>
    <row r="110" spans="1:95" s="819" customFormat="1" ht="14.5" thickBot="1" x14ac:dyDescent="0.35">
      <c r="A110"/>
      <c r="B110"/>
      <c r="C110" s="709"/>
      <c r="D110" s="823"/>
      <c r="E110" s="814"/>
      <c r="F110" s="811"/>
      <c r="G110" s="811"/>
      <c r="H110" s="811"/>
      <c r="I110" s="811"/>
      <c r="J110" s="811"/>
      <c r="K110" s="811"/>
      <c r="L110" s="811"/>
      <c r="M110" s="811"/>
      <c r="N110" s="811"/>
      <c r="O110" s="814"/>
      <c r="P110" s="811"/>
      <c r="Q110" s="811"/>
      <c r="R110" s="811"/>
      <c r="S110" s="811"/>
      <c r="T110" s="811"/>
      <c r="U110" s="811"/>
      <c r="V110" s="811"/>
      <c r="W110" s="811"/>
      <c r="X110" s="811"/>
      <c r="Y110" s="814"/>
      <c r="Z110" s="811"/>
      <c r="AA110" s="811"/>
      <c r="AB110" s="811"/>
      <c r="AC110" s="811"/>
      <c r="AD110" s="811"/>
      <c r="AE110" s="811"/>
      <c r="AF110" s="811"/>
      <c r="AG110" s="811"/>
      <c r="AH110" s="811"/>
      <c r="AI110" s="814"/>
      <c r="AJ110" s="811"/>
      <c r="AK110" s="811"/>
      <c r="AL110" s="811"/>
      <c r="AM110" s="811"/>
      <c r="AN110" s="811"/>
      <c r="AO110" s="811"/>
      <c r="AP110" s="811"/>
      <c r="AQ110" s="811"/>
      <c r="AR110" s="811"/>
      <c r="AS110" s="814"/>
      <c r="AT110" s="811"/>
      <c r="AU110" s="811"/>
      <c r="AV110" s="811"/>
      <c r="AW110" s="811"/>
      <c r="AX110" s="811"/>
      <c r="AY110" s="811"/>
      <c r="AZ110" s="811"/>
      <c r="BA110" s="811"/>
      <c r="BB110" s="811"/>
      <c r="BC110" s="814"/>
      <c r="BD110" s="811"/>
      <c r="BE110" s="811"/>
      <c r="BF110" s="811"/>
      <c r="BG110" s="811"/>
      <c r="BH110" s="811"/>
      <c r="BI110" s="811"/>
      <c r="BJ110" s="811"/>
      <c r="BK110" s="811"/>
      <c r="BL110" s="811"/>
      <c r="BM110" s="814"/>
      <c r="BN110" s="811"/>
      <c r="BO110" s="811"/>
      <c r="BP110" s="811"/>
      <c r="BQ110" s="811"/>
      <c r="BR110" s="811"/>
      <c r="BS110" s="811"/>
      <c r="BT110" s="811"/>
      <c r="BU110" s="811"/>
      <c r="BV110" s="829"/>
      <c r="BW110" s="814"/>
      <c r="BX110" s="811"/>
      <c r="BY110" s="811"/>
      <c r="BZ110" s="811"/>
      <c r="CA110" s="814"/>
      <c r="CB110" s="811"/>
      <c r="CC110" s="811"/>
      <c r="CD110" s="811"/>
      <c r="CE110" s="814"/>
      <c r="CF110" s="811"/>
      <c r="CG110" s="811"/>
      <c r="CH110" s="820"/>
      <c r="CI110" s="932"/>
      <c r="CJ110" s="838"/>
      <c r="CK110" s="838">
        <f t="shared" si="90"/>
        <v>0</v>
      </c>
      <c r="CL110" s="822"/>
      <c r="CQ110" s="300"/>
    </row>
    <row r="111" spans="1:95" s="819" customFormat="1" ht="14.5" thickBot="1" x14ac:dyDescent="0.35">
      <c r="A111">
        <v>61</v>
      </c>
      <c r="B111"/>
      <c r="C111" s="937" t="s">
        <v>124</v>
      </c>
      <c r="D111" s="938">
        <v>1575</v>
      </c>
      <c r="E111" s="180">
        <v>19014359.000000004</v>
      </c>
      <c r="F111" s="154">
        <v>-6583042.6199999992</v>
      </c>
      <c r="G111" s="154"/>
      <c r="H111" s="154"/>
      <c r="I111" s="811">
        <f>E111+F111-G111+H111</f>
        <v>12431316.380000005</v>
      </c>
      <c r="J111" s="960"/>
      <c r="K111" s="961"/>
      <c r="L111" s="961"/>
      <c r="M111" s="961"/>
      <c r="N111" s="829"/>
      <c r="O111" s="962">
        <f>I111</f>
        <v>12431316.380000005</v>
      </c>
      <c r="P111" s="955">
        <v>-6740859.8899999997</v>
      </c>
      <c r="Q111" s="832"/>
      <c r="R111" s="832"/>
      <c r="S111" s="811">
        <f>O111+P111-Q111+R111</f>
        <v>5690456.4900000049</v>
      </c>
      <c r="T111" s="960"/>
      <c r="U111" s="961"/>
      <c r="V111" s="961"/>
      <c r="W111" s="961"/>
      <c r="X111" s="829"/>
      <c r="Y111" s="306">
        <f>S111</f>
        <v>5690456.4900000049</v>
      </c>
      <c r="Z111" s="955">
        <v>-7829663.6000000015</v>
      </c>
      <c r="AA111" s="832"/>
      <c r="AB111" s="832">
        <v>1364322.8099999949</v>
      </c>
      <c r="AC111" s="811">
        <f>Y111+Z111-AA111+AB111</f>
        <v>-774884.30000000168</v>
      </c>
      <c r="AD111" s="960"/>
      <c r="AE111" s="961"/>
      <c r="AF111" s="961"/>
      <c r="AG111" s="961"/>
      <c r="AH111" s="829"/>
      <c r="AI111" s="830">
        <f>AC111</f>
        <v>-774884.30000000168</v>
      </c>
      <c r="AJ111" s="955"/>
      <c r="AK111" s="832">
        <v>-1558360.0199999996</v>
      </c>
      <c r="AL111" s="832">
        <v>-783475.71999999951</v>
      </c>
      <c r="AM111" s="811">
        <f>AI111+AJ111-AK111+SUM(AL111:AL111)</f>
        <v>-1.6298145055770874E-9</v>
      </c>
      <c r="AN111" s="960"/>
      <c r="AO111" s="961"/>
      <c r="AP111" s="961"/>
      <c r="AQ111" s="961"/>
      <c r="AR111" s="829"/>
      <c r="AS111" s="963">
        <f>AM111</f>
        <v>-1.6298145055770874E-9</v>
      </c>
      <c r="AT111" s="955"/>
      <c r="AU111" s="832"/>
      <c r="AV111" s="832"/>
      <c r="AW111" s="811">
        <f t="shared" si="112"/>
        <v>-1.6298145055770874E-9</v>
      </c>
      <c r="AX111" s="960"/>
      <c r="AY111" s="961"/>
      <c r="AZ111" s="961"/>
      <c r="BA111" s="961"/>
      <c r="BB111" s="829"/>
      <c r="BC111" s="963">
        <f>AW111</f>
        <v>-1.6298145055770874E-9</v>
      </c>
      <c r="BD111" s="832">
        <v>-151852.53</v>
      </c>
      <c r="BE111" s="832"/>
      <c r="BF111" s="832"/>
      <c r="BG111" s="811">
        <f>BC111+BD111-BE111+SUM(BF111:BF111)</f>
        <v>-151852.53000000163</v>
      </c>
      <c r="BH111" s="960"/>
      <c r="BI111" s="961"/>
      <c r="BJ111" s="961"/>
      <c r="BK111" s="961"/>
      <c r="BL111" s="829"/>
      <c r="BM111" s="963">
        <f>BG111</f>
        <v>-151852.53000000163</v>
      </c>
      <c r="BN111" s="832"/>
      <c r="BO111" s="832"/>
      <c r="BP111" s="832"/>
      <c r="BQ111" s="811">
        <f>BM111+BN111-BO111+SUM(BP111:BP111)</f>
        <v>-151852.53000000163</v>
      </c>
      <c r="BR111" s="960"/>
      <c r="BS111" s="961"/>
      <c r="BT111" s="961"/>
      <c r="BU111" s="961"/>
      <c r="BV111" s="829">
        <f t="shared" si="96"/>
        <v>0</v>
      </c>
      <c r="BW111" s="833"/>
      <c r="BX111" s="961"/>
      <c r="BY111" s="831">
        <f>BQ111+BW111</f>
        <v>-151852.53000000163</v>
      </c>
      <c r="BZ111" s="834"/>
      <c r="CA111" s="833"/>
      <c r="CB111" s="961"/>
      <c r="CC111" s="831">
        <f t="shared" si="95"/>
        <v>-151852.53000000163</v>
      </c>
      <c r="CD111" s="834"/>
      <c r="CE111" s="961"/>
      <c r="CF111" s="961"/>
      <c r="CG111" s="961"/>
      <c r="CH111" s="820">
        <f>IF(CI111="Yes", SUM(CC111:CF111), 0)</f>
        <v>0</v>
      </c>
      <c r="CI111" s="918" t="s">
        <v>633</v>
      </c>
      <c r="CJ111" s="838">
        <v>-151868.04999999999</v>
      </c>
      <c r="CK111" s="838">
        <f t="shared" si="90"/>
        <v>-15.519999998359708</v>
      </c>
      <c r="CL111" s="839" t="str">
        <f>IF(ABS(CK111)&gt;1,"Please provide an explanation of the variance in the tab 3 - Appendix A","")</f>
        <v>Please provide an explanation of the variance in the tab 3 - Appendix A</v>
      </c>
      <c r="CP111">
        <v>1575</v>
      </c>
      <c r="CQ111" s="300" t="b">
        <v>0</v>
      </c>
    </row>
    <row r="112" spans="1:95" s="819" customFormat="1" ht="14.5" thickBot="1" x14ac:dyDescent="0.35">
      <c r="A112">
        <v>62</v>
      </c>
      <c r="B112"/>
      <c r="C112" s="937" t="s">
        <v>125</v>
      </c>
      <c r="D112" s="938">
        <v>1576</v>
      </c>
      <c r="E112" s="964"/>
      <c r="F112" s="154"/>
      <c r="G112" s="154"/>
      <c r="H112" s="154"/>
      <c r="I112" s="811">
        <f>E112+F112-G112+H112</f>
        <v>0</v>
      </c>
      <c r="J112" s="831"/>
      <c r="K112" s="961"/>
      <c r="L112" s="961"/>
      <c r="M112" s="961"/>
      <c r="N112" s="829"/>
      <c r="O112" s="962">
        <f>I112</f>
        <v>0</v>
      </c>
      <c r="P112" s="955"/>
      <c r="Q112" s="832"/>
      <c r="R112" s="832"/>
      <c r="S112" s="811">
        <f>O112+P112-Q112+R112</f>
        <v>0</v>
      </c>
      <c r="T112" s="831"/>
      <c r="U112" s="961"/>
      <c r="V112" s="961"/>
      <c r="W112" s="961"/>
      <c r="X112" s="829"/>
      <c r="Y112" s="965">
        <f>S112</f>
        <v>0</v>
      </c>
      <c r="Z112" s="955"/>
      <c r="AA112" s="832"/>
      <c r="AB112" s="832"/>
      <c r="AC112" s="811">
        <f>Y112+Z112-AA112+AB112</f>
        <v>0</v>
      </c>
      <c r="AD112" s="831"/>
      <c r="AE112" s="961"/>
      <c r="AF112" s="961"/>
      <c r="AG112" s="961"/>
      <c r="AH112" s="829"/>
      <c r="AI112" s="957">
        <f t="shared" si="107"/>
        <v>0</v>
      </c>
      <c r="AJ112" s="955"/>
      <c r="AK112" s="832"/>
      <c r="AL112" s="832"/>
      <c r="AM112" s="811">
        <f>AI112+AJ112-AK112+SUM(AL112:AL112)</f>
        <v>0</v>
      </c>
      <c r="AN112" s="831"/>
      <c r="AO112" s="961"/>
      <c r="AP112" s="961"/>
      <c r="AQ112" s="961"/>
      <c r="AR112" s="829"/>
      <c r="AS112" s="830">
        <f>AM112</f>
        <v>0</v>
      </c>
      <c r="AT112" s="955"/>
      <c r="AU112" s="832"/>
      <c r="AV112" s="832"/>
      <c r="AW112" s="811">
        <f t="shared" si="112"/>
        <v>0</v>
      </c>
      <c r="AX112" s="831"/>
      <c r="AY112" s="961"/>
      <c r="AZ112" s="961"/>
      <c r="BA112" s="961"/>
      <c r="BB112" s="829"/>
      <c r="BC112" s="830">
        <f>AW112</f>
        <v>0</v>
      </c>
      <c r="BD112" s="154"/>
      <c r="BE112" s="154"/>
      <c r="BF112" s="154"/>
      <c r="BG112" s="811">
        <f>BC112+BD112-BE112+SUM(BF112:BF112)</f>
        <v>0</v>
      </c>
      <c r="BH112" s="831"/>
      <c r="BI112" s="961"/>
      <c r="BJ112" s="961"/>
      <c r="BK112" s="961"/>
      <c r="BL112" s="829"/>
      <c r="BM112" s="830">
        <f>BG112</f>
        <v>0</v>
      </c>
      <c r="BN112" s="154"/>
      <c r="BO112" s="154"/>
      <c r="BP112" s="154"/>
      <c r="BQ112" s="811">
        <f>BM112+BN112-BO112+SUM(BP112:BP112)</f>
        <v>0</v>
      </c>
      <c r="BR112" s="831"/>
      <c r="BS112" s="961"/>
      <c r="BT112" s="961"/>
      <c r="BU112" s="961"/>
      <c r="BV112" s="829">
        <f t="shared" si="96"/>
        <v>0</v>
      </c>
      <c r="BW112" s="87"/>
      <c r="BX112" s="961"/>
      <c r="BY112" s="831">
        <f>BQ112+BW112</f>
        <v>0</v>
      </c>
      <c r="BZ112" s="834"/>
      <c r="CA112" s="87"/>
      <c r="CB112" s="961"/>
      <c r="CC112" s="831">
        <f t="shared" si="95"/>
        <v>0</v>
      </c>
      <c r="CD112" s="834"/>
      <c r="CE112" s="961"/>
      <c r="CF112" s="961"/>
      <c r="CG112" s="961"/>
      <c r="CH112" s="820">
        <f>IF(CI112="Yes", SUM(CC112:CF112), 0)</f>
        <v>0</v>
      </c>
      <c r="CI112" s="918" t="s">
        <v>633</v>
      </c>
      <c r="CJ112" s="838">
        <v>0</v>
      </c>
      <c r="CK112" s="838">
        <f t="shared" si="90"/>
        <v>0</v>
      </c>
      <c r="CL112" s="839" t="str">
        <f>IF(ABS(CK112)&gt;1,"Please provide an explanation of the variance in the tab 3 - Appendix A","")</f>
        <v/>
      </c>
      <c r="CP112">
        <v>1576</v>
      </c>
      <c r="CQ112" s="300" t="b">
        <v>0</v>
      </c>
    </row>
    <row r="113" spans="1:95" s="819" customFormat="1" ht="14.5" thickBot="1" x14ac:dyDescent="0.35">
      <c r="A113"/>
      <c r="B113"/>
      <c r="C113" s="937"/>
      <c r="D113" s="938"/>
      <c r="E113" s="814"/>
      <c r="F113" s="811"/>
      <c r="G113" s="811"/>
      <c r="H113" s="811"/>
      <c r="I113" s="811"/>
      <c r="J113" s="811"/>
      <c r="K113" s="811"/>
      <c r="L113" s="811"/>
      <c r="M113" s="811"/>
      <c r="N113" s="811"/>
      <c r="O113" s="814"/>
      <c r="P113" s="811"/>
      <c r="Q113" s="811"/>
      <c r="R113" s="811"/>
      <c r="S113" s="811"/>
      <c r="T113" s="811"/>
      <c r="U113" s="811"/>
      <c r="V113" s="811"/>
      <c r="W113" s="811"/>
      <c r="X113" s="811"/>
      <c r="Y113" s="814"/>
      <c r="Z113" s="811"/>
      <c r="AA113" s="811"/>
      <c r="AB113" s="811"/>
      <c r="AC113" s="811"/>
      <c r="AD113" s="811"/>
      <c r="AE113" s="811"/>
      <c r="AF113" s="811"/>
      <c r="AG113" s="811"/>
      <c r="AH113" s="811"/>
      <c r="AI113" s="814"/>
      <c r="AJ113" s="811"/>
      <c r="AK113" s="811"/>
      <c r="AL113" s="811"/>
      <c r="AM113" s="811"/>
      <c r="AN113" s="811"/>
      <c r="AO113" s="811"/>
      <c r="AP113" s="811"/>
      <c r="AQ113" s="811"/>
      <c r="AR113" s="811"/>
      <c r="AS113" s="814"/>
      <c r="AT113" s="811"/>
      <c r="AU113" s="811"/>
      <c r="AV113" s="811"/>
      <c r="AW113" s="811"/>
      <c r="AX113" s="811"/>
      <c r="AY113" s="811"/>
      <c r="AZ113" s="811"/>
      <c r="BA113" s="811"/>
      <c r="BB113" s="811"/>
      <c r="BC113" s="814"/>
      <c r="BD113" s="811"/>
      <c r="BE113" s="811"/>
      <c r="BF113" s="811"/>
      <c r="BG113" s="811"/>
      <c r="BH113" s="811"/>
      <c r="BI113" s="811"/>
      <c r="BJ113" s="811"/>
      <c r="BK113" s="811"/>
      <c r="BL113" s="811"/>
      <c r="BM113" s="814"/>
      <c r="BN113" s="811"/>
      <c r="BO113" s="811"/>
      <c r="BP113" s="811"/>
      <c r="BQ113" s="811"/>
      <c r="BR113" s="811"/>
      <c r="BS113" s="811"/>
      <c r="BT113" s="811"/>
      <c r="BU113" s="811"/>
      <c r="BV113" s="811"/>
      <c r="BW113" s="814"/>
      <c r="BX113" s="811"/>
      <c r="BY113" s="811"/>
      <c r="BZ113" s="811"/>
      <c r="CA113" s="814"/>
      <c r="CB113" s="811"/>
      <c r="CC113" s="811"/>
      <c r="CD113" s="811"/>
      <c r="CE113" s="814"/>
      <c r="CF113" s="811"/>
      <c r="CG113" s="811"/>
      <c r="CH113" s="820"/>
      <c r="CI113" s="966"/>
      <c r="CJ113" s="838"/>
      <c r="CK113" s="838">
        <f t="shared" si="90"/>
        <v>0</v>
      </c>
      <c r="CL113" s="839"/>
      <c r="CP113"/>
      <c r="CQ113" s="300"/>
    </row>
    <row r="114" spans="1:95" s="819" customFormat="1" ht="17" thickBot="1" x14ac:dyDescent="0.35">
      <c r="A114">
        <v>63</v>
      </c>
      <c r="B114"/>
      <c r="C114" s="875" t="s">
        <v>3453</v>
      </c>
      <c r="D114" s="876">
        <v>1509</v>
      </c>
      <c r="E114" s="967"/>
      <c r="F114" s="968"/>
      <c r="G114" s="969"/>
      <c r="H114" s="969"/>
      <c r="I114" s="970">
        <f>E114+F114-G114+H114</f>
        <v>0</v>
      </c>
      <c r="J114" s="969"/>
      <c r="K114" s="969"/>
      <c r="L114" s="969"/>
      <c r="M114" s="969"/>
      <c r="N114" s="971">
        <f>J114+K114-L114+M114</f>
        <v>0</v>
      </c>
      <c r="O114" s="972">
        <f>I114</f>
        <v>0</v>
      </c>
      <c r="P114" s="969"/>
      <c r="Q114" s="969"/>
      <c r="R114" s="969"/>
      <c r="S114" s="970">
        <f>O114+P114-Q114+R114</f>
        <v>0</v>
      </c>
      <c r="T114" s="973">
        <f>N114</f>
        <v>0</v>
      </c>
      <c r="U114" s="969"/>
      <c r="V114" s="969"/>
      <c r="W114" s="969"/>
      <c r="X114" s="971">
        <f>T114+U114-V114+W114</f>
        <v>0</v>
      </c>
      <c r="Y114" s="972">
        <f>S114</f>
        <v>0</v>
      </c>
      <c r="Z114" s="969"/>
      <c r="AA114" s="969"/>
      <c r="AB114" s="969"/>
      <c r="AC114" s="970">
        <f>Y114+Z114-AA114+AB114</f>
        <v>0</v>
      </c>
      <c r="AD114" s="973">
        <f>X114</f>
        <v>0</v>
      </c>
      <c r="AE114" s="969"/>
      <c r="AF114" s="969"/>
      <c r="AG114" s="969"/>
      <c r="AH114" s="971">
        <f>AD114+AE114-AF114+AG114</f>
        <v>0</v>
      </c>
      <c r="AI114" s="972">
        <f>AC114</f>
        <v>0</v>
      </c>
      <c r="AJ114" s="682"/>
      <c r="AK114" s="682"/>
      <c r="AL114" s="682"/>
      <c r="AM114" s="970">
        <f>AI114+AJ114-AK114+SUM(AL114:AL114)</f>
        <v>0</v>
      </c>
      <c r="AN114" s="973">
        <f>AH114</f>
        <v>0</v>
      </c>
      <c r="AO114" s="682"/>
      <c r="AP114" s="682"/>
      <c r="AQ114" s="682"/>
      <c r="AR114" s="971">
        <f>AN114+AO114-AP114+AQ114</f>
        <v>0</v>
      </c>
      <c r="AS114" s="972">
        <f>AM114</f>
        <v>0</v>
      </c>
      <c r="AT114" s="682"/>
      <c r="AU114" s="682"/>
      <c r="AV114" s="682"/>
      <c r="AW114" s="970">
        <f>AS114+AT114-AU114+AV114</f>
        <v>0</v>
      </c>
      <c r="AX114" s="973">
        <f>AR114</f>
        <v>0</v>
      </c>
      <c r="AY114" s="682"/>
      <c r="AZ114" s="682"/>
      <c r="BA114" s="682"/>
      <c r="BB114" s="971">
        <f>AX114+AY114-AZ114+BA114</f>
        <v>0</v>
      </c>
      <c r="BC114" s="972">
        <f>AW114</f>
        <v>0</v>
      </c>
      <c r="BD114" s="682"/>
      <c r="BE114" s="682"/>
      <c r="BF114" s="682"/>
      <c r="BG114" s="970">
        <f>BC114+BD114-BE114+SUM(BF114:BF114)</f>
        <v>0</v>
      </c>
      <c r="BH114" s="973">
        <f>BB114</f>
        <v>0</v>
      </c>
      <c r="BI114" s="682"/>
      <c r="BJ114" s="682"/>
      <c r="BK114" s="682"/>
      <c r="BL114" s="971">
        <f>BH114+BI114-BJ114+BK114</f>
        <v>0</v>
      </c>
      <c r="BM114" s="972">
        <f>BG114</f>
        <v>0</v>
      </c>
      <c r="BN114" s="682"/>
      <c r="BO114" s="682"/>
      <c r="BP114" s="682"/>
      <c r="BQ114" s="970">
        <f>BM114+BN114-BO114+SUM(BP114:BP114)</f>
        <v>0</v>
      </c>
      <c r="BR114" s="973">
        <f>BL114</f>
        <v>0</v>
      </c>
      <c r="BS114" s="682"/>
      <c r="BT114" s="682"/>
      <c r="BU114" s="682"/>
      <c r="BV114" s="971">
        <v>0</v>
      </c>
      <c r="BW114" s="687"/>
      <c r="BX114" s="682"/>
      <c r="BY114" s="973">
        <f>BQ114+BW114</f>
        <v>0</v>
      </c>
      <c r="BZ114" s="974">
        <f>BH114-BX114</f>
        <v>0</v>
      </c>
      <c r="CA114" s="687"/>
      <c r="CB114" s="682"/>
      <c r="CC114" s="973">
        <f>BY114-CA114</f>
        <v>0</v>
      </c>
      <c r="CD114" s="974">
        <f>BZ114-CB114</f>
        <v>0</v>
      </c>
      <c r="CE114" s="689"/>
      <c r="CF114" s="682"/>
      <c r="CG114" s="975">
        <f>CD114+CE114+CF114</f>
        <v>0</v>
      </c>
      <c r="CH114" s="976">
        <f>IF(CI114="Yes", SUM(CC114:CF114), 0)</f>
        <v>0</v>
      </c>
      <c r="CI114" s="977"/>
      <c r="CJ114" s="881">
        <v>0</v>
      </c>
      <c r="CK114" s="881">
        <f t="shared" si="90"/>
        <v>0</v>
      </c>
      <c r="CL114" s="822"/>
      <c r="CQ114" s="300"/>
    </row>
    <row r="115" spans="1:95" x14ac:dyDescent="0.25">
      <c r="CJ115" s="978"/>
    </row>
    <row r="117" spans="1:95" ht="30.75" customHeight="1" x14ac:dyDescent="0.3">
      <c r="B117" s="882"/>
      <c r="C117" s="1131" t="s">
        <v>160</v>
      </c>
      <c r="D117" s="1131"/>
      <c r="E117" s="1131"/>
      <c r="F117" s="1131"/>
      <c r="G117" s="312"/>
      <c r="H117" s="312"/>
      <c r="I117" s="312"/>
    </row>
    <row r="118" spans="1:95" ht="29.25" customHeight="1" x14ac:dyDescent="0.3">
      <c r="A118" s="883"/>
      <c r="B118" s="884"/>
      <c r="C118" s="1124"/>
      <c r="D118" s="1124"/>
      <c r="E118" s="885"/>
      <c r="F118" s="885"/>
      <c r="G118" s="885"/>
      <c r="H118" s="885"/>
      <c r="I118" s="886"/>
      <c r="L118" s="887"/>
      <c r="M118" s="887"/>
      <c r="V118" s="887"/>
      <c r="W118" s="887"/>
      <c r="AF118" s="887"/>
      <c r="AG118" s="887"/>
      <c r="AP118" s="887"/>
      <c r="AQ118" s="887"/>
      <c r="AZ118" s="887"/>
      <c r="BA118" s="887"/>
      <c r="BJ118" s="887"/>
      <c r="BK118" s="887"/>
      <c r="CA118" s="887"/>
      <c r="CB118" s="887"/>
      <c r="CC118" s="887"/>
      <c r="CD118" s="887"/>
    </row>
    <row r="119" spans="1:95" ht="34.5" customHeight="1" x14ac:dyDescent="0.3">
      <c r="A119" s="883"/>
      <c r="B119" s="884">
        <v>1</v>
      </c>
      <c r="C119" s="1124" t="s">
        <v>2908</v>
      </c>
      <c r="D119" s="1124"/>
      <c r="E119" s="886"/>
      <c r="F119" s="886"/>
      <c r="G119" s="886"/>
      <c r="H119" s="886"/>
      <c r="I119" s="886"/>
      <c r="L119" s="887"/>
      <c r="M119" s="887"/>
      <c r="V119" s="887"/>
      <c r="W119" s="887"/>
      <c r="AF119" s="887"/>
      <c r="AG119" s="887"/>
      <c r="AP119" s="887"/>
      <c r="AQ119" s="887"/>
      <c r="AZ119" s="887"/>
      <c r="BA119" s="887"/>
      <c r="BJ119" s="887"/>
      <c r="BK119" s="887"/>
      <c r="CA119" s="887"/>
      <c r="CB119" s="887"/>
      <c r="CC119" s="887"/>
      <c r="CD119" s="887"/>
    </row>
    <row r="120" spans="1:95" ht="76.75" customHeight="1" x14ac:dyDescent="0.3">
      <c r="A120" s="883"/>
      <c r="B120" s="884">
        <v>2</v>
      </c>
      <c r="C120" s="1124" t="s">
        <v>3676</v>
      </c>
      <c r="D120" s="1124"/>
      <c r="E120" s="888"/>
      <c r="F120" s="886"/>
      <c r="G120" s="886"/>
      <c r="H120" s="886"/>
      <c r="I120" s="886"/>
      <c r="L120" s="887"/>
      <c r="M120" s="887"/>
      <c r="V120" s="887"/>
      <c r="W120" s="887"/>
      <c r="AF120" s="887"/>
      <c r="AG120" s="887"/>
      <c r="AP120" s="887"/>
      <c r="AQ120" s="887"/>
      <c r="AZ120" s="887"/>
      <c r="BA120" s="887"/>
      <c r="BJ120" s="887"/>
      <c r="BK120" s="887"/>
      <c r="CA120" s="887"/>
      <c r="CB120" s="887"/>
      <c r="CC120" s="887"/>
      <c r="CD120" s="887"/>
    </row>
    <row r="121" spans="1:95" ht="52.9" customHeight="1" x14ac:dyDescent="0.3">
      <c r="A121" s="883"/>
      <c r="B121" s="884">
        <v>3</v>
      </c>
      <c r="C121" s="1124" t="s">
        <v>2916</v>
      </c>
      <c r="D121" s="1124"/>
      <c r="E121" s="885"/>
      <c r="F121" s="885"/>
      <c r="G121" s="885"/>
      <c r="H121" s="885"/>
      <c r="I121" s="885"/>
      <c r="L121" s="887"/>
      <c r="M121" s="887"/>
      <c r="V121" s="887"/>
      <c r="W121" s="887"/>
      <c r="AF121" s="887"/>
      <c r="AG121" s="887"/>
      <c r="AP121" s="887"/>
      <c r="AQ121" s="887"/>
      <c r="AZ121" s="887"/>
      <c r="BA121" s="887"/>
      <c r="BJ121" s="887"/>
      <c r="BK121" s="887"/>
      <c r="CA121" s="887"/>
      <c r="CB121" s="887"/>
      <c r="CC121" s="887"/>
      <c r="CD121" s="887"/>
    </row>
    <row r="122" spans="1:95" ht="46" customHeight="1" x14ac:dyDescent="0.25">
      <c r="A122" s="883"/>
      <c r="B122" s="884">
        <v>4</v>
      </c>
      <c r="C122" s="1124" t="s">
        <v>2917</v>
      </c>
      <c r="D122" s="1124"/>
      <c r="E122" s="885"/>
      <c r="F122" s="885"/>
      <c r="G122" s="885"/>
      <c r="H122" s="885"/>
      <c r="I122" s="885"/>
    </row>
    <row r="123" spans="1:95" ht="52.9" customHeight="1" x14ac:dyDescent="0.25">
      <c r="A123" s="883"/>
      <c r="B123" s="884">
        <v>5</v>
      </c>
      <c r="C123" s="1124" t="s">
        <v>2918</v>
      </c>
      <c r="D123" s="1124"/>
      <c r="E123" s="885"/>
      <c r="F123" s="885"/>
      <c r="G123" s="885"/>
      <c r="H123" s="885"/>
      <c r="I123" s="885"/>
    </row>
    <row r="124" spans="1:95" ht="46" customHeight="1" x14ac:dyDescent="0.25">
      <c r="A124" s="883"/>
      <c r="B124" s="884">
        <v>6</v>
      </c>
      <c r="C124" s="1124" t="s">
        <v>2919</v>
      </c>
      <c r="D124" s="1124"/>
      <c r="E124" s="885"/>
      <c r="F124" s="885"/>
      <c r="G124" s="885"/>
      <c r="H124" s="885"/>
      <c r="I124" s="885"/>
    </row>
    <row r="125" spans="1:95" ht="60.75" customHeight="1" x14ac:dyDescent="0.25">
      <c r="A125" s="883"/>
      <c r="B125" s="884">
        <v>7</v>
      </c>
      <c r="C125" s="1124" t="s">
        <v>3043</v>
      </c>
      <c r="D125" s="1124"/>
      <c r="E125" s="885"/>
      <c r="F125" s="885"/>
      <c r="G125" s="885"/>
      <c r="H125" s="885"/>
      <c r="I125" s="885"/>
    </row>
    <row r="126" spans="1:95" ht="52.5" customHeight="1" x14ac:dyDescent="0.25">
      <c r="A126" s="883"/>
      <c r="B126" s="884">
        <v>8</v>
      </c>
      <c r="C126" s="1124" t="s">
        <v>3055</v>
      </c>
      <c r="D126" s="1124"/>
      <c r="E126" s="885"/>
      <c r="F126" s="885"/>
      <c r="G126" s="885"/>
      <c r="H126" s="885"/>
      <c r="I126" s="885"/>
    </row>
    <row r="127" spans="1:95" ht="89.25" customHeight="1" x14ac:dyDescent="0.25">
      <c r="B127" s="884">
        <v>9</v>
      </c>
      <c r="C127" s="1124" t="s">
        <v>3445</v>
      </c>
      <c r="D127" s="1124"/>
      <c r="E127" s="885"/>
      <c r="F127" s="885"/>
      <c r="G127" s="885"/>
      <c r="H127" s="885"/>
      <c r="I127" s="885"/>
    </row>
    <row r="128" spans="1:95" ht="80.25" customHeight="1" x14ac:dyDescent="0.25">
      <c r="B128" s="884">
        <v>10</v>
      </c>
      <c r="C128" s="1124" t="s">
        <v>3447</v>
      </c>
      <c r="D128" s="1124"/>
      <c r="E128" s="885"/>
      <c r="F128" s="885"/>
      <c r="G128" s="885"/>
      <c r="H128" s="885"/>
      <c r="I128" s="885"/>
    </row>
    <row r="129" spans="2:9" ht="70.5" customHeight="1" x14ac:dyDescent="0.25">
      <c r="B129" s="884">
        <v>11</v>
      </c>
      <c r="C129" s="1124" t="s">
        <v>3686</v>
      </c>
      <c r="D129" s="1124"/>
      <c r="E129" s="885"/>
      <c r="F129" s="885"/>
      <c r="G129" s="885"/>
      <c r="H129" s="885"/>
      <c r="I129" s="885"/>
    </row>
    <row r="130" spans="2:9" ht="47.25" customHeight="1" x14ac:dyDescent="0.25">
      <c r="B130" s="884">
        <v>12</v>
      </c>
      <c r="C130" s="1124" t="s">
        <v>3458</v>
      </c>
      <c r="D130" s="1124"/>
      <c r="E130" s="885"/>
      <c r="F130" s="885"/>
      <c r="G130" s="885"/>
      <c r="H130" s="885"/>
      <c r="I130" s="885"/>
    </row>
    <row r="131" spans="2:9" ht="43.5" customHeight="1" x14ac:dyDescent="0.25">
      <c r="B131" s="884">
        <v>13</v>
      </c>
      <c r="C131" s="1124" t="s">
        <v>3679</v>
      </c>
      <c r="D131" s="1124"/>
      <c r="E131" s="885"/>
      <c r="F131" s="885"/>
      <c r="G131" s="885"/>
      <c r="H131" s="885"/>
      <c r="I131" s="885"/>
    </row>
    <row r="132" spans="2:9" ht="15" customHeight="1" x14ac:dyDescent="0.25">
      <c r="B132" s="884"/>
      <c r="C132" s="1124"/>
      <c r="D132" s="1124"/>
      <c r="E132" s="885"/>
      <c r="F132" s="885"/>
      <c r="G132" s="885"/>
      <c r="H132" s="885"/>
      <c r="I132" s="885"/>
    </row>
    <row r="133" spans="2:9" ht="67.75" customHeight="1" x14ac:dyDescent="0.25">
      <c r="B133" s="884"/>
      <c r="C133" s="979"/>
      <c r="D133" s="979"/>
      <c r="E133" s="979"/>
      <c r="F133" s="979"/>
      <c r="G133" s="979"/>
      <c r="H133" s="979"/>
      <c r="I133" s="979"/>
    </row>
    <row r="134" spans="2:9" x14ac:dyDescent="0.25">
      <c r="C134" s="575"/>
    </row>
  </sheetData>
  <sheetProtection algorithmName="SHA-512" hashValue="2pgf944UJNmZpkE8awkFkBnQ1dSFtWmSyz7R1Mx/jEnbsxM/BfEK1a0h5PAgPMs8fvP3EwXvWhE5jiuykKvn7w==" saltValue="5s1JsK9CyegQHbwIiCvJkA==" spinCount="100000" sheet="1" objects="1" scenarios="1"/>
  <mergeCells count="114">
    <mergeCell ref="BM19:BV19"/>
    <mergeCell ref="BW19:BZ19"/>
    <mergeCell ref="CA19:CD19"/>
    <mergeCell ref="CE19:CH19"/>
    <mergeCell ref="C20:C22"/>
    <mergeCell ref="D20:D22"/>
    <mergeCell ref="E20:E22"/>
    <mergeCell ref="F20:F22"/>
    <mergeCell ref="G20:G22"/>
    <mergeCell ref="H20:H22"/>
    <mergeCell ref="E19:N19"/>
    <mergeCell ref="O19:X19"/>
    <mergeCell ref="Y19:AH19"/>
    <mergeCell ref="AI19:AR19"/>
    <mergeCell ref="AS19:BB19"/>
    <mergeCell ref="BC19:BL19"/>
    <mergeCell ref="O20:O22"/>
    <mergeCell ref="P20:P22"/>
    <mergeCell ref="Q20:Q22"/>
    <mergeCell ref="R20:R22"/>
    <mergeCell ref="S20:S22"/>
    <mergeCell ref="T20:T22"/>
    <mergeCell ref="I20:I22"/>
    <mergeCell ref="J20:J22"/>
    <mergeCell ref="K20:K22"/>
    <mergeCell ref="L20:L22"/>
    <mergeCell ref="M20:M22"/>
    <mergeCell ref="N20:N22"/>
    <mergeCell ref="AA20:AA22"/>
    <mergeCell ref="AB20:AB22"/>
    <mergeCell ref="AC20:AC22"/>
    <mergeCell ref="AD20:AD22"/>
    <mergeCell ref="AE20:AE22"/>
    <mergeCell ref="AF20:AF22"/>
    <mergeCell ref="U20:U22"/>
    <mergeCell ref="V20:V22"/>
    <mergeCell ref="W20:W22"/>
    <mergeCell ref="X20:X22"/>
    <mergeCell ref="Y20:Y22"/>
    <mergeCell ref="Z20:Z22"/>
    <mergeCell ref="AM20:AM22"/>
    <mergeCell ref="AN20:AN22"/>
    <mergeCell ref="AO20:AO22"/>
    <mergeCell ref="AP20:AP22"/>
    <mergeCell ref="AQ20:AQ22"/>
    <mergeCell ref="AR20:AR22"/>
    <mergeCell ref="AG20:AG22"/>
    <mergeCell ref="AH20:AH22"/>
    <mergeCell ref="AI20:AI22"/>
    <mergeCell ref="AJ20:AJ22"/>
    <mergeCell ref="AK20:AK22"/>
    <mergeCell ref="AL20:AL22"/>
    <mergeCell ref="AY20:AY22"/>
    <mergeCell ref="AZ20:AZ22"/>
    <mergeCell ref="BA20:BA22"/>
    <mergeCell ref="BB20:BB22"/>
    <mergeCell ref="BC20:BC22"/>
    <mergeCell ref="BD20:BD22"/>
    <mergeCell ref="AS20:AS22"/>
    <mergeCell ref="AT20:AT22"/>
    <mergeCell ref="AU20:AU22"/>
    <mergeCell ref="AV20:AV22"/>
    <mergeCell ref="AW20:AW22"/>
    <mergeCell ref="AX20:AX22"/>
    <mergeCell ref="BK20:BK22"/>
    <mergeCell ref="BL20:BL22"/>
    <mergeCell ref="BM20:BM22"/>
    <mergeCell ref="BN20:BN22"/>
    <mergeCell ref="BO20:BO22"/>
    <mergeCell ref="BP20:BP22"/>
    <mergeCell ref="BE20:BE22"/>
    <mergeCell ref="BF20:BF22"/>
    <mergeCell ref="BG20:BG22"/>
    <mergeCell ref="BH20:BH22"/>
    <mergeCell ref="BI20:BI22"/>
    <mergeCell ref="BJ20:BJ22"/>
    <mergeCell ref="CI20:CI22"/>
    <mergeCell ref="CJ20:CJ22"/>
    <mergeCell ref="CK20:CK22"/>
    <mergeCell ref="CM21:CV22"/>
    <mergeCell ref="C117:F117"/>
    <mergeCell ref="C118:D118"/>
    <mergeCell ref="CC20:CC22"/>
    <mergeCell ref="CD20:CD22"/>
    <mergeCell ref="CE20:CE22"/>
    <mergeCell ref="CF20:CF22"/>
    <mergeCell ref="CG20:CG22"/>
    <mergeCell ref="CH20:CH22"/>
    <mergeCell ref="BW20:BW22"/>
    <mergeCell ref="BX20:BX22"/>
    <mergeCell ref="BY20:BY22"/>
    <mergeCell ref="BZ20:BZ22"/>
    <mergeCell ref="CA20:CA22"/>
    <mergeCell ref="CB20:CB22"/>
    <mergeCell ref="BQ20:BQ22"/>
    <mergeCell ref="BR20:BR22"/>
    <mergeCell ref="BS20:BS22"/>
    <mergeCell ref="BT20:BT22"/>
    <mergeCell ref="BU20:BU22"/>
    <mergeCell ref="BV20:BV22"/>
    <mergeCell ref="C131:D131"/>
    <mergeCell ref="C132:D132"/>
    <mergeCell ref="C125:D125"/>
    <mergeCell ref="C126:D126"/>
    <mergeCell ref="C127:D127"/>
    <mergeCell ref="C128:D128"/>
    <mergeCell ref="C129:D129"/>
    <mergeCell ref="C130:D130"/>
    <mergeCell ref="C119:D119"/>
    <mergeCell ref="C120:D120"/>
    <mergeCell ref="C121:D121"/>
    <mergeCell ref="C122:D122"/>
    <mergeCell ref="C123:D123"/>
    <mergeCell ref="C124:D124"/>
  </mergeCells>
  <conditionalFormatting sqref="F25:H25 K25:M25">
    <cfRule type="expression" dxfId="146" priority="124">
      <formula>$E$19&lt;2013</formula>
    </cfRule>
  </conditionalFormatting>
  <conditionalFormatting sqref="P25:R25 U25:W25">
    <cfRule type="expression" dxfId="145" priority="123">
      <formula>$O$19&lt;2013</formula>
    </cfRule>
  </conditionalFormatting>
  <conditionalFormatting sqref="Z25:AB25 AE25:AG25">
    <cfRule type="expression" dxfId="144" priority="122">
      <formula>$Y$19&lt;2013</formula>
    </cfRule>
  </conditionalFormatting>
  <conditionalFormatting sqref="AJ25:AL25 AO25:AQ25">
    <cfRule type="expression" dxfId="143" priority="121">
      <formula>$AI$19&lt;2013</formula>
    </cfRule>
  </conditionalFormatting>
  <conditionalFormatting sqref="AT25:AV25 AY25:BA25">
    <cfRule type="expression" dxfId="142" priority="120">
      <formula>$AS$19&lt;2013</formula>
    </cfRule>
  </conditionalFormatting>
  <conditionalFormatting sqref="BD25:BF25 BI25:BK25">
    <cfRule type="expression" dxfId="141" priority="119">
      <formula>$BC$19&lt;2013</formula>
    </cfRule>
  </conditionalFormatting>
  <conditionalFormatting sqref="F27:H28 K27:M28">
    <cfRule type="expression" dxfId="140" priority="118">
      <formula>$E$19&lt;2015</formula>
    </cfRule>
  </conditionalFormatting>
  <conditionalFormatting sqref="P27:R28 U27:W28">
    <cfRule type="expression" dxfId="139" priority="117">
      <formula>$O$19&lt;2015</formula>
    </cfRule>
  </conditionalFormatting>
  <conditionalFormatting sqref="Z27:AB28 AE27:AG28">
    <cfRule type="expression" dxfId="138" priority="116">
      <formula>$Y$19&lt;2015</formula>
    </cfRule>
  </conditionalFormatting>
  <conditionalFormatting sqref="AJ27:AL28 AO27:AQ28">
    <cfRule type="expression" dxfId="137" priority="115">
      <formula>$AI$19&lt;2015</formula>
    </cfRule>
  </conditionalFormatting>
  <conditionalFormatting sqref="AT27:AV28 AY27:BA28">
    <cfRule type="expression" dxfId="136" priority="114">
      <formula>$AS$19&lt;2015</formula>
    </cfRule>
  </conditionalFormatting>
  <conditionalFormatting sqref="BD27:BF28 BI27:BK28">
    <cfRule type="expression" dxfId="135" priority="113">
      <formula>$BC$19&lt;2015</formula>
    </cfRule>
  </conditionalFormatting>
  <conditionalFormatting sqref="F109:H109 K109:M109">
    <cfRule type="expression" dxfId="134" priority="112">
      <formula>$E$19&lt;2014</formula>
    </cfRule>
  </conditionalFormatting>
  <conditionalFormatting sqref="BD50:BF50 BI50:BK50">
    <cfRule type="expression" dxfId="133" priority="111">
      <formula>$BC$19&lt;2011</formula>
    </cfRule>
  </conditionalFormatting>
  <conditionalFormatting sqref="O111">
    <cfRule type="expression" dxfId="132" priority="110">
      <formula>$O$19&lt;2011</formula>
    </cfRule>
  </conditionalFormatting>
  <conditionalFormatting sqref="O111">
    <cfRule type="expression" dxfId="131" priority="109">
      <formula>$O$19=2011</formula>
    </cfRule>
  </conditionalFormatting>
  <conditionalFormatting sqref="BD111:BF111">
    <cfRule type="expression" dxfId="130" priority="108">
      <formula>$BC$19&lt;2011</formula>
    </cfRule>
  </conditionalFormatting>
  <conditionalFormatting sqref="Y112">
    <cfRule type="expression" dxfId="129" priority="107">
      <formula>$Y$19=2012</formula>
    </cfRule>
  </conditionalFormatting>
  <conditionalFormatting sqref="O112">
    <cfRule type="expression" dxfId="128" priority="106">
      <formula>$O$19&lt;2011</formula>
    </cfRule>
  </conditionalFormatting>
  <conditionalFormatting sqref="O112">
    <cfRule type="expression" dxfId="127" priority="105">
      <formula>$O$19=2011</formula>
    </cfRule>
  </conditionalFormatting>
  <conditionalFormatting sqref="E76:H76">
    <cfRule type="expression" dxfId="126" priority="104">
      <formula>$E$19&lt;2014</formula>
    </cfRule>
  </conditionalFormatting>
  <conditionalFormatting sqref="J76:M76">
    <cfRule type="expression" dxfId="125" priority="103">
      <formula>$E$19&lt;2014</formula>
    </cfRule>
  </conditionalFormatting>
  <conditionalFormatting sqref="AY76:BA76">
    <cfRule type="expression" dxfId="124" priority="102">
      <formula>$E$19&lt;2014</formula>
    </cfRule>
  </conditionalFormatting>
  <conditionalFormatting sqref="E98">
    <cfRule type="expression" dxfId="123" priority="94">
      <formula>$E$19&lt;2014</formula>
    </cfRule>
  </conditionalFormatting>
  <conditionalFormatting sqref="U97:W98">
    <cfRule type="expression" dxfId="122" priority="101">
      <formula>$E$19&lt;2014</formula>
    </cfRule>
  </conditionalFormatting>
  <conditionalFormatting sqref="P97:R98">
    <cfRule type="expression" dxfId="121" priority="100">
      <formula>$E$19&lt;2014</formula>
    </cfRule>
  </conditionalFormatting>
  <conditionalFormatting sqref="J97:L98">
    <cfRule type="expression" dxfId="120" priority="99">
      <formula>$E$19&lt;2014</formula>
    </cfRule>
  </conditionalFormatting>
  <conditionalFormatting sqref="M97">
    <cfRule type="expression" dxfId="119" priority="98">
      <formula>$E$19&lt;2014</formula>
    </cfRule>
  </conditionalFormatting>
  <conditionalFormatting sqref="M98">
    <cfRule type="expression" dxfId="118" priority="97">
      <formula>$E$19&lt;2014</formula>
    </cfRule>
  </conditionalFormatting>
  <conditionalFormatting sqref="E97">
    <cfRule type="expression" dxfId="117" priority="96">
      <formula>$E$19&lt;2014</formula>
    </cfRule>
  </conditionalFormatting>
  <conditionalFormatting sqref="F97:H98">
    <cfRule type="expression" dxfId="116" priority="95">
      <formula>$E$19&lt;2014</formula>
    </cfRule>
  </conditionalFormatting>
  <conditionalFormatting sqref="J49:M50">
    <cfRule type="expression" dxfId="115" priority="93">
      <formula>$E$19&lt;2014</formula>
    </cfRule>
  </conditionalFormatting>
  <conditionalFormatting sqref="P50">
    <cfRule type="expression" dxfId="114" priority="92">
      <formula>$E$19&lt;2014</formula>
    </cfRule>
  </conditionalFormatting>
  <conditionalFormatting sqref="Q50">
    <cfRule type="expression" dxfId="113" priority="91">
      <formula>$E$19&lt;2014</formula>
    </cfRule>
  </conditionalFormatting>
  <conditionalFormatting sqref="R50">
    <cfRule type="expression" dxfId="112" priority="90">
      <formula>$E$19&lt;2014</formula>
    </cfRule>
  </conditionalFormatting>
  <conditionalFormatting sqref="U50:W50">
    <cfRule type="expression" dxfId="111" priority="89">
      <formula>$E$19&lt;2014</formula>
    </cfRule>
  </conditionalFormatting>
  <conditionalFormatting sqref="AY49:BA50">
    <cfRule type="expression" dxfId="110" priority="88">
      <formula>$E$19&lt;2014</formula>
    </cfRule>
  </conditionalFormatting>
  <conditionalFormatting sqref="AT87:AV87">
    <cfRule type="expression" dxfId="109" priority="87">
      <formula>$E$19&lt;2014</formula>
    </cfRule>
  </conditionalFormatting>
  <conditionalFormatting sqref="AY87:BA87">
    <cfRule type="expression" dxfId="108" priority="86">
      <formula>$E$19&lt;2014</formula>
    </cfRule>
  </conditionalFormatting>
  <conditionalFormatting sqref="BD87:BF87">
    <cfRule type="expression" dxfId="107" priority="85">
      <formula>$E$19&lt;2014</formula>
    </cfRule>
  </conditionalFormatting>
  <conditionalFormatting sqref="BI87:BK87">
    <cfRule type="expression" dxfId="106" priority="84">
      <formula>$E$19&lt;2014</formula>
    </cfRule>
  </conditionalFormatting>
  <conditionalFormatting sqref="E49:H50">
    <cfRule type="expression" dxfId="105" priority="83">
      <formula>$E$19&lt;2014</formula>
    </cfRule>
  </conditionalFormatting>
  <conditionalFormatting sqref="E87:H87">
    <cfRule type="expression" dxfId="104" priority="82">
      <formula>$E$19&lt;2014</formula>
    </cfRule>
  </conditionalFormatting>
  <conditionalFormatting sqref="J87:M87">
    <cfRule type="expression" dxfId="103" priority="81">
      <formula>$E$19&lt;2014</formula>
    </cfRule>
  </conditionalFormatting>
  <conditionalFormatting sqref="E51:H51">
    <cfRule type="expression" dxfId="102" priority="80">
      <formula>$E$19&lt;2014</formula>
    </cfRule>
  </conditionalFormatting>
  <conditionalFormatting sqref="J51:M51">
    <cfRule type="expression" dxfId="101" priority="79">
      <formula>$E$19&lt;2014</formula>
    </cfRule>
  </conditionalFormatting>
  <conditionalFormatting sqref="P51">
    <cfRule type="expression" dxfId="100" priority="78">
      <formula>$E$19&lt;2014</formula>
    </cfRule>
  </conditionalFormatting>
  <conditionalFormatting sqref="Q51">
    <cfRule type="expression" dxfId="99" priority="77">
      <formula>$E$19&lt;2014</formula>
    </cfRule>
  </conditionalFormatting>
  <conditionalFormatting sqref="R51">
    <cfRule type="expression" dxfId="98" priority="76">
      <formula>$E$19&lt;2014</formula>
    </cfRule>
  </conditionalFormatting>
  <conditionalFormatting sqref="U51:W51">
    <cfRule type="expression" dxfId="97" priority="75">
      <formula>$E$19&lt;2014</formula>
    </cfRule>
  </conditionalFormatting>
  <conditionalFormatting sqref="Z51:AB51">
    <cfRule type="expression" dxfId="96" priority="74">
      <formula>$E$19&lt;2014</formula>
    </cfRule>
  </conditionalFormatting>
  <conditionalFormatting sqref="AE51:AG51">
    <cfRule type="expression" dxfId="95" priority="73">
      <formula>$E$19&lt;2014</formula>
    </cfRule>
  </conditionalFormatting>
  <conditionalFormatting sqref="E52:H52">
    <cfRule type="expression" dxfId="94" priority="72">
      <formula>$E$19&lt;2014</formula>
    </cfRule>
  </conditionalFormatting>
  <conditionalFormatting sqref="J52:M52">
    <cfRule type="expression" dxfId="93" priority="71">
      <formula>$E$19&lt;2014</formula>
    </cfRule>
  </conditionalFormatting>
  <conditionalFormatting sqref="P52">
    <cfRule type="expression" dxfId="92" priority="70">
      <formula>$E$19&lt;2014</formula>
    </cfRule>
  </conditionalFormatting>
  <conditionalFormatting sqref="Q52">
    <cfRule type="expression" dxfId="91" priority="69">
      <formula>$E$19&lt;2014</formula>
    </cfRule>
  </conditionalFormatting>
  <conditionalFormatting sqref="R52">
    <cfRule type="expression" dxfId="90" priority="68">
      <formula>$E$19&lt;2014</formula>
    </cfRule>
  </conditionalFormatting>
  <conditionalFormatting sqref="U52:W52">
    <cfRule type="expression" dxfId="89" priority="67">
      <formula>$E$19&lt;2014</formula>
    </cfRule>
  </conditionalFormatting>
  <conditionalFormatting sqref="Z52:AB52">
    <cfRule type="expression" dxfId="88" priority="66">
      <formula>$E$19&lt;2014</formula>
    </cfRule>
  </conditionalFormatting>
  <conditionalFormatting sqref="AE52:AG52">
    <cfRule type="expression" dxfId="87" priority="65">
      <formula>$E$19&lt;2014</formula>
    </cfRule>
  </conditionalFormatting>
  <conditionalFormatting sqref="AJ52:AL52">
    <cfRule type="expression" dxfId="86" priority="64">
      <formula>$E$19&lt;2014</formula>
    </cfRule>
  </conditionalFormatting>
  <conditionalFormatting sqref="AO52:AQ52">
    <cfRule type="expression" dxfId="85" priority="63">
      <formula>$E$19&lt;2014</formula>
    </cfRule>
  </conditionalFormatting>
  <conditionalFormatting sqref="E54:H56">
    <cfRule type="expression" dxfId="84" priority="62">
      <formula>$E$19&lt;2014</formula>
    </cfRule>
  </conditionalFormatting>
  <conditionalFormatting sqref="J54:M56">
    <cfRule type="expression" dxfId="83" priority="61">
      <formula>$E$19&lt;2014</formula>
    </cfRule>
  </conditionalFormatting>
  <conditionalFormatting sqref="P54:P56">
    <cfRule type="expression" dxfId="82" priority="60">
      <formula>$E$19&lt;2014</formula>
    </cfRule>
  </conditionalFormatting>
  <conditionalFormatting sqref="Q54:Q56">
    <cfRule type="expression" dxfId="81" priority="59">
      <formula>$E$19&lt;2014</formula>
    </cfRule>
  </conditionalFormatting>
  <conditionalFormatting sqref="R54:R56">
    <cfRule type="expression" dxfId="80" priority="58">
      <formula>$E$19&lt;2014</formula>
    </cfRule>
  </conditionalFormatting>
  <conditionalFormatting sqref="U54:U56">
    <cfRule type="expression" dxfId="79" priority="57">
      <formula>$E$19&lt;2014</formula>
    </cfRule>
  </conditionalFormatting>
  <conditionalFormatting sqref="V54:V56">
    <cfRule type="expression" dxfId="78" priority="56">
      <formula>$E$19&lt;2014</formula>
    </cfRule>
  </conditionalFormatting>
  <conditionalFormatting sqref="W54:W56">
    <cfRule type="expression" dxfId="77" priority="55">
      <formula>$E$19&lt;2014</formula>
    </cfRule>
  </conditionalFormatting>
  <conditionalFormatting sqref="Z54:Z56">
    <cfRule type="expression" dxfId="76" priority="54">
      <formula>$E$19&lt;2014</formula>
    </cfRule>
  </conditionalFormatting>
  <conditionalFormatting sqref="AA54:AA56">
    <cfRule type="expression" dxfId="75" priority="53">
      <formula>$E$19&lt;2014</formula>
    </cfRule>
  </conditionalFormatting>
  <conditionalFormatting sqref="AB54:AB56">
    <cfRule type="expression" dxfId="74" priority="52">
      <formula>$E$19&lt;2014</formula>
    </cfRule>
  </conditionalFormatting>
  <conditionalFormatting sqref="AE54:AE56">
    <cfRule type="expression" dxfId="73" priority="51">
      <formula>$E$19&lt;2014</formula>
    </cfRule>
  </conditionalFormatting>
  <conditionalFormatting sqref="AF54:AF56">
    <cfRule type="expression" dxfId="72" priority="50">
      <formula>$E$19&lt;2014</formula>
    </cfRule>
  </conditionalFormatting>
  <conditionalFormatting sqref="AG54:AG56">
    <cfRule type="expression" dxfId="71" priority="49">
      <formula>$E$19&lt;2014</formula>
    </cfRule>
  </conditionalFormatting>
  <conditionalFormatting sqref="AJ54:AJ56">
    <cfRule type="expression" dxfId="70" priority="48">
      <formula>$E$19&lt;2014</formula>
    </cfRule>
  </conditionalFormatting>
  <conditionalFormatting sqref="AK54:AK56">
    <cfRule type="expression" dxfId="69" priority="47">
      <formula>$E$19&lt;2014</formula>
    </cfRule>
  </conditionalFormatting>
  <conditionalFormatting sqref="AL54:AL56">
    <cfRule type="expression" dxfId="68" priority="46">
      <formula>$E$19&lt;2014</formula>
    </cfRule>
  </conditionalFormatting>
  <conditionalFormatting sqref="AO54:AO56">
    <cfRule type="expression" dxfId="67" priority="45">
      <formula>$E$19&lt;2014</formula>
    </cfRule>
  </conditionalFormatting>
  <conditionalFormatting sqref="AP54:AP56">
    <cfRule type="expression" dxfId="66" priority="44">
      <formula>$E$19&lt;2014</formula>
    </cfRule>
  </conditionalFormatting>
  <conditionalFormatting sqref="AQ54:AQ56">
    <cfRule type="expression" dxfId="65" priority="43">
      <formula>$E$19&lt;2014</formula>
    </cfRule>
  </conditionalFormatting>
  <conditionalFormatting sqref="Z57">
    <cfRule type="expression" dxfId="64" priority="42">
      <formula>$E$19&lt;2014</formula>
    </cfRule>
  </conditionalFormatting>
  <conditionalFormatting sqref="AA57">
    <cfRule type="expression" dxfId="63" priority="41">
      <formula>$E$19&lt;2014</formula>
    </cfRule>
  </conditionalFormatting>
  <conditionalFormatting sqref="AB57">
    <cfRule type="expression" dxfId="62" priority="40">
      <formula>$E$19&lt;2014</formula>
    </cfRule>
  </conditionalFormatting>
  <conditionalFormatting sqref="AE57">
    <cfRule type="expression" dxfId="61" priority="39">
      <formula>$E$19&lt;2014</formula>
    </cfRule>
  </conditionalFormatting>
  <conditionalFormatting sqref="AF57">
    <cfRule type="expression" dxfId="60" priority="38">
      <formula>$E$19&lt;2014</formula>
    </cfRule>
  </conditionalFormatting>
  <conditionalFormatting sqref="AG57">
    <cfRule type="expression" dxfId="59" priority="37">
      <formula>$E$19&lt;2014</formula>
    </cfRule>
  </conditionalFormatting>
  <conditionalFormatting sqref="AJ57">
    <cfRule type="expression" dxfId="58" priority="36">
      <formula>$E$19&lt;2014</formula>
    </cfRule>
  </conditionalFormatting>
  <conditionalFormatting sqref="AK57">
    <cfRule type="expression" dxfId="57" priority="35">
      <formula>$E$19&lt;2014</formula>
    </cfRule>
  </conditionalFormatting>
  <conditionalFormatting sqref="AL57">
    <cfRule type="expression" dxfId="56" priority="34">
      <formula>$E$19&lt;2014</formula>
    </cfRule>
  </conditionalFormatting>
  <conditionalFormatting sqref="AO57">
    <cfRule type="expression" dxfId="55" priority="33">
      <formula>$E$19&lt;2014</formula>
    </cfRule>
  </conditionalFormatting>
  <conditionalFormatting sqref="AP57">
    <cfRule type="expression" dxfId="54" priority="32">
      <formula>$E$19&lt;2014</formula>
    </cfRule>
  </conditionalFormatting>
  <conditionalFormatting sqref="AQ57">
    <cfRule type="expression" dxfId="53" priority="31">
      <formula>$E$19&lt;2014</formula>
    </cfRule>
  </conditionalFormatting>
  <conditionalFormatting sqref="AT57">
    <cfRule type="expression" dxfId="52" priority="30">
      <formula>$E$19&lt;2014</formula>
    </cfRule>
  </conditionalFormatting>
  <conditionalFormatting sqref="AU57">
    <cfRule type="expression" dxfId="51" priority="29">
      <formula>$E$19&lt;2014</formula>
    </cfRule>
  </conditionalFormatting>
  <conditionalFormatting sqref="AV57">
    <cfRule type="expression" dxfId="50" priority="28">
      <formula>$E$19&lt;2014</formula>
    </cfRule>
  </conditionalFormatting>
  <conditionalFormatting sqref="AY57">
    <cfRule type="expression" dxfId="49" priority="27">
      <formula>$E$19&lt;2014</formula>
    </cfRule>
  </conditionalFormatting>
  <conditionalFormatting sqref="AZ57">
    <cfRule type="expression" dxfId="48" priority="26">
      <formula>$E$19&lt;2014</formula>
    </cfRule>
  </conditionalFormatting>
  <conditionalFormatting sqref="BA57">
    <cfRule type="expression" dxfId="47" priority="25">
      <formula>$E$19&lt;2014</formula>
    </cfRule>
  </conditionalFormatting>
  <conditionalFormatting sqref="E57:H57">
    <cfRule type="expression" dxfId="46" priority="24">
      <formula>$E$19&lt;2014</formula>
    </cfRule>
  </conditionalFormatting>
  <conditionalFormatting sqref="J57:M57">
    <cfRule type="expression" dxfId="45" priority="23">
      <formula>$E$19&lt;2014</formula>
    </cfRule>
  </conditionalFormatting>
  <conditionalFormatting sqref="P57">
    <cfRule type="expression" dxfId="44" priority="22">
      <formula>$E$19&lt;2014</formula>
    </cfRule>
  </conditionalFormatting>
  <conditionalFormatting sqref="Q57">
    <cfRule type="expression" dxfId="43" priority="21">
      <formula>$E$19&lt;2014</formula>
    </cfRule>
  </conditionalFormatting>
  <conditionalFormatting sqref="R57">
    <cfRule type="expression" dxfId="42" priority="20">
      <formula>$E$19&lt;2014</formula>
    </cfRule>
  </conditionalFormatting>
  <conditionalFormatting sqref="U57">
    <cfRule type="expression" dxfId="41" priority="19">
      <formula>$E$19&lt;2014</formula>
    </cfRule>
  </conditionalFormatting>
  <conditionalFormatting sqref="V57">
    <cfRule type="expression" dxfId="40" priority="18">
      <formula>$E$19&lt;2014</formula>
    </cfRule>
  </conditionalFormatting>
  <conditionalFormatting sqref="W57">
    <cfRule type="expression" dxfId="39" priority="17">
      <formula>$E$19&lt;2014</formula>
    </cfRule>
  </conditionalFormatting>
  <conditionalFormatting sqref="BN25:BP25 BS25:BU25">
    <cfRule type="expression" dxfId="38" priority="16">
      <formula>$BC$19&lt;2013</formula>
    </cfRule>
  </conditionalFormatting>
  <conditionalFormatting sqref="BN27:BP28 BS27:BU28">
    <cfRule type="expression" dxfId="37" priority="15">
      <formula>$BC$19&lt;2015</formula>
    </cfRule>
  </conditionalFormatting>
  <conditionalFormatting sqref="BN50:BP50 BS50:BU50">
    <cfRule type="expression" dxfId="36" priority="14">
      <formula>$BC$19&lt;2011</formula>
    </cfRule>
  </conditionalFormatting>
  <conditionalFormatting sqref="BN111:BP111">
    <cfRule type="expression" dxfId="35" priority="13">
      <formula>$BC$19&lt;2011</formula>
    </cfRule>
  </conditionalFormatting>
  <conditionalFormatting sqref="BN87:BP87">
    <cfRule type="expression" dxfId="34" priority="12">
      <formula>$E$19&lt;2014</formula>
    </cfRule>
  </conditionalFormatting>
  <conditionalFormatting sqref="BS87:BU87">
    <cfRule type="expression" dxfId="33" priority="11">
      <formula>$E$19&lt;2014</formula>
    </cfRule>
  </conditionalFormatting>
  <conditionalFormatting sqref="E53:H53">
    <cfRule type="expression" dxfId="32" priority="10">
      <formula>$E$19&lt;2014</formula>
    </cfRule>
  </conditionalFormatting>
  <conditionalFormatting sqref="J53:M53">
    <cfRule type="expression" dxfId="31" priority="9">
      <formula>$E$19&lt;2014</formula>
    </cfRule>
  </conditionalFormatting>
  <conditionalFormatting sqref="P53">
    <cfRule type="expression" dxfId="30" priority="8">
      <formula>$E$19&lt;2014</formula>
    </cfRule>
  </conditionalFormatting>
  <conditionalFormatting sqref="Q53">
    <cfRule type="expression" dxfId="29" priority="7">
      <formula>$E$19&lt;2014</formula>
    </cfRule>
  </conditionalFormatting>
  <conditionalFormatting sqref="R53">
    <cfRule type="expression" dxfId="28" priority="6">
      <formula>$E$19&lt;2014</formula>
    </cfRule>
  </conditionalFormatting>
  <conditionalFormatting sqref="U53:W53">
    <cfRule type="expression" dxfId="27" priority="5">
      <formula>$E$19&lt;2014</formula>
    </cfRule>
  </conditionalFormatting>
  <conditionalFormatting sqref="Z53:AB53">
    <cfRule type="expression" dxfId="26" priority="4">
      <formula>$E$19&lt;2014</formula>
    </cfRule>
  </conditionalFormatting>
  <conditionalFormatting sqref="AE53:AG53">
    <cfRule type="expression" dxfId="25" priority="3">
      <formula>$E$19&lt;2014</formula>
    </cfRule>
  </conditionalFormatting>
  <conditionalFormatting sqref="AJ53:AL53">
    <cfRule type="expression" dxfId="24" priority="2">
      <formula>$E$19&lt;2014</formula>
    </cfRule>
  </conditionalFormatting>
  <conditionalFormatting sqref="AO53:AQ53">
    <cfRule type="expression" dxfId="23" priority="1">
      <formula>$E$19&lt;2014</formula>
    </cfRule>
  </conditionalFormatting>
  <dataValidations count="2">
    <dataValidation errorTitle="Selection Needed" error="Please select an option from the drop-down list." prompt="Use the following format eg: January 1, 2013" sqref="CI51:CI56" xr:uid="{AE240F2B-484F-4346-AE52-157691435087}"/>
    <dataValidation type="list" errorTitle="Selection Needed" error="Please select an option from the drop-down list." prompt="Use the following format eg: January 1, 2013" sqref="CI114 CI107 CI82 CI77 CI100:CI101 CI111:CI112 CI97:CI98 CI86 CI57:CI74 CI48 CI50" xr:uid="{892F6655-DD5C-4E5C-AB4D-53BECD11A946}">
      <formula1>"Yes,No"</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85</xdr:col>
                    <xdr:colOff>69850</xdr:colOff>
                    <xdr:row>58</xdr:row>
                    <xdr:rowOff>0</xdr:rowOff>
                  </from>
                  <to>
                    <xdr:col>85</xdr:col>
                    <xdr:colOff>1371600</xdr:colOff>
                    <xdr:row>59</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D19E5-DA8D-4313-A602-9F6113FC8A4D}">
  <dimension ref="A14:F92"/>
  <sheetViews>
    <sheetView topLeftCell="A22" workbookViewId="0">
      <selection activeCell="F29" sqref="F29"/>
    </sheetView>
  </sheetViews>
  <sheetFormatPr defaultColWidth="9" defaultRowHeight="12.5" x14ac:dyDescent="0.25"/>
  <cols>
    <col min="1" max="1" width="0.26953125" customWidth="1"/>
    <col min="2" max="2" width="15" customWidth="1"/>
    <col min="3" max="3" width="86.26953125" customWidth="1"/>
    <col min="5" max="5" width="20" customWidth="1"/>
    <col min="6" max="6" width="102" customWidth="1"/>
  </cols>
  <sheetData>
    <row r="14" spans="1:5" x14ac:dyDescent="0.25">
      <c r="A14" s="980"/>
    </row>
    <row r="15" spans="1:5" x14ac:dyDescent="0.25">
      <c r="A15" s="980"/>
    </row>
    <row r="16" spans="1:5" ht="30" customHeight="1" x14ac:dyDescent="0.25">
      <c r="A16" s="980"/>
      <c r="B16" s="1172" t="s">
        <v>185</v>
      </c>
      <c r="C16" s="1172"/>
      <c r="D16" s="1172"/>
      <c r="E16" s="1172"/>
    </row>
    <row r="17" spans="1:6" x14ac:dyDescent="0.25">
      <c r="A17" s="980"/>
    </row>
    <row r="18" spans="1:6" ht="38.25" customHeight="1" thickBot="1" x14ac:dyDescent="0.3">
      <c r="A18" s="980"/>
    </row>
    <row r="19" spans="1:6" ht="29" thickBot="1" x14ac:dyDescent="0.7">
      <c r="A19" s="980"/>
      <c r="C19" s="981"/>
      <c r="D19" s="805"/>
      <c r="E19" s="982"/>
      <c r="F19" s="805"/>
    </row>
    <row r="20" spans="1:6" ht="14.25" customHeight="1" x14ac:dyDescent="0.25">
      <c r="A20" s="980"/>
      <c r="C20" s="1173" t="s">
        <v>16</v>
      </c>
      <c r="D20" s="1153" t="s">
        <v>0</v>
      </c>
      <c r="E20" s="1125" t="str">
        <f>CONCATENATE("Variance                           RRR vs. ",'[4]2b. Continuity Schedule'!BC19," Balance                        (Principal + Interest)")</f>
        <v>Variance                           RRR vs. 2022 Balance                        (Principal + Interest)</v>
      </c>
      <c r="F20" s="1152" t="s">
        <v>20</v>
      </c>
    </row>
    <row r="21" spans="1:6" ht="24.75" customHeight="1" x14ac:dyDescent="0.25">
      <c r="A21" s="980"/>
      <c r="C21" s="1174"/>
      <c r="D21" s="1153"/>
      <c r="E21" s="1126"/>
      <c r="F21" s="1153"/>
    </row>
    <row r="22" spans="1:6" ht="37" customHeight="1" thickBot="1" x14ac:dyDescent="0.3">
      <c r="A22" s="980"/>
      <c r="B22" s="806"/>
      <c r="C22" s="1175"/>
      <c r="D22" s="1176"/>
      <c r="E22" s="1160"/>
      <c r="F22" s="1176"/>
    </row>
    <row r="23" spans="1:6" ht="33.75" customHeight="1" x14ac:dyDescent="0.25">
      <c r="A23" s="980"/>
      <c r="C23" s="983"/>
      <c r="D23" s="984"/>
      <c r="E23" s="985"/>
      <c r="F23" s="986"/>
    </row>
    <row r="24" spans="1:6" ht="30.75" customHeight="1" x14ac:dyDescent="0.25">
      <c r="A24" s="980">
        <v>1</v>
      </c>
      <c r="C24" s="987" t="str">
        <f>VLOOKUP(A24, '[4]2a. Continuity Schedule'!$A$24:$CG$60,3,FALSE)</f>
        <v>LV Variance Account</v>
      </c>
      <c r="D24" s="988">
        <f>VLOOKUP(A24, '[4]2a. Continuity Schedule'!$A$24:$CG$60,4,FALSE)</f>
        <v>1550</v>
      </c>
      <c r="E24" s="989">
        <f>IF(ISERROR(VLOOKUP($A24, '[4]2a. Continuity Schedule'!$A$20:$CG$60, MATCH('[4]3. Appendix A'!$E$20, '[4]2a. Continuity Schedule'!$A$20:$CG$20,0),FALSE)), 0, VLOOKUP($A24, '[4]2a. Continuity Schedule'!$A$20:$CG$60, MATCH('[4]3. Appendix A'!$E$20, '[4]2a. Continuity Schedule'!$A$20:$CG$20,0),FALSE))</f>
        <v>0</v>
      </c>
      <c r="F24" s="150"/>
    </row>
    <row r="25" spans="1:6" ht="30.75" customHeight="1" x14ac:dyDescent="0.25">
      <c r="A25" s="980">
        <v>2</v>
      </c>
      <c r="C25" s="987" t="str">
        <f>VLOOKUP(A25, '[4]2a. Continuity Schedule'!$A$24:$CG$60,3,FALSE)</f>
        <v>Smart Metering Entity Charge Variance Account</v>
      </c>
      <c r="D25" s="988">
        <f>VLOOKUP(A25, '[4]2a. Continuity Schedule'!$A$24:$CG$60,4,FALSE)</f>
        <v>1551</v>
      </c>
      <c r="E25" s="989">
        <f>IF(ISERROR(VLOOKUP($A25, '[4]2a. Continuity Schedule'!$A$20:$CG$60, MATCH('[4]3. Appendix A'!$E$20, '[4]2a. Continuity Schedule'!$A$20:$CG$20,0),FALSE)), 0, VLOOKUP($A25, '[4]2a. Continuity Schedule'!$A$20:$CG$60, MATCH('[4]3. Appendix A'!$E$20, '[4]2a. Continuity Schedule'!$A$20:$CG$20,0),FALSE))</f>
        <v>0</v>
      </c>
      <c r="F25" s="150"/>
    </row>
    <row r="26" spans="1:6" ht="30.75" customHeight="1" x14ac:dyDescent="0.25">
      <c r="A26" s="980">
        <v>3</v>
      </c>
      <c r="C26" s="987" t="str">
        <f>VLOOKUP(A26, '[4]2a. Continuity Schedule'!$A$24:$CG$60,3,FALSE)</f>
        <v>RSVA - Wholesale Market Service Charge5</v>
      </c>
      <c r="D26" s="988">
        <f>VLOOKUP(A26, '[4]2a. Continuity Schedule'!$A$24:$CG$60,4,FALSE)</f>
        <v>1580</v>
      </c>
      <c r="E26" s="989">
        <f>IF(ISERROR(VLOOKUP($A26, '[4]2a. Continuity Schedule'!$A$20:$CG$60, MATCH('[4]3. Appendix A'!$E$20, '[4]2a. Continuity Schedule'!$A$20:$CG$20,0),FALSE)), 0, VLOOKUP($A26, '[4]2a. Continuity Schedule'!$A$20:$CG$60, MATCH('[4]3. Appendix A'!$E$20, '[4]2a. Continuity Schedule'!$A$20:$CG$20,0),FALSE))</f>
        <v>0</v>
      </c>
      <c r="F26" s="150"/>
    </row>
    <row r="27" spans="1:6" ht="30.75" hidden="1" customHeight="1" x14ac:dyDescent="0.25">
      <c r="A27" s="980">
        <v>3.1</v>
      </c>
      <c r="C27" s="987" t="str">
        <f>VLOOKUP(A27, '[4]2a. Continuity Schedule'!$A$24:$CG$60,3,FALSE)</f>
        <v>Variance WMS – Sub-account CBR Class A5</v>
      </c>
      <c r="D27" s="988">
        <f>VLOOKUP(A27, '[4]2a. Continuity Schedule'!$A$24:$CG$60,4,FALSE)</f>
        <v>1580</v>
      </c>
      <c r="E27" s="989">
        <f>IF(ISERROR(VLOOKUP($A27, '[4]2a. Continuity Schedule'!$A$20:$CG$60, MATCH('[4]3. Appendix A'!$E$20, '[4]2a. Continuity Schedule'!$A$20:$CG$20,0),FALSE)), 0, VLOOKUP($A27, '[4]2a. Continuity Schedule'!$A$20:$CG$60, MATCH('[4]3. Appendix A'!$E$20, '[4]2a. Continuity Schedule'!$A$20:$CG$20,0),FALSE))</f>
        <v>0</v>
      </c>
      <c r="F27" s="150"/>
    </row>
    <row r="28" spans="1:6" ht="30.75" customHeight="1" x14ac:dyDescent="0.25">
      <c r="A28" s="980">
        <v>3.2</v>
      </c>
      <c r="C28" s="987" t="str">
        <f>VLOOKUP(A28, '[4]2a. Continuity Schedule'!$A$24:$CG$60,3,FALSE)</f>
        <v>Variance WMS – Sub-account CBR Class B5</v>
      </c>
      <c r="D28" s="988">
        <f>VLOOKUP(A28, '[4]2a. Continuity Schedule'!$A$24:$CG$60,4,FALSE)</f>
        <v>1580</v>
      </c>
      <c r="E28" s="989">
        <f>IF(ISERROR(VLOOKUP($A28, '[4]2a. Continuity Schedule'!$A$20:$CG$60, MATCH('[4]3. Appendix A'!$E$20, '[4]2a. Continuity Schedule'!$A$20:$CG$20,0),FALSE)), 0, VLOOKUP($A28, '[4]2a. Continuity Schedule'!$A$20:$CG$60, MATCH('[4]3. Appendix A'!$E$20, '[4]2a. Continuity Schedule'!$A$20:$CG$20,0),FALSE))</f>
        <v>0</v>
      </c>
      <c r="F28" s="150"/>
    </row>
    <row r="29" spans="1:6" ht="30.75" customHeight="1" x14ac:dyDescent="0.25">
      <c r="A29" s="980">
        <v>4</v>
      </c>
      <c r="C29" s="987" t="str">
        <f>VLOOKUP(A29, '[4]2a. Continuity Schedule'!$A$24:$CG$60,3,FALSE)</f>
        <v>RSVA - Retail Transmission Network Charge</v>
      </c>
      <c r="D29" s="988">
        <f>VLOOKUP(A29, '[4]2a. Continuity Schedule'!$A$24:$CG$60,4,FALSE)</f>
        <v>1584</v>
      </c>
      <c r="E29" s="989">
        <f>IF(ISERROR(VLOOKUP($A29, '[4]2a. Continuity Schedule'!$A$20:$CG$60, MATCH('[4]3. Appendix A'!$E$20, '[4]2a. Continuity Schedule'!$A$20:$CG$20,0),FALSE)), 0, VLOOKUP($A29, '[4]2a. Continuity Schedule'!$A$20:$CG$60, MATCH('[4]3. Appendix A'!$E$20, '[4]2a. Continuity Schedule'!$A$20:$CG$20,0),FALSE))</f>
        <v>0</v>
      </c>
      <c r="F29" s="150"/>
    </row>
    <row r="30" spans="1:6" ht="30.75" customHeight="1" x14ac:dyDescent="0.25">
      <c r="A30" s="980">
        <v>5</v>
      </c>
      <c r="C30" s="987" t="str">
        <f>VLOOKUP(A30, '[4]2a. Continuity Schedule'!$A$24:$CG$60,3,FALSE)</f>
        <v>RSVA - Retail Transmission Connection Charge</v>
      </c>
      <c r="D30" s="988">
        <f>VLOOKUP(A30, '[4]2a. Continuity Schedule'!$A$24:$CG$60,4,FALSE)</f>
        <v>1586</v>
      </c>
      <c r="E30" s="989">
        <f>IF(ISERROR(VLOOKUP($A30, '[4]2a. Continuity Schedule'!$A$20:$CG$60, MATCH('[4]3. Appendix A'!$E$20, '[4]2a. Continuity Schedule'!$A$20:$CG$20,0),FALSE)), 0, VLOOKUP($A30, '[4]2a. Continuity Schedule'!$A$20:$CG$60, MATCH('[4]3. Appendix A'!$E$20, '[4]2a. Continuity Schedule'!$A$20:$CG$20,0),FALSE))</f>
        <v>0</v>
      </c>
      <c r="F30" s="150"/>
    </row>
    <row r="31" spans="1:6" ht="30.75" customHeight="1" x14ac:dyDescent="0.25">
      <c r="A31" s="980">
        <v>6</v>
      </c>
      <c r="C31" s="987" t="str">
        <f>VLOOKUP(A31, '[4]2a. Continuity Schedule'!$A$24:$CG$60,3,FALSE)</f>
        <v>RSVA - Power (excluding Global Adjustment)4</v>
      </c>
      <c r="D31" s="988">
        <f>VLOOKUP(A31, '[4]2a. Continuity Schedule'!$A$24:$CG$60,4,FALSE)</f>
        <v>1588</v>
      </c>
      <c r="E31" s="989">
        <f>IF(ISERROR(VLOOKUP($A31, '[4]2a. Continuity Schedule'!$A$20:$CG$60, MATCH('[4]3. Appendix A'!$E$20, '[4]2a. Continuity Schedule'!$A$20:$CG$20,0),FALSE)), 0, VLOOKUP($A31, '[4]2a. Continuity Schedule'!$A$20:$CG$60, MATCH('[4]3. Appendix A'!$E$20, '[4]2a. Continuity Schedule'!$A$20:$CG$20,0),FALSE))</f>
        <v>0</v>
      </c>
      <c r="F31" s="990" t="s">
        <v>4001</v>
      </c>
    </row>
    <row r="32" spans="1:6" ht="30.75" customHeight="1" x14ac:dyDescent="0.25">
      <c r="A32" s="980">
        <v>7</v>
      </c>
      <c r="C32" s="987" t="str">
        <f>VLOOKUP(A32, '[4]2a. Continuity Schedule'!$A$24:$CG$60,3,FALSE)</f>
        <v>RSVA - Global Adjustment 4</v>
      </c>
      <c r="D32" s="988">
        <f>VLOOKUP(A32, '[4]2a. Continuity Schedule'!$A$24:$CG$60,4,FALSE)</f>
        <v>1589</v>
      </c>
      <c r="E32" s="989">
        <f>IF(ISERROR(VLOOKUP($A32, '[4]2a. Continuity Schedule'!$A$20:$CG$60, MATCH('[4]3. Appendix A'!$E$20, '[4]2a. Continuity Schedule'!$A$20:$CG$20,0),FALSE)), 0, VLOOKUP($A32, '[4]2a. Continuity Schedule'!$A$20:$CG$60, MATCH('[4]3. Appendix A'!$E$20, '[4]2a. Continuity Schedule'!$A$20:$CG$20,0),FALSE))</f>
        <v>0</v>
      </c>
      <c r="F32" s="150" t="s">
        <v>4002</v>
      </c>
    </row>
    <row r="33" spans="1:6" ht="30.75" hidden="1" customHeight="1" x14ac:dyDescent="0.25">
      <c r="A33" s="980">
        <v>8</v>
      </c>
      <c r="C33" s="987" t="str">
        <f>VLOOKUP(A33, '[4]2a. Continuity Schedule'!$A$24:$CG$60,3,FALSE)</f>
        <v>Disposition and Recovery/Refund of Regulatory Balances (2009)7</v>
      </c>
      <c r="D33" s="988">
        <f>VLOOKUP(A33, '[4]2a. Continuity Schedule'!$A$24:$CG$60,4,FALSE)</f>
        <v>1595</v>
      </c>
      <c r="E33" s="989">
        <f>IF(ISERROR(VLOOKUP($A33, '[4]2a. Continuity Schedule'!$A$20:$CG$60, MATCH('[4]3. Appendix A'!$E$20, '[4]2a. Continuity Schedule'!$A$20:$CG$20,0),FALSE)), 0, VLOOKUP($A33, '[4]2a. Continuity Schedule'!$A$20:$CG$60, MATCH('[4]3. Appendix A'!$E$20, '[4]2a. Continuity Schedule'!$A$20:$CG$20,0),FALSE))</f>
        <v>0</v>
      </c>
      <c r="F33" s="150"/>
    </row>
    <row r="34" spans="1:6" ht="30.75" hidden="1" customHeight="1" x14ac:dyDescent="0.25">
      <c r="A34" s="980">
        <v>9</v>
      </c>
      <c r="C34" s="987" t="str">
        <f>VLOOKUP(A34, '[4]2a. Continuity Schedule'!$A$24:$CG$60,3,FALSE)</f>
        <v>Disposition and Recovery/Refund of Regulatory Balances (2017 and pre-2017)3</v>
      </c>
      <c r="D34" s="988">
        <f>VLOOKUP(A34, '[4]2a. Continuity Schedule'!$A$24:$CG$60,4,FALSE)</f>
        <v>1595</v>
      </c>
      <c r="E34" s="989">
        <f>IF(ISERROR(VLOOKUP($A34, '[4]2a. Continuity Schedule'!$A$20:$CG$60, MATCH('[4]3. Appendix A'!$E$20, '[4]2a. Continuity Schedule'!$A$20:$CG$20,0),FALSE)), 0, VLOOKUP($A34, '[4]2a. Continuity Schedule'!$A$20:$CG$60, MATCH('[4]3. Appendix A'!$E$20, '[4]2a. Continuity Schedule'!$A$20:$CG$20,0),FALSE))</f>
        <v>0</v>
      </c>
      <c r="F34" s="150"/>
    </row>
    <row r="35" spans="1:6" ht="30.75" customHeight="1" x14ac:dyDescent="0.25">
      <c r="A35" s="980">
        <v>10</v>
      </c>
      <c r="C35" s="987" t="str">
        <f>VLOOKUP(A35, '[4]2a. Continuity Schedule'!$A$24:$CG$60,3,FALSE)</f>
        <v>Disposition and Recovery/Refund of Regulatory Balances (2018)3</v>
      </c>
      <c r="D35" s="988">
        <f>VLOOKUP(A35, '[4]2a. Continuity Schedule'!$A$24:$CG$60,4,FALSE)</f>
        <v>1595</v>
      </c>
      <c r="E35" s="989">
        <f>IF(ISERROR(VLOOKUP($A35, '[4]2a. Continuity Schedule'!$A$20:$CG$60, MATCH('[4]3. Appendix A'!$E$20, '[4]2a. Continuity Schedule'!$A$20:$CG$20,0),FALSE)), 0, VLOOKUP($A35, '[4]2a. Continuity Schedule'!$A$20:$CG$60, MATCH('[4]3. Appendix A'!$E$20, '[4]2a. Continuity Schedule'!$A$20:$CG$20,0),FALSE))</f>
        <v>0</v>
      </c>
      <c r="F35" s="150"/>
    </row>
    <row r="36" spans="1:6" ht="30.75" customHeight="1" x14ac:dyDescent="0.25">
      <c r="A36" s="980">
        <v>11</v>
      </c>
      <c r="C36" s="987" t="str">
        <f>VLOOKUP(A36, '[4]2a. Continuity Schedule'!$A$24:$CG$60,3,FALSE)</f>
        <v>Disposition and Recovery/Refund of Regulatory Balances (2019)3</v>
      </c>
      <c r="D36" s="988">
        <f>VLOOKUP(A36, '[4]2a. Continuity Schedule'!$A$24:$CG$60,4,FALSE)</f>
        <v>1595</v>
      </c>
      <c r="E36" s="989">
        <f>IF(ISERROR(VLOOKUP($A36, '[4]2a. Continuity Schedule'!$A$20:$CG$60, MATCH('[4]3. Appendix A'!$E$20, '[4]2a. Continuity Schedule'!$A$20:$CG$20,0),FALSE)), 0, VLOOKUP($A36, '[4]2a. Continuity Schedule'!$A$20:$CG$60, MATCH('[4]3. Appendix A'!$E$20, '[4]2a. Continuity Schedule'!$A$20:$CG$20,0),FALSE))</f>
        <v>0</v>
      </c>
      <c r="F36" s="150"/>
    </row>
    <row r="37" spans="1:6" ht="30.75" customHeight="1" x14ac:dyDescent="0.25">
      <c r="A37" s="980">
        <v>12</v>
      </c>
      <c r="C37" s="987" t="str">
        <f>VLOOKUP(A37, '[4]2a. Continuity Schedule'!$A$24:$CG$60,3,FALSE)</f>
        <v>Disposition and Recovery/Refund of Regulatory Balances (2020)3</v>
      </c>
      <c r="D37" s="988">
        <f>VLOOKUP(A37, '[4]2a. Continuity Schedule'!$A$24:$CG$60,4,FALSE)</f>
        <v>1595</v>
      </c>
      <c r="E37" s="989">
        <f>IF(ISERROR(VLOOKUP($A37, '[4]2a. Continuity Schedule'!$A$20:$CG$60, MATCH('[4]3. Appendix A'!$E$20, '[4]2a. Continuity Schedule'!$A$20:$CG$20,0),FALSE)), 0, VLOOKUP($A37, '[4]2a. Continuity Schedule'!$A$20:$CG$60, MATCH('[4]3. Appendix A'!$E$20, '[4]2a. Continuity Schedule'!$A$20:$CG$20,0),FALSE))</f>
        <v>0</v>
      </c>
      <c r="F37" s="150"/>
    </row>
    <row r="38" spans="1:6" ht="30.75" customHeight="1" x14ac:dyDescent="0.25">
      <c r="A38" s="980">
        <v>13</v>
      </c>
      <c r="C38" s="987" t="str">
        <f>VLOOKUP(A38, '[4]2a. Continuity Schedule'!$A$24:$CG$60,3,FALSE)</f>
        <v>Disposition and Recovery/Refund of Regulatory Balances (2021)3</v>
      </c>
      <c r="D38" s="988">
        <f>VLOOKUP(A38, '[4]2a. Continuity Schedule'!$A$24:$CG$60,4,FALSE)</f>
        <v>1595</v>
      </c>
      <c r="E38" s="989">
        <f>IF(ISERROR(VLOOKUP($A38, '[4]2a. Continuity Schedule'!$A$20:$CG$60, MATCH('[4]3. Appendix A'!$E$20, '[4]2a. Continuity Schedule'!$A$20:$CG$20,0),FALSE)), 0, VLOOKUP($A38, '[4]2a. Continuity Schedule'!$A$20:$CG$60, MATCH('[4]3. Appendix A'!$E$20, '[4]2a. Continuity Schedule'!$A$20:$CG$20,0),FALSE))</f>
        <v>0</v>
      </c>
      <c r="F38" s="150"/>
    </row>
    <row r="39" spans="1:6" ht="30.75" customHeight="1" x14ac:dyDescent="0.25">
      <c r="A39" s="980">
        <v>14</v>
      </c>
      <c r="C39" s="987" t="str">
        <f>VLOOKUP(A39, '[4]2a. Continuity Schedule'!$A$24:$CG$60,3,FALSE)</f>
        <v>Disposition and Recovery/Refund of Regulatory Balances (2022)3</v>
      </c>
      <c r="D39" s="988">
        <f>VLOOKUP(A39, '[4]2a. Continuity Schedule'!$A$24:$CG$60,4,FALSE)</f>
        <v>1595</v>
      </c>
      <c r="E39" s="989">
        <f>IF(ISERROR(VLOOKUP($A39, '[4]2a. Continuity Schedule'!$A$20:$CG$60, MATCH('[4]3. Appendix A'!$E$20, '[4]2a. Continuity Schedule'!$A$20:$CG$20,0),FALSE)), 0, VLOOKUP($A39, '[4]2a. Continuity Schedule'!$A$20:$CG$60, MATCH('[4]3. Appendix A'!$E$20, '[4]2a. Continuity Schedule'!$A$20:$CG$20,0),FALSE))</f>
        <v>0</v>
      </c>
      <c r="F39" s="150"/>
    </row>
    <row r="40" spans="1:6" ht="30.75" hidden="1" customHeight="1" x14ac:dyDescent="0.25">
      <c r="A40" s="980">
        <v>15</v>
      </c>
      <c r="C40" s="987" t="str">
        <f>VLOOKUP(A40, '[4]2a. Continuity Schedule'!$A$24:$CG$60,3,FALSE)</f>
        <v>Disposition and Recovery/Refund of Regulatory Balances (2023)3</v>
      </c>
      <c r="D40" s="988">
        <f>VLOOKUP(A40, '[4]2a. Continuity Schedule'!$A$24:$CG$60,4,FALSE)</f>
        <v>1595</v>
      </c>
      <c r="E40" s="989">
        <f>IF(ISERROR(VLOOKUP($A40, '[4]2a. Continuity Schedule'!$A$20:$CG$60, MATCH('[4]3. Appendix A'!$E$20, '[4]2a. Continuity Schedule'!$A$20:$CG$20,0),FALSE)), 0, VLOOKUP($A40, '[4]2a. Continuity Schedule'!$A$20:$CG$60, MATCH('[4]3. Appendix A'!$E$20, '[4]2a. Continuity Schedule'!$A$20:$CG$20,0),FALSE))</f>
        <v>0</v>
      </c>
      <c r="F40" s="150"/>
    </row>
    <row r="41" spans="1:6" ht="30.75" hidden="1" customHeight="1" x14ac:dyDescent="0.25">
      <c r="C41" s="983" t="s">
        <v>22</v>
      </c>
      <c r="D41" s="991"/>
      <c r="E41" s="989"/>
      <c r="F41" s="105"/>
    </row>
    <row r="42" spans="1:6" ht="30.75" hidden="1" customHeight="1" x14ac:dyDescent="0.25">
      <c r="A42">
        <v>16</v>
      </c>
      <c r="C42" s="987" t="str">
        <f>VLOOKUP(A42, '[4]2b. Continuity Schedule'!$A$24:$CK$114,3,FALSE)</f>
        <v>Deferred IFRS Transition Costs</v>
      </c>
      <c r="D42" s="988">
        <f>VLOOKUP(A42, '[4]2b. Continuity Schedule'!$A$24:$CK$114,4,FALSE)</f>
        <v>1508</v>
      </c>
      <c r="E42" s="989">
        <f>IF(ISERROR(VLOOKUP($A42, '[4]2b. Continuity Schedule'!$A$20:$CK$116, MATCH('[4]3. Appendix A'!$E$20, '[4]2b. Continuity Schedule'!$A$20:$CK$20,0),FALSE)), 0, VLOOKUP($A42, '[4]2b. Continuity Schedule'!$A$20:$CK$116, MATCH('[4]3. Appendix A'!$E$20, '[4]2b. Continuity Schedule'!$A$20:$CK$20,0),FALSE))</f>
        <v>0</v>
      </c>
      <c r="F42" s="151"/>
    </row>
    <row r="43" spans="1:6" ht="30.75" customHeight="1" x14ac:dyDescent="0.25">
      <c r="A43">
        <v>17</v>
      </c>
      <c r="C43" s="987" t="str">
        <f>VLOOKUP(A43, '[4]2b. Continuity Schedule'!$A$24:$CK$114,3,FALSE)</f>
        <v>Pole Attachment Revenue Variance5</v>
      </c>
      <c r="D43" s="988">
        <f>VLOOKUP(A43, '[4]2b. Continuity Schedule'!$A$24:$CK$114,4,FALSE)</f>
        <v>1508</v>
      </c>
      <c r="E43" s="989">
        <f>IF(ISERROR(VLOOKUP($A43, '[4]2b. Continuity Schedule'!$A$20:$CK$116, MATCH('[4]3. Appendix A'!$E$20, '[4]2b. Continuity Schedule'!$A$20:$CK$20,0),FALSE)), 0, VLOOKUP($A43, '[4]2b. Continuity Schedule'!$A$20:$CK$116, MATCH('[4]3. Appendix A'!$E$20, '[4]2b. Continuity Schedule'!$A$20:$CK$20,0),FALSE))</f>
        <v>7.7068624552339315E-2</v>
      </c>
      <c r="F43" s="150"/>
    </row>
    <row r="44" spans="1:6" ht="30.75" hidden="1" customHeight="1" x14ac:dyDescent="0.25">
      <c r="A44">
        <v>18</v>
      </c>
      <c r="C44" s="987" t="str">
        <f>VLOOKUP(A44, '[4]2b. Continuity Schedule'!$A$24:$CK$114,3,FALSE)</f>
        <v>Retail Service Charge Incremental Revenue6</v>
      </c>
      <c r="D44" s="988">
        <f>VLOOKUP(A44, '[4]2b. Continuity Schedule'!$A$24:$CK$114,4,FALSE)</f>
        <v>1508</v>
      </c>
      <c r="E44" s="989">
        <f>IF(ISERROR(VLOOKUP($A44, '[4]2b. Continuity Schedule'!$A$20:$CK$116, MATCH('[4]3. Appendix A'!$E$20, '[4]2b. Continuity Schedule'!$A$20:$CK$20,0),FALSE)), 0, VLOOKUP($A44, '[4]2b. Continuity Schedule'!$A$20:$CK$116, MATCH('[4]3. Appendix A'!$E$20, '[4]2b. Continuity Schedule'!$A$20:$CK$20,0),FALSE))</f>
        <v>0</v>
      </c>
      <c r="F44" s="150"/>
    </row>
    <row r="45" spans="1:6" ht="30.75" customHeight="1" x14ac:dyDescent="0.25">
      <c r="A45">
        <v>19</v>
      </c>
      <c r="C45" s="987" t="str">
        <f>VLOOKUP(A45, '[4]2b. Continuity Schedule'!$A$24:$CK$114,3,FALSE)</f>
        <v>Customer Choice Initiative Costs7</v>
      </c>
      <c r="D45" s="988">
        <f>VLOOKUP(A45, '[4]2b. Continuity Schedule'!$A$24:$CK$114,4,FALSE)</f>
        <v>1508</v>
      </c>
      <c r="E45" s="989">
        <f>IF(ISERROR(VLOOKUP($A45, '[4]2b. Continuity Schedule'!$A$20:$CK$116, MATCH('[4]3. Appendix A'!$E$20, '[4]2b. Continuity Schedule'!$A$20:$CK$20,0),FALSE)), 0, VLOOKUP($A45, '[4]2b. Continuity Schedule'!$A$20:$CK$116, MATCH('[4]3. Appendix A'!$E$20, '[4]2b. Continuity Schedule'!$A$20:$CK$20,0),FALSE))</f>
        <v>-0.45696051849517971</v>
      </c>
      <c r="F45" s="150"/>
    </row>
    <row r="46" spans="1:6" ht="30.75" customHeight="1" x14ac:dyDescent="0.25">
      <c r="A46">
        <v>20</v>
      </c>
      <c r="C46" s="987" t="str">
        <f>VLOOKUP(A46, '[4]2b. Continuity Schedule'!$A$24:$CK$114,3,FALSE)</f>
        <v>Local Initiatives Program Costs9</v>
      </c>
      <c r="D46" s="988">
        <f>VLOOKUP(A46, '[4]2b. Continuity Schedule'!$A$24:$CK$114,4,FALSE)</f>
        <v>1508</v>
      </c>
      <c r="E46" s="989">
        <f>IF(ISERROR(VLOOKUP($A46, '[4]2b. Continuity Schedule'!$A$20:$CK$116, MATCH('[4]3. Appendix A'!$E$20, '[4]2b. Continuity Schedule'!$A$20:$CK$20,0),FALSE)), 0, VLOOKUP($A46, '[4]2b. Continuity Schedule'!$A$20:$CK$116, MATCH('[4]3. Appendix A'!$E$20, '[4]2b. Continuity Schedule'!$A$20:$CK$20,0),FALSE))</f>
        <v>-0.19432662500003062</v>
      </c>
      <c r="F46" s="150"/>
    </row>
    <row r="47" spans="1:6" ht="30.75" hidden="1" customHeight="1" x14ac:dyDescent="0.25">
      <c r="A47">
        <v>21</v>
      </c>
      <c r="C47" s="987" t="str">
        <f>VLOOKUP(A47, '[4]2b. Continuity Schedule'!$A$24:$CK$114,3,FALSE)</f>
        <v>Green Button Initiative Costs10</v>
      </c>
      <c r="D47" s="988">
        <f>VLOOKUP(A47, '[4]2b. Continuity Schedule'!$A$24:$CK$114,4,FALSE)</f>
        <v>1508</v>
      </c>
      <c r="E47" s="989">
        <f>IF(ISERROR(VLOOKUP($A47, '[4]2b. Continuity Schedule'!$A$20:$CK$116, MATCH('[4]3. Appendix A'!$E$20, '[4]2b. Continuity Schedule'!$A$20:$CK$20,0),FALSE)), 0, VLOOKUP($A47, '[4]2b. Continuity Schedule'!$A$20:$CK$116, MATCH('[4]3. Appendix A'!$E$20, '[4]2b. Continuity Schedule'!$A$20:$CK$20,0),FALSE))</f>
        <v>0</v>
      </c>
      <c r="F47" s="150"/>
    </row>
    <row r="48" spans="1:6" ht="30.75" hidden="1" customHeight="1" x14ac:dyDescent="0.25">
      <c r="A48">
        <v>22</v>
      </c>
      <c r="C48" s="987" t="str">
        <f>VLOOKUP(A48, '[4]2b. Continuity Schedule'!$A$24:$CK$114,3,FALSE)</f>
        <v>Other Regulatory Assets, Sub-account Designated Broadband Project Impacts13</v>
      </c>
      <c r="D48" s="988">
        <f>VLOOKUP(A48, '[4]2b. Continuity Schedule'!$A$24:$CK$114,4,FALSE)</f>
        <v>1508</v>
      </c>
      <c r="E48" s="989">
        <f>IF(ISERROR(VLOOKUP($A48, '[4]2b. Continuity Schedule'!$A$20:$CK$116, MATCH('[4]3. Appendix A'!$E$20, '[4]2b. Continuity Schedule'!$A$20:$CK$20,0),FALSE)), 0, VLOOKUP($A48, '[4]2b. Continuity Schedule'!$A$20:$CK$116, MATCH('[4]3. Appendix A'!$E$20, '[4]2b. Continuity Schedule'!$A$20:$CK$20,0),FALSE))</f>
        <v>0</v>
      </c>
      <c r="F48" s="150"/>
    </row>
    <row r="49" spans="1:6" ht="30.75" customHeight="1" x14ac:dyDescent="0.25">
      <c r="A49">
        <v>23</v>
      </c>
      <c r="C49" s="987" t="str">
        <f>VLOOKUP(A49, '[4]2b. Continuity Schedule'!$A$24:$CK$114,3,FALSE)</f>
        <v>Other Regulatory Assets - Sub-Account - Impact for USGAAP Deferral</v>
      </c>
      <c r="D49" s="988">
        <f>VLOOKUP(A49, '[4]2b. Continuity Schedule'!$A$24:$CK$114,4,FALSE)</f>
        <v>1508</v>
      </c>
      <c r="E49" s="989">
        <f>IF(ISERROR(VLOOKUP($A49, '[4]2b. Continuity Schedule'!$A$20:$CK$116, MATCH('[4]3. Appendix A'!$E$20, '[4]2b. Continuity Schedule'!$A$20:$CK$20,0),FALSE)), 0, VLOOKUP($A49, '[4]2b. Continuity Schedule'!$A$20:$CK$116, MATCH('[4]3. Appendix A'!$E$20, '[4]2b. Continuity Schedule'!$A$20:$CK$20,0),FALSE))</f>
        <v>-0.35999999940395355</v>
      </c>
      <c r="F49" s="150"/>
    </row>
    <row r="50" spans="1:6" ht="30.75" customHeight="1" x14ac:dyDescent="0.25">
      <c r="A50">
        <v>24</v>
      </c>
      <c r="C50" s="987" t="str">
        <f>VLOOKUP(A50, '[4]2b. Continuity Schedule'!$A$24:$CK$114,3,FALSE)</f>
        <v>Other Regulatory Assets - Sub-Account - CRRRVA</v>
      </c>
      <c r="D50" s="988">
        <f>VLOOKUP(A50, '[4]2b. Continuity Schedule'!$A$24:$CK$114,4,FALSE)</f>
        <v>1508</v>
      </c>
      <c r="E50" s="989">
        <f>IF(ISERROR(VLOOKUP($A50, '[4]2b. Continuity Schedule'!$A$20:$CK$116, MATCH('[4]3. Appendix A'!$E$20, '[4]2b. Continuity Schedule'!$A$20:$CK$20,0),FALSE)), 0, VLOOKUP($A50, '[4]2b. Continuity Schedule'!$A$20:$CK$116, MATCH('[4]3. Appendix A'!$E$20, '[4]2b. Continuity Schedule'!$A$20:$CK$20,0),FALSE))</f>
        <v>-0.20850769651588053</v>
      </c>
      <c r="F50" s="150"/>
    </row>
    <row r="51" spans="1:6" ht="30.75" customHeight="1" x14ac:dyDescent="0.25">
      <c r="A51">
        <v>25</v>
      </c>
      <c r="C51" s="987" t="str">
        <f>VLOOKUP(A51, '[4]2b. Continuity Schedule'!$A$24:$CK$114,3,FALSE)</f>
        <v>Other Regulatory Assets - Sub-Account - Externally Driven Capital Variance Account (“EDCVA”)</v>
      </c>
      <c r="D51" s="988">
        <f>VLOOKUP(A51, '[4]2b. Continuity Schedule'!$A$24:$CK$114,4,FALSE)</f>
        <v>1508</v>
      </c>
      <c r="E51" s="989">
        <f>IF(ISERROR(VLOOKUP($A51, '[4]2b. Continuity Schedule'!$A$20:$CK$116, MATCH('[4]3. Appendix A'!$E$20, '[4]2b. Continuity Schedule'!$A$20:$CK$20,0),FALSE)), 0, VLOOKUP($A51, '[4]2b. Continuity Schedule'!$A$20:$CK$116, MATCH('[4]3. Appendix A'!$E$20, '[4]2b. Continuity Schedule'!$A$20:$CK$20,0),FALSE))</f>
        <v>0.46182011160999537</v>
      </c>
      <c r="F51" s="150"/>
    </row>
    <row r="52" spans="1:6" ht="30.75" customHeight="1" x14ac:dyDescent="0.25">
      <c r="A52">
        <v>26</v>
      </c>
      <c r="C52" s="987" t="str">
        <f>VLOOKUP(A52, '[4]2b. Continuity Schedule'!$A$24:$CK$114,3,FALSE)</f>
        <v>Other Regulatory Assets - Sub-Account - Derecognition</v>
      </c>
      <c r="D52" s="988">
        <f>VLOOKUP(A52, '[4]2b. Continuity Schedule'!$A$24:$CK$114,4,FALSE)</f>
        <v>1508</v>
      </c>
      <c r="E52" s="989">
        <f>IF(ISERROR(VLOOKUP($A52, '[4]2b. Continuity Schedule'!$A$20:$CK$116, MATCH('[4]3. Appendix A'!$E$20, '[4]2b. Continuity Schedule'!$A$20:$CK$20,0),FALSE)), 0, VLOOKUP($A52, '[4]2b. Continuity Schedule'!$A$20:$CK$116, MATCH('[4]3. Appendix A'!$E$20, '[4]2b. Continuity Schedule'!$A$20:$CK$20,0),FALSE))</f>
        <v>-1.1017169803380966E-2</v>
      </c>
      <c r="F52" s="150"/>
    </row>
    <row r="53" spans="1:6" ht="30.75" customHeight="1" x14ac:dyDescent="0.25">
      <c r="A53">
        <v>27</v>
      </c>
      <c r="C53" s="987" t="str">
        <f>VLOOKUP(A53, '[4]2b. Continuity Schedule'!$A$24:$CK$114,3,FALSE)</f>
        <v>Other Regulatory Assets - Sub-Account - Wireless Attachments</v>
      </c>
      <c r="D53" s="988">
        <f>VLOOKUP(A53, '[4]2b. Continuity Schedule'!$A$24:$CK$114,4,FALSE)</f>
        <v>1508</v>
      </c>
      <c r="E53" s="989">
        <f>IF(ISERROR(VLOOKUP($A53, '[4]2b. Continuity Schedule'!$A$20:$CK$116, MATCH('[4]3. Appendix A'!$E$20, '[4]2b. Continuity Schedule'!$A$20:$CK$20,0),FALSE)), 0, VLOOKUP($A53, '[4]2b. Continuity Schedule'!$A$20:$CK$116, MATCH('[4]3. Appendix A'!$E$20, '[4]2b. Continuity Schedule'!$A$20:$CK$20,0),FALSE))</f>
        <v>-0.58423300413414836</v>
      </c>
      <c r="F53" s="150"/>
    </row>
    <row r="54" spans="1:6" ht="30.75" customHeight="1" x14ac:dyDescent="0.25">
      <c r="A54">
        <v>28</v>
      </c>
      <c r="C54" s="987" t="str">
        <f>VLOOKUP(A54, '[4]2b. Continuity Schedule'!$A$24:$CK$114,3,FALSE)</f>
        <v>Other Regulatory Assets - Sub-Account - Monthly Billing</v>
      </c>
      <c r="D54" s="988">
        <f>VLOOKUP(A54, '[4]2b. Continuity Schedule'!$A$24:$CK$114,4,FALSE)</f>
        <v>1508</v>
      </c>
      <c r="E54" s="989">
        <f>IF(ISERROR(VLOOKUP($A54, '[4]2b. Continuity Schedule'!$A$20:$CK$116, MATCH('[4]3. Appendix A'!$E$20, '[4]2b. Continuity Schedule'!$A$20:$CK$20,0),FALSE)), 0, VLOOKUP($A54, '[4]2b. Continuity Schedule'!$A$20:$CK$116, MATCH('[4]3. Appendix A'!$E$20, '[4]2b. Continuity Schedule'!$A$20:$CK$20,0),FALSE))</f>
        <v>-2.2511521091246323E-2</v>
      </c>
      <c r="F54" s="150"/>
    </row>
    <row r="55" spans="1:6" ht="30.75" customHeight="1" x14ac:dyDescent="0.25">
      <c r="A55">
        <v>29</v>
      </c>
      <c r="C55" s="987" t="str">
        <f>VLOOKUP(A55, '[4]2b. Continuity Schedule'!$A$24:$CK$114,3,FALSE)</f>
        <v>Other Regulatory Assets - Sub-Account - Operating Centers Consolidation Program (“OCCP”)</v>
      </c>
      <c r="D55" s="988">
        <f>VLOOKUP(A55, '[4]2b. Continuity Schedule'!$A$24:$CK$114,4,FALSE)</f>
        <v>1508</v>
      </c>
      <c r="E55" s="989">
        <f>IF(ISERROR(VLOOKUP($A55, '[4]2b. Continuity Schedule'!$A$20:$CK$116, MATCH('[4]3. Appendix A'!$E$20, '[4]2b. Continuity Schedule'!$A$20:$CK$20,0),FALSE)), 0, VLOOKUP($A55, '[4]2b. Continuity Schedule'!$A$20:$CK$116, MATCH('[4]3. Appendix A'!$E$20, '[4]2b. Continuity Schedule'!$A$20:$CK$20,0),FALSE))</f>
        <v>0.61025245301425457</v>
      </c>
      <c r="F55" s="150"/>
    </row>
    <row r="56" spans="1:6" ht="30.75" hidden="1" customHeight="1" x14ac:dyDescent="0.25">
      <c r="A56">
        <v>30</v>
      </c>
      <c r="C56" s="987" t="e">
        <f>VLOOKUP(A56, '[4]2b. Continuity Schedule'!$A$24:$CK$114,3,FALSE)</f>
        <v>#N/A</v>
      </c>
      <c r="D56" s="988" t="e">
        <f>VLOOKUP(A56, '[4]2b. Continuity Schedule'!$A$24:$CK$114,4,FALSE)</f>
        <v>#N/A</v>
      </c>
      <c r="E56" s="989">
        <f>IF(ISERROR(VLOOKUP($A56, '[4]2b. Continuity Schedule'!$A$20:$CK$116, MATCH('[4]3. Appendix A'!$E$20, '[4]2b. Continuity Schedule'!$A$20:$CK$20,0),FALSE)), 0, VLOOKUP($A56, '[4]2b. Continuity Schedule'!$A$20:$CK$116, MATCH('[4]3. Appendix A'!$E$20, '[4]2b. Continuity Schedule'!$A$20:$CK$20,0),FALSE))</f>
        <v>0</v>
      </c>
      <c r="F56" s="150"/>
    </row>
    <row r="57" spans="1:6" ht="30.75" customHeight="1" x14ac:dyDescent="0.25">
      <c r="A57">
        <v>31</v>
      </c>
      <c r="C57" s="987" t="str">
        <f>VLOOKUP(A57, '[4]2b. Continuity Schedule'!$A$24:$CK$114,3,FALSE)</f>
        <v>Other Regulatory Assets - Sub-Account - Excess Expansion Deposits</v>
      </c>
      <c r="D57" s="988">
        <f>VLOOKUP(A57, '[4]2b. Continuity Schedule'!$A$24:$CK$114,4,FALSE)</f>
        <v>1508</v>
      </c>
      <c r="E57" s="989">
        <f>IF(ISERROR(VLOOKUP($A57, '[4]2b. Continuity Schedule'!$A$20:$CK$116, MATCH('[4]3. Appendix A'!$E$20, '[4]2b. Continuity Schedule'!$A$20:$CK$20,0),FALSE)), 0, VLOOKUP($A57, '[4]2b. Continuity Schedule'!$A$20:$CK$116, MATCH('[4]3. Appendix A'!$E$20, '[4]2b. Continuity Schedule'!$A$20:$CK$20,0),FALSE))</f>
        <v>-0.92856887355446815</v>
      </c>
      <c r="F57" s="150"/>
    </row>
    <row r="58" spans="1:6" ht="30.75" customHeight="1" x14ac:dyDescent="0.25">
      <c r="A58">
        <v>32</v>
      </c>
      <c r="C58" s="987" t="str">
        <f>VLOOKUP(A58, '[4]2b. Continuity Schedule'!$A$24:$CK$114,3,FALSE)</f>
        <v>Other Regulatory Assets - Sub-Account - AR Credits</v>
      </c>
      <c r="D58" s="988">
        <f>VLOOKUP(A58, '[4]2b. Continuity Schedule'!$A$24:$CK$114,4,FALSE)</f>
        <v>1508</v>
      </c>
      <c r="E58" s="989">
        <f>IF(ISERROR(VLOOKUP($A58, '[4]2b. Continuity Schedule'!$A$20:$CK$116, MATCH('[4]3. Appendix A'!$E$20, '[4]2b. Continuity Schedule'!$A$20:$CK$20,0),FALSE)), 0, VLOOKUP($A58, '[4]2b. Continuity Schedule'!$A$20:$CK$116, MATCH('[4]3. Appendix A'!$E$20, '[4]2b. Continuity Schedule'!$A$20:$CK$20,0),FALSE))</f>
        <v>-5.0000003073364496E-2</v>
      </c>
      <c r="F58" s="150"/>
    </row>
    <row r="59" spans="1:6" ht="30.75" hidden="1" customHeight="1" x14ac:dyDescent="0.25">
      <c r="A59">
        <v>33</v>
      </c>
      <c r="C59" s="987" t="str">
        <f>VLOOKUP(A59, '[4]2b. Continuity Schedule'!$A$24:$CK$114,3,FALSE)</f>
        <v>Other Regulatory Assets - Sub-Account - Operating Centers Consolidation Program (“OCCP”) Bonus Payment</v>
      </c>
      <c r="D59" s="988">
        <f>VLOOKUP(A59, '[4]2b. Continuity Schedule'!$A$24:$CK$114,4,FALSE)</f>
        <v>1508</v>
      </c>
      <c r="E59" s="989">
        <f>IF(ISERROR(VLOOKUP($A59, '[4]2b. Continuity Schedule'!$A$20:$CK$116, MATCH('[4]3. Appendix A'!$E$20, '[4]2b. Continuity Schedule'!$A$20:$CK$20,0),FALSE)), 0, VLOOKUP($A59, '[4]2b. Continuity Schedule'!$A$20:$CK$116, MATCH('[4]3. Appendix A'!$E$20, '[4]2b. Continuity Schedule'!$A$20:$CK$20,0),FALSE))</f>
        <v>0.35932499915361404</v>
      </c>
      <c r="F59" s="150"/>
    </row>
    <row r="60" spans="1:6" ht="30.75" hidden="1" customHeight="1" x14ac:dyDescent="0.25">
      <c r="A60">
        <v>34</v>
      </c>
      <c r="C60" s="987" t="str">
        <f>VLOOKUP(A60, '[4]2b. Continuity Schedule'!$A$24:$CK$114,3,FALSE)</f>
        <v>Other Regulatory Assets - Sub-Account - 50/60 Eglinton Proceeds of Sale Deferral Account</v>
      </c>
      <c r="D60" s="988">
        <f>VLOOKUP(A60, '[4]2b. Continuity Schedule'!$A$24:$CK$114,4,FALSE)</f>
        <v>1508</v>
      </c>
      <c r="E60" s="989">
        <f>IF(ISERROR(VLOOKUP($A60, '[4]2b. Continuity Schedule'!$A$20:$CK$116, MATCH('[4]3. Appendix A'!$E$20, '[4]2b. Continuity Schedule'!$A$20:$CK$20,0),FALSE)), 0, VLOOKUP($A60, '[4]2b. Continuity Schedule'!$A$20:$CK$116, MATCH('[4]3. Appendix A'!$E$20, '[4]2b. Continuity Schedule'!$A$20:$CK$20,0),FALSE))</f>
        <v>0.52387825027108192</v>
      </c>
      <c r="F60" s="150"/>
    </row>
    <row r="61" spans="1:6" ht="30.75" hidden="1" customHeight="1" x14ac:dyDescent="0.25">
      <c r="A61">
        <v>35</v>
      </c>
      <c r="C61" s="987" t="str">
        <f>VLOOKUP(A61, '[4]2b. Continuity Schedule'!$A$24:$CK$114,3,FALSE)</f>
        <v>Other Regulatory Assets - Sub-Account - Useful Life Changes</v>
      </c>
      <c r="D61" s="988">
        <f>VLOOKUP(A61, '[4]2b. Continuity Schedule'!$A$24:$CK$114,4,FALSE)</f>
        <v>1508</v>
      </c>
      <c r="E61" s="989">
        <f>IF(ISERROR(VLOOKUP($A61, '[4]2b. Continuity Schedule'!$A$20:$CK$116, MATCH('[4]3. Appendix A'!$E$20, '[4]2b. Continuity Schedule'!$A$20:$CK$20,0),FALSE)), 0, VLOOKUP($A61, '[4]2b. Continuity Schedule'!$A$20:$CK$116, MATCH('[4]3. Appendix A'!$E$20, '[4]2b. Continuity Schedule'!$A$20:$CK$20,0),FALSE))</f>
        <v>-0.11355890333652496</v>
      </c>
      <c r="F61" s="150"/>
    </row>
    <row r="62" spans="1:6" ht="30.75" customHeight="1" x14ac:dyDescent="0.25">
      <c r="A62">
        <v>36</v>
      </c>
      <c r="C62" s="987" t="str">
        <f>VLOOKUP(A62, '[4]2b. Continuity Schedule'!$A$24:$CK$114,3,FALSE)</f>
        <v>Other Regulatory Assets - Sub-Account - Gains on Sale of Properties</v>
      </c>
      <c r="D62" s="988">
        <f>VLOOKUP(A62, '[4]2b. Continuity Schedule'!$A$24:$CK$114,4,FALSE)</f>
        <v>1508</v>
      </c>
      <c r="E62" s="989">
        <f>IF(ISERROR(VLOOKUP($A62, '[4]2b. Continuity Schedule'!$A$20:$CK$116, MATCH('[4]3. Appendix A'!$E$20, '[4]2b. Continuity Schedule'!$A$20:$CK$20,0),FALSE)), 0, VLOOKUP($A62, '[4]2b. Continuity Schedule'!$A$20:$CK$116, MATCH('[4]3. Appendix A'!$E$20, '[4]2b. Continuity Schedule'!$A$20:$CK$20,0),FALSE))</f>
        <v>-0.28513858374208212</v>
      </c>
      <c r="F62" s="150"/>
    </row>
    <row r="63" spans="1:6" ht="30.75" hidden="1" customHeight="1" x14ac:dyDescent="0.25">
      <c r="A63">
        <v>37</v>
      </c>
      <c r="B63" s="986"/>
      <c r="C63" s="987" t="str">
        <f>VLOOKUP(A63, '[4]2b. Continuity Schedule'!$A$24:$CK$114,3,FALSE)</f>
        <v>Other Regulatory Assets - Sub-Account - OPEB Cash vs. Accrual</v>
      </c>
      <c r="D63" s="988">
        <f>VLOOKUP(A63, '[4]2b. Continuity Schedule'!$A$24:$CK$114,4,FALSE)</f>
        <v>1508</v>
      </c>
      <c r="E63" s="989">
        <f>IF(ISERROR(VLOOKUP($A63, '[4]2b. Continuity Schedule'!$A$20:$CK$116, MATCH('[4]3. Appendix A'!$E$20, '[4]2b. Continuity Schedule'!$A$20:$CK$20,0),FALSE)), 0, VLOOKUP($A63, '[4]2b. Continuity Schedule'!$A$20:$CK$116, MATCH('[4]3. Appendix A'!$E$20, '[4]2b. Continuity Schedule'!$A$20:$CK$20,0),FALSE))</f>
        <v>-1.4901502254360821E-10</v>
      </c>
      <c r="F63" s="150"/>
    </row>
    <row r="64" spans="1:6" ht="30.75" hidden="1" customHeight="1" x14ac:dyDescent="0.25">
      <c r="A64">
        <v>38</v>
      </c>
      <c r="B64" s="986"/>
      <c r="C64" s="987" t="str">
        <f>VLOOKUP(A64, '[4]2b. Continuity Schedule'!$A$24:$CK$114,3,FALSE)</f>
        <v>Other Regulatory Assets - Sub-Account - Carillion Insolvency Payments Receivable Account</v>
      </c>
      <c r="D64" s="988">
        <f>VLOOKUP(A64, '[4]2b. Continuity Schedule'!$A$24:$CK$114,4,FALSE)</f>
        <v>1508</v>
      </c>
      <c r="E64" s="989">
        <f>IF(ISERROR(VLOOKUP($A64, '[4]2b. Continuity Schedule'!$A$20:$CK$116, MATCH('[4]3. Appendix A'!$E$20, '[4]2b. Continuity Schedule'!$A$20:$CK$20,0),FALSE)), 0, VLOOKUP($A64, '[4]2b. Continuity Schedule'!$A$20:$CK$116, MATCH('[4]3. Appendix A'!$E$20, '[4]2b. Continuity Schedule'!$A$20:$CK$20,0),FALSE))</f>
        <v>-0.38938053097808734</v>
      </c>
      <c r="F64" s="150"/>
    </row>
    <row r="65" spans="1:6" ht="30.75" hidden="1" customHeight="1" x14ac:dyDescent="0.25">
      <c r="A65">
        <v>39</v>
      </c>
      <c r="B65" s="986"/>
      <c r="C65" s="987" t="str">
        <f>VLOOKUP(A65, '[4]2b. Continuity Schedule'!$A$24:$CK$114,3,FALSE)</f>
        <v>Retail Cost Variance Account - Retail6</v>
      </c>
      <c r="D65" s="988">
        <f>VLOOKUP(A65, '[4]2b. Continuity Schedule'!$A$24:$CK$114,4,FALSE)</f>
        <v>1518</v>
      </c>
      <c r="E65" s="989">
        <f>IF(ISERROR(VLOOKUP($A65, '[4]2b. Continuity Schedule'!$A$20:$CK$116, MATCH('[4]3. Appendix A'!$E$20, '[4]2b. Continuity Schedule'!$A$20:$CK$20,0),FALSE)), 0, VLOOKUP($A65, '[4]2b. Continuity Schedule'!$A$20:$CK$116, MATCH('[4]3. Appendix A'!$E$20, '[4]2b. Continuity Schedule'!$A$20:$CK$20,0),FALSE))</f>
        <v>0</v>
      </c>
      <c r="F65" s="150"/>
    </row>
    <row r="66" spans="1:6" ht="30.75" hidden="1" customHeight="1" x14ac:dyDescent="0.25">
      <c r="A66">
        <v>40</v>
      </c>
      <c r="B66" s="986"/>
      <c r="C66" s="987" t="str">
        <f>VLOOKUP(A66, '[4]2b. Continuity Schedule'!$A$24:$CK$114,3,FALSE)</f>
        <v>Pension &amp; OPEB Forecast Accrual versus Actual Cash Payment Differential Carrying Charges8</v>
      </c>
      <c r="D66" s="988">
        <f>VLOOKUP(A66, '[4]2b. Continuity Schedule'!$A$24:$CK$114,4,FALSE)</f>
        <v>1522</v>
      </c>
      <c r="E66" s="989">
        <f>IF(ISERROR(VLOOKUP($A66, '[4]2b. Continuity Schedule'!$A$20:$CK$116, MATCH('[4]3. Appendix A'!$E$20, '[4]2b. Continuity Schedule'!$A$20:$CK$20,0),FALSE)), 0, VLOOKUP($A66, '[4]2b. Continuity Schedule'!$A$20:$CK$116, MATCH('[4]3. Appendix A'!$E$20, '[4]2b. Continuity Schedule'!$A$20:$CK$20,0),FALSE))</f>
        <v>5.6931525250547566E-4</v>
      </c>
      <c r="F66" s="150"/>
    </row>
    <row r="67" spans="1:6" ht="30.75" hidden="1" customHeight="1" x14ac:dyDescent="0.25">
      <c r="A67">
        <v>41</v>
      </c>
      <c r="B67" s="986"/>
      <c r="C67" s="987" t="str">
        <f>VLOOKUP(A67, '[4]2b. Continuity Schedule'!$A$24:$CK$114,3,FALSE)</f>
        <v>Misc. Deferred Debits</v>
      </c>
      <c r="D67" s="988">
        <f>VLOOKUP(A67, '[4]2b. Continuity Schedule'!$A$24:$CK$114,4,FALSE)</f>
        <v>1525</v>
      </c>
      <c r="E67" s="989">
        <f>IF(ISERROR(VLOOKUP($A67, '[4]2b. Continuity Schedule'!$A$20:$CK$116, MATCH('[4]3. Appendix A'!$E$20, '[4]2b. Continuity Schedule'!$A$20:$CK$20,0),FALSE)), 0, VLOOKUP($A67, '[4]2b. Continuity Schedule'!$A$20:$CK$116, MATCH('[4]3. Appendix A'!$E$20, '[4]2b. Continuity Schedule'!$A$20:$CK$20,0),FALSE))</f>
        <v>0</v>
      </c>
      <c r="F67" s="150"/>
    </row>
    <row r="68" spans="1:6" ht="30.75" hidden="1" customHeight="1" x14ac:dyDescent="0.25">
      <c r="A68">
        <v>42</v>
      </c>
      <c r="B68" s="986"/>
      <c r="C68" s="987" t="str">
        <f>VLOOKUP(A68, '[4]2b. Continuity Schedule'!$A$24:$CK$114,3,FALSE)</f>
        <v>Retail Cost Variance Account - STR6</v>
      </c>
      <c r="D68" s="992">
        <f>VLOOKUP(A68, '[4]2b. Continuity Schedule'!$A$24:$CK$114,4,FALSE)</f>
        <v>1548</v>
      </c>
      <c r="E68" s="989">
        <f>IF(ISERROR(VLOOKUP($A68, '[4]2b. Continuity Schedule'!$A$20:$CK$116, MATCH('[4]3. Appendix A'!$E$20, '[4]2b. Continuity Schedule'!$A$20:$CK$20,0),FALSE)), 0, VLOOKUP($A68, '[4]2b. Continuity Schedule'!$A$20:$CK$116, MATCH('[4]3. Appendix A'!$E$20, '[4]2b. Continuity Schedule'!$A$20:$CK$20,0),FALSE))</f>
        <v>0</v>
      </c>
      <c r="F68" s="150"/>
    </row>
    <row r="69" spans="1:6" ht="29.25" hidden="1" customHeight="1" x14ac:dyDescent="0.25">
      <c r="A69">
        <v>43</v>
      </c>
      <c r="C69" s="987" t="str">
        <f>VLOOKUP(A69, '[4]2b. Continuity Schedule'!$A$24:$CK$114,3,FALSE)</f>
        <v>Extra-Ordinary Event Costs</v>
      </c>
      <c r="D69" s="992">
        <f>VLOOKUP(A69, '[4]2b. Continuity Schedule'!$A$24:$CK$114,4,FALSE)</f>
        <v>1572</v>
      </c>
      <c r="E69" s="989">
        <f>IF(ISERROR(VLOOKUP($A69, '[4]2b. Continuity Schedule'!$A$20:$CK$116, MATCH('[4]3. Appendix A'!$E$20, '[4]2b. Continuity Schedule'!$A$20:$CK$20,0),FALSE)), 0, VLOOKUP($A69, '[4]2b. Continuity Schedule'!$A$20:$CK$116, MATCH('[4]3. Appendix A'!$E$20, '[4]2b. Continuity Schedule'!$A$20:$CK$20,0),FALSE))</f>
        <v>0</v>
      </c>
      <c r="F69" s="150"/>
    </row>
    <row r="70" spans="1:6" ht="29.25" hidden="1" customHeight="1" x14ac:dyDescent="0.25">
      <c r="A70">
        <v>44</v>
      </c>
      <c r="C70" s="987" t="str">
        <f>VLOOKUP(A70, '[4]2b. Continuity Schedule'!$A$24:$CK$114,3,FALSE)</f>
        <v>Deferred Rate Impact Amounts</v>
      </c>
      <c r="D70" s="992">
        <f>VLOOKUP(A70, '[4]2b. Continuity Schedule'!$A$24:$CK$114,4,FALSE)</f>
        <v>1574</v>
      </c>
      <c r="E70" s="989">
        <f>IF(ISERROR(VLOOKUP($A70, '[4]2b. Continuity Schedule'!$A$20:$CK$116, MATCH('[4]3. Appendix A'!$E$20, '[4]2b. Continuity Schedule'!$A$20:$CK$20,0),FALSE)), 0, VLOOKUP($A70, '[4]2b. Continuity Schedule'!$A$20:$CK$116, MATCH('[4]3. Appendix A'!$E$20, '[4]2b. Continuity Schedule'!$A$20:$CK$20,0),FALSE))</f>
        <v>0</v>
      </c>
      <c r="F70" s="150"/>
    </row>
    <row r="71" spans="1:6" ht="29.25" hidden="1" customHeight="1" x14ac:dyDescent="0.25">
      <c r="A71">
        <v>45</v>
      </c>
      <c r="C71" s="987" t="str">
        <f>VLOOKUP(A71, '[4]2b. Continuity Schedule'!$A$24:$CK$114,3,FALSE)</f>
        <v>RSVA - One-time</v>
      </c>
      <c r="D71" s="992">
        <f>VLOOKUP(A71, '[4]2b. Continuity Schedule'!$A$24:$CK$114,4,FALSE)</f>
        <v>1582</v>
      </c>
      <c r="E71" s="989">
        <f>IF(ISERROR(VLOOKUP($A71, '[4]2b. Continuity Schedule'!$A$20:$CK$116, MATCH('[4]3. Appendix A'!$E$20, '[4]2b. Continuity Schedule'!$A$20:$CK$20,0),FALSE)), 0, VLOOKUP($A71, '[4]2b. Continuity Schedule'!$A$20:$CK$116, MATCH('[4]3. Appendix A'!$E$20, '[4]2b. Continuity Schedule'!$A$20:$CK$20,0),FALSE))</f>
        <v>0</v>
      </c>
      <c r="F71" s="150"/>
    </row>
    <row r="72" spans="1:6" ht="29.25" hidden="1" customHeight="1" x14ac:dyDescent="0.25">
      <c r="A72">
        <v>46</v>
      </c>
      <c r="C72" s="987" t="str">
        <f>VLOOKUP(A72, '[4]2b. Continuity Schedule'!$A$24:$CK$114,3,FALSE)</f>
        <v>Other Deferred Credits</v>
      </c>
      <c r="D72" s="992">
        <f>VLOOKUP(A72, '[4]2b. Continuity Schedule'!$A$24:$CK$114,4,FALSE)</f>
        <v>2425</v>
      </c>
      <c r="E72" s="989">
        <f>IF(ISERROR(VLOOKUP($A72, '[4]2b. Continuity Schedule'!$A$20:$CK$116, MATCH('[4]3. Appendix A'!$E$20, '[4]2b. Continuity Schedule'!$A$20:$CK$20,0),FALSE)), 0, VLOOKUP($A72, '[4]2b. Continuity Schedule'!$A$20:$CK$116, MATCH('[4]3. Appendix A'!$E$20, '[4]2b. Continuity Schedule'!$A$20:$CK$20,0),FALSE))</f>
        <v>0</v>
      </c>
      <c r="F72" s="150"/>
    </row>
    <row r="73" spans="1:6" ht="29.25" customHeight="1" x14ac:dyDescent="0.25">
      <c r="A73">
        <v>47</v>
      </c>
      <c r="C73" s="987" t="str">
        <f>VLOOKUP(A73, '[4]2b. Continuity Schedule'!$A$24:$CK$114,3,FALSE)</f>
        <v>PILs and Tax Variance for 2006 and Subsequent Years                                                                          (excludes sub-account and contra account below)</v>
      </c>
      <c r="D73" s="992">
        <f>VLOOKUP(A73, '[4]2b. Continuity Schedule'!$A$24:$CK$114,4,FALSE)</f>
        <v>1592</v>
      </c>
      <c r="E73" s="989">
        <f>IF(ISERROR(VLOOKUP($A73, '[4]2b. Continuity Schedule'!$A$20:$CK$116, MATCH('[4]3. Appendix A'!$E$20, '[4]2b. Continuity Schedule'!$A$20:$CK$20,0),FALSE)), 0, VLOOKUP($A73, '[4]2b. Continuity Schedule'!$A$20:$CK$116, MATCH('[4]3. Appendix A'!$E$20, '[4]2b. Continuity Schedule'!$A$20:$CK$20,0),FALSE))</f>
        <v>0.23890000348910689</v>
      </c>
      <c r="F73" s="150"/>
    </row>
    <row r="74" spans="1:6" ht="29.25" hidden="1" customHeight="1" x14ac:dyDescent="0.25">
      <c r="A74">
        <v>48</v>
      </c>
      <c r="C74" s="987" t="str">
        <f>VLOOKUP(A74, '[4]2b. Continuity Schedule'!$A$24:$CK$114,3,FALSE)</f>
        <v>PILs and Tax Variance for 2006 and Subsequent Years- Sub-account CCA Changes12</v>
      </c>
      <c r="D74" s="992">
        <f>VLOOKUP(A74, '[4]2b. Continuity Schedule'!$A$24:$CK$114,4,FALSE)</f>
        <v>1592</v>
      </c>
      <c r="E74" s="989">
        <f>IF(ISERROR(VLOOKUP($A74, '[4]2b. Continuity Schedule'!$A$20:$CK$116, MATCH('[4]3. Appendix A'!$E$20, '[4]2b. Continuity Schedule'!$A$20:$CK$20,0),FALSE)), 0, VLOOKUP($A74, '[4]2b. Continuity Schedule'!$A$20:$CK$116, MATCH('[4]3. Appendix A'!$E$20, '[4]2b. Continuity Schedule'!$A$20:$CK$20,0),FALSE))</f>
        <v>0</v>
      </c>
      <c r="F74" s="150"/>
    </row>
    <row r="75" spans="1:6" ht="29.25" customHeight="1" x14ac:dyDescent="0.25">
      <c r="A75">
        <v>49</v>
      </c>
      <c r="C75" s="987" t="str">
        <f>VLOOKUP(A75, '[4]2b. Continuity Schedule'!$A$24:$CK$114,3,FALSE)</f>
        <v>LRAM Variance Account4</v>
      </c>
      <c r="D75" s="992">
        <f>VLOOKUP(A75, '[4]2b. Continuity Schedule'!$A$24:$CK$114,4,FALSE)</f>
        <v>1568</v>
      </c>
      <c r="E75" s="989">
        <f>IF(ISERROR(VLOOKUP($A75, '[4]2b. Continuity Schedule'!$A$20:$CK$116, MATCH('[4]3. Appendix A'!$E$20, '[4]2b. Continuity Schedule'!$A$20:$CK$20,0),FALSE)), 0, VLOOKUP($A75, '[4]2b. Continuity Schedule'!$A$20:$CK$116, MATCH('[4]3. Appendix A'!$E$20, '[4]2b. Continuity Schedule'!$A$20:$CK$20,0),FALSE))</f>
        <v>-0.90724843576572312</v>
      </c>
      <c r="F75" s="150"/>
    </row>
    <row r="76" spans="1:6" ht="29.25" hidden="1" customHeight="1" x14ac:dyDescent="0.25">
      <c r="A76">
        <v>50</v>
      </c>
      <c r="C76" s="987" t="str">
        <f>VLOOKUP(A76, '[4]2b. Continuity Schedule'!$A$24:$CK$114,3,FALSE)</f>
        <v>Renewable Generation Connection Capital Deferral Account</v>
      </c>
      <c r="D76" s="992">
        <f>VLOOKUP(A76, '[4]2b. Continuity Schedule'!$A$24:$CK$114,4,FALSE)</f>
        <v>1531</v>
      </c>
      <c r="E76" s="989">
        <f>IF(ISERROR(VLOOKUP($A76, '[4]2b. Continuity Schedule'!$A$20:$CK$116, MATCH('[4]3. Appendix A'!$E$20, '[4]2b. Continuity Schedule'!$A$20:$CK$20,0),FALSE)), 0, VLOOKUP($A76, '[4]2b. Continuity Schedule'!$A$20:$CK$116, MATCH('[4]3. Appendix A'!$E$20, '[4]2b. Continuity Schedule'!$A$20:$CK$20,0),FALSE))</f>
        <v>0</v>
      </c>
      <c r="F76" s="150"/>
    </row>
    <row r="77" spans="1:6" ht="29.25" hidden="1" customHeight="1" x14ac:dyDescent="0.25">
      <c r="A77">
        <v>51</v>
      </c>
      <c r="C77" s="987" t="str">
        <f>VLOOKUP(A77, '[4]2b. Continuity Schedule'!$A$24:$CK$114,3,FALSE)</f>
        <v>Renewable Generation Connection OM&amp;A Deferral Account</v>
      </c>
      <c r="D77" s="992">
        <f>VLOOKUP(A77, '[4]2b. Continuity Schedule'!$A$24:$CK$114,4,FALSE)</f>
        <v>1532</v>
      </c>
      <c r="E77" s="989">
        <f>IF(ISERROR(VLOOKUP($A77, '[4]2b. Continuity Schedule'!$A$20:$CK$116, MATCH('[4]3. Appendix A'!$E$20, '[4]2b. Continuity Schedule'!$A$20:$CK$20,0),FALSE)), 0, VLOOKUP($A77, '[4]2b. Continuity Schedule'!$A$20:$CK$116, MATCH('[4]3. Appendix A'!$E$20, '[4]2b. Continuity Schedule'!$A$20:$CK$20,0),FALSE))</f>
        <v>0</v>
      </c>
      <c r="F77" s="150"/>
    </row>
    <row r="78" spans="1:6" ht="29.25" customHeight="1" x14ac:dyDescent="0.25">
      <c r="A78">
        <v>52</v>
      </c>
      <c r="C78" s="987" t="str">
        <f>VLOOKUP(A78, '[4]2b. Continuity Schedule'!$A$24:$CK$114,3,FALSE)</f>
        <v xml:space="preserve">Renewable Generation Connection Funding Adder Deferral Account </v>
      </c>
      <c r="D78" s="992">
        <f>VLOOKUP(A78, '[4]2b. Continuity Schedule'!$A$24:$CK$114,4,FALSE)</f>
        <v>1533</v>
      </c>
      <c r="E78" s="989">
        <f>IF(ISERROR(VLOOKUP($A78, '[4]2b. Continuity Schedule'!$A$20:$CK$116, MATCH('[4]3. Appendix A'!$E$20, '[4]2b. Continuity Schedule'!$A$20:$CK$20,0),FALSE)), 0, VLOOKUP($A78, '[4]2b. Continuity Schedule'!$A$20:$CK$116, MATCH('[4]3. Appendix A'!$E$20, '[4]2b. Continuity Schedule'!$A$20:$CK$20,0),FALSE))</f>
        <v>-8.9999998919665813E-2</v>
      </c>
      <c r="F78" s="150"/>
    </row>
    <row r="79" spans="1:6" ht="29.25" hidden="1" customHeight="1" x14ac:dyDescent="0.25">
      <c r="A79">
        <v>53</v>
      </c>
      <c r="C79" s="987" t="str">
        <f>VLOOKUP(A79, '[4]2b. Continuity Schedule'!$A$24:$CK$114,3,FALSE)</f>
        <v>Smart Grid Capital Deferral Account</v>
      </c>
      <c r="D79" s="992">
        <f>VLOOKUP(A79, '[4]2b. Continuity Schedule'!$A$24:$CK$114,4,FALSE)</f>
        <v>1534</v>
      </c>
      <c r="E79" s="989">
        <f>IF(ISERROR(VLOOKUP($A79, '[4]2b. Continuity Schedule'!$A$20:$CK$116, MATCH('[4]3. Appendix A'!$E$20, '[4]2b. Continuity Schedule'!$A$20:$CK$20,0),FALSE)), 0, VLOOKUP($A79, '[4]2b. Continuity Schedule'!$A$20:$CK$116, MATCH('[4]3. Appendix A'!$E$20, '[4]2b. Continuity Schedule'!$A$20:$CK$20,0),FALSE))</f>
        <v>0</v>
      </c>
      <c r="F79" s="150"/>
    </row>
    <row r="80" spans="1:6" ht="29.25" hidden="1" customHeight="1" x14ac:dyDescent="0.25">
      <c r="A80">
        <v>54</v>
      </c>
      <c r="C80" s="987" t="str">
        <f>VLOOKUP(A80, '[4]2b. Continuity Schedule'!$A$24:$CK$114,3,FALSE)</f>
        <v>Smart Grid OM&amp;A Deferral Account</v>
      </c>
      <c r="D80" s="992">
        <f>VLOOKUP(A80, '[4]2b. Continuity Schedule'!$A$24:$CK$114,4,FALSE)</f>
        <v>1535</v>
      </c>
      <c r="E80" s="989">
        <f>IF(ISERROR(VLOOKUP($A80, '[4]2b. Continuity Schedule'!$A$20:$CK$116, MATCH('[4]3. Appendix A'!$E$20, '[4]2b. Continuity Schedule'!$A$20:$CK$20,0),FALSE)), 0, VLOOKUP($A80, '[4]2b. Continuity Schedule'!$A$20:$CK$116, MATCH('[4]3. Appendix A'!$E$20, '[4]2b. Continuity Schedule'!$A$20:$CK$20,0),FALSE))</f>
        <v>0</v>
      </c>
      <c r="F80" s="150"/>
    </row>
    <row r="81" spans="1:6" ht="29.25" hidden="1" customHeight="1" x14ac:dyDescent="0.25">
      <c r="A81">
        <v>55</v>
      </c>
      <c r="C81" s="987" t="str">
        <f>VLOOKUP(A81, '[4]2b. Continuity Schedule'!$A$24:$CK$114,3,FALSE)</f>
        <v>Smart Grid Funding Adder Deferral Account</v>
      </c>
      <c r="D81" s="992">
        <f>VLOOKUP(A81, '[4]2b. Continuity Schedule'!$A$24:$CK$114,4,FALSE)</f>
        <v>1536</v>
      </c>
      <c r="E81" s="989">
        <f>IF(ISERROR(VLOOKUP($A81, '[4]2b. Continuity Schedule'!$A$20:$CK$116, MATCH('[4]3. Appendix A'!$E$20, '[4]2b. Continuity Schedule'!$A$20:$CK$20,0),FALSE)), 0, VLOOKUP($A81, '[4]2b. Continuity Schedule'!$A$20:$CK$116, MATCH('[4]3. Appendix A'!$E$20, '[4]2b. Continuity Schedule'!$A$20:$CK$20,0),FALSE))</f>
        <v>0</v>
      </c>
      <c r="F81" s="150"/>
    </row>
    <row r="82" spans="1:6" ht="29.25" hidden="1" customHeight="1" x14ac:dyDescent="0.25">
      <c r="A82">
        <v>56</v>
      </c>
      <c r="C82" s="987" t="str">
        <f>VLOOKUP(A82, '[4]2b. Continuity Schedule'!$A$24:$CK$114,3,FALSE)</f>
        <v>Smart Meter Capital and Recovery Offset Variance - Sub-Account - Capital4</v>
      </c>
      <c r="D82" s="992">
        <f>VLOOKUP(A82, '[4]2b. Continuity Schedule'!$A$24:$CK$114,4,FALSE)</f>
        <v>1555</v>
      </c>
      <c r="E82" s="989">
        <f>IF(ISERROR(VLOOKUP($A82, '[4]2b. Continuity Schedule'!$A$20:$CK$116, MATCH('[4]3. Appendix A'!$E$20, '[4]2b. Continuity Schedule'!$A$20:$CK$20,0),FALSE)), 0, VLOOKUP($A82, '[4]2b. Continuity Schedule'!$A$20:$CK$116, MATCH('[4]3. Appendix A'!$E$20, '[4]2b. Continuity Schedule'!$A$20:$CK$20,0),FALSE))</f>
        <v>0</v>
      </c>
      <c r="F82" s="150"/>
    </row>
    <row r="83" spans="1:6" ht="29.25" hidden="1" customHeight="1" x14ac:dyDescent="0.25">
      <c r="A83">
        <v>57</v>
      </c>
      <c r="C83" s="987" t="str">
        <f>VLOOKUP(A83, '[4]2b. Continuity Schedule'!$A$24:$CK$114,3,FALSE)</f>
        <v>Smart Meter Capital and Recovery Offset Variance - Sub-Account - Recoveries4</v>
      </c>
      <c r="D83" s="992">
        <f>VLOOKUP(A83, '[4]2b. Continuity Schedule'!$A$24:$CK$114,4,FALSE)</f>
        <v>1555</v>
      </c>
      <c r="E83" s="989">
        <f>IF(ISERROR(VLOOKUP($A83, '[4]2b. Continuity Schedule'!$A$20:$CK$116, MATCH('[4]3. Appendix A'!$E$20, '[4]2b. Continuity Schedule'!$A$20:$CK$20,0),FALSE)), 0, VLOOKUP($A83, '[4]2b. Continuity Schedule'!$A$20:$CK$116, MATCH('[4]3. Appendix A'!$E$20, '[4]2b. Continuity Schedule'!$A$20:$CK$20,0),FALSE))</f>
        <v>0</v>
      </c>
      <c r="F83" s="150"/>
    </row>
    <row r="84" spans="1:6" ht="29.25" hidden="1" customHeight="1" x14ac:dyDescent="0.25">
      <c r="A84">
        <v>58</v>
      </c>
      <c r="C84" s="987" t="str">
        <f>VLOOKUP(A84, '[4]2b. Continuity Schedule'!$A$24:$CK$114,3,FALSE)</f>
        <v>Smart Meter Capital and Recovery Offset Variance - Sub-Account - Stranded Meter Costs</v>
      </c>
      <c r="D84" s="992">
        <f>VLOOKUP(A84, '[4]2b. Continuity Schedule'!$A$24:$CK$114,4,FALSE)</f>
        <v>1555</v>
      </c>
      <c r="E84" s="989">
        <f>IF(ISERROR(VLOOKUP($A84, '[4]2b. Continuity Schedule'!$A$20:$CK$116, MATCH('[4]3. Appendix A'!$E$20, '[4]2b. Continuity Schedule'!$A$20:$CK$20,0),FALSE)), 0, VLOOKUP($A84, '[4]2b. Continuity Schedule'!$A$20:$CK$116, MATCH('[4]3. Appendix A'!$E$20, '[4]2b. Continuity Schedule'!$A$20:$CK$20,0),FALSE))</f>
        <v>-0.55422200384782627</v>
      </c>
      <c r="F84" s="150"/>
    </row>
    <row r="85" spans="1:6" ht="29.25" hidden="1" customHeight="1" x14ac:dyDescent="0.25">
      <c r="A85">
        <v>59</v>
      </c>
      <c r="C85" s="987" t="str">
        <f>VLOOKUP(A85, '[4]2b. Continuity Schedule'!$A$24:$CK$114,3,FALSE)</f>
        <v>Smart Meter OM&amp;A Variance4</v>
      </c>
      <c r="D85" s="992">
        <f>VLOOKUP(A85, '[4]2b. Continuity Schedule'!$A$24:$CK$114,4,FALSE)</f>
        <v>1556</v>
      </c>
      <c r="E85" s="989">
        <f>IF(ISERROR(VLOOKUP($A85, '[4]2b. Continuity Schedule'!$A$20:$CK$116, MATCH('[4]3. Appendix A'!$E$20, '[4]2b. Continuity Schedule'!$A$20:$CK$20,0),FALSE)), 0, VLOOKUP($A85, '[4]2b. Continuity Schedule'!$A$20:$CK$116, MATCH('[4]3. Appendix A'!$E$20, '[4]2b. Continuity Schedule'!$A$20:$CK$20,0),FALSE))</f>
        <v>0</v>
      </c>
      <c r="F85" s="150"/>
    </row>
    <row r="86" spans="1:6" ht="29.25" hidden="1" customHeight="1" x14ac:dyDescent="0.25">
      <c r="A86">
        <v>60</v>
      </c>
      <c r="C86" s="987" t="str">
        <f>VLOOKUP(A86, '[4]2b. Continuity Schedule'!$A$24:$CK$114,3,FALSE)</f>
        <v>Meter Cost Deferral Account (MIST Meters)3</v>
      </c>
      <c r="D86" s="992">
        <f>VLOOKUP(A86, '[4]2b. Continuity Schedule'!$A$24:$CK$114,4,FALSE)</f>
        <v>1557</v>
      </c>
      <c r="E86" s="989">
        <f>IF(ISERROR(VLOOKUP($A86, '[4]2b. Continuity Schedule'!$A$20:$CK$116, MATCH('[4]3. Appendix A'!$E$20, '[4]2b. Continuity Schedule'!$A$20:$CK$20,0),FALSE)), 0, VLOOKUP($A86, '[4]2b. Continuity Schedule'!$A$20:$CK$116, MATCH('[4]3. Appendix A'!$E$20, '[4]2b. Continuity Schedule'!$A$20:$CK$20,0),FALSE))</f>
        <v>0</v>
      </c>
      <c r="F86" s="150"/>
    </row>
    <row r="87" spans="1:6" ht="29.25" hidden="1" customHeight="1" x14ac:dyDescent="0.25">
      <c r="A87">
        <v>61</v>
      </c>
      <c r="C87" s="987" t="str">
        <f>VLOOKUP(A87, '[4]2b. Continuity Schedule'!$A$24:$CK$114,3,FALSE)</f>
        <v>IFRS-CGAAP Transition PP&amp;E Amounts Balance + Return Component</v>
      </c>
      <c r="D87" s="992">
        <f>VLOOKUP(A87, '[4]2b. Continuity Schedule'!$A$24:$CK$114,4,FALSE)</f>
        <v>1575</v>
      </c>
      <c r="E87" s="989">
        <f>IF(ISERROR(VLOOKUP($A87, '[4]2b. Continuity Schedule'!$A$20:$CK$116, MATCH('[4]3. Appendix A'!$E$20, '[4]2b. Continuity Schedule'!$A$20:$CK$20,0),FALSE)), 0, VLOOKUP($A87, '[4]2b. Continuity Schedule'!$A$20:$CK$116, MATCH('[4]3. Appendix A'!$E$20, '[4]2b. Continuity Schedule'!$A$20:$CK$20,0),FALSE))</f>
        <v>-15.519999998359708</v>
      </c>
      <c r="F87" s="150"/>
    </row>
    <row r="88" spans="1:6" ht="29.25" hidden="1" customHeight="1" x14ac:dyDescent="0.25">
      <c r="A88">
        <v>62</v>
      </c>
      <c r="C88" s="987" t="str">
        <f>VLOOKUP(A88, '[4]2b. Continuity Schedule'!$A$24:$CK$114,3,FALSE)</f>
        <v>Accounting Changes Under CGAAP Balance + Return Component</v>
      </c>
      <c r="D88" s="992">
        <f>VLOOKUP(A88, '[4]2b. Continuity Schedule'!$A$24:$CK$114,4,FALSE)</f>
        <v>1576</v>
      </c>
      <c r="E88" s="989">
        <f>IF(ISERROR(VLOOKUP($A88, '[4]2b. Continuity Schedule'!$A$20:$CK$116, MATCH('[4]3. Appendix A'!$E$20, '[4]2b. Continuity Schedule'!$A$20:$CK$20,0),FALSE)), 0, VLOOKUP($A88, '[4]2b. Continuity Schedule'!$A$20:$CK$116, MATCH('[4]3. Appendix A'!$E$20, '[4]2b. Continuity Schedule'!$A$20:$CK$20,0),FALSE))</f>
        <v>0</v>
      </c>
      <c r="F88" s="150"/>
    </row>
    <row r="89" spans="1:6" ht="29.25" hidden="1" customHeight="1" x14ac:dyDescent="0.25">
      <c r="A89">
        <v>63</v>
      </c>
      <c r="C89" s="993" t="str">
        <f>VLOOKUP(A89, '[4]2b. Continuity Schedule'!$A$24:$CK$114,3,FALSE)</f>
        <v>Impacts Arising from the COVID-19 Emergency11</v>
      </c>
      <c r="D89" s="994">
        <f>VLOOKUP(A89, '[4]2b. Continuity Schedule'!$A$24:$CK$114,4,FALSE)</f>
        <v>1509</v>
      </c>
      <c r="E89" s="995">
        <f>IF(ISERROR(VLOOKUP($A89, '[4]2b. Continuity Schedule'!$A$20:$CK$116, MATCH('[4]3. Appendix A'!$E$20, '[4]2b. Continuity Schedule'!$A$20:$CK$20,0),FALSE)), 0, VLOOKUP($A89, '[4]2b. Continuity Schedule'!$A$20:$CK$116, MATCH('[4]3. Appendix A'!$E$20, '[4]2b. Continuity Schedule'!$A$20:$CK$20,0),FALSE))</f>
        <v>0</v>
      </c>
      <c r="F89" s="996"/>
    </row>
    <row r="90" spans="1:6" hidden="1" x14ac:dyDescent="0.25"/>
    <row r="91" spans="1:6" hidden="1" x14ac:dyDescent="0.25"/>
    <row r="92" spans="1:6" hidden="1" x14ac:dyDescent="0.25"/>
  </sheetData>
  <sheetProtection algorithmName="SHA-512" hashValue="s810t6dnvu1niCk8ttdpu4cGFfQKx9hpNHdclg/2jJ70N3Eqz4rZNuUklIlwUTQWhPV86YNGCGQjgxXoUohvCQ==" saltValue="pXywo9dW8D0dWJkdwQunqw==" spinCount="100000" sheet="1" objects="1" scenarios="1"/>
  <mergeCells count="5">
    <mergeCell ref="B16:E16"/>
    <mergeCell ref="C20:C22"/>
    <mergeCell ref="D20:D22"/>
    <mergeCell ref="E20:E22"/>
    <mergeCell ref="F20:F22"/>
  </mergeCells>
  <conditionalFormatting sqref="F42:F67 F24:F40">
    <cfRule type="expression" dxfId="22" priority="4" stopIfTrue="1">
      <formula>ISBLANK(F24)</formula>
    </cfRule>
  </conditionalFormatting>
  <conditionalFormatting sqref="F68:F87">
    <cfRule type="expression" dxfId="21" priority="3" stopIfTrue="1">
      <formula>ISBLANK(F68)</formula>
    </cfRule>
  </conditionalFormatting>
  <conditionalFormatting sqref="F89">
    <cfRule type="expression" dxfId="20" priority="2" stopIfTrue="1">
      <formula>ISBLANK(F89)</formula>
    </cfRule>
  </conditionalFormatting>
  <conditionalFormatting sqref="F88">
    <cfRule type="expression" dxfId="19" priority="1" stopIfTrue="1">
      <formula>ISBLANK(F88)</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XEV55"/>
  <sheetViews>
    <sheetView showGridLines="0" topLeftCell="D4" zoomScale="85" zoomScaleNormal="85" workbookViewId="0">
      <selection activeCell="S21" sqref="S21:S28"/>
    </sheetView>
  </sheetViews>
  <sheetFormatPr defaultColWidth="9" defaultRowHeight="12.5" x14ac:dyDescent="0.25"/>
  <cols>
    <col min="1" max="1" width="9" style="1"/>
    <col min="2" max="2" width="54" style="1" bestFit="1" customWidth="1"/>
    <col min="3" max="3" width="9.26953125" style="1" customWidth="1"/>
    <col min="4" max="4" width="14.81640625" style="1" customWidth="1"/>
    <col min="5" max="6" width="17" style="1" customWidth="1"/>
    <col min="7" max="7" width="14.7265625" style="1" bestFit="1" customWidth="1"/>
    <col min="8" max="8" width="12.7265625" style="1" bestFit="1" customWidth="1"/>
    <col min="9" max="9" width="16" style="1" bestFit="1" customWidth="1"/>
    <col min="10" max="10" width="19.54296875" style="1" customWidth="1"/>
    <col min="11" max="11" width="19.26953125" style="1" customWidth="1"/>
    <col min="12" max="12" width="17" style="1" customWidth="1"/>
    <col min="13" max="13" width="18" style="1" bestFit="1" customWidth="1"/>
    <col min="14" max="14" width="17" style="1" hidden="1" customWidth="1"/>
    <col min="15" max="15" width="19" style="1" customWidth="1"/>
    <col min="16" max="16" width="19.54296875" style="1" customWidth="1"/>
    <col min="17" max="17" width="21.26953125" style="1" customWidth="1"/>
    <col min="18" max="18" width="21.81640625" style="1" hidden="1" customWidth="1"/>
    <col min="19" max="19" width="26.7265625" style="1" customWidth="1"/>
    <col min="20" max="20" width="20.81640625" style="1" customWidth="1"/>
    <col min="21" max="28" width="21.26953125" style="1" hidden="1" customWidth="1"/>
    <col min="29" max="30" width="17.26953125" style="1" customWidth="1"/>
    <col min="31" max="16384" width="9" style="1"/>
  </cols>
  <sheetData>
    <row r="1" spans="2:16" x14ac:dyDescent="0.25">
      <c r="J1" s="299"/>
      <c r="K1" s="299"/>
      <c r="L1" s="299"/>
    </row>
    <row r="2" spans="2:16" x14ac:dyDescent="0.25">
      <c r="B2" s="299"/>
      <c r="J2" s="299"/>
      <c r="K2" s="299"/>
      <c r="L2" s="299"/>
    </row>
    <row r="3" spans="2:16" x14ac:dyDescent="0.25">
      <c r="J3" s="299"/>
      <c r="K3" s="299"/>
      <c r="L3" s="299"/>
    </row>
    <row r="4" spans="2:16" x14ac:dyDescent="0.25">
      <c r="J4" s="299"/>
      <c r="K4" s="299"/>
      <c r="L4" s="299"/>
    </row>
    <row r="5" spans="2:16" x14ac:dyDescent="0.25">
      <c r="J5" s="299"/>
      <c r="K5" s="299"/>
      <c r="L5" s="299"/>
    </row>
    <row r="6" spans="2:16" x14ac:dyDescent="0.25">
      <c r="J6" s="299"/>
      <c r="K6" s="299"/>
      <c r="L6" s="299"/>
    </row>
    <row r="7" spans="2:16" x14ac:dyDescent="0.25">
      <c r="J7" s="299"/>
      <c r="K7" s="299"/>
      <c r="L7" s="299"/>
    </row>
    <row r="8" spans="2:16" x14ac:dyDescent="0.25">
      <c r="J8" s="299"/>
      <c r="K8" s="299"/>
      <c r="L8" s="299"/>
    </row>
    <row r="9" spans="2:16" x14ac:dyDescent="0.25">
      <c r="J9" s="299"/>
      <c r="K9" s="299"/>
      <c r="L9" s="299"/>
    </row>
    <row r="10" spans="2:16" x14ac:dyDescent="0.25">
      <c r="J10" s="299"/>
      <c r="K10" s="299"/>
      <c r="L10" s="299"/>
    </row>
    <row r="11" spans="2:16" x14ac:dyDescent="0.25">
      <c r="J11" s="299"/>
      <c r="K11" s="299"/>
      <c r="L11" s="299"/>
    </row>
    <row r="12" spans="2:16" x14ac:dyDescent="0.25">
      <c r="J12" s="299"/>
      <c r="K12" s="299"/>
      <c r="L12" s="299"/>
    </row>
    <row r="13" spans="2:16" ht="3" customHeight="1" x14ac:dyDescent="0.25">
      <c r="J13" s="299"/>
      <c r="K13" s="299"/>
      <c r="L13" s="299"/>
    </row>
    <row r="14" spans="2:16" ht="3" customHeight="1" x14ac:dyDescent="0.25">
      <c r="J14" s="299"/>
      <c r="K14" s="299"/>
      <c r="L14" s="299"/>
    </row>
    <row r="15" spans="2:16" ht="3" customHeight="1" x14ac:dyDescent="0.25"/>
    <row r="16" spans="2:16" ht="12.75" customHeight="1" x14ac:dyDescent="0.25">
      <c r="B16" s="1177" t="s">
        <v>158</v>
      </c>
      <c r="C16" s="1177"/>
      <c r="D16" s="1177"/>
      <c r="E16" s="1177"/>
      <c r="F16" s="1177"/>
      <c r="G16" s="1177"/>
      <c r="H16" s="1177"/>
      <c r="I16" s="1177"/>
      <c r="J16" s="111"/>
      <c r="K16" s="111"/>
      <c r="L16" s="111"/>
      <c r="M16" s="111"/>
      <c r="N16" s="111"/>
      <c r="O16" s="111"/>
      <c r="P16" s="111"/>
    </row>
    <row r="17" spans="1:16376" x14ac:dyDescent="0.25">
      <c r="B17" s="1177"/>
      <c r="C17" s="1177"/>
      <c r="D17" s="1177"/>
      <c r="E17" s="1177"/>
      <c r="F17" s="1177"/>
      <c r="G17" s="1177"/>
      <c r="H17" s="1177"/>
      <c r="I17" s="1177"/>
      <c r="J17" s="111"/>
      <c r="K17" s="111"/>
      <c r="L17" s="111"/>
      <c r="M17" s="111"/>
      <c r="N17" s="111"/>
      <c r="O17" s="111"/>
      <c r="P17" s="111"/>
    </row>
    <row r="18" spans="1:16376" ht="25" x14ac:dyDescent="0.25">
      <c r="B18" s="112"/>
      <c r="C18" s="112"/>
      <c r="D18" s="112"/>
      <c r="E18" s="1182" t="s">
        <v>186</v>
      </c>
      <c r="F18" s="1182"/>
      <c r="G18" s="1182" t="s">
        <v>187</v>
      </c>
      <c r="H18" s="1182"/>
      <c r="I18" s="112"/>
      <c r="J18" s="1182" t="s">
        <v>192</v>
      </c>
      <c r="K18" s="1182"/>
      <c r="L18" s="1189" t="s">
        <v>193</v>
      </c>
      <c r="M18" s="1190"/>
      <c r="N18" s="112"/>
      <c r="O18" s="1182" t="s">
        <v>194</v>
      </c>
      <c r="P18" s="1182"/>
      <c r="Q18" s="1182"/>
      <c r="R18" s="112"/>
      <c r="S18" s="353" t="s">
        <v>395</v>
      </c>
    </row>
    <row r="19" spans="1:16376" ht="12.75" customHeight="1" x14ac:dyDescent="0.25">
      <c r="B19" s="1193" t="s">
        <v>144</v>
      </c>
      <c r="C19" s="1192" t="s">
        <v>51</v>
      </c>
      <c r="D19" s="1178" t="s">
        <v>59</v>
      </c>
      <c r="E19" s="1179" t="s">
        <v>446</v>
      </c>
      <c r="F19" s="1179" t="s">
        <v>447</v>
      </c>
      <c r="G19" s="1179" t="s">
        <v>2867</v>
      </c>
      <c r="H19" s="1179" t="s">
        <v>2897</v>
      </c>
      <c r="I19" s="1179" t="s">
        <v>171</v>
      </c>
      <c r="J19" s="1179" t="s">
        <v>448</v>
      </c>
      <c r="K19" s="1179" t="s">
        <v>449</v>
      </c>
      <c r="L19" s="1179" t="s">
        <v>145</v>
      </c>
      <c r="M19" s="1179" t="s">
        <v>179</v>
      </c>
      <c r="N19" s="1181" t="s">
        <v>175</v>
      </c>
      <c r="O19" s="1179" t="s">
        <v>2901</v>
      </c>
      <c r="P19" s="1180" t="s">
        <v>2902</v>
      </c>
      <c r="Q19" s="1180"/>
      <c r="R19" s="1180" t="s">
        <v>191</v>
      </c>
      <c r="S19" s="1179" t="s">
        <v>202</v>
      </c>
      <c r="T19" s="1179" t="s">
        <v>180</v>
      </c>
      <c r="U19" s="1180" t="s">
        <v>172</v>
      </c>
      <c r="V19" s="1183" t="s">
        <v>3687</v>
      </c>
      <c r="W19" s="1183" t="s">
        <v>2900</v>
      </c>
      <c r="X19" s="1183" t="s">
        <v>3059</v>
      </c>
      <c r="Y19" s="1183" t="s">
        <v>3060</v>
      </c>
      <c r="Z19" s="1183" t="s">
        <v>3062</v>
      </c>
      <c r="AA19" s="1183" t="s">
        <v>3456</v>
      </c>
      <c r="AB19" s="1180" t="s">
        <v>3688</v>
      </c>
      <c r="AC19" s="1187" t="s">
        <v>183</v>
      </c>
      <c r="AD19" s="1185" t="s">
        <v>173</v>
      </c>
    </row>
    <row r="20" spans="1:16376" ht="101.25" customHeight="1" x14ac:dyDescent="0.25">
      <c r="B20" s="1194"/>
      <c r="C20" s="1192"/>
      <c r="D20" s="1178"/>
      <c r="E20" s="1178"/>
      <c r="F20" s="1178"/>
      <c r="G20" s="1179"/>
      <c r="H20" s="1179"/>
      <c r="I20" s="1179"/>
      <c r="J20" s="1179"/>
      <c r="K20" s="1179"/>
      <c r="L20" s="1179"/>
      <c r="M20" s="1179"/>
      <c r="N20" s="1181"/>
      <c r="O20" s="1179"/>
      <c r="P20" s="1180"/>
      <c r="Q20" s="1180"/>
      <c r="R20" s="1180"/>
      <c r="S20" s="1179"/>
      <c r="T20" s="1179"/>
      <c r="U20" s="1180"/>
      <c r="V20" s="1184"/>
      <c r="W20" s="1184"/>
      <c r="X20" s="1184"/>
      <c r="Y20" s="1184"/>
      <c r="Z20" s="1184"/>
      <c r="AA20" s="1184"/>
      <c r="AB20" s="1180"/>
      <c r="AC20" s="1187"/>
      <c r="AD20" s="1186"/>
    </row>
    <row r="21" spans="1:16376" ht="13" x14ac:dyDescent="0.3">
      <c r="B21" s="157" t="s">
        <v>3941</v>
      </c>
      <c r="C21" s="158" t="s">
        <v>59</v>
      </c>
      <c r="D21" s="206">
        <v>618693.20407326764</v>
      </c>
      <c r="E21" s="207">
        <v>4854325531.7023363</v>
      </c>
      <c r="F21" s="208"/>
      <c r="G21" s="209">
        <v>47334167.563008793</v>
      </c>
      <c r="H21" s="209"/>
      <c r="I21" s="210">
        <v>374178672.08597207</v>
      </c>
      <c r="J21" s="206"/>
      <c r="K21" s="206"/>
      <c r="L21" s="115">
        <f>E21-J21</f>
        <v>4854325531.7023363</v>
      </c>
      <c r="M21" s="115">
        <f>F21-K21</f>
        <v>0</v>
      </c>
      <c r="N21" s="258"/>
      <c r="O21" s="354">
        <f t="array" ref="O21">SUM(IF('6. Class A Consumption Data'!$B$492:$B$791=B21,'6. Class A Consumption Data'!$E$492:$E$791))</f>
        <v>0</v>
      </c>
      <c r="P21" s="354">
        <f t="array" ref="P21">SUM(IF('6. Class A Consumption Data'!$B$492:$B$791=B21,'6. Class A Consumption Data'!$D$492:$D$791))</f>
        <v>0</v>
      </c>
      <c r="Q21" s="120">
        <f>L21-O21-P21</f>
        <v>4854325531.7023363</v>
      </c>
      <c r="R21" s="160"/>
      <c r="S21" s="115">
        <f>IF(OR(G21=0, ISBLANK(G21)), 0, G21-J21-O21-P21)</f>
        <v>47334167.563008793</v>
      </c>
      <c r="T21" s="115">
        <f>IF(OR(H21=0, ISBLANK(H21)), 0, H21-K21-P21-R21)</f>
        <v>0</v>
      </c>
      <c r="U21" s="294"/>
      <c r="V21" s="160"/>
      <c r="W21" s="160"/>
      <c r="X21" s="160"/>
      <c r="Y21" s="160"/>
      <c r="Z21" s="63"/>
      <c r="AA21" s="63"/>
      <c r="AB21" s="63"/>
      <c r="AC21" s="211"/>
      <c r="AD21" s="635">
        <f>D21</f>
        <v>618693.20407326764</v>
      </c>
    </row>
    <row r="22" spans="1:16376" ht="13" x14ac:dyDescent="0.3">
      <c r="B22" s="157" t="s">
        <v>3940</v>
      </c>
      <c r="C22" s="158" t="s">
        <v>59</v>
      </c>
      <c r="D22" s="206">
        <v>97539.337729479594</v>
      </c>
      <c r="E22" s="207">
        <v>341855435.81169891</v>
      </c>
      <c r="F22" s="208"/>
      <c r="G22" s="209">
        <v>251226.04274433391</v>
      </c>
      <c r="H22" s="209"/>
      <c r="I22" s="210">
        <v>43995350.823149107</v>
      </c>
      <c r="J22" s="206"/>
      <c r="K22" s="206"/>
      <c r="L22" s="115">
        <f t="shared" ref="L22:L40" si="0">E22-J22</f>
        <v>341855435.81169891</v>
      </c>
      <c r="M22" s="115">
        <f t="shared" ref="M22:M40" si="1">F22-K22</f>
        <v>0</v>
      </c>
      <c r="N22" s="258"/>
      <c r="O22" s="354">
        <f t="array" ref="O22">SUM(IF('6. Class A Consumption Data'!$B$492:$B$791=B22,'6. Class A Consumption Data'!$E$492:$E$791))</f>
        <v>0</v>
      </c>
      <c r="P22" s="354">
        <f t="array" ref="P22">SUM(IF('6. Class A Consumption Data'!$B$492:$B$791=B22,'6. Class A Consumption Data'!$D$492:$D$791))</f>
        <v>0</v>
      </c>
      <c r="Q22" s="120">
        <f t="shared" ref="Q22:Q41" si="2">L22-O22-P22</f>
        <v>341855435.81169891</v>
      </c>
      <c r="R22" s="160"/>
      <c r="S22" s="115">
        <f t="shared" ref="S22:S41" si="3">IF(OR(G22=0, ISBLANK(G22)), 0, G22-J22-O22-P22)</f>
        <v>251226.04274433391</v>
      </c>
      <c r="T22" s="115">
        <f t="shared" ref="T22:T40" si="4">IF(OR(H22=0, ISBLANK(H22)), 0, H22-K22-P22-R22)</f>
        <v>0</v>
      </c>
      <c r="U22" s="294"/>
      <c r="V22" s="160"/>
      <c r="W22" s="160"/>
      <c r="X22" s="160"/>
      <c r="Y22" s="160"/>
      <c r="Z22" s="63"/>
      <c r="AA22" s="63"/>
      <c r="AB22" s="63"/>
      <c r="AC22" s="211"/>
      <c r="AD22" s="635">
        <f>D22</f>
        <v>97539.337729479594</v>
      </c>
    </row>
    <row r="23" spans="1:16376" ht="13" x14ac:dyDescent="0.3">
      <c r="B23" s="157" t="s">
        <v>3942</v>
      </c>
      <c r="C23" s="158" t="s">
        <v>139</v>
      </c>
      <c r="D23" s="206">
        <v>72948.191725379045</v>
      </c>
      <c r="E23" s="207">
        <v>2361358051.8485188</v>
      </c>
      <c r="F23" s="208"/>
      <c r="G23" s="209">
        <v>312517839.07993352</v>
      </c>
      <c r="H23" s="209"/>
      <c r="I23" s="210">
        <v>153775058.9515954</v>
      </c>
      <c r="J23" s="159"/>
      <c r="K23" s="159"/>
      <c r="L23" s="115">
        <f t="shared" si="0"/>
        <v>2361358051.8485188</v>
      </c>
      <c r="M23" s="115">
        <f t="shared" si="1"/>
        <v>0</v>
      </c>
      <c r="N23" s="258"/>
      <c r="O23" s="354">
        <f t="array" ref="O23">SUM(IF('6. Class A Consumption Data'!$B$492:$B$791=B23,'6. Class A Consumption Data'!$E$492:$E$791))</f>
        <v>252157.17976954451</v>
      </c>
      <c r="P23" s="354">
        <f t="array" ref="P23">SUM(IF('6. Class A Consumption Data'!$B$492:$B$791=B23,'6. Class A Consumption Data'!$D$492:$D$791))</f>
        <v>0</v>
      </c>
      <c r="Q23" s="120">
        <f t="shared" si="2"/>
        <v>2361105894.6687493</v>
      </c>
      <c r="R23" s="160"/>
      <c r="S23" s="115">
        <f t="shared" si="3"/>
        <v>312265681.90016401</v>
      </c>
      <c r="T23" s="115">
        <f t="shared" si="4"/>
        <v>0</v>
      </c>
      <c r="U23" s="294"/>
      <c r="V23" s="160"/>
      <c r="W23" s="160"/>
      <c r="X23" s="160"/>
      <c r="Y23" s="160"/>
      <c r="Z23" s="63"/>
      <c r="AA23" s="63"/>
      <c r="AB23" s="63"/>
      <c r="AC23" s="211"/>
      <c r="AD23" s="211">
        <f>D23</f>
        <v>72948.191725379045</v>
      </c>
    </row>
    <row r="24" spans="1:16376" ht="13" x14ac:dyDescent="0.3">
      <c r="B24" s="157" t="s">
        <v>3943</v>
      </c>
      <c r="C24" s="158" t="s">
        <v>170</v>
      </c>
      <c r="D24" s="206">
        <v>9941.3975355386228</v>
      </c>
      <c r="E24" s="207">
        <v>9512669320.6214981</v>
      </c>
      <c r="F24" s="208">
        <v>23208058.50839607</v>
      </c>
      <c r="G24" s="209">
        <v>6308225741.3281136</v>
      </c>
      <c r="H24" s="209">
        <v>15938217.940986678</v>
      </c>
      <c r="I24" s="210">
        <v>258956824.67395717</v>
      </c>
      <c r="J24" s="159">
        <v>49308888.764919281</v>
      </c>
      <c r="K24" s="159">
        <v>95972.22135039678</v>
      </c>
      <c r="L24" s="115">
        <f t="shared" si="0"/>
        <v>9463360431.8565788</v>
      </c>
      <c r="M24" s="115">
        <f t="shared" si="1"/>
        <v>23112086.287045673</v>
      </c>
      <c r="N24" s="258"/>
      <c r="O24" s="354">
        <f t="array" ref="O24">SUM(IF('6. Class A Consumption Data'!$B$492:$B$791=B24,'6. Class A Consumption Data'!$E$492:$E$791))</f>
        <v>3429731006.0636992</v>
      </c>
      <c r="P24" s="354" cm="1">
        <f t="array" ref="P24">SUM(IF('6. Class A Consumption Data'!$B$492:$B$791=B24,'6. Class A Consumption Data'!$D$492:$D$791))</f>
        <v>113100685.06698549</v>
      </c>
      <c r="Q24" s="120">
        <f t="shared" si="2"/>
        <v>5920528740.725894</v>
      </c>
      <c r="R24" s="160"/>
      <c r="S24" s="115">
        <f>IF(OR(G24=0, ISBLANK(G24)), 0, G24-J24-O24-P24)</f>
        <v>2716085161.4325094</v>
      </c>
      <c r="T24" s="772">
        <f>IF(OR(H24=0, ISBLANK(H24)), 0, H24-K24-'6. Class A Consumption Data'!D497-R24)</f>
        <v>15572525.984014904</v>
      </c>
      <c r="U24" s="294"/>
      <c r="V24" s="160"/>
      <c r="W24" s="160"/>
      <c r="X24" s="160"/>
      <c r="Y24" s="160"/>
      <c r="Z24" s="63"/>
      <c r="AA24" s="63"/>
      <c r="AB24" s="63"/>
      <c r="AC24" s="211"/>
      <c r="AD24" s="211"/>
    </row>
    <row r="25" spans="1:16376" ht="13" x14ac:dyDescent="0.3">
      <c r="B25" s="157" t="s">
        <v>3944</v>
      </c>
      <c r="C25" s="158" t="s">
        <v>170</v>
      </c>
      <c r="D25" s="206">
        <v>472.58333333333331</v>
      </c>
      <c r="E25" s="207">
        <v>4003028688.2039404</v>
      </c>
      <c r="F25" s="208">
        <v>8630976.2269679252</v>
      </c>
      <c r="G25" s="209">
        <v>3857980777.1281223</v>
      </c>
      <c r="H25" s="209">
        <v>8343209.2531227898</v>
      </c>
      <c r="I25" s="210">
        <v>82354987.883648187</v>
      </c>
      <c r="J25" s="206">
        <v>25034.271284580231</v>
      </c>
      <c r="K25" s="206">
        <v>69.968088662003666</v>
      </c>
      <c r="L25" s="115">
        <f t="shared" si="0"/>
        <v>4003003653.9326558</v>
      </c>
      <c r="M25" s="115">
        <f t="shared" si="1"/>
        <v>8630906.258879263</v>
      </c>
      <c r="N25" s="258">
        <v>0</v>
      </c>
      <c r="O25" s="354">
        <f t="array" ref="O25">SUM(IF('6. Class A Consumption Data'!$B$492:$B$791=B25,'6. Class A Consumption Data'!$E$492:$E$791))</f>
        <v>493037316.41379946</v>
      </c>
      <c r="P25" s="354">
        <f t="array" ref="P25">SUM(IF('6. Class A Consumption Data'!$B$492:$B$791=B25,'6. Class A Consumption Data'!$D$492:$D$791))</f>
        <v>192861208.84317499</v>
      </c>
      <c r="Q25" s="120">
        <f t="shared" si="2"/>
        <v>3317105128.6756816</v>
      </c>
      <c r="R25" s="160"/>
      <c r="S25" s="115">
        <f>IF(OR(G25=0, ISBLANK(G25)), 0, G25-J25-O25-P25)</f>
        <v>3172057217.5998635</v>
      </c>
      <c r="T25" s="772">
        <f>IF(OR(H25=0, ISBLANK(H25)), 0, H25-K25-'6. Class A Consumption Data'!D495-R25)</f>
        <v>7863815.0248511788</v>
      </c>
      <c r="U25" s="294"/>
      <c r="V25" s="160"/>
      <c r="W25" s="160"/>
      <c r="X25" s="160"/>
      <c r="Y25" s="160"/>
      <c r="Z25" s="63"/>
      <c r="AA25" s="63"/>
      <c r="AB25" s="63"/>
      <c r="AC25" s="211"/>
      <c r="AD25" s="211"/>
    </row>
    <row r="26" spans="1:16376" s="116" customFormat="1" ht="13" x14ac:dyDescent="0.3">
      <c r="A26" s="1"/>
      <c r="B26" s="157" t="s">
        <v>3945</v>
      </c>
      <c r="C26" s="158" t="s">
        <v>170</v>
      </c>
      <c r="D26" s="206">
        <v>44.416666666666664</v>
      </c>
      <c r="E26" s="207">
        <v>1795515182.4212279</v>
      </c>
      <c r="F26" s="208">
        <v>3965274.5261441707</v>
      </c>
      <c r="G26" s="209">
        <v>1572179422.7008588</v>
      </c>
      <c r="H26" s="209">
        <v>3529925.4277511504</v>
      </c>
      <c r="I26" s="210">
        <v>38623962.11541491</v>
      </c>
      <c r="J26" s="206">
        <v>223335759.7203691</v>
      </c>
      <c r="K26" s="159">
        <v>435349.09839301981</v>
      </c>
      <c r="L26" s="115">
        <f t="shared" si="0"/>
        <v>1572179422.7008588</v>
      </c>
      <c r="M26" s="115">
        <f t="shared" si="1"/>
        <v>3529925.4277511509</v>
      </c>
      <c r="N26" s="258">
        <v>0</v>
      </c>
      <c r="O26" s="354">
        <f t="array" ref="O26">SUM(IF('6. Class A Consumption Data'!$B$492:$B$791=B26,'6. Class A Consumption Data'!$E$492:$E$791))</f>
        <v>1129473272.2612765</v>
      </c>
      <c r="P26" s="354">
        <f t="array" ref="P26">SUM(IF('6. Class A Consumption Data'!$B$492:$B$791=B26,'6. Class A Consumption Data'!$D$492:$D$791))</f>
        <v>156959815.57932019</v>
      </c>
      <c r="Q26" s="120">
        <f t="shared" si="2"/>
        <v>285746334.86026216</v>
      </c>
      <c r="R26" s="160"/>
      <c r="S26" s="115">
        <f>IF(OR(G26=0, ISBLANK(G26)), 0, G26-J26-O26-P26)</f>
        <v>62410575.139893055</v>
      </c>
      <c r="T26" s="772">
        <f>IF(OR(H26=0, ISBLANK(H26)), 0, H26-K26-'6. Class A Consumption Data'!D493-R26)</f>
        <v>2594498.2648059456</v>
      </c>
      <c r="U26" s="294"/>
      <c r="V26" s="160"/>
      <c r="W26" s="160"/>
      <c r="X26" s="160"/>
      <c r="Y26" s="160"/>
      <c r="Z26" s="63"/>
      <c r="AA26" s="63"/>
      <c r="AB26" s="63"/>
      <c r="AC26" s="211"/>
      <c r="AD26" s="21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13"/>
      <c r="XEV26" s="114"/>
    </row>
    <row r="27" spans="1:16376" ht="13" x14ac:dyDescent="0.3">
      <c r="B27" s="157" t="s">
        <v>3947</v>
      </c>
      <c r="C27" s="158" t="s">
        <v>170</v>
      </c>
      <c r="D27" s="206">
        <v>1</v>
      </c>
      <c r="E27" s="207">
        <v>118212158.49125397</v>
      </c>
      <c r="F27" s="208">
        <v>363522.1495074734</v>
      </c>
      <c r="G27" s="209">
        <v>118212158.49125397</v>
      </c>
      <c r="H27" s="209">
        <v>363522.1495074734</v>
      </c>
      <c r="I27" s="210">
        <v>21463171.450000133</v>
      </c>
      <c r="J27" s="206"/>
      <c r="K27" s="206"/>
      <c r="L27" s="115">
        <f t="shared" si="0"/>
        <v>118212158.49125397</v>
      </c>
      <c r="M27" s="115">
        <f t="shared" si="1"/>
        <v>363522.1495074734</v>
      </c>
      <c r="N27" s="258"/>
      <c r="O27" s="354">
        <f t="array" ref="O27">SUM(IF('6. Class A Consumption Data'!$B$492:$B$791=B27,'6. Class A Consumption Data'!$E$492:$E$791))</f>
        <v>0</v>
      </c>
      <c r="P27" s="354">
        <f t="array" ref="P27">SUM(IF('6. Class A Consumption Data'!$B$492:$B$791=B27,'6. Class A Consumption Data'!$D$492:$D$791))</f>
        <v>0</v>
      </c>
      <c r="Q27" s="120">
        <f t="shared" si="2"/>
        <v>118212158.49125397</v>
      </c>
      <c r="R27" s="294"/>
      <c r="S27" s="115">
        <f t="shared" si="3"/>
        <v>118212158.49125397</v>
      </c>
      <c r="T27" s="115">
        <f>IF(OR(H27=0, ISBLANK(H27)), 0, H27-K27-P27-R27)</f>
        <v>363522.1495074734</v>
      </c>
      <c r="U27" s="294"/>
      <c r="V27" s="294"/>
      <c r="W27" s="126"/>
      <c r="X27" s="126"/>
      <c r="Y27" s="63"/>
      <c r="Z27" s="63"/>
      <c r="AA27" s="63"/>
      <c r="AB27" s="63"/>
      <c r="AC27" s="211"/>
      <c r="AD27" s="211"/>
    </row>
    <row r="28" spans="1:16376" ht="13" x14ac:dyDescent="0.3">
      <c r="B28" s="157" t="s">
        <v>3946</v>
      </c>
      <c r="C28" s="158" t="s">
        <v>139</v>
      </c>
      <c r="D28" s="206">
        <v>791</v>
      </c>
      <c r="E28" s="207">
        <v>42090115.886468768</v>
      </c>
      <c r="F28" s="208"/>
      <c r="G28" s="209">
        <v>43095.673018670699</v>
      </c>
      <c r="H28" s="209"/>
      <c r="I28" s="210">
        <v>4442388.5301233055</v>
      </c>
      <c r="J28" s="206"/>
      <c r="K28" s="206"/>
      <c r="L28" s="115">
        <f t="shared" si="0"/>
        <v>42090115.886468768</v>
      </c>
      <c r="M28" s="115">
        <f t="shared" si="1"/>
        <v>0</v>
      </c>
      <c r="N28" s="258"/>
      <c r="O28" s="354">
        <f t="array" ref="O28">SUM(IF('6. Class A Consumption Data'!$B$492:$B$791=B28,'6. Class A Consumption Data'!$E$492:$E$791))</f>
        <v>0</v>
      </c>
      <c r="P28" s="354">
        <f t="array" ref="P28">SUM(IF('6. Class A Consumption Data'!$B$492:$B$791=B28,'6. Class A Consumption Data'!$D$492:$D$791))</f>
        <v>0</v>
      </c>
      <c r="Q28" s="120">
        <f t="shared" si="2"/>
        <v>42090115.886468768</v>
      </c>
      <c r="R28" s="294"/>
      <c r="S28" s="115">
        <f t="shared" si="3"/>
        <v>43095.673018670699</v>
      </c>
      <c r="T28" s="115">
        <f t="shared" si="4"/>
        <v>0</v>
      </c>
      <c r="U28" s="294"/>
      <c r="V28" s="294"/>
      <c r="W28" s="126"/>
      <c r="X28" s="126"/>
      <c r="Y28" s="63"/>
      <c r="Z28" s="63"/>
      <c r="AA28" s="63"/>
      <c r="AB28" s="63"/>
      <c r="AC28" s="211"/>
      <c r="AD28" s="211"/>
    </row>
    <row r="29" spans="1:16376" ht="13" x14ac:dyDescent="0.3">
      <c r="B29" s="157"/>
      <c r="C29" s="158"/>
      <c r="D29" s="206"/>
      <c r="E29" s="207"/>
      <c r="F29" s="208"/>
      <c r="G29" s="209"/>
      <c r="H29" s="209"/>
      <c r="I29" s="210"/>
      <c r="J29" s="206"/>
      <c r="K29" s="206"/>
      <c r="L29" s="115">
        <f t="shared" si="0"/>
        <v>0</v>
      </c>
      <c r="M29" s="115">
        <f t="shared" si="1"/>
        <v>0</v>
      </c>
      <c r="N29" s="259"/>
      <c r="O29" s="354">
        <f t="array" ref="O29">SUM(IF('6. Class A Consumption Data'!$B$492:$B$791=B29,'6. Class A Consumption Data'!$E$492:$E$791))</f>
        <v>0</v>
      </c>
      <c r="P29" s="354">
        <f t="array" ref="P29">SUM(IF('6. Class A Consumption Data'!$B$492:$B$791=B29,'6. Class A Consumption Data'!$D$492:$D$791))</f>
        <v>0</v>
      </c>
      <c r="Q29" s="120">
        <f t="shared" si="2"/>
        <v>0</v>
      </c>
      <c r="R29" s="126"/>
      <c r="S29" s="115">
        <f t="shared" si="3"/>
        <v>0</v>
      </c>
      <c r="T29" s="115">
        <f t="shared" si="4"/>
        <v>0</v>
      </c>
      <c r="U29" s="63"/>
      <c r="V29" s="126"/>
      <c r="W29" s="126"/>
      <c r="X29" s="126"/>
      <c r="Y29" s="63"/>
      <c r="Z29" s="63"/>
      <c r="AA29" s="63"/>
      <c r="AB29" s="63"/>
      <c r="AC29" s="211"/>
      <c r="AD29" s="211"/>
    </row>
    <row r="30" spans="1:16376" s="116" customFormat="1" ht="13" x14ac:dyDescent="0.3">
      <c r="A30" s="1"/>
      <c r="B30" s="157"/>
      <c r="C30" s="158"/>
      <c r="D30" s="206"/>
      <c r="E30" s="207"/>
      <c r="F30" s="208"/>
      <c r="G30" s="209"/>
      <c r="H30" s="209"/>
      <c r="I30" s="210"/>
      <c r="J30" s="62"/>
      <c r="K30" s="62"/>
      <c r="L30" s="115">
        <f t="shared" si="0"/>
        <v>0</v>
      </c>
      <c r="M30" s="115">
        <f t="shared" si="1"/>
        <v>0</v>
      </c>
      <c r="N30" s="259"/>
      <c r="O30" s="354">
        <f t="array" ref="O30">SUM(IF('6. Class A Consumption Data'!$B$492:$B$791=B30,'6. Class A Consumption Data'!$E$492:$E$791))</f>
        <v>0</v>
      </c>
      <c r="P30" s="354">
        <f t="array" ref="P30">SUM(IF('6. Class A Consumption Data'!$B$492:$B$791=B30,'6. Class A Consumption Data'!$D$492:$D$791))</f>
        <v>0</v>
      </c>
      <c r="Q30" s="120">
        <f t="shared" si="2"/>
        <v>0</v>
      </c>
      <c r="R30" s="126"/>
      <c r="S30" s="115">
        <f t="shared" si="3"/>
        <v>0</v>
      </c>
      <c r="T30" s="115">
        <f t="shared" si="4"/>
        <v>0</v>
      </c>
      <c r="U30" s="63"/>
      <c r="V30" s="126"/>
      <c r="W30" s="126"/>
      <c r="X30" s="126"/>
      <c r="Y30" s="63"/>
      <c r="Z30" s="63"/>
      <c r="AA30" s="63"/>
      <c r="AB30" s="63"/>
      <c r="AC30" s="211"/>
      <c r="AD30" s="21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13"/>
      <c r="XEV30" s="114"/>
    </row>
    <row r="31" spans="1:16376" ht="13" x14ac:dyDescent="0.3">
      <c r="B31" s="157"/>
      <c r="C31" s="158"/>
      <c r="D31" s="206"/>
      <c r="E31" s="207"/>
      <c r="F31" s="208"/>
      <c r="G31" s="209"/>
      <c r="H31" s="209"/>
      <c r="I31" s="210"/>
      <c r="J31" s="62"/>
      <c r="K31" s="62"/>
      <c r="L31" s="115">
        <f t="shared" si="0"/>
        <v>0</v>
      </c>
      <c r="M31" s="115">
        <f t="shared" si="1"/>
        <v>0</v>
      </c>
      <c r="N31" s="259"/>
      <c r="O31" s="354">
        <f t="array" ref="O31">SUM(IF('6. Class A Consumption Data'!$B$492:$B$791=B31,'6. Class A Consumption Data'!$E$492:$E$791))</f>
        <v>0</v>
      </c>
      <c r="P31" s="354">
        <f t="array" ref="P31">SUM(IF('6. Class A Consumption Data'!$B$492:$B$791=B31,'6. Class A Consumption Data'!$D$492:$D$791))</f>
        <v>0</v>
      </c>
      <c r="Q31" s="120">
        <f t="shared" si="2"/>
        <v>0</v>
      </c>
      <c r="R31" s="63"/>
      <c r="S31" s="115">
        <f t="shared" si="3"/>
        <v>0</v>
      </c>
      <c r="T31" s="115">
        <f t="shared" si="4"/>
        <v>0</v>
      </c>
      <c r="U31" s="63"/>
      <c r="V31" s="63"/>
      <c r="W31" s="63"/>
      <c r="X31" s="63"/>
      <c r="Y31" s="63"/>
      <c r="Z31" s="63"/>
      <c r="AA31" s="63"/>
      <c r="AB31" s="63"/>
      <c r="AC31" s="211"/>
      <c r="AD31" s="211"/>
    </row>
    <row r="32" spans="1:16376" ht="13" x14ac:dyDescent="0.3">
      <c r="B32" s="157"/>
      <c r="C32" s="158"/>
      <c r="D32" s="206"/>
      <c r="E32" s="206"/>
      <c r="F32" s="206"/>
      <c r="G32" s="206"/>
      <c r="H32" s="206"/>
      <c r="I32" s="62"/>
      <c r="J32" s="62"/>
      <c r="K32" s="62"/>
      <c r="L32" s="115">
        <f t="shared" si="0"/>
        <v>0</v>
      </c>
      <c r="M32" s="115">
        <f t="shared" si="1"/>
        <v>0</v>
      </c>
      <c r="N32" s="259"/>
      <c r="O32" s="354">
        <f t="array" ref="O32">SUM(IF('6. Class A Consumption Data'!$B$492:$B$791=B32,'6. Class A Consumption Data'!$E$492:$E$791))</f>
        <v>0</v>
      </c>
      <c r="P32" s="354">
        <f t="array" ref="P32">SUM(IF('6. Class A Consumption Data'!$B$492:$B$791=B32,'6. Class A Consumption Data'!$D$492:$D$791))</f>
        <v>0</v>
      </c>
      <c r="Q32" s="120">
        <f t="shared" si="2"/>
        <v>0</v>
      </c>
      <c r="R32" s="63"/>
      <c r="S32" s="115">
        <f t="shared" si="3"/>
        <v>0</v>
      </c>
      <c r="T32" s="115">
        <f t="shared" si="4"/>
        <v>0</v>
      </c>
      <c r="U32" s="63"/>
      <c r="V32" s="63"/>
      <c r="W32" s="63"/>
      <c r="X32" s="63"/>
      <c r="Y32" s="63"/>
      <c r="Z32" s="63"/>
      <c r="AA32" s="63"/>
      <c r="AB32" s="63"/>
      <c r="AC32" s="211"/>
      <c r="AD32" s="211"/>
    </row>
    <row r="33" spans="1:30" ht="13" x14ac:dyDescent="0.3">
      <c r="B33" s="108"/>
      <c r="C33" s="158"/>
      <c r="D33" s="62"/>
      <c r="E33" s="62"/>
      <c r="F33" s="62"/>
      <c r="G33" s="62"/>
      <c r="H33" s="62"/>
      <c r="I33" s="62"/>
      <c r="J33" s="62"/>
      <c r="K33" s="62"/>
      <c r="L33" s="115">
        <f t="shared" si="0"/>
        <v>0</v>
      </c>
      <c r="M33" s="115">
        <f t="shared" si="1"/>
        <v>0</v>
      </c>
      <c r="N33" s="259"/>
      <c r="O33" s="354">
        <f t="array" ref="O33">SUM(IF('6. Class A Consumption Data'!$B$492:$B$791=B33,'6. Class A Consumption Data'!$E$492:$E$791))</f>
        <v>0</v>
      </c>
      <c r="P33" s="354">
        <f t="array" ref="P33">SUM(IF('6. Class A Consumption Data'!$B$492:$B$791=B33,'6. Class A Consumption Data'!$D$492:$D$791))</f>
        <v>0</v>
      </c>
      <c r="Q33" s="120">
        <f t="shared" si="2"/>
        <v>0</v>
      </c>
      <c r="R33" s="63"/>
      <c r="S33" s="115">
        <f t="shared" si="3"/>
        <v>0</v>
      </c>
      <c r="T33" s="115">
        <f t="shared" si="4"/>
        <v>0</v>
      </c>
      <c r="U33" s="63"/>
      <c r="V33" s="63"/>
      <c r="W33" s="63"/>
      <c r="X33" s="63"/>
      <c r="Y33" s="63"/>
      <c r="Z33" s="63"/>
      <c r="AA33" s="63"/>
      <c r="AB33" s="63"/>
      <c r="AC33" s="211"/>
      <c r="AD33" s="211"/>
    </row>
    <row r="34" spans="1:30" ht="13" x14ac:dyDescent="0.3">
      <c r="B34" s="108"/>
      <c r="C34" s="158"/>
      <c r="D34" s="62"/>
      <c r="E34" s="62"/>
      <c r="F34" s="62"/>
      <c r="G34" s="62"/>
      <c r="H34" s="62"/>
      <c r="I34" s="62"/>
      <c r="J34" s="62"/>
      <c r="K34" s="62"/>
      <c r="L34" s="115">
        <f t="shared" si="0"/>
        <v>0</v>
      </c>
      <c r="M34" s="115">
        <f t="shared" si="1"/>
        <v>0</v>
      </c>
      <c r="N34" s="259"/>
      <c r="O34" s="354">
        <f t="array" ref="O34">SUM(IF('6. Class A Consumption Data'!$B$492:$B$791=B34,'6. Class A Consumption Data'!$E$492:$E$791))</f>
        <v>0</v>
      </c>
      <c r="P34" s="354">
        <f t="array" ref="P34">SUM(IF('6. Class A Consumption Data'!$B$492:$B$791=B34,'6. Class A Consumption Data'!$D$492:$D$791))</f>
        <v>0</v>
      </c>
      <c r="Q34" s="120">
        <f t="shared" si="2"/>
        <v>0</v>
      </c>
      <c r="R34" s="63"/>
      <c r="S34" s="115">
        <f t="shared" si="3"/>
        <v>0</v>
      </c>
      <c r="T34" s="115">
        <f t="shared" si="4"/>
        <v>0</v>
      </c>
      <c r="U34" s="63"/>
      <c r="V34" s="63"/>
      <c r="W34" s="63"/>
      <c r="X34" s="63"/>
      <c r="Y34" s="63"/>
      <c r="Z34" s="63"/>
      <c r="AA34" s="63"/>
      <c r="AB34" s="63"/>
      <c r="AC34" s="211"/>
      <c r="AD34" s="211"/>
    </row>
    <row r="35" spans="1:30" ht="13" x14ac:dyDescent="0.3">
      <c r="B35" s="108"/>
      <c r="C35" s="158"/>
      <c r="D35" s="62"/>
      <c r="E35" s="62"/>
      <c r="F35" s="62"/>
      <c r="G35" s="62"/>
      <c r="H35" s="62"/>
      <c r="I35" s="62"/>
      <c r="J35" s="62"/>
      <c r="K35" s="62"/>
      <c r="L35" s="115">
        <f t="shared" si="0"/>
        <v>0</v>
      </c>
      <c r="M35" s="115">
        <f t="shared" si="1"/>
        <v>0</v>
      </c>
      <c r="N35" s="259"/>
      <c r="O35" s="354">
        <f t="array" ref="O35">SUM(IF('6. Class A Consumption Data'!$B$492:$B$791=B35,'6. Class A Consumption Data'!$E$492:$E$791))</f>
        <v>0</v>
      </c>
      <c r="P35" s="354">
        <f t="array" ref="P35">SUM(IF('6. Class A Consumption Data'!$B$492:$B$791=B35,'6. Class A Consumption Data'!$D$492:$D$791))</f>
        <v>0</v>
      </c>
      <c r="Q35" s="120">
        <f t="shared" si="2"/>
        <v>0</v>
      </c>
      <c r="R35" s="63"/>
      <c r="S35" s="115">
        <f t="shared" si="3"/>
        <v>0</v>
      </c>
      <c r="T35" s="115">
        <f t="shared" si="4"/>
        <v>0</v>
      </c>
      <c r="U35" s="63"/>
      <c r="V35" s="63"/>
      <c r="W35" s="63"/>
      <c r="X35" s="63"/>
      <c r="Y35" s="63"/>
      <c r="Z35" s="63"/>
      <c r="AA35" s="63"/>
      <c r="AB35" s="63"/>
      <c r="AC35" s="211"/>
      <c r="AD35" s="211"/>
    </row>
    <row r="36" spans="1:30" ht="13" x14ac:dyDescent="0.3">
      <c r="B36" s="108"/>
      <c r="C36" s="158"/>
      <c r="D36" s="62"/>
      <c r="E36" s="62"/>
      <c r="F36" s="62"/>
      <c r="G36" s="62"/>
      <c r="H36" s="62"/>
      <c r="I36" s="62"/>
      <c r="J36" s="62"/>
      <c r="K36" s="62"/>
      <c r="L36" s="115">
        <f t="shared" si="0"/>
        <v>0</v>
      </c>
      <c r="M36" s="115">
        <f t="shared" si="1"/>
        <v>0</v>
      </c>
      <c r="N36" s="259"/>
      <c r="O36" s="354">
        <f t="array" ref="O36">SUM(IF('6. Class A Consumption Data'!$B$492:$B$791=B36,'6. Class A Consumption Data'!$E$492:$E$791))</f>
        <v>0</v>
      </c>
      <c r="P36" s="354">
        <f t="array" ref="P36">SUM(IF('6. Class A Consumption Data'!$B$492:$B$791=B36,'6. Class A Consumption Data'!$D$492:$D$791))</f>
        <v>0</v>
      </c>
      <c r="Q36" s="120">
        <f t="shared" si="2"/>
        <v>0</v>
      </c>
      <c r="R36" s="63"/>
      <c r="S36" s="115">
        <f t="shared" si="3"/>
        <v>0</v>
      </c>
      <c r="T36" s="115">
        <f t="shared" si="4"/>
        <v>0</v>
      </c>
      <c r="U36" s="63"/>
      <c r="V36" s="63"/>
      <c r="W36" s="63"/>
      <c r="X36" s="63"/>
      <c r="Y36" s="63"/>
      <c r="Z36" s="63"/>
      <c r="AA36" s="63"/>
      <c r="AB36" s="63"/>
      <c r="AC36" s="211"/>
      <c r="AD36" s="211"/>
    </row>
    <row r="37" spans="1:30" ht="13" x14ac:dyDescent="0.3">
      <c r="B37" s="108"/>
      <c r="C37" s="158"/>
      <c r="D37" s="62"/>
      <c r="E37" s="62"/>
      <c r="F37" s="62"/>
      <c r="G37" s="62"/>
      <c r="H37" s="62"/>
      <c r="I37" s="62"/>
      <c r="J37" s="62"/>
      <c r="K37" s="62"/>
      <c r="L37" s="115">
        <f t="shared" si="0"/>
        <v>0</v>
      </c>
      <c r="M37" s="115">
        <f t="shared" si="1"/>
        <v>0</v>
      </c>
      <c r="N37" s="259"/>
      <c r="O37" s="354">
        <f t="array" ref="O37">SUM(IF('6. Class A Consumption Data'!$B$492:$B$791=B37,'6. Class A Consumption Data'!$E$492:$E$791))</f>
        <v>0</v>
      </c>
      <c r="P37" s="354">
        <f t="array" ref="P37">SUM(IF('6. Class A Consumption Data'!$B$492:$B$791=B37,'6. Class A Consumption Data'!$D$492:$D$791))</f>
        <v>0</v>
      </c>
      <c r="Q37" s="120">
        <f t="shared" si="2"/>
        <v>0</v>
      </c>
      <c r="R37" s="63"/>
      <c r="S37" s="115">
        <f t="shared" si="3"/>
        <v>0</v>
      </c>
      <c r="T37" s="115">
        <f t="shared" si="4"/>
        <v>0</v>
      </c>
      <c r="U37" s="63"/>
      <c r="V37" s="63"/>
      <c r="W37" s="63"/>
      <c r="X37" s="63"/>
      <c r="Y37" s="63"/>
      <c r="Z37" s="63"/>
      <c r="AA37" s="63"/>
      <c r="AB37" s="63"/>
      <c r="AC37" s="211"/>
      <c r="AD37" s="211"/>
    </row>
    <row r="38" spans="1:30" ht="13" x14ac:dyDescent="0.3">
      <c r="B38" s="108"/>
      <c r="C38" s="158"/>
      <c r="D38" s="62"/>
      <c r="E38" s="62"/>
      <c r="F38" s="62"/>
      <c r="G38" s="62"/>
      <c r="H38" s="62"/>
      <c r="I38" s="62"/>
      <c r="J38" s="62"/>
      <c r="K38" s="62"/>
      <c r="L38" s="115">
        <f t="shared" si="0"/>
        <v>0</v>
      </c>
      <c r="M38" s="115">
        <f t="shared" si="1"/>
        <v>0</v>
      </c>
      <c r="N38" s="259"/>
      <c r="O38" s="354">
        <f t="array" ref="O38">SUM(IF('6. Class A Consumption Data'!$B$492:$B$791=B38,'6. Class A Consumption Data'!$E$492:$E$791))</f>
        <v>0</v>
      </c>
      <c r="P38" s="354">
        <f t="array" ref="P38">SUM(IF('6. Class A Consumption Data'!$B$492:$B$791=B38,'6. Class A Consumption Data'!$D$492:$D$791))</f>
        <v>0</v>
      </c>
      <c r="Q38" s="120">
        <f t="shared" si="2"/>
        <v>0</v>
      </c>
      <c r="R38" s="63"/>
      <c r="S38" s="115">
        <f t="shared" si="3"/>
        <v>0</v>
      </c>
      <c r="T38" s="115">
        <f t="shared" si="4"/>
        <v>0</v>
      </c>
      <c r="U38" s="63"/>
      <c r="V38" s="63"/>
      <c r="W38" s="63"/>
      <c r="X38" s="63"/>
      <c r="Y38" s="63"/>
      <c r="Z38" s="63"/>
      <c r="AA38" s="63"/>
      <c r="AB38" s="63"/>
      <c r="AC38" s="211"/>
      <c r="AD38" s="211"/>
    </row>
    <row r="39" spans="1:30" ht="13" x14ac:dyDescent="0.3">
      <c r="B39" s="108"/>
      <c r="C39" s="158"/>
      <c r="D39" s="62"/>
      <c r="E39" s="62"/>
      <c r="F39" s="62"/>
      <c r="G39" s="62"/>
      <c r="H39" s="62"/>
      <c r="I39" s="62"/>
      <c r="J39" s="62"/>
      <c r="K39" s="62"/>
      <c r="L39" s="115">
        <f t="shared" si="0"/>
        <v>0</v>
      </c>
      <c r="M39" s="115">
        <f t="shared" si="1"/>
        <v>0</v>
      </c>
      <c r="N39" s="259"/>
      <c r="O39" s="354">
        <f t="array" ref="O39">SUM(IF('6. Class A Consumption Data'!$B$492:$B$791=B39,'6. Class A Consumption Data'!$E$492:$E$791))</f>
        <v>0</v>
      </c>
      <c r="P39" s="354">
        <f t="array" ref="P39">SUM(IF('6. Class A Consumption Data'!$B$492:$B$791=B39,'6. Class A Consumption Data'!$D$492:$D$791))</f>
        <v>0</v>
      </c>
      <c r="Q39" s="120">
        <f t="shared" si="2"/>
        <v>0</v>
      </c>
      <c r="R39" s="63"/>
      <c r="S39" s="115">
        <f t="shared" si="3"/>
        <v>0</v>
      </c>
      <c r="T39" s="115">
        <f t="shared" si="4"/>
        <v>0</v>
      </c>
      <c r="U39" s="63"/>
      <c r="V39" s="63"/>
      <c r="W39" s="63"/>
      <c r="X39" s="63"/>
      <c r="Y39" s="63"/>
      <c r="Z39" s="63"/>
      <c r="AA39" s="63"/>
      <c r="AB39" s="63"/>
      <c r="AC39" s="211"/>
      <c r="AD39" s="211"/>
    </row>
    <row r="40" spans="1:30" ht="13" x14ac:dyDescent="0.3">
      <c r="B40" s="108"/>
      <c r="C40" s="158"/>
      <c r="D40" s="62"/>
      <c r="E40" s="62"/>
      <c r="F40" s="62"/>
      <c r="G40" s="62"/>
      <c r="H40" s="62"/>
      <c r="I40" s="62"/>
      <c r="J40" s="62"/>
      <c r="K40" s="62"/>
      <c r="L40" s="115">
        <f t="shared" si="0"/>
        <v>0</v>
      </c>
      <c r="M40" s="115">
        <f t="shared" si="1"/>
        <v>0</v>
      </c>
      <c r="N40" s="259"/>
      <c r="O40" s="354">
        <f t="array" ref="O40">SUM(IF('6. Class A Consumption Data'!$B$492:$B$791=B40,'6. Class A Consumption Data'!$E$492:$E$791))</f>
        <v>0</v>
      </c>
      <c r="P40" s="354">
        <f t="array" ref="P40">SUM(IF('6. Class A Consumption Data'!$B$492:$B$791=B40,'6. Class A Consumption Data'!$D$492:$D$791))</f>
        <v>0</v>
      </c>
      <c r="Q40" s="120">
        <f t="shared" si="2"/>
        <v>0</v>
      </c>
      <c r="R40" s="63"/>
      <c r="S40" s="115">
        <f t="shared" si="3"/>
        <v>0</v>
      </c>
      <c r="T40" s="115">
        <f t="shared" si="4"/>
        <v>0</v>
      </c>
      <c r="U40" s="63"/>
      <c r="V40" s="63"/>
      <c r="W40" s="63"/>
      <c r="X40" s="63"/>
      <c r="Y40" s="63"/>
      <c r="Z40" s="63"/>
      <c r="AA40" s="63"/>
      <c r="AB40" s="63"/>
      <c r="AC40" s="211"/>
      <c r="AD40" s="211"/>
    </row>
    <row r="41" spans="1:30" s="2" customFormat="1" ht="13" x14ac:dyDescent="0.3">
      <c r="B41" s="117" t="s">
        <v>52</v>
      </c>
      <c r="C41" s="117"/>
      <c r="D41" s="118">
        <f t="shared" ref="D41:J41" si="5">SUM(D21:D40)</f>
        <v>800431.13106366491</v>
      </c>
      <c r="E41" s="118">
        <f t="shared" si="5"/>
        <v>23029054484.986938</v>
      </c>
      <c r="F41" s="118">
        <f t="shared" si="5"/>
        <v>36167831.411015637</v>
      </c>
      <c r="G41" s="118">
        <f t="shared" si="5"/>
        <v>12216744428.007055</v>
      </c>
      <c r="H41" s="118">
        <f t="shared" si="5"/>
        <v>28174874.771368094</v>
      </c>
      <c r="I41" s="119">
        <f t="shared" si="5"/>
        <v>977790416.51386023</v>
      </c>
      <c r="J41" s="120">
        <f t="shared" si="5"/>
        <v>272669682.75657296</v>
      </c>
      <c r="K41" s="120">
        <f t="shared" ref="K41:P41" si="6">SUM(K21:K40)</f>
        <v>531391.28783207864</v>
      </c>
      <c r="L41" s="120">
        <f t="shared" si="6"/>
        <v>22756384802.23037</v>
      </c>
      <c r="M41" s="120">
        <f t="shared" si="6"/>
        <v>35636440.123183556</v>
      </c>
      <c r="N41" s="120">
        <f t="shared" si="6"/>
        <v>0</v>
      </c>
      <c r="O41" s="120">
        <f t="shared" si="6"/>
        <v>5052493751.9185448</v>
      </c>
      <c r="P41" s="120">
        <f t="shared" si="6"/>
        <v>462921709.48948067</v>
      </c>
      <c r="Q41" s="120">
        <f t="shared" si="2"/>
        <v>17240969340.822346</v>
      </c>
      <c r="R41" s="121"/>
      <c r="S41" s="364">
        <f t="shared" si="3"/>
        <v>6428659283.8424568</v>
      </c>
      <c r="T41" s="120">
        <f t="shared" ref="T41:Z41" si="7">SUM(T21:T40)</f>
        <v>26394361.423179504</v>
      </c>
      <c r="U41" s="121">
        <f t="shared" si="7"/>
        <v>0</v>
      </c>
      <c r="V41" s="121">
        <f t="shared" si="7"/>
        <v>0</v>
      </c>
      <c r="W41" s="121">
        <f t="shared" si="7"/>
        <v>0</v>
      </c>
      <c r="X41" s="121">
        <f t="shared" si="7"/>
        <v>0</v>
      </c>
      <c r="Y41" s="121">
        <f t="shared" si="7"/>
        <v>0</v>
      </c>
      <c r="Z41" s="121">
        <f t="shared" si="7"/>
        <v>0</v>
      </c>
      <c r="AA41" s="121">
        <f>SUM(AA21:AA40)</f>
        <v>0</v>
      </c>
      <c r="AB41" s="121">
        <f>SUM(AB21:AB40)</f>
        <v>0</v>
      </c>
      <c r="AC41" s="119">
        <f>SUM(AC21:AC40)</f>
        <v>0</v>
      </c>
    </row>
    <row r="42" spans="1:30" x14ac:dyDescent="0.25">
      <c r="B42" s="122"/>
      <c r="W42" s="123"/>
      <c r="Y42" s="123"/>
      <c r="Z42" s="123"/>
      <c r="AB42" s="123" t="s">
        <v>53</v>
      </c>
      <c r="AC42" s="124">
        <f>'2b. Continuity Schedule'!BT88</f>
        <v>0</v>
      </c>
    </row>
    <row r="43" spans="1:30" x14ac:dyDescent="0.25">
      <c r="B43" s="122"/>
      <c r="W43" s="123"/>
      <c r="Y43" s="123"/>
      <c r="Z43" s="123"/>
      <c r="AB43" s="123" t="s">
        <v>54</v>
      </c>
      <c r="AC43" s="125">
        <f>AC41-AC42</f>
        <v>0</v>
      </c>
    </row>
    <row r="44" spans="1:30" x14ac:dyDescent="0.25">
      <c r="H44" s="133"/>
    </row>
    <row r="45" spans="1:30" x14ac:dyDescent="0.25">
      <c r="A45" s="1191"/>
      <c r="B45" s="1191"/>
      <c r="C45" s="1191"/>
      <c r="D45" s="1191"/>
      <c r="E45" s="1191"/>
      <c r="F45" s="1191"/>
      <c r="G45" s="1191"/>
      <c r="H45" s="1191"/>
    </row>
    <row r="46" spans="1:30" ht="21" customHeight="1" x14ac:dyDescent="0.25">
      <c r="A46" s="1191"/>
      <c r="B46" s="1191"/>
      <c r="C46" s="1191"/>
      <c r="D46" s="1191"/>
      <c r="E46" s="1191"/>
      <c r="F46" s="1191"/>
      <c r="G46" s="1191"/>
      <c r="H46" s="1191"/>
    </row>
    <row r="47" spans="1:30" ht="16.5" x14ac:dyDescent="0.25">
      <c r="A47" s="1191" t="s">
        <v>393</v>
      </c>
      <c r="B47" s="1191"/>
      <c r="C47" s="1191"/>
      <c r="D47" s="1191"/>
      <c r="E47" s="1191"/>
      <c r="F47" s="1191"/>
      <c r="G47" s="1191"/>
      <c r="H47" s="1191"/>
    </row>
    <row r="49" spans="1:11" ht="16.5" x14ac:dyDescent="0.35">
      <c r="A49" s="252" t="s">
        <v>174</v>
      </c>
    </row>
    <row r="51" spans="1:11" ht="16.5" x14ac:dyDescent="0.35">
      <c r="A51" s="252" t="s">
        <v>184</v>
      </c>
    </row>
    <row r="52" spans="1:11" ht="13.75" customHeight="1" x14ac:dyDescent="0.25"/>
    <row r="53" spans="1:11" hidden="1" x14ac:dyDescent="0.25">
      <c r="A53" s="122"/>
    </row>
    <row r="54" spans="1:11" hidden="1" x14ac:dyDescent="0.25"/>
    <row r="55" spans="1:11" ht="33" customHeight="1" x14ac:dyDescent="0.25">
      <c r="A55" s="1188" t="s">
        <v>2866</v>
      </c>
      <c r="B55" s="1188"/>
      <c r="C55" s="1188"/>
      <c r="D55" s="1188"/>
      <c r="E55" s="1188"/>
      <c r="F55" s="1188"/>
      <c r="G55" s="1188"/>
      <c r="H55" s="1188"/>
      <c r="I55" s="1188"/>
      <c r="J55" s="1188"/>
      <c r="K55" s="1188"/>
    </row>
  </sheetData>
  <sheetProtection algorithmName="SHA-512" hashValue="GOtmGcWZMDQrKidyT/1xqNWh1nIEKa+eBy1hgOgn6O1LGogQoNhq5SBEPtI2uoR5n7k6ajV/UEFf7WHi2WL9ng==" saltValue="ytkqBK1UekAaStG/1ugS+Q==" spinCount="100000" sheet="1" objects="1" scenarios="1"/>
  <mergeCells count="38">
    <mergeCell ref="A55:K55"/>
    <mergeCell ref="L18:M18"/>
    <mergeCell ref="O18:Q18"/>
    <mergeCell ref="T19:T20"/>
    <mergeCell ref="U19:U20"/>
    <mergeCell ref="A45:H46"/>
    <mergeCell ref="A47:H47"/>
    <mergeCell ref="F19:F20"/>
    <mergeCell ref="E19:E20"/>
    <mergeCell ref="C19:C20"/>
    <mergeCell ref="B19:B20"/>
    <mergeCell ref="G19:G20"/>
    <mergeCell ref="H19:H20"/>
    <mergeCell ref="V19:V20"/>
    <mergeCell ref="W19:W20"/>
    <mergeCell ref="AD19:AD20"/>
    <mergeCell ref="X19:X20"/>
    <mergeCell ref="Y19:Y20"/>
    <mergeCell ref="Z19:Z20"/>
    <mergeCell ref="AA19:AA20"/>
    <mergeCell ref="AC19:AC20"/>
    <mergeCell ref="AB19:AB20"/>
    <mergeCell ref="B16:I17"/>
    <mergeCell ref="D19:D20"/>
    <mergeCell ref="I19:I20"/>
    <mergeCell ref="O19:O20"/>
    <mergeCell ref="S19:S20"/>
    <mergeCell ref="Q19:Q20"/>
    <mergeCell ref="R19:R20"/>
    <mergeCell ref="P19:P20"/>
    <mergeCell ref="J19:J20"/>
    <mergeCell ref="K19:K20"/>
    <mergeCell ref="L19:L20"/>
    <mergeCell ref="M19:M20"/>
    <mergeCell ref="N19:N20"/>
    <mergeCell ref="E18:F18"/>
    <mergeCell ref="G18:H18"/>
    <mergeCell ref="J18:K18"/>
  </mergeCells>
  <dataValidations count="1">
    <dataValidation type="list" allowBlank="1" showInputMessage="1" showErrorMessage="1" sqref="C21:C40" xr:uid="{00000000-0002-0000-0700-000000000000}">
      <formula1>"kWh, kW, # of Customers"</formula1>
    </dataValidation>
  </dataValidations>
  <pageMargins left="0.7" right="0.7" top="0.75" bottom="0.75" header="0.3" footer="0.3"/>
  <pageSetup paperSize="17" scale="39"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AA84"/>
  <sheetViews>
    <sheetView showGridLines="0" topLeftCell="B1" zoomScale="85" zoomScaleNormal="85" workbookViewId="0">
      <selection activeCell="F7" sqref="F7"/>
    </sheetView>
  </sheetViews>
  <sheetFormatPr defaultColWidth="9" defaultRowHeight="12.5" x14ac:dyDescent="0.25"/>
  <cols>
    <col min="1" max="1" width="5.7265625" style="122" hidden="1" customWidth="1"/>
    <col min="2" max="2" width="79.54296875" style="122" customWidth="1"/>
    <col min="3" max="3" width="9" style="122"/>
    <col min="4" max="4" width="14.54296875" style="544" customWidth="1"/>
    <col min="5" max="5" width="20.26953125" style="544" bestFit="1" customWidth="1"/>
    <col min="6" max="25" width="24" style="544" customWidth="1"/>
    <col min="26" max="26" width="9" style="122"/>
    <col min="27" max="28" width="0" style="122" hidden="1" customWidth="1"/>
    <col min="29" max="16384" width="9" style="122"/>
  </cols>
  <sheetData>
    <row r="1" spans="1:27" ht="143.25" customHeight="1" x14ac:dyDescent="0.25">
      <c r="AA1" s="122">
        <v>22</v>
      </c>
    </row>
    <row r="2" spans="1:27" x14ac:dyDescent="0.25">
      <c r="AA2" s="122">
        <v>23</v>
      </c>
    </row>
    <row r="4" spans="1:27" ht="39" customHeight="1" x14ac:dyDescent="0.25">
      <c r="A4" s="122">
        <v>1</v>
      </c>
      <c r="D4" s="141" t="s">
        <v>62</v>
      </c>
      <c r="E4" s="142" t="s">
        <v>57</v>
      </c>
      <c r="F4" s="141" t="str">
        <f>IF(LEN(TRIM('4. Billing Determinants'!$B21))=0, "", UPPER('4. Billing Determinants'!$B21))</f>
        <v>RESIDENTIAL SERVICE CLASSIFICATION</v>
      </c>
      <c r="G4" s="141" t="str">
        <f>IF(LEN(TRIM('4. Billing Determinants'!$B22))=0, "", '4. Billing Determinants'!$B22)</f>
        <v>COMPETITIVE SECTOR MULTI-UNIT RESIDENTIAL SERVICE CLASSIFICATION</v>
      </c>
      <c r="H4" s="141" t="str">
        <f>IF(LEN(TRIM('4. Billing Determinants'!$B23))=0, "", '4. Billing Determinants'!$B23)</f>
        <v>GENERAL SERVICE LESS THAN 50 KW SERVICE CLASSIFICATION</v>
      </c>
      <c r="I4" s="141" t="str">
        <f>IF(LEN(TRIM('4. Billing Determinants'!$B24))=0, "", '4. Billing Determinants'!$B24)</f>
        <v>GENERAL SERVICE 50 TO 999 KW SERVICE CLASSIFICATION</v>
      </c>
      <c r="J4" s="141" t="str">
        <f>IF(LEN(TRIM('4. Billing Determinants'!$B25))=0, "", '4. Billing Determinants'!$B25)</f>
        <v>GENERAL SERVICE 1,000 TO 4,999 KW SERVICE CLASSIFICATION</v>
      </c>
      <c r="K4" s="141" t="str">
        <f>IF(LEN(TRIM('4. Billing Determinants'!$B26))=0, "", '4. Billing Determinants'!$B26)</f>
        <v>LARGE USE SERVICE CLASSIFICATION</v>
      </c>
      <c r="L4" s="141" t="str">
        <f>IF(LEN(TRIM('4. Billing Determinants'!$B27))=0, "", '4. Billing Determinants'!$B27)</f>
        <v>STREET LIGHTING SERVICE CLASSIFICATION</v>
      </c>
      <c r="M4" s="141" t="str">
        <f>IF(LEN(TRIM('4. Billing Determinants'!$B28))=0, "", '4. Billing Determinants'!$B28)</f>
        <v>UNMETERED SCATTERED LOAD SERVICE CLASSIFICATION</v>
      </c>
      <c r="N4" s="141" t="str">
        <f>IF(LEN(TRIM('4. Billing Determinants'!$B29))=0, "", '4. Billing Determinants'!$B29)</f>
        <v/>
      </c>
      <c r="O4" s="141" t="str">
        <f>IF(LEN(TRIM('4. Billing Determinants'!$B30))=0, "", '4. Billing Determinants'!$B30)</f>
        <v/>
      </c>
      <c r="P4" s="141" t="str">
        <f>IF(LEN(TRIM('4. Billing Determinants'!$B31))=0, "", '4. Billing Determinants'!$B31)</f>
        <v/>
      </c>
      <c r="Q4" s="141" t="str">
        <f>IF(LEN(TRIM('4. Billing Determinants'!$B32))=0, "", '4. Billing Determinants'!$B32)</f>
        <v/>
      </c>
      <c r="R4" s="141" t="str">
        <f>IF(LEN(TRIM('4. Billing Determinants'!$B33))=0, "", '4. Billing Determinants'!$B33)</f>
        <v/>
      </c>
      <c r="S4" s="141" t="str">
        <f>IF(LEN(TRIM('4. Billing Determinants'!$B34))=0, "", '4. Billing Determinants'!$B34)</f>
        <v/>
      </c>
      <c r="T4" s="141" t="str">
        <f>IF(LEN(TRIM('4. Billing Determinants'!$B35))=0, "", '4. Billing Determinants'!$B35)</f>
        <v/>
      </c>
      <c r="U4" s="141" t="str">
        <f>IF(LEN(TRIM('4. Billing Determinants'!$B36))=0, "", '4. Billing Determinants'!$B36)</f>
        <v/>
      </c>
      <c r="V4" s="141" t="str">
        <f>IF(LEN(TRIM('4. Billing Determinants'!$B37))=0, "", '4. Billing Determinants'!$B37)</f>
        <v/>
      </c>
      <c r="W4" s="141" t="str">
        <f>IF(LEN(TRIM('4. Billing Determinants'!$B38))=0, "", '4. Billing Determinants'!$B38)</f>
        <v/>
      </c>
      <c r="X4" s="141" t="str">
        <f>IF(LEN(TRIM('4. Billing Determinants'!$B39))=0, "", '4. Billing Determinants'!$B39)</f>
        <v/>
      </c>
      <c r="Y4" s="141" t="str">
        <f>IF(LEN(TRIM('4. Billing Determinants'!$B40))=0, "", '4. Billing Determinants'!$B40)</f>
        <v/>
      </c>
    </row>
    <row r="5" spans="1:27" x14ac:dyDescent="0.25">
      <c r="A5" s="122">
        <v>2</v>
      </c>
      <c r="B5" s="38" t="s">
        <v>23</v>
      </c>
      <c r="C5" s="260">
        <v>1550</v>
      </c>
      <c r="D5" s="40">
        <v>415594.84436241677</v>
      </c>
      <c r="E5" s="61" t="s">
        <v>139</v>
      </c>
      <c r="F5" s="40">
        <f>IFERROR(IF(F$4="",0,IF($E5="kWh",VLOOKUP(F$4,'4. Billing Determinants'!$B$19:$R$41,4,0)/'4. Billing Determinants'!$E$41*$D5,IF($E5="kW",VLOOKUP(F$4,'4. Billing Determinants'!$B$19:$R$41,5,0)/'4. Billing Determinants'!$F$41*$D5,IF($E5="Non-RPP kWh",VLOOKUP(F$4,'4. Billing Determinants'!$B$19:$R$41,6,0)/'4. Billing Determinants'!$G$41*$D5,IF($E5="Distribution Rev.",VLOOKUP(F$4,'4. Billing Determinants'!$B$19:$R$41,8,0)/'4. Billing Determinants'!$I$41*$D5, VLOOKUP(F$4,'4. Billing Determinants'!$B$19:$R$41,3,0)/'4. Billing Determinants'!$D$41*$D5))))),0)</f>
        <v>87603.799154999593</v>
      </c>
      <c r="G5" s="40">
        <f>IFERROR(IF(G$4="",0,IF($E5="kWh",VLOOKUP(G$4,'4. Billing Determinants'!$B$19:$R$41,4,0)/'4. Billing Determinants'!$E$41*$D5,IF($E5="kW",VLOOKUP(G$4,'4. Billing Determinants'!$B$19:$R$41,5,0)/'4. Billing Determinants'!$F$41*$D5,IF($E5="Non-RPP kWh",VLOOKUP(G$4,'4. Billing Determinants'!$B$19:$R$41,6,0)/'4. Billing Determinants'!$G$41*$D5,IF($E5="Distribution Rev.",VLOOKUP(G$4,'4. Billing Determinants'!$B$19:$R$41,8,0)/'4. Billing Determinants'!$I$41*$D5, VLOOKUP(G$4,'4. Billing Determinants'!$B$19:$R$41,3,0)/'4. Billing Determinants'!$D$41*$D5))))),0)</f>
        <v>6169.3091539311517</v>
      </c>
      <c r="H5" s="40">
        <f>IFERROR(IF(H$4="",0,IF($E5="kWh",VLOOKUP(H$4,'4. Billing Determinants'!$B$19:$R$41,4,0)/'4. Billing Determinants'!$E$41*$D5,IF($E5="kW",VLOOKUP(H$4,'4. Billing Determinants'!$B$19:$R$41,5,0)/'4. Billing Determinants'!$F$41*$D5,IF($E5="Non-RPP kWh",VLOOKUP(H$4,'4. Billing Determinants'!$B$19:$R$41,6,0)/'4. Billing Determinants'!$G$41*$D5,IF($E5="Distribution Rev.",VLOOKUP(H$4,'4. Billing Determinants'!$B$19:$R$41,8,0)/'4. Billing Determinants'!$I$41*$D5, VLOOKUP(H$4,'4. Billing Determinants'!$B$19:$R$41,3,0)/'4. Billing Determinants'!$D$41*$D5))))),0)</f>
        <v>42614.351912784645</v>
      </c>
      <c r="I5" s="40">
        <f>IFERROR(IF(I$4="",0,IF($E5="kWh",VLOOKUP(I$4,'4. Billing Determinants'!$B$19:$R$41,4,0)/'4. Billing Determinants'!$E$41*$D5,IF($E5="kW",VLOOKUP(I$4,'4. Billing Determinants'!$B$19:$R$41,5,0)/'4. Billing Determinants'!$F$41*$D5,IF($E5="Non-RPP kWh",VLOOKUP(I$4,'4. Billing Determinants'!$B$19:$R$41,6,0)/'4. Billing Determinants'!$G$41*$D5,IF($E5="Distribution Rev.",VLOOKUP(I$4,'4. Billing Determinants'!$B$19:$R$41,8,0)/'4. Billing Determinants'!$I$41*$D5, VLOOKUP(I$4,'4. Billing Determinants'!$B$19:$R$41,3,0)/'4. Billing Determinants'!$D$41*$D5))))),0)</f>
        <v>171670.8051714469</v>
      </c>
      <c r="J5" s="40">
        <f>IFERROR(IF(J$4="",0,IF($E5="kWh",VLOOKUP(J$4,'4. Billing Determinants'!$B$19:$R$41,4,0)/'4. Billing Determinants'!$E$41*$D5,IF($E5="kW",VLOOKUP(J$4,'4. Billing Determinants'!$B$19:$R$41,5,0)/'4. Billing Determinants'!$F$41*$D5,IF($E5="Non-RPP kWh",VLOOKUP(J$4,'4. Billing Determinants'!$B$19:$R$41,6,0)/'4. Billing Determinants'!$G$41*$D5,IF($E5="Distribution Rev.",VLOOKUP(J$4,'4. Billing Determinants'!$B$19:$R$41,8,0)/'4. Billing Determinants'!$I$41*$D5, VLOOKUP(J$4,'4. Billing Determinants'!$B$19:$R$41,3,0)/'4. Billing Determinants'!$D$41*$D5))))),0)</f>
        <v>72240.833236855731</v>
      </c>
      <c r="K5" s="40">
        <f>IFERROR(IF(K$4="",0,IF($E5="kWh",VLOOKUP(K$4,'4. Billing Determinants'!$B$19:$R$41,4,0)/'4. Billing Determinants'!$E$41*$D5,IF($E5="kW",VLOOKUP(K$4,'4. Billing Determinants'!$B$19:$R$41,5,0)/'4. Billing Determinants'!$F$41*$D5,IF($E5="Non-RPP kWh",VLOOKUP(K$4,'4. Billing Determinants'!$B$19:$R$41,6,0)/'4. Billing Determinants'!$G$41*$D5,IF($E5="Distribution Rev.",VLOOKUP(K$4,'4. Billing Determinants'!$B$19:$R$41,8,0)/'4. Billing Determinants'!$I$41*$D5, VLOOKUP(K$4,'4. Billing Determinants'!$B$19:$R$41,3,0)/'4. Billing Determinants'!$D$41*$D5))))),0)</f>
        <v>32402.843689269677</v>
      </c>
      <c r="L5" s="40">
        <f>IFERROR(IF(L$4="",0,IF($E5="kWh",VLOOKUP(L$4,'4. Billing Determinants'!$B$19:$R$41,4,0)/'4. Billing Determinants'!$E$41*$D5,IF($E5="kW",VLOOKUP(L$4,'4. Billing Determinants'!$B$19:$R$41,5,0)/'4. Billing Determinants'!$F$41*$D5,IF($E5="Non-RPP kWh",VLOOKUP(L$4,'4. Billing Determinants'!$B$19:$R$41,6,0)/'4. Billing Determinants'!$G$41*$D5,IF($E5="Distribution Rev.",VLOOKUP(L$4,'4. Billing Determinants'!$B$19:$R$41,8,0)/'4. Billing Determinants'!$I$41*$D5, VLOOKUP(L$4,'4. Billing Determinants'!$B$19:$R$41,3,0)/'4. Billing Determinants'!$D$41*$D5))))),0)</f>
        <v>2133.3209160604365</v>
      </c>
      <c r="M5" s="40">
        <f>IFERROR(IF(M$4="",0,IF($E5="kWh",VLOOKUP(M$4,'4. Billing Determinants'!$B$19:$R$41,4,0)/'4. Billing Determinants'!$E$41*$D5,IF($E5="kW",VLOOKUP(M$4,'4. Billing Determinants'!$B$19:$R$41,5,0)/'4. Billing Determinants'!$F$41*$D5,IF($E5="Non-RPP kWh",VLOOKUP(M$4,'4. Billing Determinants'!$B$19:$R$41,6,0)/'4. Billing Determinants'!$G$41*$D5,IF($E5="Distribution Rev.",VLOOKUP(M$4,'4. Billing Determinants'!$B$19:$R$41,8,0)/'4. Billing Determinants'!$I$41*$D5, VLOOKUP(M$4,'4. Billing Determinants'!$B$19:$R$41,3,0)/'4. Billing Determinants'!$D$41*$D5))))),0)</f>
        <v>759.58112706870838</v>
      </c>
      <c r="N5" s="40">
        <f>IFERROR(IF(N$4="",0,IF($E5="kWh",VLOOKUP(N$4,'4. Billing Determinants'!$B$19:$R$41,4,0)/'4. Billing Determinants'!$E$41*$D5,IF($E5="kW",VLOOKUP(N$4,'4. Billing Determinants'!$B$19:$R$41,5,0)/'4. Billing Determinants'!$F$41*$D5,IF($E5="Non-RPP kWh",VLOOKUP(N$4,'4. Billing Determinants'!$B$19:$R$41,6,0)/'4. Billing Determinants'!$G$41*$D5,IF($E5="Distribution Rev.",VLOOKUP(N$4,'4. Billing Determinants'!$B$19:$R$41,8,0)/'4. Billing Determinants'!$I$41*$D5, VLOOKUP(N$4,'4. Billing Determinants'!$B$19:$R$41,3,0)/'4. Billing Determinants'!$D$41*$D5))))),0)</f>
        <v>0</v>
      </c>
      <c r="O5" s="40">
        <f>IFERROR(IF(O$4="",0,IF($E5="kWh",VLOOKUP(O$4,'4. Billing Determinants'!$B$19:$R$41,4,0)/'4. Billing Determinants'!$E$41*$D5,IF($E5="kW",VLOOKUP(O$4,'4. Billing Determinants'!$B$19:$R$41,5,0)/'4. Billing Determinants'!$F$41*$D5,IF($E5="Non-RPP kWh",VLOOKUP(O$4,'4. Billing Determinants'!$B$19:$R$41,6,0)/'4. Billing Determinants'!$G$41*$D5,IF($E5="Distribution Rev.",VLOOKUP(O$4,'4. Billing Determinants'!$B$19:$R$41,8,0)/'4. Billing Determinants'!$I$41*$D5, VLOOKUP(O$4,'4. Billing Determinants'!$B$19:$R$41,3,0)/'4. Billing Determinants'!$D$41*$D5))))),0)</f>
        <v>0</v>
      </c>
      <c r="P5" s="40">
        <f>IFERROR(IF(P$4="",0,IF($E5="kWh",VLOOKUP(P$4,'4. Billing Determinants'!$B$19:$R$41,4,0)/'4. Billing Determinants'!$E$41*$D5,IF($E5="kW",VLOOKUP(P$4,'4. Billing Determinants'!$B$19:$R$41,5,0)/'4. Billing Determinants'!$F$41*$D5,IF($E5="Non-RPP kWh",VLOOKUP(P$4,'4. Billing Determinants'!$B$19:$R$41,6,0)/'4. Billing Determinants'!$G$41*$D5,IF($E5="Distribution Rev.",VLOOKUP(P$4,'4. Billing Determinants'!$B$19:$R$41,8,0)/'4. Billing Determinants'!$I$41*$D5, VLOOKUP(P$4,'4. Billing Determinants'!$B$19:$R$41,3,0)/'4. Billing Determinants'!$D$41*$D5))))),0)</f>
        <v>0</v>
      </c>
      <c r="Q5" s="40">
        <f>IFERROR(IF(Q$4="",0,IF($E5="kWh",VLOOKUP(Q$4,'4. Billing Determinants'!$B$19:$R$41,4,0)/'4. Billing Determinants'!$E$41*$D5,IF($E5="kW",VLOOKUP(Q$4,'4. Billing Determinants'!$B$19:$R$41,5,0)/'4. Billing Determinants'!$F$41*$D5,IF($E5="Non-RPP kWh",VLOOKUP(Q$4,'4. Billing Determinants'!$B$19:$R$41,6,0)/'4. Billing Determinants'!$G$41*$D5,IF($E5="Distribution Rev.",VLOOKUP(Q$4,'4. Billing Determinants'!$B$19:$R$41,8,0)/'4. Billing Determinants'!$I$41*$D5, VLOOKUP(Q$4,'4. Billing Determinants'!$B$19:$R$41,3,0)/'4. Billing Determinants'!$D$41*$D5))))),0)</f>
        <v>0</v>
      </c>
      <c r="R5" s="40">
        <f>IFERROR(IF(R$4="",0,IF($E5="kWh",VLOOKUP(R$4,'4. Billing Determinants'!$B$19:$R$41,4,0)/'4. Billing Determinants'!$E$41*$D5,IF($E5="kW",VLOOKUP(R$4,'4. Billing Determinants'!$B$19:$R$41,5,0)/'4. Billing Determinants'!$F$41*$D5,IF($E5="Non-RPP kWh",VLOOKUP(R$4,'4. Billing Determinants'!$B$19:$R$41,6,0)/'4. Billing Determinants'!$G$41*$D5,IF($E5="Distribution Rev.",VLOOKUP(R$4,'4. Billing Determinants'!$B$19:$R$41,8,0)/'4. Billing Determinants'!$I$41*$D5, VLOOKUP(R$4,'4. Billing Determinants'!$B$19:$R$41,3,0)/'4. Billing Determinants'!$D$41*$D5))))),0)</f>
        <v>0</v>
      </c>
      <c r="S5" s="40">
        <f>IFERROR(IF(S$4="",0,IF($E5="kWh",VLOOKUP(S$4,'4. Billing Determinants'!$B$19:$R$41,4,0)/'4. Billing Determinants'!$E$41*$D5,IF($E5="kW",VLOOKUP(S$4,'4. Billing Determinants'!$B$19:$R$41,5,0)/'4. Billing Determinants'!$F$41*$D5,IF($E5="Non-RPP kWh",VLOOKUP(S$4,'4. Billing Determinants'!$B$19:$R$41,6,0)/'4. Billing Determinants'!$G$41*$D5,IF($E5="Distribution Rev.",VLOOKUP(S$4,'4. Billing Determinants'!$B$19:$R$41,8,0)/'4. Billing Determinants'!$I$41*$D5, VLOOKUP(S$4,'4. Billing Determinants'!$B$19:$R$41,3,0)/'4. Billing Determinants'!$D$41*$D5))))),0)</f>
        <v>0</v>
      </c>
      <c r="T5" s="40">
        <f>IFERROR(IF(T$4="",0,IF($E5="kWh",VLOOKUP(T$4,'4. Billing Determinants'!$B$19:$R$41,4,0)/'4. Billing Determinants'!$E$41*$D5,IF($E5="kW",VLOOKUP(T$4,'4. Billing Determinants'!$B$19:$R$41,5,0)/'4. Billing Determinants'!$F$41*$D5,IF($E5="Non-RPP kWh",VLOOKUP(T$4,'4. Billing Determinants'!$B$19:$R$41,6,0)/'4. Billing Determinants'!$G$41*$D5,IF($E5="Distribution Rev.",VLOOKUP(T$4,'4. Billing Determinants'!$B$19:$R$41,8,0)/'4. Billing Determinants'!$I$41*$D5, VLOOKUP(T$4,'4. Billing Determinants'!$B$19:$R$41,3,0)/'4. Billing Determinants'!$D$41*$D5))))),0)</f>
        <v>0</v>
      </c>
      <c r="U5" s="40">
        <f>IFERROR(IF(U$4="",0,IF($E5="kWh",VLOOKUP(U$4,'4. Billing Determinants'!$B$19:$R$41,4,0)/'4. Billing Determinants'!$E$41*$D5,IF($E5="kW",VLOOKUP(U$4,'4. Billing Determinants'!$B$19:$R$41,5,0)/'4. Billing Determinants'!$F$41*$D5,IF($E5="Non-RPP kWh",VLOOKUP(U$4,'4. Billing Determinants'!$B$19:$R$41,6,0)/'4. Billing Determinants'!$G$41*$D5,IF($E5="Distribution Rev.",VLOOKUP(U$4,'4. Billing Determinants'!$B$19:$R$41,8,0)/'4. Billing Determinants'!$I$41*$D5, VLOOKUP(U$4,'4. Billing Determinants'!$B$19:$R$41,3,0)/'4. Billing Determinants'!$D$41*$D5))))),0)</f>
        <v>0</v>
      </c>
      <c r="V5" s="40">
        <f>IFERROR(IF(V$4="",0,IF($E5="kWh",VLOOKUP(V$4,'4. Billing Determinants'!$B$19:$R$41,4,0)/'4. Billing Determinants'!$E$41*$D5,IF($E5="kW",VLOOKUP(V$4,'4. Billing Determinants'!$B$19:$R$41,5,0)/'4. Billing Determinants'!$F$41*$D5,IF($E5="Non-RPP kWh",VLOOKUP(V$4,'4. Billing Determinants'!$B$19:$R$41,6,0)/'4. Billing Determinants'!$G$41*$D5,IF($E5="Distribution Rev.",VLOOKUP(V$4,'4. Billing Determinants'!$B$19:$R$41,8,0)/'4. Billing Determinants'!$I$41*$D5, VLOOKUP(V$4,'4. Billing Determinants'!$B$19:$R$41,3,0)/'4. Billing Determinants'!$D$41*$D5))))),0)</f>
        <v>0</v>
      </c>
      <c r="W5" s="40">
        <f>IFERROR(IF(W$4="",0,IF($E5="kWh",VLOOKUP(W$4,'4. Billing Determinants'!$B$19:$R$41,4,0)/'4. Billing Determinants'!$E$41*$D5,IF($E5="kW",VLOOKUP(W$4,'4. Billing Determinants'!$B$19:$R$41,5,0)/'4. Billing Determinants'!$F$41*$D5,IF($E5="Non-RPP kWh",VLOOKUP(W$4,'4. Billing Determinants'!$B$19:$R$41,6,0)/'4. Billing Determinants'!$G$41*$D5,IF($E5="Distribution Rev.",VLOOKUP(W$4,'4. Billing Determinants'!$B$19:$R$41,8,0)/'4. Billing Determinants'!$I$41*$D5, VLOOKUP(W$4,'4. Billing Determinants'!$B$19:$R$41,3,0)/'4. Billing Determinants'!$D$41*$D5))))),0)</f>
        <v>0</v>
      </c>
      <c r="X5" s="40">
        <f>IFERROR(IF(X$4="",0,IF($E5="kWh",VLOOKUP(X$4,'4. Billing Determinants'!$B$19:$R$41,4,0)/'4. Billing Determinants'!$E$41*$D5,IF($E5="kW",VLOOKUP(X$4,'4. Billing Determinants'!$B$19:$R$41,5,0)/'4. Billing Determinants'!$F$41*$D5,IF($E5="Non-RPP kWh",VLOOKUP(X$4,'4. Billing Determinants'!$B$19:$R$41,6,0)/'4. Billing Determinants'!$G$41*$D5,IF($E5="Distribution Rev.",VLOOKUP(X$4,'4. Billing Determinants'!$B$19:$R$41,8,0)/'4. Billing Determinants'!$I$41*$D5, VLOOKUP(X$4,'4. Billing Determinants'!$B$19:$R$41,3,0)/'4. Billing Determinants'!$D$41*$D5))))),0)</f>
        <v>0</v>
      </c>
      <c r="Y5" s="40">
        <f>IFERROR(IF(Y$4="",0,IF($E5="kWh",VLOOKUP(Y$4,'4. Billing Determinants'!$B$19:$R$41,4,0)/'4. Billing Determinants'!$E$41*$D5,IF($E5="kW",VLOOKUP(Y$4,'4. Billing Determinants'!$B$19:$R$41,5,0)/'4. Billing Determinants'!$F$41*$D5,IF($E5="Non-RPP kWh",VLOOKUP(Y$4,'4. Billing Determinants'!$B$19:$R$41,6,0)/'4. Billing Determinants'!$G$41*$D5,IF($E5="Distribution Rev.",VLOOKUP(Y$4,'4. Billing Determinants'!$B$19:$R$41,8,0)/'4. Billing Determinants'!$I$41*$D5, VLOOKUP(Y$4,'4. Billing Determinants'!$B$19:$R$41,3,0)/'4. Billing Determinants'!$D$41*$D5))))),0)</f>
        <v>0</v>
      </c>
    </row>
    <row r="6" spans="1:27" x14ac:dyDescent="0.25">
      <c r="A6" s="122">
        <v>3</v>
      </c>
      <c r="B6" s="41" t="s">
        <v>131</v>
      </c>
      <c r="C6" s="260">
        <v>1551</v>
      </c>
      <c r="D6" s="40">
        <v>-1561888.1796943366</v>
      </c>
      <c r="E6" s="295" t="s">
        <v>59</v>
      </c>
      <c r="F6" s="109">
        <f>(618693.204073268/(618693.204073268+72948.191725379))*D6</f>
        <v>-1397154.086162556</v>
      </c>
      <c r="G6" s="109">
        <f>(618693.204073268/(618693.204073268+72948.191725379))*D6</f>
        <v>-1397154.086162556</v>
      </c>
      <c r="H6" s="109">
        <f>(72948.191725379/(618693.204073268+72948.191725379))*D6</f>
        <v>-164734.09353178073</v>
      </c>
      <c r="I6" s="40">
        <v>0</v>
      </c>
      <c r="J6" s="40">
        <v>0</v>
      </c>
      <c r="K6" s="40">
        <v>0</v>
      </c>
      <c r="L6" s="40">
        <v>0</v>
      </c>
      <c r="M6" s="40">
        <v>0</v>
      </c>
      <c r="N6" s="40">
        <v>0</v>
      </c>
      <c r="O6" s="40">
        <v>0</v>
      </c>
      <c r="P6" s="40">
        <v>0</v>
      </c>
      <c r="Q6" s="40">
        <v>0</v>
      </c>
      <c r="R6" s="40">
        <v>0</v>
      </c>
      <c r="S6" s="40">
        <v>0</v>
      </c>
      <c r="T6" s="40">
        <v>0</v>
      </c>
      <c r="U6" s="40">
        <v>0</v>
      </c>
      <c r="V6" s="40">
        <v>0</v>
      </c>
      <c r="W6" s="40">
        <v>0</v>
      </c>
      <c r="X6" s="40">
        <v>0</v>
      </c>
      <c r="Y6" s="40">
        <v>0</v>
      </c>
    </row>
    <row r="7" spans="1:27" x14ac:dyDescent="0.25">
      <c r="A7" s="278">
        <v>4</v>
      </c>
      <c r="B7" s="41" t="s">
        <v>1</v>
      </c>
      <c r="C7" s="260">
        <v>1580</v>
      </c>
      <c r="D7" s="40">
        <v>-25142861.03999766</v>
      </c>
      <c r="E7" s="61" t="s">
        <v>139</v>
      </c>
      <c r="F7" s="40">
        <f>IFERROR(IF(F$4="",0,IF($E7="kWh",VLOOKUP(F$4,'4. Billing Determinants'!$B$19:$R$41,11,0)/'4. Billing Determinants'!$L$41*$D7,IF($E7="kW",VLOOKUP(F$4,'4. Billing Determinants'!$B$19:$R$41,12,0)/'4. Billing Determinants'!$M$41*$D7,))),0)</f>
        <v>-5363401.6715406496</v>
      </c>
      <c r="G7" s="40">
        <f>IFERROR(IF(G$4="",0,IF($E7="kWh",VLOOKUP(G$4,'4. Billing Determinants'!$B$19:$R$41,11,0)/'4. Billing Determinants'!$L$41*$D7,IF($E7="kW",VLOOKUP(G$4,'4. Billing Determinants'!$B$19:$R$41,12,0)/'4. Billing Determinants'!$M$41*$D7,))),0)</f>
        <v>-377706.02813584701</v>
      </c>
      <c r="H7" s="40">
        <f>IFERROR(IF(H$4="",0,IF($E7="kWh",VLOOKUP(H$4,'4. Billing Determinants'!$B$19:$R$41,11,0)/'4. Billing Determinants'!$L$41*$D7,IF($E7="kW",VLOOKUP(H$4,'4. Billing Determinants'!$B$19:$R$41,12,0)/'4. Billing Determinants'!$M$41*$D7,))),0)</f>
        <v>-2608995.1404534113</v>
      </c>
      <c r="I7" s="40">
        <f>IFERROR(IF(I$4="",0,IF($E7="kWh",VLOOKUP(I$4,'4. Billing Determinants'!$B$19:$R$41,11,0)/'4. Billing Determinants'!$L$41*$D7,IF($E7="kW",VLOOKUP(I$4,'4. Billing Determinants'!$B$19:$R$41,12,0)/'4. Billing Determinants'!$M$41*$D7,))),0)</f>
        <v>-10455788.930334046</v>
      </c>
      <c r="J7" s="40">
        <f>IFERROR(IF(J$4="",0,IF($E7="kWh",VLOOKUP(J$4,'4. Billing Determinants'!$B$19:$R$41,11,0)/'4. Billing Determinants'!$L$41*$D7,IF($E7="kW",VLOOKUP(J$4,'4. Billing Determinants'!$B$19:$R$41,12,0)/'4. Billing Determinants'!$M$41*$D7,))),0)</f>
        <v>-4422801.1385871433</v>
      </c>
      <c r="K7" s="40">
        <f>IFERROR(IF(K$4="",0,IF($E7="kWh",VLOOKUP(K$4,'4. Billing Determinants'!$B$19:$R$41,11,0)/'4. Billing Determinants'!$L$41*$D7,IF($E7="kW",VLOOKUP(K$4,'4. Billing Determinants'!$B$19:$R$41,12,0)/'4. Billing Determinants'!$M$41*$D7,))),0)</f>
        <v>-1737054.8572828299</v>
      </c>
      <c r="L7" s="40">
        <f>IFERROR(IF(L$4="",0,IF($E7="kWh",VLOOKUP(L$4,'4. Billing Determinants'!$B$19:$R$41,11,0)/'4. Billing Determinants'!$L$41*$D7,IF($E7="kW",VLOOKUP(L$4,'4. Billing Determinants'!$B$19:$R$41,12,0)/'4. Billing Determinants'!$M$41*$D7,))),0)</f>
        <v>-130609.14112739345</v>
      </c>
      <c r="M7" s="40">
        <f>IFERROR(IF(M$4="",0,IF($E7="kWh",VLOOKUP(M$4,'4. Billing Determinants'!$B$19:$R$41,11,0)/'4. Billing Determinants'!$L$41*$D7,IF($E7="kW",VLOOKUP(M$4,'4. Billing Determinants'!$B$19:$R$41,12,0)/'4. Billing Determinants'!$M$41*$D7,))),0)</f>
        <v>-46504.132536340338</v>
      </c>
      <c r="N7" s="40">
        <f>IFERROR(IF(N$4="",0,IF($E7="kWh",VLOOKUP(N$4,'4. Billing Determinants'!$B$19:$R$41,11,0)/'4. Billing Determinants'!$L$41*$D7,IF($E7="kW",VLOOKUP(N$4,'4. Billing Determinants'!$B$19:$R$41,12,0)/'4. Billing Determinants'!$M$41*$D7,))),0)</f>
        <v>0</v>
      </c>
      <c r="O7" s="40">
        <f>IFERROR(IF(O$4="",0,IF($E7="kWh",VLOOKUP(O$4,'4. Billing Determinants'!$B$19:$R$41,11,0)/'4. Billing Determinants'!$L$41*$D7,IF($E7="kW",VLOOKUP(O$4,'4. Billing Determinants'!$B$19:$R$41,12,0)/'4. Billing Determinants'!$M$41*$D7,))),0)</f>
        <v>0</v>
      </c>
      <c r="P7" s="40">
        <f>IFERROR(IF(P$4="",0,IF($E7="kWh",VLOOKUP(P$4,'4. Billing Determinants'!$B$19:$R$41,11,0)/'4. Billing Determinants'!$L$41*$D7,IF($E7="kW",VLOOKUP(P$4,'4. Billing Determinants'!$B$19:$R$41,12,0)/'4. Billing Determinants'!$M$41*$D7,))),0)</f>
        <v>0</v>
      </c>
      <c r="Q7" s="40">
        <f>IFERROR(IF(Q$4="",0,IF($E7="kWh",VLOOKUP(Q$4,'4. Billing Determinants'!$B$19:$R$41,11,0)/'4. Billing Determinants'!$L$41*$D7,IF($E7="kW",VLOOKUP(Q$4,'4. Billing Determinants'!$B$19:$R$41,12,0)/'4. Billing Determinants'!$M$41*$D7,))),0)</f>
        <v>0</v>
      </c>
      <c r="R7" s="40">
        <f>IFERROR(IF(R$4="",0,IF($E7="kWh",VLOOKUP(R$4,'4. Billing Determinants'!$B$19:$R$41,11,0)/'4. Billing Determinants'!$L$41*$D7,IF($E7="kW",VLOOKUP(R$4,'4. Billing Determinants'!$B$19:$R$41,12,0)/'4. Billing Determinants'!$M$41*$D7,))),0)</f>
        <v>0</v>
      </c>
      <c r="S7" s="40">
        <f>IFERROR(IF(S$4="",0,IF($E7="kWh",VLOOKUP(S$4,'4. Billing Determinants'!$B$19:$R$41,11,0)/'4. Billing Determinants'!$L$41*$D7,IF($E7="kW",VLOOKUP(S$4,'4. Billing Determinants'!$B$19:$R$41,12,0)/'4. Billing Determinants'!$M$41*$D7,))),0)</f>
        <v>0</v>
      </c>
      <c r="T7" s="40">
        <f>IFERROR(IF(T$4="",0,IF($E7="kWh",VLOOKUP(T$4,'4. Billing Determinants'!$B$19:$R$41,11,0)/'4. Billing Determinants'!$L$41*$D7,IF($E7="kW",VLOOKUP(T$4,'4. Billing Determinants'!$B$19:$R$41,12,0)/'4. Billing Determinants'!$M$41*$D7,))),0)</f>
        <v>0</v>
      </c>
      <c r="U7" s="40">
        <f>IFERROR(IF(U$4="",0,IF($E7="kWh",VLOOKUP(U$4,'4. Billing Determinants'!$B$19:$R$41,11,0)/'4. Billing Determinants'!$L$41*$D7,IF($E7="kW",VLOOKUP(U$4,'4. Billing Determinants'!$B$19:$R$41,12,0)/'4. Billing Determinants'!$M$41*$D7,))),0)</f>
        <v>0</v>
      </c>
      <c r="V7" s="40">
        <f>IFERROR(IF(V$4="",0,IF($E7="kWh",VLOOKUP(V$4,'4. Billing Determinants'!$B$19:$R$41,11,0)/'4. Billing Determinants'!$L$41*$D7,IF($E7="kW",VLOOKUP(V$4,'4. Billing Determinants'!$B$19:$R$41,12,0)/'4. Billing Determinants'!$M$41*$D7,))),0)</f>
        <v>0</v>
      </c>
      <c r="W7" s="40">
        <f>IFERROR(IF(W$4="",0,IF($E7="kWh",VLOOKUP(W$4,'4. Billing Determinants'!$B$19:$R$41,11,0)/'4. Billing Determinants'!$L$41*$D7,IF($E7="kW",VLOOKUP(W$4,'4. Billing Determinants'!$B$19:$R$41,12,0)/'4. Billing Determinants'!$M$41*$D7,))),0)</f>
        <v>0</v>
      </c>
      <c r="X7" s="40">
        <f>IFERROR(IF(X$4="",0,IF($E7="kWh",VLOOKUP(X$4,'4. Billing Determinants'!$B$19:$R$41,11,0)/'4. Billing Determinants'!$L$41*$D7,IF($E7="kW",VLOOKUP(X$4,'4. Billing Determinants'!$B$19:$R$41,12,0)/'4. Billing Determinants'!$M$41*$D7,))),0)</f>
        <v>0</v>
      </c>
      <c r="Y7" s="40">
        <f>IFERROR(IF(Y$4="",0,IF($E7="kWh",VLOOKUP(Y$4,'4. Billing Determinants'!$B$19:$R$41,11,0)/'4. Billing Determinants'!$L$41*$D7,IF($E7="kW",VLOOKUP(Y$4,'4. Billing Determinants'!$B$19:$R$41,12,0)/'4. Billing Determinants'!$M$41*$D7,))),0)</f>
        <v>0</v>
      </c>
    </row>
    <row r="8" spans="1:27" x14ac:dyDescent="0.25">
      <c r="A8" s="122">
        <v>5</v>
      </c>
      <c r="B8" s="41" t="s">
        <v>2</v>
      </c>
      <c r="C8" s="260">
        <v>1584</v>
      </c>
      <c r="D8" s="40">
        <v>22479227.893208116</v>
      </c>
      <c r="E8" s="61" t="s">
        <v>139</v>
      </c>
      <c r="F8" s="40">
        <f>IFERROR(IF(F$4="",0,IF($E8="kWh",VLOOKUP(F$4,'4. Billing Determinants'!$B$19:$R$41,4,0)/'4. Billing Determinants'!$E$41*$D8,IF($E8="kW",VLOOKUP(F$4,'4. Billing Determinants'!$B$19:$R$41,5,0)/'4. Billing Determinants'!$F$41*$D8,IF($E8="Non-RPP kWh",VLOOKUP(F$4,'4. Billing Determinants'!$B$19:$R$41,6,0)/'4. Billing Determinants'!$G$41*$D8,IF($E8="Distribution Rev.",VLOOKUP(F$4,'4. Billing Determinants'!$B$19:$R$41,8,0)/'4. Billing Determinants'!$I$41*$D8, VLOOKUP(F$4,'4. Billing Determinants'!$B$19:$R$41,3,0)/'4. Billing Determinants'!$D$41*$D8))))),0)</f>
        <v>4738426.8410191899</v>
      </c>
      <c r="G8" s="40">
        <f>IFERROR(IF(G$4="",0,IF($E8="kWh",VLOOKUP(G$4,'4. Billing Determinants'!$B$19:$R$41,4,0)/'4. Billing Determinants'!$E$41*$D8,IF($E8="kW",VLOOKUP(G$4,'4. Billing Determinants'!$B$19:$R$41,5,0)/'4. Billing Determinants'!$F$41*$D8,IF($E8="Non-RPP kWh",VLOOKUP(G$4,'4. Billing Determinants'!$B$19:$R$41,6,0)/'4. Billing Determinants'!$G$41*$D8,IF($E8="Distribution Rev.",VLOOKUP(G$4,'4. Billing Determinants'!$B$19:$R$41,8,0)/'4. Billing Determinants'!$I$41*$D8, VLOOKUP(G$4,'4. Billing Determinants'!$B$19:$R$41,3,0)/'4. Billing Determinants'!$D$41*$D8))))),0)</f>
        <v>333693.51977315958</v>
      </c>
      <c r="H8" s="40">
        <f>IFERROR(IF(H$4="",0,IF($E8="kWh",VLOOKUP(H$4,'4. Billing Determinants'!$B$19:$R$41,4,0)/'4. Billing Determinants'!$E$41*$D8,IF($E8="kW",VLOOKUP(H$4,'4. Billing Determinants'!$B$19:$R$41,5,0)/'4. Billing Determinants'!$F$41*$D8,IF($E8="Non-RPP kWh",VLOOKUP(H$4,'4. Billing Determinants'!$B$19:$R$41,6,0)/'4. Billing Determinants'!$G$41*$D8,IF($E8="Distribution Rev.",VLOOKUP(H$4,'4. Billing Determinants'!$B$19:$R$41,8,0)/'4. Billing Determinants'!$I$41*$D8, VLOOKUP(H$4,'4. Billing Determinants'!$B$19:$R$41,3,0)/'4. Billing Determinants'!$D$41*$D8))))),0)</f>
        <v>2304979.8166733077</v>
      </c>
      <c r="I8" s="40">
        <f>IFERROR(IF(I$4="",0,IF($E8="kWh",VLOOKUP(I$4,'4. Billing Determinants'!$B$19:$R$41,4,0)/'4. Billing Determinants'!$E$41*$D8,IF($E8="kW",VLOOKUP(I$4,'4. Billing Determinants'!$B$19:$R$41,5,0)/'4. Billing Determinants'!$F$41*$D8,IF($E8="Non-RPP kWh",VLOOKUP(I$4,'4. Billing Determinants'!$B$19:$R$41,6,0)/'4. Billing Determinants'!$G$41*$D8,IF($E8="Distribution Rev.",VLOOKUP(I$4,'4. Billing Determinants'!$B$19:$R$41,8,0)/'4. Billing Determinants'!$I$41*$D8, VLOOKUP(I$4,'4. Billing Determinants'!$B$19:$R$41,3,0)/'4. Billing Determinants'!$D$41*$D8))))),0)</f>
        <v>9285551.0707304291</v>
      </c>
      <c r="J8" s="40">
        <f>IFERROR(IF(J$4="",0,IF($E8="kWh",VLOOKUP(J$4,'4. Billing Determinants'!$B$19:$R$41,4,0)/'4. Billing Determinants'!$E$41*$D8,IF($E8="kW",VLOOKUP(J$4,'4. Billing Determinants'!$B$19:$R$41,5,0)/'4. Billing Determinants'!$F$41*$D8,IF($E8="Non-RPP kWh",VLOOKUP(J$4,'4. Billing Determinants'!$B$19:$R$41,6,0)/'4. Billing Determinants'!$G$41*$D8,IF($E8="Distribution Rev.",VLOOKUP(J$4,'4. Billing Determinants'!$B$19:$R$41,8,0)/'4. Billing Determinants'!$I$41*$D8, VLOOKUP(J$4,'4. Billing Determinants'!$B$19:$R$41,3,0)/'4. Billing Determinants'!$D$41*$D8))))),0)</f>
        <v>3907455.0022819731</v>
      </c>
      <c r="K8" s="40">
        <f>IFERROR(IF(K$4="",0,IF($E8="kWh",VLOOKUP(K$4,'4. Billing Determinants'!$B$19:$R$41,4,0)/'4. Billing Determinants'!$E$41*$D8,IF($E8="kW",VLOOKUP(K$4,'4. Billing Determinants'!$B$19:$R$41,5,0)/'4. Billing Determinants'!$F$41*$D8,IF($E8="Non-RPP kWh",VLOOKUP(K$4,'4. Billing Determinants'!$B$19:$R$41,6,0)/'4. Billing Determinants'!$G$41*$D8,IF($E8="Distribution Rev.",VLOOKUP(K$4,'4. Billing Determinants'!$B$19:$R$41,8,0)/'4. Billing Determinants'!$I$41*$D8, VLOOKUP(K$4,'4. Billing Determinants'!$B$19:$R$41,3,0)/'4. Billing Determinants'!$D$41*$D8))))),0)</f>
        <v>1752646.64025501</v>
      </c>
      <c r="L8" s="40">
        <f>IFERROR(IF(L$4="",0,IF($E8="kWh",VLOOKUP(L$4,'4. Billing Determinants'!$B$19:$R$41,4,0)/'4. Billing Determinants'!$E$41*$D8,IF($E8="kW",VLOOKUP(L$4,'4. Billing Determinants'!$B$19:$R$41,5,0)/'4. Billing Determinants'!$F$41*$D8,IF($E8="Non-RPP kWh",VLOOKUP(L$4,'4. Billing Determinants'!$B$19:$R$41,6,0)/'4. Billing Determinants'!$G$41*$D8,IF($E8="Distribution Rev.",VLOOKUP(L$4,'4. Billing Determinants'!$B$19:$R$41,8,0)/'4. Billing Determinants'!$I$41*$D8, VLOOKUP(L$4,'4. Billing Determinants'!$B$19:$R$41,3,0)/'4. Billing Determinants'!$D$41*$D8))))),0)</f>
        <v>115389.80257332273</v>
      </c>
      <c r="M8" s="40">
        <f>IFERROR(IF(M$4="",0,IF($E8="kWh",VLOOKUP(M$4,'4. Billing Determinants'!$B$19:$R$41,4,0)/'4. Billing Determinants'!$E$41*$D8,IF($E8="kW",VLOOKUP(M$4,'4. Billing Determinants'!$B$19:$R$41,5,0)/'4. Billing Determinants'!$F$41*$D8,IF($E8="Non-RPP kWh",VLOOKUP(M$4,'4. Billing Determinants'!$B$19:$R$41,6,0)/'4. Billing Determinants'!$G$41*$D8,IF($E8="Distribution Rev.",VLOOKUP(M$4,'4. Billing Determinants'!$B$19:$R$41,8,0)/'4. Billing Determinants'!$I$41*$D8, VLOOKUP(M$4,'4. Billing Determinants'!$B$19:$R$41,3,0)/'4. Billing Determinants'!$D$41*$D8))))),0)</f>
        <v>41085.199901727858</v>
      </c>
      <c r="N8" s="40">
        <f>IFERROR(IF(N$4="",0,IF($E8="kWh",VLOOKUP(N$4,'4. Billing Determinants'!$B$19:$R$41,4,0)/'4. Billing Determinants'!$E$41*$D8,IF($E8="kW",VLOOKUP(N$4,'4. Billing Determinants'!$B$19:$R$41,5,0)/'4. Billing Determinants'!$F$41*$D8,IF($E8="Non-RPP kWh",VLOOKUP(N$4,'4. Billing Determinants'!$B$19:$R$41,6,0)/'4. Billing Determinants'!$G$41*$D8,IF($E8="Distribution Rev.",VLOOKUP(N$4,'4. Billing Determinants'!$B$19:$R$41,8,0)/'4. Billing Determinants'!$I$41*$D8, VLOOKUP(N$4,'4. Billing Determinants'!$B$19:$R$41,3,0)/'4. Billing Determinants'!$D$41*$D8))))),0)</f>
        <v>0</v>
      </c>
      <c r="O8" s="40">
        <f>IFERROR(IF(O$4="",0,IF($E8="kWh",VLOOKUP(O$4,'4. Billing Determinants'!$B$19:$R$41,4,0)/'4. Billing Determinants'!$E$41*$D8,IF($E8="kW",VLOOKUP(O$4,'4. Billing Determinants'!$B$19:$R$41,5,0)/'4. Billing Determinants'!$F$41*$D8,IF($E8="Non-RPP kWh",VLOOKUP(O$4,'4. Billing Determinants'!$B$19:$R$41,6,0)/'4. Billing Determinants'!$G$41*$D8,IF($E8="Distribution Rev.",VLOOKUP(O$4,'4. Billing Determinants'!$B$19:$R$41,8,0)/'4. Billing Determinants'!$I$41*$D8, VLOOKUP(O$4,'4. Billing Determinants'!$B$19:$R$41,3,0)/'4. Billing Determinants'!$D$41*$D8))))),0)</f>
        <v>0</v>
      </c>
      <c r="P8" s="40">
        <f>IFERROR(IF(P$4="",0,IF($E8="kWh",VLOOKUP(P$4,'4. Billing Determinants'!$B$19:$R$41,4,0)/'4. Billing Determinants'!$E$41*$D8,IF($E8="kW",VLOOKUP(P$4,'4. Billing Determinants'!$B$19:$R$41,5,0)/'4. Billing Determinants'!$F$41*$D8,IF($E8="Non-RPP kWh",VLOOKUP(P$4,'4. Billing Determinants'!$B$19:$R$41,6,0)/'4. Billing Determinants'!$G$41*$D8,IF($E8="Distribution Rev.",VLOOKUP(P$4,'4. Billing Determinants'!$B$19:$R$41,8,0)/'4. Billing Determinants'!$I$41*$D8, VLOOKUP(P$4,'4. Billing Determinants'!$B$19:$R$41,3,0)/'4. Billing Determinants'!$D$41*$D8))))),0)</f>
        <v>0</v>
      </c>
      <c r="Q8" s="40">
        <f>IFERROR(IF(Q$4="",0,IF($E8="kWh",VLOOKUP(Q$4,'4. Billing Determinants'!$B$19:$R$41,4,0)/'4. Billing Determinants'!$E$41*$D8,IF($E8="kW",VLOOKUP(Q$4,'4. Billing Determinants'!$B$19:$R$41,5,0)/'4. Billing Determinants'!$F$41*$D8,IF($E8="Non-RPP kWh",VLOOKUP(Q$4,'4. Billing Determinants'!$B$19:$R$41,6,0)/'4. Billing Determinants'!$G$41*$D8,IF($E8="Distribution Rev.",VLOOKUP(Q$4,'4. Billing Determinants'!$B$19:$R$41,8,0)/'4. Billing Determinants'!$I$41*$D8, VLOOKUP(Q$4,'4. Billing Determinants'!$B$19:$R$41,3,0)/'4. Billing Determinants'!$D$41*$D8))))),0)</f>
        <v>0</v>
      </c>
      <c r="R8" s="40">
        <f>IFERROR(IF(R$4="",0,IF($E8="kWh",VLOOKUP(R$4,'4. Billing Determinants'!$B$19:$R$41,4,0)/'4. Billing Determinants'!$E$41*$D8,IF($E8="kW",VLOOKUP(R$4,'4. Billing Determinants'!$B$19:$R$41,5,0)/'4. Billing Determinants'!$F$41*$D8,IF($E8="Non-RPP kWh",VLOOKUP(R$4,'4. Billing Determinants'!$B$19:$R$41,6,0)/'4. Billing Determinants'!$G$41*$D8,IF($E8="Distribution Rev.",VLOOKUP(R$4,'4. Billing Determinants'!$B$19:$R$41,8,0)/'4. Billing Determinants'!$I$41*$D8, VLOOKUP(R$4,'4. Billing Determinants'!$B$19:$R$41,3,0)/'4. Billing Determinants'!$D$41*$D8))))),0)</f>
        <v>0</v>
      </c>
      <c r="S8" s="40">
        <f>IFERROR(IF(S$4="",0,IF($E8="kWh",VLOOKUP(S$4,'4. Billing Determinants'!$B$19:$R$41,4,0)/'4. Billing Determinants'!$E$41*$D8,IF($E8="kW",VLOOKUP(S$4,'4. Billing Determinants'!$B$19:$R$41,5,0)/'4. Billing Determinants'!$F$41*$D8,IF($E8="Non-RPP kWh",VLOOKUP(S$4,'4. Billing Determinants'!$B$19:$R$41,6,0)/'4. Billing Determinants'!$G$41*$D8,IF($E8="Distribution Rev.",VLOOKUP(S$4,'4. Billing Determinants'!$B$19:$R$41,8,0)/'4. Billing Determinants'!$I$41*$D8, VLOOKUP(S$4,'4. Billing Determinants'!$B$19:$R$41,3,0)/'4. Billing Determinants'!$D$41*$D8))))),0)</f>
        <v>0</v>
      </c>
      <c r="T8" s="40">
        <f>IFERROR(IF(T$4="",0,IF($E8="kWh",VLOOKUP(T$4,'4. Billing Determinants'!$B$19:$R$41,4,0)/'4. Billing Determinants'!$E$41*$D8,IF($E8="kW",VLOOKUP(T$4,'4. Billing Determinants'!$B$19:$R$41,5,0)/'4. Billing Determinants'!$F$41*$D8,IF($E8="Non-RPP kWh",VLOOKUP(T$4,'4. Billing Determinants'!$B$19:$R$41,6,0)/'4. Billing Determinants'!$G$41*$D8,IF($E8="Distribution Rev.",VLOOKUP(T$4,'4. Billing Determinants'!$B$19:$R$41,8,0)/'4. Billing Determinants'!$I$41*$D8, VLOOKUP(T$4,'4. Billing Determinants'!$B$19:$R$41,3,0)/'4. Billing Determinants'!$D$41*$D8))))),0)</f>
        <v>0</v>
      </c>
      <c r="U8" s="40">
        <f>IFERROR(IF(U$4="",0,IF($E8="kWh",VLOOKUP(U$4,'4. Billing Determinants'!$B$19:$R$41,4,0)/'4. Billing Determinants'!$E$41*$D8,IF($E8="kW",VLOOKUP(U$4,'4. Billing Determinants'!$B$19:$R$41,5,0)/'4. Billing Determinants'!$F$41*$D8,IF($E8="Non-RPP kWh",VLOOKUP(U$4,'4. Billing Determinants'!$B$19:$R$41,6,0)/'4. Billing Determinants'!$G$41*$D8,IF($E8="Distribution Rev.",VLOOKUP(U$4,'4. Billing Determinants'!$B$19:$R$41,8,0)/'4. Billing Determinants'!$I$41*$D8, VLOOKUP(U$4,'4. Billing Determinants'!$B$19:$R$41,3,0)/'4. Billing Determinants'!$D$41*$D8))))),0)</f>
        <v>0</v>
      </c>
      <c r="V8" s="40">
        <f>IFERROR(IF(V$4="",0,IF($E8="kWh",VLOOKUP(V$4,'4. Billing Determinants'!$B$19:$R$41,4,0)/'4. Billing Determinants'!$E$41*$D8,IF($E8="kW",VLOOKUP(V$4,'4. Billing Determinants'!$B$19:$R$41,5,0)/'4. Billing Determinants'!$F$41*$D8,IF($E8="Non-RPP kWh",VLOOKUP(V$4,'4. Billing Determinants'!$B$19:$R$41,6,0)/'4. Billing Determinants'!$G$41*$D8,IF($E8="Distribution Rev.",VLOOKUP(V$4,'4. Billing Determinants'!$B$19:$R$41,8,0)/'4. Billing Determinants'!$I$41*$D8, VLOOKUP(V$4,'4. Billing Determinants'!$B$19:$R$41,3,0)/'4. Billing Determinants'!$D$41*$D8))))),0)</f>
        <v>0</v>
      </c>
      <c r="W8" s="40">
        <f>IFERROR(IF(W$4="",0,IF($E8="kWh",VLOOKUP(W$4,'4. Billing Determinants'!$B$19:$R$41,4,0)/'4. Billing Determinants'!$E$41*$D8,IF($E8="kW",VLOOKUP(W$4,'4. Billing Determinants'!$B$19:$R$41,5,0)/'4. Billing Determinants'!$F$41*$D8,IF($E8="Non-RPP kWh",VLOOKUP(W$4,'4. Billing Determinants'!$B$19:$R$41,6,0)/'4. Billing Determinants'!$G$41*$D8,IF($E8="Distribution Rev.",VLOOKUP(W$4,'4. Billing Determinants'!$B$19:$R$41,8,0)/'4. Billing Determinants'!$I$41*$D8, VLOOKUP(W$4,'4. Billing Determinants'!$B$19:$R$41,3,0)/'4. Billing Determinants'!$D$41*$D8))))),0)</f>
        <v>0</v>
      </c>
      <c r="X8" s="40">
        <f>IFERROR(IF(X$4="",0,IF($E8="kWh",VLOOKUP(X$4,'4. Billing Determinants'!$B$19:$R$41,4,0)/'4. Billing Determinants'!$E$41*$D8,IF($E8="kW",VLOOKUP(X$4,'4. Billing Determinants'!$B$19:$R$41,5,0)/'4. Billing Determinants'!$F$41*$D8,IF($E8="Non-RPP kWh",VLOOKUP(X$4,'4. Billing Determinants'!$B$19:$R$41,6,0)/'4. Billing Determinants'!$G$41*$D8,IF($E8="Distribution Rev.",VLOOKUP(X$4,'4. Billing Determinants'!$B$19:$R$41,8,0)/'4. Billing Determinants'!$I$41*$D8, VLOOKUP(X$4,'4. Billing Determinants'!$B$19:$R$41,3,0)/'4. Billing Determinants'!$D$41*$D8))))),0)</f>
        <v>0</v>
      </c>
      <c r="Y8" s="40">
        <f>IFERROR(IF(Y$4="",0,IF($E8="kWh",VLOOKUP(Y$4,'4. Billing Determinants'!$B$19:$R$41,4,0)/'4. Billing Determinants'!$E$41*$D8,IF($E8="kW",VLOOKUP(Y$4,'4. Billing Determinants'!$B$19:$R$41,5,0)/'4. Billing Determinants'!$F$41*$D8,IF($E8="Non-RPP kWh",VLOOKUP(Y$4,'4. Billing Determinants'!$B$19:$R$41,6,0)/'4. Billing Determinants'!$G$41*$D8,IF($E8="Distribution Rev.",VLOOKUP(Y$4,'4. Billing Determinants'!$B$19:$R$41,8,0)/'4. Billing Determinants'!$I$41*$D8, VLOOKUP(Y$4,'4. Billing Determinants'!$B$19:$R$41,3,0)/'4. Billing Determinants'!$D$41*$D8))))),0)</f>
        <v>0</v>
      </c>
    </row>
    <row r="9" spans="1:27" x14ac:dyDescent="0.25">
      <c r="A9" s="122">
        <v>6</v>
      </c>
      <c r="B9" s="41" t="s">
        <v>3</v>
      </c>
      <c r="C9" s="260">
        <v>1586</v>
      </c>
      <c r="D9" s="40">
        <v>22436950.969042521</v>
      </c>
      <c r="E9" s="61" t="s">
        <v>139</v>
      </c>
      <c r="F9" s="40">
        <f>IFERROR(IF(F$4="",0,IF($E9="kWh",VLOOKUP(F$4,'4. Billing Determinants'!$B$19:$R$41,4,0)/'4. Billing Determinants'!$E$41*$D9,IF($E9="kW",VLOOKUP(F$4,'4. Billing Determinants'!$B$19:$R$41,5,0)/'4. Billing Determinants'!$F$41*$D9,IF($E9="Non-RPP kWh",VLOOKUP(F$4,'4. Billing Determinants'!$B$19:$R$41,6,0)/'4. Billing Determinants'!$G$41*$D9,IF($E9="Distribution Rev.",VLOOKUP(F$4,'4. Billing Determinants'!$B$19:$R$41,8,0)/'4. Billing Determinants'!$I$41*$D9, VLOOKUP(F$4,'4. Billing Determinants'!$B$19:$R$41,3,0)/'4. Billing Determinants'!$D$41*$D9))))),0)</f>
        <v>4729515.2310131136</v>
      </c>
      <c r="G9" s="40">
        <f>IFERROR(IF(G$4="",0,IF($E9="kWh",VLOOKUP(G$4,'4. Billing Determinants'!$B$19:$R$41,4,0)/'4. Billing Determinants'!$E$41*$D9,IF($E9="kW",VLOOKUP(G$4,'4. Billing Determinants'!$B$19:$R$41,5,0)/'4. Billing Determinants'!$F$41*$D9,IF($E9="Non-RPP kWh",VLOOKUP(G$4,'4. Billing Determinants'!$B$19:$R$41,6,0)/'4. Billing Determinants'!$G$41*$D9,IF($E9="Distribution Rev.",VLOOKUP(G$4,'4. Billing Determinants'!$B$19:$R$41,8,0)/'4. Billing Determinants'!$I$41*$D9, VLOOKUP(G$4,'4. Billing Determinants'!$B$19:$R$41,3,0)/'4. Billing Determinants'!$D$41*$D9))))),0)</f>
        <v>333065.93880387448</v>
      </c>
      <c r="H9" s="40">
        <f>IFERROR(IF(H$4="",0,IF($E9="kWh",VLOOKUP(H$4,'4. Billing Determinants'!$B$19:$R$41,4,0)/'4. Billing Determinants'!$E$41*$D9,IF($E9="kW",VLOOKUP(H$4,'4. Billing Determinants'!$B$19:$R$41,5,0)/'4. Billing Determinants'!$F$41*$D9,IF($E9="Non-RPP kWh",VLOOKUP(H$4,'4. Billing Determinants'!$B$19:$R$41,6,0)/'4. Billing Determinants'!$G$41*$D9,IF($E9="Distribution Rev.",VLOOKUP(H$4,'4. Billing Determinants'!$B$19:$R$41,8,0)/'4. Billing Determinants'!$I$41*$D9, VLOOKUP(H$4,'4. Billing Determinants'!$B$19:$R$41,3,0)/'4. Billing Determinants'!$D$41*$D9))))),0)</f>
        <v>2300644.8164955582</v>
      </c>
      <c r="I9" s="40">
        <f>IFERROR(IF(I$4="",0,IF($E9="kWh",VLOOKUP(I$4,'4. Billing Determinants'!$B$19:$R$41,4,0)/'4. Billing Determinants'!$E$41*$D9,IF($E9="kW",VLOOKUP(I$4,'4. Billing Determinants'!$B$19:$R$41,5,0)/'4. Billing Determinants'!$F$41*$D9,IF($E9="Non-RPP kWh",VLOOKUP(I$4,'4. Billing Determinants'!$B$19:$R$41,6,0)/'4. Billing Determinants'!$G$41*$D9,IF($E9="Distribution Rev.",VLOOKUP(I$4,'4. Billing Determinants'!$B$19:$R$41,8,0)/'4. Billing Determinants'!$I$41*$D9, VLOOKUP(I$4,'4. Billing Determinants'!$B$19:$R$41,3,0)/'4. Billing Determinants'!$D$41*$D9))))),0)</f>
        <v>9268087.6355840806</v>
      </c>
      <c r="J9" s="40">
        <f>IFERROR(IF(J$4="",0,IF($E9="kWh",VLOOKUP(J$4,'4. Billing Determinants'!$B$19:$R$41,4,0)/'4. Billing Determinants'!$E$41*$D9,IF($E9="kW",VLOOKUP(J$4,'4. Billing Determinants'!$B$19:$R$41,5,0)/'4. Billing Determinants'!$F$41*$D9,IF($E9="Non-RPP kWh",VLOOKUP(J$4,'4. Billing Determinants'!$B$19:$R$41,6,0)/'4. Billing Determinants'!$G$41*$D9,IF($E9="Distribution Rev.",VLOOKUP(J$4,'4. Billing Determinants'!$B$19:$R$41,8,0)/'4. Billing Determinants'!$I$41*$D9, VLOOKUP(J$4,'4. Billing Determinants'!$B$19:$R$41,3,0)/'4. Billing Determinants'!$D$41*$D9))))),0)</f>
        <v>3900106.2098947638</v>
      </c>
      <c r="K9" s="40">
        <f>IFERROR(IF(K$4="",0,IF($E9="kWh",VLOOKUP(K$4,'4. Billing Determinants'!$B$19:$R$41,4,0)/'4. Billing Determinants'!$E$41*$D9,IF($E9="kW",VLOOKUP(K$4,'4. Billing Determinants'!$B$19:$R$41,5,0)/'4. Billing Determinants'!$F$41*$D9,IF($E9="Non-RPP kWh",VLOOKUP(K$4,'4. Billing Determinants'!$B$19:$R$41,6,0)/'4. Billing Determinants'!$G$41*$D9,IF($E9="Distribution Rev.",VLOOKUP(K$4,'4. Billing Determinants'!$B$19:$R$41,8,0)/'4. Billing Determinants'!$I$41*$D9, VLOOKUP(K$4,'4. Billing Determinants'!$B$19:$R$41,3,0)/'4. Billing Determinants'!$D$41*$D9))))),0)</f>
        <v>1749350.4189857051</v>
      </c>
      <c r="L9" s="40">
        <f>IFERROR(IF(L$4="",0,IF($E9="kWh",VLOOKUP(L$4,'4. Billing Determinants'!$B$19:$R$41,4,0)/'4. Billing Determinants'!$E$41*$D9,IF($E9="kW",VLOOKUP(L$4,'4. Billing Determinants'!$B$19:$R$41,5,0)/'4. Billing Determinants'!$F$41*$D9,IF($E9="Non-RPP kWh",VLOOKUP(L$4,'4. Billing Determinants'!$B$19:$R$41,6,0)/'4. Billing Determinants'!$G$41*$D9,IF($E9="Distribution Rev.",VLOOKUP(L$4,'4. Billing Determinants'!$B$19:$R$41,8,0)/'4. Billing Determinants'!$I$41*$D9, VLOOKUP(L$4,'4. Billing Determinants'!$B$19:$R$41,3,0)/'4. Billing Determinants'!$D$41*$D9))))),0)</f>
        <v>115172.78773829143</v>
      </c>
      <c r="M9" s="40">
        <f>IFERROR(IF(M$4="",0,IF($E9="kWh",VLOOKUP(M$4,'4. Billing Determinants'!$B$19:$R$41,4,0)/'4. Billing Determinants'!$E$41*$D9,IF($E9="kW",VLOOKUP(M$4,'4. Billing Determinants'!$B$19:$R$41,5,0)/'4. Billing Determinants'!$F$41*$D9,IF($E9="Non-RPP kWh",VLOOKUP(M$4,'4. Billing Determinants'!$B$19:$R$41,6,0)/'4. Billing Determinants'!$G$41*$D9,IF($E9="Distribution Rev.",VLOOKUP(M$4,'4. Billing Determinants'!$B$19:$R$41,8,0)/'4. Billing Determinants'!$I$41*$D9, VLOOKUP(M$4,'4. Billing Determinants'!$B$19:$R$41,3,0)/'4. Billing Determinants'!$D$41*$D9))))),0)</f>
        <v>41007.930527137883</v>
      </c>
      <c r="N9" s="40">
        <f>IFERROR(IF(N$4="",0,IF($E9="kWh",VLOOKUP(N$4,'4. Billing Determinants'!$B$19:$R$41,4,0)/'4. Billing Determinants'!$E$41*$D9,IF($E9="kW",VLOOKUP(N$4,'4. Billing Determinants'!$B$19:$R$41,5,0)/'4. Billing Determinants'!$F$41*$D9,IF($E9="Non-RPP kWh",VLOOKUP(N$4,'4. Billing Determinants'!$B$19:$R$41,6,0)/'4. Billing Determinants'!$G$41*$D9,IF($E9="Distribution Rev.",VLOOKUP(N$4,'4. Billing Determinants'!$B$19:$R$41,8,0)/'4. Billing Determinants'!$I$41*$D9, VLOOKUP(N$4,'4. Billing Determinants'!$B$19:$R$41,3,0)/'4. Billing Determinants'!$D$41*$D9))))),0)</f>
        <v>0</v>
      </c>
      <c r="O9" s="40">
        <f>IFERROR(IF(O$4="",0,IF($E9="kWh",VLOOKUP(O$4,'4. Billing Determinants'!$B$19:$R$41,4,0)/'4. Billing Determinants'!$E$41*$D9,IF($E9="kW",VLOOKUP(O$4,'4. Billing Determinants'!$B$19:$R$41,5,0)/'4. Billing Determinants'!$F$41*$D9,IF($E9="Non-RPP kWh",VLOOKUP(O$4,'4. Billing Determinants'!$B$19:$R$41,6,0)/'4. Billing Determinants'!$G$41*$D9,IF($E9="Distribution Rev.",VLOOKUP(O$4,'4. Billing Determinants'!$B$19:$R$41,8,0)/'4. Billing Determinants'!$I$41*$D9, VLOOKUP(O$4,'4. Billing Determinants'!$B$19:$R$41,3,0)/'4. Billing Determinants'!$D$41*$D9))))),0)</f>
        <v>0</v>
      </c>
      <c r="P9" s="40">
        <f>IFERROR(IF(P$4="",0,IF($E9="kWh",VLOOKUP(P$4,'4. Billing Determinants'!$B$19:$R$41,4,0)/'4. Billing Determinants'!$E$41*$D9,IF($E9="kW",VLOOKUP(P$4,'4. Billing Determinants'!$B$19:$R$41,5,0)/'4. Billing Determinants'!$F$41*$D9,IF($E9="Non-RPP kWh",VLOOKUP(P$4,'4. Billing Determinants'!$B$19:$R$41,6,0)/'4. Billing Determinants'!$G$41*$D9,IF($E9="Distribution Rev.",VLOOKUP(P$4,'4. Billing Determinants'!$B$19:$R$41,8,0)/'4. Billing Determinants'!$I$41*$D9, VLOOKUP(P$4,'4. Billing Determinants'!$B$19:$R$41,3,0)/'4. Billing Determinants'!$D$41*$D9))))),0)</f>
        <v>0</v>
      </c>
      <c r="Q9" s="40">
        <f>IFERROR(IF(Q$4="",0,IF($E9="kWh",VLOOKUP(Q$4,'4. Billing Determinants'!$B$19:$R$41,4,0)/'4. Billing Determinants'!$E$41*$D9,IF($E9="kW",VLOOKUP(Q$4,'4. Billing Determinants'!$B$19:$R$41,5,0)/'4. Billing Determinants'!$F$41*$D9,IF($E9="Non-RPP kWh",VLOOKUP(Q$4,'4. Billing Determinants'!$B$19:$R$41,6,0)/'4. Billing Determinants'!$G$41*$D9,IF($E9="Distribution Rev.",VLOOKUP(Q$4,'4. Billing Determinants'!$B$19:$R$41,8,0)/'4. Billing Determinants'!$I$41*$D9, VLOOKUP(Q$4,'4. Billing Determinants'!$B$19:$R$41,3,0)/'4. Billing Determinants'!$D$41*$D9))))),0)</f>
        <v>0</v>
      </c>
      <c r="R9" s="40">
        <f>IFERROR(IF(R$4="",0,IF($E9="kWh",VLOOKUP(R$4,'4. Billing Determinants'!$B$19:$R$41,4,0)/'4. Billing Determinants'!$E$41*$D9,IF($E9="kW",VLOOKUP(R$4,'4. Billing Determinants'!$B$19:$R$41,5,0)/'4. Billing Determinants'!$F$41*$D9,IF($E9="Non-RPP kWh",VLOOKUP(R$4,'4. Billing Determinants'!$B$19:$R$41,6,0)/'4. Billing Determinants'!$G$41*$D9,IF($E9="Distribution Rev.",VLOOKUP(R$4,'4. Billing Determinants'!$B$19:$R$41,8,0)/'4. Billing Determinants'!$I$41*$D9, VLOOKUP(R$4,'4. Billing Determinants'!$B$19:$R$41,3,0)/'4. Billing Determinants'!$D$41*$D9))))),0)</f>
        <v>0</v>
      </c>
      <c r="S9" s="40">
        <f>IFERROR(IF(S$4="",0,IF($E9="kWh",VLOOKUP(S$4,'4. Billing Determinants'!$B$19:$R$41,4,0)/'4. Billing Determinants'!$E$41*$D9,IF($E9="kW",VLOOKUP(S$4,'4. Billing Determinants'!$B$19:$R$41,5,0)/'4. Billing Determinants'!$F$41*$D9,IF($E9="Non-RPP kWh",VLOOKUP(S$4,'4. Billing Determinants'!$B$19:$R$41,6,0)/'4. Billing Determinants'!$G$41*$D9,IF($E9="Distribution Rev.",VLOOKUP(S$4,'4. Billing Determinants'!$B$19:$R$41,8,0)/'4. Billing Determinants'!$I$41*$D9, VLOOKUP(S$4,'4. Billing Determinants'!$B$19:$R$41,3,0)/'4. Billing Determinants'!$D$41*$D9))))),0)</f>
        <v>0</v>
      </c>
      <c r="T9" s="40">
        <f>IFERROR(IF(T$4="",0,IF($E9="kWh",VLOOKUP(T$4,'4. Billing Determinants'!$B$19:$R$41,4,0)/'4. Billing Determinants'!$E$41*$D9,IF($E9="kW",VLOOKUP(T$4,'4. Billing Determinants'!$B$19:$R$41,5,0)/'4. Billing Determinants'!$F$41*$D9,IF($E9="Non-RPP kWh",VLOOKUP(T$4,'4. Billing Determinants'!$B$19:$R$41,6,0)/'4. Billing Determinants'!$G$41*$D9,IF($E9="Distribution Rev.",VLOOKUP(T$4,'4. Billing Determinants'!$B$19:$R$41,8,0)/'4. Billing Determinants'!$I$41*$D9, VLOOKUP(T$4,'4. Billing Determinants'!$B$19:$R$41,3,0)/'4. Billing Determinants'!$D$41*$D9))))),0)</f>
        <v>0</v>
      </c>
      <c r="U9" s="40">
        <f>IFERROR(IF(U$4="",0,IF($E9="kWh",VLOOKUP(U$4,'4. Billing Determinants'!$B$19:$R$41,4,0)/'4. Billing Determinants'!$E$41*$D9,IF($E9="kW",VLOOKUP(U$4,'4. Billing Determinants'!$B$19:$R$41,5,0)/'4. Billing Determinants'!$F$41*$D9,IF($E9="Non-RPP kWh",VLOOKUP(U$4,'4. Billing Determinants'!$B$19:$R$41,6,0)/'4. Billing Determinants'!$G$41*$D9,IF($E9="Distribution Rev.",VLOOKUP(U$4,'4. Billing Determinants'!$B$19:$R$41,8,0)/'4. Billing Determinants'!$I$41*$D9, VLOOKUP(U$4,'4. Billing Determinants'!$B$19:$R$41,3,0)/'4. Billing Determinants'!$D$41*$D9))))),0)</f>
        <v>0</v>
      </c>
      <c r="V9" s="40">
        <f>IFERROR(IF(V$4="",0,IF($E9="kWh",VLOOKUP(V$4,'4. Billing Determinants'!$B$19:$R$41,4,0)/'4. Billing Determinants'!$E$41*$D9,IF($E9="kW",VLOOKUP(V$4,'4. Billing Determinants'!$B$19:$R$41,5,0)/'4. Billing Determinants'!$F$41*$D9,IF($E9="Non-RPP kWh",VLOOKUP(V$4,'4. Billing Determinants'!$B$19:$R$41,6,0)/'4. Billing Determinants'!$G$41*$D9,IF($E9="Distribution Rev.",VLOOKUP(V$4,'4. Billing Determinants'!$B$19:$R$41,8,0)/'4. Billing Determinants'!$I$41*$D9, VLOOKUP(V$4,'4. Billing Determinants'!$B$19:$R$41,3,0)/'4. Billing Determinants'!$D$41*$D9))))),0)</f>
        <v>0</v>
      </c>
      <c r="W9" s="40">
        <f>IFERROR(IF(W$4="",0,IF($E9="kWh",VLOOKUP(W$4,'4. Billing Determinants'!$B$19:$R$41,4,0)/'4. Billing Determinants'!$E$41*$D9,IF($E9="kW",VLOOKUP(W$4,'4. Billing Determinants'!$B$19:$R$41,5,0)/'4. Billing Determinants'!$F$41*$D9,IF($E9="Non-RPP kWh",VLOOKUP(W$4,'4. Billing Determinants'!$B$19:$R$41,6,0)/'4. Billing Determinants'!$G$41*$D9,IF($E9="Distribution Rev.",VLOOKUP(W$4,'4. Billing Determinants'!$B$19:$R$41,8,0)/'4. Billing Determinants'!$I$41*$D9, VLOOKUP(W$4,'4. Billing Determinants'!$B$19:$R$41,3,0)/'4. Billing Determinants'!$D$41*$D9))))),0)</f>
        <v>0</v>
      </c>
      <c r="X9" s="40">
        <f>IFERROR(IF(X$4="",0,IF($E9="kWh",VLOOKUP(X$4,'4. Billing Determinants'!$B$19:$R$41,4,0)/'4. Billing Determinants'!$E$41*$D9,IF($E9="kW",VLOOKUP(X$4,'4. Billing Determinants'!$B$19:$R$41,5,0)/'4. Billing Determinants'!$F$41*$D9,IF($E9="Non-RPP kWh",VLOOKUP(X$4,'4. Billing Determinants'!$B$19:$R$41,6,0)/'4. Billing Determinants'!$G$41*$D9,IF($E9="Distribution Rev.",VLOOKUP(X$4,'4. Billing Determinants'!$B$19:$R$41,8,0)/'4. Billing Determinants'!$I$41*$D9, VLOOKUP(X$4,'4. Billing Determinants'!$B$19:$R$41,3,0)/'4. Billing Determinants'!$D$41*$D9))))),0)</f>
        <v>0</v>
      </c>
      <c r="Y9" s="40">
        <f>IFERROR(IF(Y$4="",0,IF($E9="kWh",VLOOKUP(Y$4,'4. Billing Determinants'!$B$19:$R$41,4,0)/'4. Billing Determinants'!$E$41*$D9,IF($E9="kW",VLOOKUP(Y$4,'4. Billing Determinants'!$B$19:$R$41,5,0)/'4. Billing Determinants'!$F$41*$D9,IF($E9="Non-RPP kWh",VLOOKUP(Y$4,'4. Billing Determinants'!$B$19:$R$41,6,0)/'4. Billing Determinants'!$G$41*$D9,IF($E9="Distribution Rev.",VLOOKUP(Y$4,'4. Billing Determinants'!$B$19:$R$41,8,0)/'4. Billing Determinants'!$I$41*$D9, VLOOKUP(Y$4,'4. Billing Determinants'!$B$19:$R$41,3,0)/'4. Billing Determinants'!$D$41*$D9))))),0)</f>
        <v>0</v>
      </c>
    </row>
    <row r="10" spans="1:27" x14ac:dyDescent="0.25">
      <c r="A10" s="122">
        <v>7</v>
      </c>
      <c r="B10" s="41" t="s">
        <v>38</v>
      </c>
      <c r="C10" s="260">
        <v>1588</v>
      </c>
      <c r="D10" s="40">
        <v>38747207.726543613</v>
      </c>
      <c r="E10" s="61" t="s">
        <v>139</v>
      </c>
      <c r="F10" s="40">
        <f>IFERROR(IF(F$4="",0,IF($E10="kWh",VLOOKUP(F$4,'4. Billing Determinants'!$B$19:$R$41,11,0)/'4. Billing Determinants'!$L$41*$D10,IF($E10="kW",VLOOKUP(F$4,'4. Billing Determinants'!$B$19:$R$41,12,0)/'4. Billing Determinants'!$M$41*$D10,))),0)</f>
        <v>8265441.1666786242</v>
      </c>
      <c r="G10" s="40">
        <f>IFERROR(IF(G$4="",0,IF($E10="kWh",VLOOKUP(G$4,'4. Billing Determinants'!$B$19:$R$41,11,0)/'4. Billing Determinants'!$L$41*$D10,IF($E10="kW",VLOOKUP(G$4,'4. Billing Determinants'!$B$19:$R$41,12,0)/'4. Billing Determinants'!$M$41*$D10,))),0)</f>
        <v>582075.91842733079</v>
      </c>
      <c r="H10" s="40">
        <f>IFERROR(IF(H$4="",0,IF($E10="kWh",VLOOKUP(H$4,'4. Billing Determinants'!$B$19:$R$41,11,0)/'4. Billing Determinants'!$L$41*$D10,IF($E10="kW",VLOOKUP(H$4,'4. Billing Determinants'!$B$19:$R$41,12,0)/'4. Billing Determinants'!$M$41*$D10,))),0)</f>
        <v>4020675.1532323053</v>
      </c>
      <c r="I10" s="40">
        <f>IFERROR(IF(I$4="",0,IF($E10="kWh",VLOOKUP(I$4,'4. Billing Determinants'!$B$19:$R$41,11,0)/'4. Billing Determinants'!$L$41*$D10,IF($E10="kW",VLOOKUP(I$4,'4. Billing Determinants'!$B$19:$R$41,12,0)/'4. Billing Determinants'!$M$41*$D10,))),0)</f>
        <v>16113226.930859504</v>
      </c>
      <c r="J10" s="40">
        <f>IFERROR(IF(J$4="",0,IF($E10="kWh",VLOOKUP(J$4,'4. Billing Determinants'!$B$19:$R$41,11,0)/'4. Billing Determinants'!$L$41*$D10,IF($E10="kW",VLOOKUP(J$4,'4. Billing Determinants'!$B$19:$R$41,12,0)/'4. Billing Determinants'!$M$41*$D10,))),0)</f>
        <v>6815898.7227988755</v>
      </c>
      <c r="K10" s="40">
        <f>IFERROR(IF(K$4="",0,IF($E10="kWh",VLOOKUP(K$4,'4. Billing Determinants'!$B$19:$R$41,11,0)/'4. Billing Determinants'!$L$41*$D10,IF($E10="kW",VLOOKUP(K$4,'4. Billing Determinants'!$B$19:$R$41,12,0)/'4. Billing Determinants'!$M$41*$D10,))),0)</f>
        <v>2676943.7766238255</v>
      </c>
      <c r="L10" s="40">
        <f>IFERROR(IF(L$4="",0,IF($E10="kWh",VLOOKUP(L$4,'4. Billing Determinants'!$B$19:$R$41,11,0)/'4. Billing Determinants'!$L$41*$D10,IF($E10="kW",VLOOKUP(L$4,'4. Billing Determinants'!$B$19:$R$41,12,0)/'4. Billing Determinants'!$M$41*$D10,))),0)</f>
        <v>201279.38161841885</v>
      </c>
      <c r="M10" s="40">
        <f>IFERROR(IF(M$4="",0,IF($E10="kWh",VLOOKUP(M$4,'4. Billing Determinants'!$B$19:$R$41,11,0)/'4. Billing Determinants'!$L$41*$D10,IF($E10="kW",VLOOKUP(M$4,'4. Billing Determinants'!$B$19:$R$41,12,0)/'4. Billing Determinants'!$M$41*$D10,))),0)</f>
        <v>71666.676304729015</v>
      </c>
      <c r="N10" s="40">
        <f>IFERROR(IF(N$4="",0,IF($E10="kWh",VLOOKUP(N$4,'4. Billing Determinants'!$B$19:$R$41,11,0)/'4. Billing Determinants'!$L$41*$D10,IF($E10="kW",VLOOKUP(N$4,'4. Billing Determinants'!$B$19:$R$41,12,0)/'4. Billing Determinants'!$M$41*$D10,))),0)</f>
        <v>0</v>
      </c>
      <c r="O10" s="40">
        <f>IFERROR(IF(O$4="",0,IF($E10="kWh",VLOOKUP(O$4,'4. Billing Determinants'!$B$19:$R$41,11,0)/'4. Billing Determinants'!$L$41*$D10,IF($E10="kW",VLOOKUP(O$4,'4. Billing Determinants'!$B$19:$R$41,12,0)/'4. Billing Determinants'!$M$41*$D10,))),0)</f>
        <v>0</v>
      </c>
      <c r="P10" s="40">
        <f>IFERROR(IF(P$4="",0,IF($E10="kWh",VLOOKUP(P$4,'4. Billing Determinants'!$B$19:$R$41,11,0)/'4. Billing Determinants'!$L$41*$D10,IF($E10="kW",VLOOKUP(P$4,'4. Billing Determinants'!$B$19:$R$41,12,0)/'4. Billing Determinants'!$M$41*$D10,))),0)</f>
        <v>0</v>
      </c>
      <c r="Q10" s="40">
        <f>IFERROR(IF(Q$4="",0,IF($E10="kWh",VLOOKUP(Q$4,'4. Billing Determinants'!$B$19:$R$41,11,0)/'4. Billing Determinants'!$L$41*$D10,IF($E10="kW",VLOOKUP(Q$4,'4. Billing Determinants'!$B$19:$R$41,12,0)/'4. Billing Determinants'!$M$41*$D10,))),0)</f>
        <v>0</v>
      </c>
      <c r="R10" s="40">
        <f>IFERROR(IF(R$4="",0,IF($E10="kWh",VLOOKUP(R$4,'4. Billing Determinants'!$B$19:$R$41,11,0)/'4. Billing Determinants'!$L$41*$D10,IF($E10="kW",VLOOKUP(R$4,'4. Billing Determinants'!$B$19:$R$41,12,0)/'4. Billing Determinants'!$M$41*$D10,))),0)</f>
        <v>0</v>
      </c>
      <c r="S10" s="40">
        <f>IFERROR(IF(S$4="",0,IF($E10="kWh",VLOOKUP(S$4,'4. Billing Determinants'!$B$19:$R$41,11,0)/'4. Billing Determinants'!$L$41*$D10,IF($E10="kW",VLOOKUP(S$4,'4. Billing Determinants'!$B$19:$R$41,12,0)/'4. Billing Determinants'!$M$41*$D10,))),0)</f>
        <v>0</v>
      </c>
      <c r="T10" s="40">
        <f>IFERROR(IF(T$4="",0,IF($E10="kWh",VLOOKUP(T$4,'4. Billing Determinants'!$B$19:$R$41,11,0)/'4. Billing Determinants'!$L$41*$D10,IF($E10="kW",VLOOKUP(T$4,'4. Billing Determinants'!$B$19:$R$41,12,0)/'4. Billing Determinants'!$M$41*$D10,))),0)</f>
        <v>0</v>
      </c>
      <c r="U10" s="40">
        <f>IFERROR(IF(U$4="",0,IF($E10="kWh",VLOOKUP(U$4,'4. Billing Determinants'!$B$19:$R$41,11,0)/'4. Billing Determinants'!$L$41*$D10,IF($E10="kW",VLOOKUP(U$4,'4. Billing Determinants'!$B$19:$R$41,12,0)/'4. Billing Determinants'!$M$41*$D10,))),0)</f>
        <v>0</v>
      </c>
      <c r="V10" s="40">
        <f>IFERROR(IF(V$4="",0,IF($E10="kWh",VLOOKUP(V$4,'4. Billing Determinants'!$B$19:$R$41,11,0)/'4. Billing Determinants'!$L$41*$D10,IF($E10="kW",VLOOKUP(V$4,'4. Billing Determinants'!$B$19:$R$41,12,0)/'4. Billing Determinants'!$M$41*$D10,))),0)</f>
        <v>0</v>
      </c>
      <c r="W10" s="40">
        <f>IFERROR(IF(W$4="",0,IF($E10="kWh",VLOOKUP(W$4,'4. Billing Determinants'!$B$19:$R$41,11,0)/'4. Billing Determinants'!$L$41*$D10,IF($E10="kW",VLOOKUP(W$4,'4. Billing Determinants'!$B$19:$R$41,12,0)/'4. Billing Determinants'!$M$41*$D10,))),0)</f>
        <v>0</v>
      </c>
      <c r="X10" s="40">
        <f>IFERROR(IF(X$4="",0,IF($E10="kWh",VLOOKUP(X$4,'4. Billing Determinants'!$B$19:$R$41,11,0)/'4. Billing Determinants'!$L$41*$D10,IF($E10="kW",VLOOKUP(X$4,'4. Billing Determinants'!$B$19:$R$41,12,0)/'4. Billing Determinants'!$M$41*$D10,))),0)</f>
        <v>0</v>
      </c>
      <c r="Y10" s="40">
        <f>IFERROR(IF(Y$4="",0,IF($E10="kWh",VLOOKUP(Y$4,'4. Billing Determinants'!$B$19:$R$41,11,0)/'4. Billing Determinants'!$L$41*$D10,IF($E10="kW",VLOOKUP(Y$4,'4. Billing Determinants'!$B$19:$R$41,12,0)/'4. Billing Determinants'!$M$41*$D10,))),0)</f>
        <v>0</v>
      </c>
    </row>
    <row r="11" spans="1:27" x14ac:dyDescent="0.25">
      <c r="A11" s="278">
        <v>8</v>
      </c>
      <c r="B11" s="38" t="s">
        <v>66</v>
      </c>
      <c r="C11" s="260">
        <v>1589</v>
      </c>
      <c r="D11" s="164">
        <f>'6.1a GA Allocation'!C29</f>
        <v>8091523.7344238898</v>
      </c>
      <c r="E11" s="296" t="s">
        <v>157</v>
      </c>
      <c r="F11" s="164">
        <f>IFERROR(IF(F$4="",0,IF($E11="kWh",VLOOKUP(F$4,'4. Billing Determinants'!$B$19:$R$41,4,0)/'4. Billing Determinants'!$E$41*$D11,IF($E11="kW",VLOOKUP(F$4,'4. Billing Determinants'!$B$19:$R$41,5,0)/'4. Billing Determinants'!$F$41*$D11,IF($E11="Non-RPP kWh",VLOOKUP(F$4,'4. Billing Determinants'!$B$19:$T$41,18,0)/'4. Billing Determinants'!$S$41*$D11,IF($E11="Distribution Rev.",VLOOKUP(F$4,'4. Billing Determinants'!$B$19:$R$41,8,0)/'4. Billing Determinants'!$I$41*$D11, VLOOKUP(F$4,'4. Billing Determinants'!$B$19:$R$41,3,0)/'4. Billing Determinants'!$D$41*$D11))))),0)</f>
        <v>59577.825387000106</v>
      </c>
      <c r="G11" s="164">
        <f>IFERROR(IF(G$4="",0,IF($E11="kWh",VLOOKUP(G$4,'4. Billing Determinants'!$B$19:$R$41,4,0)/'4. Billing Determinants'!$E$41*$D11,IF($E11="kW",VLOOKUP(G$4,'4. Billing Determinants'!$B$19:$R$41,5,0)/'4. Billing Determinants'!$F$41*$D11,IF($E11="Non-RPP kWh",VLOOKUP(G$4,'4. Billing Determinants'!$B$19:$T$41,18,0)/'4. Billing Determinants'!$S$41*$D11,IF($E11="Distribution Rev.",VLOOKUP(G$4,'4. Billing Determinants'!$B$19:$R$41,8,0)/'4. Billing Determinants'!$I$41*$D11, VLOOKUP(G$4,'4. Billing Determinants'!$B$19:$R$41,3,0)/'4. Billing Determinants'!$D$41*$D11))))),0)</f>
        <v>316.20924329903949</v>
      </c>
      <c r="H11" s="164">
        <f>IFERROR(IF(H$4="",0,IF($E11="kWh",VLOOKUP(H$4,'4. Billing Determinants'!$B$19:$R$41,4,0)/'4. Billing Determinants'!$E$41*$D11,IF($E11="kW",VLOOKUP(H$4,'4. Billing Determinants'!$B$19:$R$41,5,0)/'4. Billing Determinants'!$F$41*$D11,IF($E11="Non-RPP kWh",VLOOKUP(H$4,'4. Billing Determinants'!$B$19:$T$41,18,0)/'4. Billing Determinants'!$S$41*$D11,IF($E11="Distribution Rev.",VLOOKUP(H$4,'4. Billing Determinants'!$B$19:$R$41,8,0)/'4. Billing Determinants'!$I$41*$D11, VLOOKUP(H$4,'4. Billing Determinants'!$B$19:$R$41,3,0)/'4. Billing Determinants'!$D$41*$D11))))),0)</f>
        <v>393037.65606177959</v>
      </c>
      <c r="I11" s="164">
        <f>IFERROR(IF(I$4="",0,IF($E11="kWh",VLOOKUP(I$4,'4. Billing Determinants'!$B$19:$R$41,4,0)/'4. Billing Determinants'!$E$41*$D11,IF($E11="kW",VLOOKUP(I$4,'4. Billing Determinants'!$B$19:$R$41,5,0)/'4. Billing Determinants'!$F$41*$D11,IF($E11="Non-RPP kWh",VLOOKUP(I$4,'4. Billing Determinants'!$B$19:$T$41,18,0)/'4. Billing Determinants'!$S$41*$D11,IF($E11="Distribution Rev.",VLOOKUP(I$4,'4. Billing Determinants'!$B$19:$R$41,8,0)/'4. Billing Determinants'!$I$41*$D11, VLOOKUP(I$4,'4. Billing Determinants'!$B$19:$R$41,3,0)/'4. Billing Determinants'!$D$41*$D11))))),0)</f>
        <v>3418639.3426829297</v>
      </c>
      <c r="J11" s="164">
        <f>IFERROR(IF(J$4="",0,IF($E11="kWh",VLOOKUP(J$4,'4. Billing Determinants'!$B$19:$R$41,4,0)/'4. Billing Determinants'!$E$41*$D11,IF($E11="kW",VLOOKUP(J$4,'4. Billing Determinants'!$B$19:$R$41,5,0)/'4. Billing Determinants'!$F$41*$D11,IF($E11="Non-RPP kWh",VLOOKUP(J$4,'4. Billing Determinants'!$B$19:$T$41,18,0)/'4. Billing Determinants'!$S$41*$D11,IF($E11="Distribution Rev.",VLOOKUP(J$4,'4. Billing Determinants'!$B$19:$R$41,8,0)/'4. Billing Determinants'!$I$41*$D11, VLOOKUP(J$4,'4. Billing Determinants'!$B$19:$R$41,3,0)/'4. Billing Determinants'!$D$41*$D11))))),0)</f>
        <v>3992555.0771791223</v>
      </c>
      <c r="K11" s="164">
        <f>IFERROR(IF(K$4="",0,IF($E11="kWh",VLOOKUP(K$4,'4. Billing Determinants'!$B$19:$R$41,4,0)/'4. Billing Determinants'!$E$41*$D11,IF($E11="kW",VLOOKUP(K$4,'4. Billing Determinants'!$B$19:$R$41,5,0)/'4. Billing Determinants'!$F$41*$D11,IF($E11="Non-RPP kWh",VLOOKUP(K$4,'4. Billing Determinants'!$B$19:$T$41,18,0)/'4. Billing Determinants'!$S$41*$D11,IF($E11="Distribution Rev.",VLOOKUP(K$4,'4. Billing Determinants'!$B$19:$R$41,8,0)/'4. Billing Determinants'!$I$41*$D11, VLOOKUP(K$4,'4. Billing Determinants'!$B$19:$R$41,3,0)/'4. Billing Determinants'!$D$41*$D11))))),0)</f>
        <v>78553.960900172329</v>
      </c>
      <c r="L11" s="164">
        <f>IFERROR(IF(L$4="",0,IF($E11="kWh",VLOOKUP(L$4,'4. Billing Determinants'!$B$19:$R$41,4,0)/'4. Billing Determinants'!$E$41*$D11,IF($E11="kW",VLOOKUP(L$4,'4. Billing Determinants'!$B$19:$R$41,5,0)/'4. Billing Determinants'!$F$41*$D11,IF($E11="Non-RPP kWh",VLOOKUP(L$4,'4. Billing Determinants'!$B$19:$T$41,18,0)/'4. Billing Determinants'!$S$41*$D11,IF($E11="Distribution Rev.",VLOOKUP(L$4,'4. Billing Determinants'!$B$19:$R$41,8,0)/'4. Billing Determinants'!$I$41*$D11, VLOOKUP(L$4,'4. Billing Determinants'!$B$19:$R$41,3,0)/'4. Billing Determinants'!$D$41*$D11))))),0)</f>
        <v>148789.41998583305</v>
      </c>
      <c r="M11" s="164">
        <f>IFERROR(IF(M$4="",0,IF($E11="kWh",VLOOKUP(M$4,'4. Billing Determinants'!$B$19:$R$41,4,0)/'4. Billing Determinants'!$E$41*$D11,IF($E11="kW",VLOOKUP(M$4,'4. Billing Determinants'!$B$19:$R$41,5,0)/'4. Billing Determinants'!$F$41*$D11,IF($E11="Non-RPP kWh",VLOOKUP(M$4,'4. Billing Determinants'!$B$19:$T$41,18,0)/'4. Billing Determinants'!$S$41*$D11,IF($E11="Distribution Rev.",VLOOKUP(M$4,'4. Billing Determinants'!$B$19:$R$41,8,0)/'4. Billing Determinants'!$I$41*$D11, VLOOKUP(M$4,'4. Billing Determinants'!$B$19:$R$41,3,0)/'4. Billing Determinants'!$D$41*$D11))))),0)</f>
        <v>54.24298375214542</v>
      </c>
      <c r="N11" s="164">
        <f>IFERROR(IF(N$4="",0,IF($E11="kWh",VLOOKUP(N$4,'4. Billing Determinants'!$B$19:$R$41,4,0)/'4. Billing Determinants'!$E$41*$D11,IF($E11="kW",VLOOKUP(N$4,'4. Billing Determinants'!$B$19:$R$41,5,0)/'4. Billing Determinants'!$F$41*$D11,IF($E11="Non-RPP kWh",VLOOKUP(N$4,'4. Billing Determinants'!$B$19:$T$41,18,0)/'4. Billing Determinants'!$S$41*$D11,IF($E11="Distribution Rev.",VLOOKUP(N$4,'4. Billing Determinants'!$B$19:$R$41,8,0)/'4. Billing Determinants'!$I$41*$D11, VLOOKUP(N$4,'4. Billing Determinants'!$B$19:$R$41,3,0)/'4. Billing Determinants'!$D$41*$D11))))),0)</f>
        <v>0</v>
      </c>
      <c r="O11" s="164">
        <f>IFERROR(IF(O$4="",0,IF($E11="kWh",VLOOKUP(O$4,'4. Billing Determinants'!$B$19:$R$41,4,0)/'4. Billing Determinants'!$E$41*$D11,IF($E11="kW",VLOOKUP(O$4,'4. Billing Determinants'!$B$19:$R$41,5,0)/'4. Billing Determinants'!$F$41*$D11,IF($E11="Non-RPP kWh",VLOOKUP(O$4,'4. Billing Determinants'!$B$19:$T$41,18,0)/'4. Billing Determinants'!$S$41*$D11,IF($E11="Distribution Rev.",VLOOKUP(O$4,'4. Billing Determinants'!$B$19:$R$41,8,0)/'4. Billing Determinants'!$I$41*$D11, VLOOKUP(O$4,'4. Billing Determinants'!$B$19:$R$41,3,0)/'4. Billing Determinants'!$D$41*$D11))))),0)</f>
        <v>0</v>
      </c>
      <c r="P11" s="164">
        <f>IFERROR(IF(P$4="",0,IF($E11="kWh",VLOOKUP(P$4,'4. Billing Determinants'!$B$19:$R$41,4,0)/'4. Billing Determinants'!$E$41*$D11,IF($E11="kW",VLOOKUP(P$4,'4. Billing Determinants'!$B$19:$R$41,5,0)/'4. Billing Determinants'!$F$41*$D11,IF($E11="Non-RPP kWh",VLOOKUP(P$4,'4. Billing Determinants'!$B$19:$T$41,18,0)/'4. Billing Determinants'!$S$41*$D11,IF($E11="Distribution Rev.",VLOOKUP(P$4,'4. Billing Determinants'!$B$19:$R$41,8,0)/'4. Billing Determinants'!$I$41*$D11, VLOOKUP(P$4,'4. Billing Determinants'!$B$19:$R$41,3,0)/'4. Billing Determinants'!$D$41*$D11))))),0)</f>
        <v>0</v>
      </c>
      <c r="Q11" s="164">
        <f>IFERROR(IF(Q$4="",0,IF($E11="kWh",VLOOKUP(Q$4,'4. Billing Determinants'!$B$19:$R$41,4,0)/'4. Billing Determinants'!$E$41*$D11,IF($E11="kW",VLOOKUP(Q$4,'4. Billing Determinants'!$B$19:$R$41,5,0)/'4. Billing Determinants'!$F$41*$D11,IF($E11="Non-RPP kWh",VLOOKUP(Q$4,'4. Billing Determinants'!$B$19:$T$41,18,0)/'4. Billing Determinants'!$S$41*$D11,IF($E11="Distribution Rev.",VLOOKUP(Q$4,'4. Billing Determinants'!$B$19:$R$41,8,0)/'4. Billing Determinants'!$I$41*$D11, VLOOKUP(Q$4,'4. Billing Determinants'!$B$19:$R$41,3,0)/'4. Billing Determinants'!$D$41*$D11))))),0)</f>
        <v>0</v>
      </c>
      <c r="R11" s="164">
        <f>IFERROR(IF(R$4="",0,IF($E11="kWh",VLOOKUP(R$4,'4. Billing Determinants'!$B$19:$R$41,4,0)/'4. Billing Determinants'!$E$41*$D11,IF($E11="kW",VLOOKUP(R$4,'4. Billing Determinants'!$B$19:$R$41,5,0)/'4. Billing Determinants'!$F$41*$D11,IF($E11="Non-RPP kWh",VLOOKUP(R$4,'4. Billing Determinants'!$B$19:$T$41,18,0)/'4. Billing Determinants'!$S$41*$D11,IF($E11="Distribution Rev.",VLOOKUP(R$4,'4. Billing Determinants'!$B$19:$R$41,8,0)/'4. Billing Determinants'!$I$41*$D11, VLOOKUP(R$4,'4. Billing Determinants'!$B$19:$R$41,3,0)/'4. Billing Determinants'!$D$41*$D11))))),0)</f>
        <v>0</v>
      </c>
      <c r="S11" s="164">
        <f>IFERROR(IF(S$4="",0,IF($E11="kWh",VLOOKUP(S$4,'4. Billing Determinants'!$B$19:$R$41,4,0)/'4. Billing Determinants'!$E$41*$D11,IF($E11="kW",VLOOKUP(S$4,'4. Billing Determinants'!$B$19:$R$41,5,0)/'4. Billing Determinants'!$F$41*$D11,IF($E11="Non-RPP kWh",VLOOKUP(S$4,'4. Billing Determinants'!$B$19:$T$41,18,0)/'4. Billing Determinants'!$S$41*$D11,IF($E11="Distribution Rev.",VLOOKUP(S$4,'4. Billing Determinants'!$B$19:$R$41,8,0)/'4. Billing Determinants'!$I$41*$D11, VLOOKUP(S$4,'4. Billing Determinants'!$B$19:$R$41,3,0)/'4. Billing Determinants'!$D$41*$D11))))),0)</f>
        <v>0</v>
      </c>
      <c r="T11" s="164">
        <f>IFERROR(IF(T$4="",0,IF($E11="kWh",VLOOKUP(T$4,'4. Billing Determinants'!$B$19:$R$41,4,0)/'4. Billing Determinants'!$E$41*$D11,IF($E11="kW",VLOOKUP(T$4,'4. Billing Determinants'!$B$19:$R$41,5,0)/'4. Billing Determinants'!$F$41*$D11,IF($E11="Non-RPP kWh",VLOOKUP(T$4,'4. Billing Determinants'!$B$19:$T$41,18,0)/'4. Billing Determinants'!$S$41*$D11,IF($E11="Distribution Rev.",VLOOKUP(T$4,'4. Billing Determinants'!$B$19:$R$41,8,0)/'4. Billing Determinants'!$I$41*$D11, VLOOKUP(T$4,'4. Billing Determinants'!$B$19:$R$41,3,0)/'4. Billing Determinants'!$D$41*$D11))))),0)</f>
        <v>0</v>
      </c>
      <c r="U11" s="164">
        <f>IFERROR(IF(U$4="",0,IF($E11="kWh",VLOOKUP(U$4,'4. Billing Determinants'!$B$19:$R$41,4,0)/'4. Billing Determinants'!$E$41*$D11,IF($E11="kW",VLOOKUP(U$4,'4. Billing Determinants'!$B$19:$R$41,5,0)/'4. Billing Determinants'!$F$41*$D11,IF($E11="Non-RPP kWh",VLOOKUP(U$4,'4. Billing Determinants'!$B$19:$T$41,18,0)/'4. Billing Determinants'!$S$41*$D11,IF($E11="Distribution Rev.",VLOOKUP(U$4,'4. Billing Determinants'!$B$19:$R$41,8,0)/'4. Billing Determinants'!$I$41*$D11, VLOOKUP(U$4,'4. Billing Determinants'!$B$19:$R$41,3,0)/'4. Billing Determinants'!$D$41*$D11))))),0)</f>
        <v>0</v>
      </c>
      <c r="V11" s="164">
        <f>IFERROR(IF(V$4="",0,IF($E11="kWh",VLOOKUP(V$4,'4. Billing Determinants'!$B$19:$R$41,4,0)/'4. Billing Determinants'!$E$41*$D11,IF($E11="kW",VLOOKUP(V$4,'4. Billing Determinants'!$B$19:$R$41,5,0)/'4. Billing Determinants'!$F$41*$D11,IF($E11="Non-RPP kWh",VLOOKUP(V$4,'4. Billing Determinants'!$B$19:$T$41,18,0)/'4. Billing Determinants'!$S$41*$D11,IF($E11="Distribution Rev.",VLOOKUP(V$4,'4. Billing Determinants'!$B$19:$R$41,8,0)/'4. Billing Determinants'!$I$41*$D11, VLOOKUP(V$4,'4. Billing Determinants'!$B$19:$R$41,3,0)/'4. Billing Determinants'!$D$41*$D11))))),0)</f>
        <v>0</v>
      </c>
      <c r="W11" s="164">
        <f>IFERROR(IF(W$4="",0,IF($E11="kWh",VLOOKUP(W$4,'4. Billing Determinants'!$B$19:$R$41,4,0)/'4. Billing Determinants'!$E$41*$D11,IF($E11="kW",VLOOKUP(W$4,'4. Billing Determinants'!$B$19:$R$41,5,0)/'4. Billing Determinants'!$F$41*$D11,IF($E11="Non-RPP kWh",VLOOKUP(W$4,'4. Billing Determinants'!$B$19:$T$41,18,0)/'4. Billing Determinants'!$S$41*$D11,IF($E11="Distribution Rev.",VLOOKUP(W$4,'4. Billing Determinants'!$B$19:$R$41,8,0)/'4. Billing Determinants'!$I$41*$D11, VLOOKUP(W$4,'4. Billing Determinants'!$B$19:$R$41,3,0)/'4. Billing Determinants'!$D$41*$D11))))),0)</f>
        <v>0</v>
      </c>
      <c r="X11" s="164">
        <f>IFERROR(IF(X$4="",0,IF($E11="kWh",VLOOKUP(X$4,'4. Billing Determinants'!$B$19:$R$41,4,0)/'4. Billing Determinants'!$E$41*$D11,IF($E11="kW",VLOOKUP(X$4,'4. Billing Determinants'!$B$19:$R$41,5,0)/'4. Billing Determinants'!$F$41*$D11,IF($E11="Non-RPP kWh",VLOOKUP(X$4,'4. Billing Determinants'!$B$19:$T$41,18,0)/'4. Billing Determinants'!$S$41*$D11,IF($E11="Distribution Rev.",VLOOKUP(X$4,'4. Billing Determinants'!$B$19:$R$41,8,0)/'4. Billing Determinants'!$I$41*$D11, VLOOKUP(X$4,'4. Billing Determinants'!$B$19:$R$41,3,0)/'4. Billing Determinants'!$D$41*$D11))))),0)</f>
        <v>0</v>
      </c>
      <c r="Y11" s="164">
        <f>IFERROR(IF(Y$4="",0,IF($E11="kWh",VLOOKUP(Y$4,'4. Billing Determinants'!$B$19:$R$41,4,0)/'4. Billing Determinants'!$E$41*$D11,IF($E11="kW",VLOOKUP(Y$4,'4. Billing Determinants'!$B$19:$R$41,5,0)/'4. Billing Determinants'!$F$41*$D11,IF($E11="Non-RPP kWh",VLOOKUP(Y$4,'4. Billing Determinants'!$B$19:$T$41,18,0)/'4. Billing Determinants'!$S$41*$D11,IF($E11="Distribution Rev.",VLOOKUP(Y$4,'4. Billing Determinants'!$B$19:$R$41,8,0)/'4. Billing Determinants'!$I$41*$D11, VLOOKUP(Y$4,'4. Billing Determinants'!$B$19:$R$41,3,0)/'4. Billing Determinants'!$D$41*$D11))))),0)</f>
        <v>0</v>
      </c>
    </row>
    <row r="12" spans="1:27" hidden="1" x14ac:dyDescent="0.25">
      <c r="A12" s="122">
        <v>9</v>
      </c>
      <c r="B12" s="42" t="s">
        <v>55</v>
      </c>
      <c r="C12" s="260">
        <v>1595</v>
      </c>
      <c r="D12" s="40">
        <f>'2a. Continuity Schedule'!BT33</f>
        <v>0</v>
      </c>
      <c r="E12" s="296" t="s">
        <v>146</v>
      </c>
      <c r="F12" s="40">
        <f>IFERROR(IF(F$4="",0,IF($E12="kWh",VLOOKUP(F$4,'4. Billing Determinants'!$B$19:$R$41,4,0)/'4. Billing Determinants'!$E$41*$D12,IF($E12="kW",VLOOKUP(F$4,'4. Billing Determinants'!$B$19:$R$41,5,0)/'4. Billing Determinants'!$F$41*$D12,IF($E12="Non-RPP kWh",VLOOKUP(F$4,'4. Billing Determinants'!$B$19:$R$41,6,0)/'4. Billing Determinants'!$G$41*$D12, VLOOKUP(F$4,'4. Billing Determinants'!$B$19:$AA$41,20,0)*$D12)))),0)</f>
        <v>0</v>
      </c>
      <c r="G12" s="40">
        <f>IFERROR(IF(G$4="",0,IF($E12="kWh",VLOOKUP(G$4,'4. Billing Determinants'!$B$19:$R$41,4,0)/'4. Billing Determinants'!$E$41*$D12,IF($E12="kW",VLOOKUP(G$4,'4. Billing Determinants'!$B$19:$R$41,5,0)/'4. Billing Determinants'!$F$41*$D12,IF($E12="Non-RPP kWh",VLOOKUP(G$4,'4. Billing Determinants'!$B$19:$R$41,6,0)/'4. Billing Determinants'!$G$41*$D12, VLOOKUP(G$4,'4. Billing Determinants'!$B$19:$AA$41,20,0)*$D12)))),0)</f>
        <v>0</v>
      </c>
      <c r="H12" s="40">
        <f>IFERROR(IF(H$4="",0,IF($E12="kWh",VLOOKUP(H$4,'4. Billing Determinants'!$B$19:$R$41,4,0)/'4. Billing Determinants'!$E$41*$D12,IF($E12="kW",VLOOKUP(H$4,'4. Billing Determinants'!$B$19:$R$41,5,0)/'4. Billing Determinants'!$F$41*$D12,IF($E12="Non-RPP kWh",VLOOKUP(H$4,'4. Billing Determinants'!$B$19:$R$41,6,0)/'4. Billing Determinants'!$G$41*$D12, VLOOKUP(H$4,'4. Billing Determinants'!$B$19:$AA$41,20,0)*$D12)))),0)</f>
        <v>0</v>
      </c>
      <c r="I12" s="40">
        <f>IFERROR(IF(I$4="",0,IF($E12="kWh",VLOOKUP(I$4,'4. Billing Determinants'!$B$19:$R$41,4,0)/'4. Billing Determinants'!$E$41*$D12,IF($E12="kW",VLOOKUP(I$4,'4. Billing Determinants'!$B$19:$R$41,5,0)/'4. Billing Determinants'!$F$41*$D12,IF($E12="Non-RPP kWh",VLOOKUP(I$4,'4. Billing Determinants'!$B$19:$R$41,6,0)/'4. Billing Determinants'!$G$41*$D12, VLOOKUP(I$4,'4. Billing Determinants'!$B$19:$AA$41,20,0)*$D12)))),0)</f>
        <v>0</v>
      </c>
      <c r="J12" s="40">
        <f>IFERROR(IF(J$4="",0,IF($E12="kWh",VLOOKUP(J$4,'4. Billing Determinants'!$B$19:$R$41,4,0)/'4. Billing Determinants'!$E$41*$D12,IF($E12="kW",VLOOKUP(J$4,'4. Billing Determinants'!$B$19:$R$41,5,0)/'4. Billing Determinants'!$F$41*$D12,IF($E12="Non-RPP kWh",VLOOKUP(J$4,'4. Billing Determinants'!$B$19:$R$41,6,0)/'4. Billing Determinants'!$G$41*$D12, VLOOKUP(J$4,'4. Billing Determinants'!$B$19:$AA$41,20,0)*$D12)))),0)</f>
        <v>0</v>
      </c>
      <c r="K12" s="40">
        <f>IFERROR(IF(K$4="",0,IF($E12="kWh",VLOOKUP(K$4,'4. Billing Determinants'!$B$19:$R$41,4,0)/'4. Billing Determinants'!$E$41*$D12,IF($E12="kW",VLOOKUP(K$4,'4. Billing Determinants'!$B$19:$R$41,5,0)/'4. Billing Determinants'!$F$41*$D12,IF($E12="Non-RPP kWh",VLOOKUP(K$4,'4. Billing Determinants'!$B$19:$R$41,6,0)/'4. Billing Determinants'!$G$41*$D12, VLOOKUP(K$4,'4. Billing Determinants'!$B$19:$AA$41,20,0)*$D12)))),0)</f>
        <v>0</v>
      </c>
      <c r="L12" s="40">
        <f>IFERROR(IF(L$4="",0,IF($E12="kWh",VLOOKUP(L$4,'4. Billing Determinants'!$B$19:$R$41,4,0)/'4. Billing Determinants'!$E$41*$D12,IF($E12="kW",VLOOKUP(L$4,'4. Billing Determinants'!$B$19:$R$41,5,0)/'4. Billing Determinants'!$F$41*$D12,IF($E12="Non-RPP kWh",VLOOKUP(L$4,'4. Billing Determinants'!$B$19:$R$41,6,0)/'4. Billing Determinants'!$G$41*$D12, VLOOKUP(L$4,'4. Billing Determinants'!$B$19:$AA$41,20,0)*$D12)))),0)</f>
        <v>0</v>
      </c>
      <c r="M12" s="40">
        <f>IFERROR(IF(M$4="",0,IF($E12="kWh",VLOOKUP(M$4,'4. Billing Determinants'!$B$19:$R$41,4,0)/'4. Billing Determinants'!$E$41*$D12,IF($E12="kW",VLOOKUP(M$4,'4. Billing Determinants'!$B$19:$R$41,5,0)/'4. Billing Determinants'!$F$41*$D12,IF($E12="Non-RPP kWh",VLOOKUP(M$4,'4. Billing Determinants'!$B$19:$R$41,6,0)/'4. Billing Determinants'!$G$41*$D12, VLOOKUP(M$4,'4. Billing Determinants'!$B$19:$AA$41,20,0)*$D12)))),0)</f>
        <v>0</v>
      </c>
      <c r="N12" s="40">
        <f>IFERROR(IF(N$4="",0,IF($E12="kWh",VLOOKUP(N$4,'4. Billing Determinants'!$B$19:$R$41,4,0)/'4. Billing Determinants'!$E$41*$D12,IF($E12="kW",VLOOKUP(N$4,'4. Billing Determinants'!$B$19:$R$41,5,0)/'4. Billing Determinants'!$F$41*$D12,IF($E12="Non-RPP kWh",VLOOKUP(N$4,'4. Billing Determinants'!$B$19:$R$41,6,0)/'4. Billing Determinants'!$G$41*$D12, VLOOKUP(N$4,'4. Billing Determinants'!$B$19:$AA$41,20,0)*$D12)))),0)</f>
        <v>0</v>
      </c>
      <c r="O12" s="40">
        <f>IFERROR(IF(O$4="",0,IF($E12="kWh",VLOOKUP(O$4,'4. Billing Determinants'!$B$19:$R$41,4,0)/'4. Billing Determinants'!$E$41*$D12,IF($E12="kW",VLOOKUP(O$4,'4. Billing Determinants'!$B$19:$R$41,5,0)/'4. Billing Determinants'!$F$41*$D12,IF($E12="Non-RPP kWh",VLOOKUP(O$4,'4. Billing Determinants'!$B$19:$R$41,6,0)/'4. Billing Determinants'!$G$41*$D12, VLOOKUP(O$4,'4. Billing Determinants'!$B$19:$AA$41,20,0)*$D12)))),0)</f>
        <v>0</v>
      </c>
      <c r="P12" s="40">
        <f>IFERROR(IF(P$4="",0,IF($E12="kWh",VLOOKUP(P$4,'4. Billing Determinants'!$B$19:$R$41,4,0)/'4. Billing Determinants'!$E$41*$D12,IF($E12="kW",VLOOKUP(P$4,'4. Billing Determinants'!$B$19:$R$41,5,0)/'4. Billing Determinants'!$F$41*$D12,IF($E12="Non-RPP kWh",VLOOKUP(P$4,'4. Billing Determinants'!$B$19:$R$41,6,0)/'4. Billing Determinants'!$G$41*$D12, VLOOKUP(P$4,'4. Billing Determinants'!$B$19:$AA$41,20,0)*$D12)))),0)</f>
        <v>0</v>
      </c>
      <c r="Q12" s="40">
        <f>IFERROR(IF(Q$4="",0,IF($E12="kWh",VLOOKUP(Q$4,'4. Billing Determinants'!$B$19:$R$41,4,0)/'4. Billing Determinants'!$E$41*$D12,IF($E12="kW",VLOOKUP(Q$4,'4. Billing Determinants'!$B$19:$R$41,5,0)/'4. Billing Determinants'!$F$41*$D12,IF($E12="Non-RPP kWh",VLOOKUP(Q$4,'4. Billing Determinants'!$B$19:$R$41,6,0)/'4. Billing Determinants'!$G$41*$D12, VLOOKUP(Q$4,'4. Billing Determinants'!$B$19:$AA$41,20,0)*$D12)))),0)</f>
        <v>0</v>
      </c>
      <c r="R12" s="40">
        <f>IFERROR(IF(R$4="",0,IF($E12="kWh",VLOOKUP(R$4,'4. Billing Determinants'!$B$19:$R$41,4,0)/'4. Billing Determinants'!$E$41*$D12,IF($E12="kW",VLOOKUP(R$4,'4. Billing Determinants'!$B$19:$R$41,5,0)/'4. Billing Determinants'!$F$41*$D12,IF($E12="Non-RPP kWh",VLOOKUP(R$4,'4. Billing Determinants'!$B$19:$R$41,6,0)/'4. Billing Determinants'!$G$41*$D12, VLOOKUP(R$4,'4. Billing Determinants'!$B$19:$AA$41,20,0)*$D12)))),0)</f>
        <v>0</v>
      </c>
      <c r="S12" s="40">
        <f>IFERROR(IF(S$4="",0,IF($E12="kWh",VLOOKUP(S$4,'4. Billing Determinants'!$B$19:$R$41,4,0)/'4. Billing Determinants'!$E$41*$D12,IF($E12="kW",VLOOKUP(S$4,'4. Billing Determinants'!$B$19:$R$41,5,0)/'4. Billing Determinants'!$F$41*$D12,IF($E12="Non-RPP kWh",VLOOKUP(S$4,'4. Billing Determinants'!$B$19:$R$41,6,0)/'4. Billing Determinants'!$G$41*$D12, VLOOKUP(S$4,'4. Billing Determinants'!$B$19:$AA$41,20,0)*$D12)))),0)</f>
        <v>0</v>
      </c>
      <c r="T12" s="40">
        <f>IFERROR(IF(T$4="",0,IF($E12="kWh",VLOOKUP(T$4,'4. Billing Determinants'!$B$19:$R$41,4,0)/'4. Billing Determinants'!$E$41*$D12,IF($E12="kW",VLOOKUP(T$4,'4. Billing Determinants'!$B$19:$R$41,5,0)/'4. Billing Determinants'!$F$41*$D12,IF($E12="Non-RPP kWh",VLOOKUP(T$4,'4. Billing Determinants'!$B$19:$R$41,6,0)/'4. Billing Determinants'!$G$41*$D12, VLOOKUP(T$4,'4. Billing Determinants'!$B$19:$AA$41,20,0)*$D12)))),0)</f>
        <v>0</v>
      </c>
      <c r="U12" s="40">
        <f>IFERROR(IF(U$4="",0,IF($E12="kWh",VLOOKUP(U$4,'4. Billing Determinants'!$B$19:$R$41,4,0)/'4. Billing Determinants'!$E$41*$D12,IF($E12="kW",VLOOKUP(U$4,'4. Billing Determinants'!$B$19:$R$41,5,0)/'4. Billing Determinants'!$F$41*$D12,IF($E12="Non-RPP kWh",VLOOKUP(U$4,'4. Billing Determinants'!$B$19:$R$41,6,0)/'4. Billing Determinants'!$G$41*$D12, VLOOKUP(U$4,'4. Billing Determinants'!$B$19:$AA$41,20,0)*$D12)))),0)</f>
        <v>0</v>
      </c>
      <c r="V12" s="40">
        <f>IFERROR(IF(V$4="",0,IF($E12="kWh",VLOOKUP(V$4,'4. Billing Determinants'!$B$19:$R$41,4,0)/'4. Billing Determinants'!$E$41*$D12,IF($E12="kW",VLOOKUP(V$4,'4. Billing Determinants'!$B$19:$R$41,5,0)/'4. Billing Determinants'!$F$41*$D12,IF($E12="Non-RPP kWh",VLOOKUP(V$4,'4. Billing Determinants'!$B$19:$R$41,6,0)/'4. Billing Determinants'!$G$41*$D12, VLOOKUP(V$4,'4. Billing Determinants'!$B$19:$AA$41,20,0)*$D12)))),0)</f>
        <v>0</v>
      </c>
      <c r="W12" s="40">
        <f>IFERROR(IF(W$4="",0,IF($E12="kWh",VLOOKUP(W$4,'4. Billing Determinants'!$B$19:$R$41,4,0)/'4. Billing Determinants'!$E$41*$D12,IF($E12="kW",VLOOKUP(W$4,'4. Billing Determinants'!$B$19:$R$41,5,0)/'4. Billing Determinants'!$F$41*$D12,IF($E12="Non-RPP kWh",VLOOKUP(W$4,'4. Billing Determinants'!$B$19:$R$41,6,0)/'4. Billing Determinants'!$G$41*$D12, VLOOKUP(W$4,'4. Billing Determinants'!$B$19:$AA$41,20,0)*$D12)))),0)</f>
        <v>0</v>
      </c>
      <c r="X12" s="40">
        <f>IFERROR(IF(X$4="",0,IF($E12="kWh",VLOOKUP(X$4,'4. Billing Determinants'!$B$19:$R$41,4,0)/'4. Billing Determinants'!$E$41*$D12,IF($E12="kW",VLOOKUP(X$4,'4. Billing Determinants'!$B$19:$R$41,5,0)/'4. Billing Determinants'!$F$41*$D12,IF($E12="Non-RPP kWh",VLOOKUP(X$4,'4. Billing Determinants'!$B$19:$R$41,6,0)/'4. Billing Determinants'!$G$41*$D12, VLOOKUP(X$4,'4. Billing Determinants'!$B$19:$AA$41,20,0)*$D12)))),0)</f>
        <v>0</v>
      </c>
      <c r="Y12" s="40">
        <f>IFERROR(IF(Y$4="",0,IF($E12="kWh",VLOOKUP(Y$4,'4. Billing Determinants'!$B$19:$R$41,4,0)/'4. Billing Determinants'!$E$41*$D12,IF($E12="kW",VLOOKUP(Y$4,'4. Billing Determinants'!$B$19:$R$41,5,0)/'4. Billing Determinants'!$F$41*$D12,IF($E12="Non-RPP kWh",VLOOKUP(Y$4,'4. Billing Determinants'!$B$19:$R$41,6,0)/'4. Billing Determinants'!$G$41*$D12, VLOOKUP(Y$4,'4. Billing Determinants'!$B$19:$AA$41,20,0)*$D12)))),0)</f>
        <v>0</v>
      </c>
    </row>
    <row r="13" spans="1:27" hidden="1" x14ac:dyDescent="0.25">
      <c r="A13" s="122">
        <v>10</v>
      </c>
      <c r="B13" s="42" t="s">
        <v>3682</v>
      </c>
      <c r="C13" s="260">
        <v>1595</v>
      </c>
      <c r="D13" s="40">
        <f>'2a. Continuity Schedule'!BT34</f>
        <v>0</v>
      </c>
      <c r="E13" s="296" t="s">
        <v>146</v>
      </c>
      <c r="F13" s="293">
        <f>IFERROR(IF(F$4="",0,IF($E13="kWh",VLOOKUP(F$4,'4. Billing Determinants'!$B$19:$R$41,4,0)/'4. Billing Determinants'!$E$41*$D13,IF($E13="kW",VLOOKUP(F$4,'4. Billing Determinants'!$B$19:$R$41,5,0)/'4. Billing Determinants'!$F$41*$D13,IF($E13="Non-RPP kWh",VLOOKUP(F$4,'4. Billing Determinants'!$B$19:$R$41,6,0)/'4. Billing Determinants'!$G$41*$D13,VLOOKUP(F$4,'4. Billing Determinants'!$B$19:$AA$41,21,0)*$D13)))),0)</f>
        <v>0</v>
      </c>
      <c r="G13" s="293">
        <f>IFERROR(IF(G$4="",0,IF($E13="kWh",VLOOKUP(G$4,'4. Billing Determinants'!$B$19:$R$41,4,0)/'4. Billing Determinants'!$E$41*$D13,IF($E13="kW",VLOOKUP(G$4,'4. Billing Determinants'!$B$19:$R$41,5,0)/'4. Billing Determinants'!$F$41*$D13,IF($E13="Non-RPP kWh",VLOOKUP(G$4,'4. Billing Determinants'!$B$19:$R$41,6,0)/'4. Billing Determinants'!$G$41*$D13,VLOOKUP(G$4,'4. Billing Determinants'!$B$19:$AA$41,21,0)*$D13)))),0)</f>
        <v>0</v>
      </c>
      <c r="H13" s="293">
        <f>IFERROR(IF(H$4="",0,IF($E13="kWh",VLOOKUP(H$4,'4. Billing Determinants'!$B$19:$R$41,4,0)/'4. Billing Determinants'!$E$41*$D13,IF($E13="kW",VLOOKUP(H$4,'4. Billing Determinants'!$B$19:$R$41,5,0)/'4. Billing Determinants'!$F$41*$D13,IF($E13="Non-RPP kWh",VLOOKUP(H$4,'4. Billing Determinants'!$B$19:$R$41,6,0)/'4. Billing Determinants'!$G$41*$D13,VLOOKUP(H$4,'4. Billing Determinants'!$B$19:$AA$41,21,0)*$D13)))),0)</f>
        <v>0</v>
      </c>
      <c r="I13" s="293">
        <f>IFERROR(IF(I$4="",0,IF($E13="kWh",VLOOKUP(I$4,'4. Billing Determinants'!$B$19:$R$41,4,0)/'4. Billing Determinants'!$E$41*$D13,IF($E13="kW",VLOOKUP(I$4,'4. Billing Determinants'!$B$19:$R$41,5,0)/'4. Billing Determinants'!$F$41*$D13,IF($E13="Non-RPP kWh",VLOOKUP(I$4,'4. Billing Determinants'!$B$19:$R$41,6,0)/'4. Billing Determinants'!$G$41*$D13,VLOOKUP(I$4,'4. Billing Determinants'!$B$19:$AA$41,21,0)*$D13)))),0)</f>
        <v>0</v>
      </c>
      <c r="J13" s="293">
        <f>IFERROR(IF(J$4="",0,IF($E13="kWh",VLOOKUP(J$4,'4. Billing Determinants'!$B$19:$R$41,4,0)/'4. Billing Determinants'!$E$41*$D13,IF($E13="kW",VLOOKUP(J$4,'4. Billing Determinants'!$B$19:$R$41,5,0)/'4. Billing Determinants'!$F$41*$D13,IF($E13="Non-RPP kWh",VLOOKUP(J$4,'4. Billing Determinants'!$B$19:$R$41,6,0)/'4. Billing Determinants'!$G$41*$D13,VLOOKUP(J$4,'4. Billing Determinants'!$B$19:$AA$41,21,0)*$D13)))),0)</f>
        <v>0</v>
      </c>
      <c r="K13" s="293">
        <f>IFERROR(IF(K$4="",0,IF($E13="kWh",VLOOKUP(K$4,'4. Billing Determinants'!$B$19:$R$41,4,0)/'4. Billing Determinants'!$E$41*$D13,IF($E13="kW",VLOOKUP(K$4,'4. Billing Determinants'!$B$19:$R$41,5,0)/'4. Billing Determinants'!$F$41*$D13,IF($E13="Non-RPP kWh",VLOOKUP(K$4,'4. Billing Determinants'!$B$19:$R$41,6,0)/'4. Billing Determinants'!$G$41*$D13,VLOOKUP(K$4,'4. Billing Determinants'!$B$19:$AA$41,21,0)*$D13)))),0)</f>
        <v>0</v>
      </c>
      <c r="L13" s="293">
        <f>IFERROR(IF(L$4="",0,IF($E13="kWh",VLOOKUP(L$4,'4. Billing Determinants'!$B$19:$R$41,4,0)/'4. Billing Determinants'!$E$41*$D13,IF($E13="kW",VLOOKUP(L$4,'4. Billing Determinants'!$B$19:$R$41,5,0)/'4. Billing Determinants'!$F$41*$D13,IF($E13="Non-RPP kWh",VLOOKUP(L$4,'4. Billing Determinants'!$B$19:$R$41,6,0)/'4. Billing Determinants'!$G$41*$D13,VLOOKUP(L$4,'4. Billing Determinants'!$B$19:$AA$41,21,0)*$D13)))),0)</f>
        <v>0</v>
      </c>
      <c r="M13" s="293">
        <f>IFERROR(IF(M$4="",0,IF($E13="kWh",VLOOKUP(M$4,'4. Billing Determinants'!$B$19:$R$41,4,0)/'4. Billing Determinants'!$E$41*$D13,IF($E13="kW",VLOOKUP(M$4,'4. Billing Determinants'!$B$19:$R$41,5,0)/'4. Billing Determinants'!$F$41*$D13,IF($E13="Non-RPP kWh",VLOOKUP(M$4,'4. Billing Determinants'!$B$19:$R$41,6,0)/'4. Billing Determinants'!$G$41*$D13,VLOOKUP(M$4,'4. Billing Determinants'!$B$19:$AA$41,21,0)*$D13)))),0)</f>
        <v>0</v>
      </c>
      <c r="N13" s="293">
        <f>IFERROR(IF(N$4="",0,IF($E13="kWh",VLOOKUP(N$4,'4. Billing Determinants'!$B$19:$R$41,4,0)/'4. Billing Determinants'!$E$41*$D13,IF($E13="kW",VLOOKUP(N$4,'4. Billing Determinants'!$B$19:$R$41,5,0)/'4. Billing Determinants'!$F$41*$D13,IF($E13="Non-RPP kWh",VLOOKUP(N$4,'4. Billing Determinants'!$B$19:$R$41,6,0)/'4. Billing Determinants'!$G$41*$D13,VLOOKUP(N$4,'4. Billing Determinants'!$B$19:$AA$41,21,0)*$D13)))),0)</f>
        <v>0</v>
      </c>
      <c r="O13" s="293">
        <f>IFERROR(IF(O$4="",0,IF($E13="kWh",VLOOKUP(O$4,'4. Billing Determinants'!$B$19:$R$41,4,0)/'4. Billing Determinants'!$E$41*$D13,IF($E13="kW",VLOOKUP(O$4,'4. Billing Determinants'!$B$19:$R$41,5,0)/'4. Billing Determinants'!$F$41*$D13,IF($E13="Non-RPP kWh",VLOOKUP(O$4,'4. Billing Determinants'!$B$19:$R$41,6,0)/'4. Billing Determinants'!$G$41*$D13,VLOOKUP(O$4,'4. Billing Determinants'!$B$19:$AA$41,21,0)*$D13)))),0)</f>
        <v>0</v>
      </c>
      <c r="P13" s="293">
        <f>IFERROR(IF(P$4="",0,IF($E13="kWh",VLOOKUP(P$4,'4. Billing Determinants'!$B$19:$R$41,4,0)/'4. Billing Determinants'!$E$41*$D13,IF($E13="kW",VLOOKUP(P$4,'4. Billing Determinants'!$B$19:$R$41,5,0)/'4. Billing Determinants'!$F$41*$D13,IF($E13="Non-RPP kWh",VLOOKUP(P$4,'4. Billing Determinants'!$B$19:$R$41,6,0)/'4. Billing Determinants'!$G$41*$D13,VLOOKUP(P$4,'4. Billing Determinants'!$B$19:$AA$41,21,0)*$D13)))),0)</f>
        <v>0</v>
      </c>
      <c r="Q13" s="293">
        <f>IFERROR(IF(Q$4="",0,IF($E13="kWh",VLOOKUP(Q$4,'4. Billing Determinants'!$B$19:$R$41,4,0)/'4. Billing Determinants'!$E$41*$D13,IF($E13="kW",VLOOKUP(Q$4,'4. Billing Determinants'!$B$19:$R$41,5,0)/'4. Billing Determinants'!$F$41*$D13,IF($E13="Non-RPP kWh",VLOOKUP(Q$4,'4. Billing Determinants'!$B$19:$R$41,6,0)/'4. Billing Determinants'!$G$41*$D13,VLOOKUP(Q$4,'4. Billing Determinants'!$B$19:$AA$41,21,0)*$D13)))),0)</f>
        <v>0</v>
      </c>
      <c r="R13" s="293">
        <f>IFERROR(IF(R$4="",0,IF($E13="kWh",VLOOKUP(R$4,'4. Billing Determinants'!$B$19:$R$41,4,0)/'4. Billing Determinants'!$E$41*$D13,IF($E13="kW",VLOOKUP(R$4,'4. Billing Determinants'!$B$19:$R$41,5,0)/'4. Billing Determinants'!$F$41*$D13,IF($E13="Non-RPP kWh",VLOOKUP(R$4,'4. Billing Determinants'!$B$19:$R$41,6,0)/'4. Billing Determinants'!$G$41*$D13,VLOOKUP(R$4,'4. Billing Determinants'!$B$19:$AA$41,21,0)*$D13)))),0)</f>
        <v>0</v>
      </c>
      <c r="S13" s="293">
        <f>IFERROR(IF(S$4="",0,IF($E13="kWh",VLOOKUP(S$4,'4. Billing Determinants'!$B$19:$R$41,4,0)/'4. Billing Determinants'!$E$41*$D13,IF($E13="kW",VLOOKUP(S$4,'4. Billing Determinants'!$B$19:$R$41,5,0)/'4. Billing Determinants'!$F$41*$D13,IF($E13="Non-RPP kWh",VLOOKUP(S$4,'4. Billing Determinants'!$B$19:$R$41,6,0)/'4. Billing Determinants'!$G$41*$D13,VLOOKUP(S$4,'4. Billing Determinants'!$B$19:$AA$41,21,0)*$D13)))),0)</f>
        <v>0</v>
      </c>
      <c r="T13" s="293">
        <f>IFERROR(IF(T$4="",0,IF($E13="kWh",VLOOKUP(T$4,'4. Billing Determinants'!$B$19:$R$41,4,0)/'4. Billing Determinants'!$E$41*$D13,IF($E13="kW",VLOOKUP(T$4,'4. Billing Determinants'!$B$19:$R$41,5,0)/'4. Billing Determinants'!$F$41*$D13,IF($E13="Non-RPP kWh",VLOOKUP(T$4,'4. Billing Determinants'!$B$19:$R$41,6,0)/'4. Billing Determinants'!$G$41*$D13,VLOOKUP(T$4,'4. Billing Determinants'!$B$19:$AA$41,21,0)*$D13)))),0)</f>
        <v>0</v>
      </c>
      <c r="U13" s="293">
        <f>IFERROR(IF(U$4="",0,IF($E13="kWh",VLOOKUP(U$4,'4. Billing Determinants'!$B$19:$R$41,4,0)/'4. Billing Determinants'!$E$41*$D13,IF($E13="kW",VLOOKUP(U$4,'4. Billing Determinants'!$B$19:$R$41,5,0)/'4. Billing Determinants'!$F$41*$D13,IF($E13="Non-RPP kWh",VLOOKUP(U$4,'4. Billing Determinants'!$B$19:$R$41,6,0)/'4. Billing Determinants'!$G$41*$D13,VLOOKUP(U$4,'4. Billing Determinants'!$B$19:$AA$41,21,0)*$D13)))),0)</f>
        <v>0</v>
      </c>
      <c r="V13" s="293">
        <f>IFERROR(IF(V$4="",0,IF($E13="kWh",VLOOKUP(V$4,'4. Billing Determinants'!$B$19:$R$41,4,0)/'4. Billing Determinants'!$E$41*$D13,IF($E13="kW",VLOOKUP(V$4,'4. Billing Determinants'!$B$19:$R$41,5,0)/'4. Billing Determinants'!$F$41*$D13,IF($E13="Non-RPP kWh",VLOOKUP(V$4,'4. Billing Determinants'!$B$19:$R$41,6,0)/'4. Billing Determinants'!$G$41*$D13,VLOOKUP(V$4,'4. Billing Determinants'!$B$19:$AA$41,21,0)*$D13)))),0)</f>
        <v>0</v>
      </c>
      <c r="W13" s="293">
        <f>IFERROR(IF(W$4="",0,IF($E13="kWh",VLOOKUP(W$4,'4. Billing Determinants'!$B$19:$R$41,4,0)/'4. Billing Determinants'!$E$41*$D13,IF($E13="kW",VLOOKUP(W$4,'4. Billing Determinants'!$B$19:$R$41,5,0)/'4. Billing Determinants'!$F$41*$D13,IF($E13="Non-RPP kWh",VLOOKUP(W$4,'4. Billing Determinants'!$B$19:$R$41,6,0)/'4. Billing Determinants'!$G$41*$D13,VLOOKUP(W$4,'4. Billing Determinants'!$B$19:$AA$41,21,0)*$D13)))),0)</f>
        <v>0</v>
      </c>
      <c r="X13" s="293">
        <f>IFERROR(IF(X$4="",0,IF($E13="kWh",VLOOKUP(X$4,'4. Billing Determinants'!$B$19:$R$41,4,0)/'4. Billing Determinants'!$E$41*$D13,IF($E13="kW",VLOOKUP(X$4,'4. Billing Determinants'!$B$19:$R$41,5,0)/'4. Billing Determinants'!$F$41*$D13,IF($E13="Non-RPP kWh",VLOOKUP(X$4,'4. Billing Determinants'!$B$19:$R$41,6,0)/'4. Billing Determinants'!$G$41*$D13,VLOOKUP(X$4,'4. Billing Determinants'!$B$19:$AA$41,21,0)*$D13)))),0)</f>
        <v>0</v>
      </c>
      <c r="Y13" s="293">
        <f>IFERROR(IF(Y$4="",0,IF($E13="kWh",VLOOKUP(Y$4,'4. Billing Determinants'!$B$19:$R$41,4,0)/'4. Billing Determinants'!$E$41*$D13,IF($E13="kW",VLOOKUP(Y$4,'4. Billing Determinants'!$B$19:$R$41,5,0)/'4. Billing Determinants'!$F$41*$D13,IF($E13="Non-RPP kWh",VLOOKUP(Y$4,'4. Billing Determinants'!$B$19:$R$41,6,0)/'4. Billing Determinants'!$G$41*$D13,VLOOKUP(Y$4,'4. Billing Determinants'!$B$19:$AA$41,21,0)*$D13)))),0)</f>
        <v>0</v>
      </c>
    </row>
    <row r="14" spans="1:27" hidden="1" x14ac:dyDescent="0.25">
      <c r="A14" s="122">
        <v>11</v>
      </c>
      <c r="B14" s="42" t="s">
        <v>441</v>
      </c>
      <c r="C14" s="260">
        <v>1595</v>
      </c>
      <c r="D14" s="40">
        <f>'2a. Continuity Schedule'!BT35</f>
        <v>0</v>
      </c>
      <c r="E14" s="296" t="s">
        <v>146</v>
      </c>
      <c r="F14" s="293">
        <f>IFERROR(IF(F$4="",0,IF($E14="kWh",VLOOKUP(F$4,'4. Billing Determinants'!$B$19:$R$41,4,0)/'4. Billing Determinants'!$E$41*$D14,IF($E14="kW",VLOOKUP(F$4,'4. Billing Determinants'!$B$19:$R$41,5,0)/'4. Billing Determinants'!$F$41*$D14,IF($E14="Non-RPP kWh",VLOOKUP(F$4,'4. Billing Determinants'!$B$19:$R$41,6,0)/'4. Billing Determinants'!$G$41*$D14, VLOOKUP(F$4,'4. Billing Determinants'!$B$19:$AA$41,22,0)*$D14)))),0)</f>
        <v>0</v>
      </c>
      <c r="G14" s="293">
        <f>IFERROR(IF(G$4="",0,IF($E14="kWh",VLOOKUP(G$4,'4. Billing Determinants'!$B$19:$R$41,4,0)/'4. Billing Determinants'!$E$41*$D14,IF($E14="kW",VLOOKUP(G$4,'4. Billing Determinants'!$B$19:$R$41,5,0)/'4. Billing Determinants'!$F$41*$D14,IF($E14="Non-RPP kWh",VLOOKUP(G$4,'4. Billing Determinants'!$B$19:$R$41,6,0)/'4. Billing Determinants'!$G$41*$D14, VLOOKUP(G$4,'4. Billing Determinants'!$B$19:$AA$41,22,0)*$D14)))),0)</f>
        <v>0</v>
      </c>
      <c r="H14" s="293">
        <f>IFERROR(IF(H$4="",0,IF($E14="kWh",VLOOKUP(H$4,'4. Billing Determinants'!$B$19:$R$41,4,0)/'4. Billing Determinants'!$E$41*$D14,IF($E14="kW",VLOOKUP(H$4,'4. Billing Determinants'!$B$19:$R$41,5,0)/'4. Billing Determinants'!$F$41*$D14,IF($E14="Non-RPP kWh",VLOOKUP(H$4,'4. Billing Determinants'!$B$19:$R$41,6,0)/'4. Billing Determinants'!$G$41*$D14, VLOOKUP(H$4,'4. Billing Determinants'!$B$19:$AA$41,22,0)*$D14)))),0)</f>
        <v>0</v>
      </c>
      <c r="I14" s="293">
        <f>IFERROR(IF(I$4="",0,IF($E14="kWh",VLOOKUP(I$4,'4. Billing Determinants'!$B$19:$R$41,4,0)/'4. Billing Determinants'!$E$41*$D14,IF($E14="kW",VLOOKUP(I$4,'4. Billing Determinants'!$B$19:$R$41,5,0)/'4. Billing Determinants'!$F$41*$D14,IF($E14="Non-RPP kWh",VLOOKUP(I$4,'4. Billing Determinants'!$B$19:$R$41,6,0)/'4. Billing Determinants'!$G$41*$D14, VLOOKUP(I$4,'4. Billing Determinants'!$B$19:$AA$41,22,0)*$D14)))),0)</f>
        <v>0</v>
      </c>
      <c r="J14" s="293">
        <f>IFERROR(IF(J$4="",0,IF($E14="kWh",VLOOKUP(J$4,'4. Billing Determinants'!$B$19:$R$41,4,0)/'4. Billing Determinants'!$E$41*$D14,IF($E14="kW",VLOOKUP(J$4,'4. Billing Determinants'!$B$19:$R$41,5,0)/'4. Billing Determinants'!$F$41*$D14,IF($E14="Non-RPP kWh",VLOOKUP(J$4,'4. Billing Determinants'!$B$19:$R$41,6,0)/'4. Billing Determinants'!$G$41*$D14, VLOOKUP(J$4,'4. Billing Determinants'!$B$19:$AA$41,22,0)*$D14)))),0)</f>
        <v>0</v>
      </c>
      <c r="K14" s="293">
        <f>IFERROR(IF(K$4="",0,IF($E14="kWh",VLOOKUP(K$4,'4. Billing Determinants'!$B$19:$R$41,4,0)/'4. Billing Determinants'!$E$41*$D14,IF($E14="kW",VLOOKUP(K$4,'4. Billing Determinants'!$B$19:$R$41,5,0)/'4. Billing Determinants'!$F$41*$D14,IF($E14="Non-RPP kWh",VLOOKUP(K$4,'4. Billing Determinants'!$B$19:$R$41,6,0)/'4. Billing Determinants'!$G$41*$D14, VLOOKUP(K$4,'4. Billing Determinants'!$B$19:$AA$41,22,0)*$D14)))),0)</f>
        <v>0</v>
      </c>
      <c r="L14" s="293">
        <f>IFERROR(IF(L$4="",0,IF($E14="kWh",VLOOKUP(L$4,'4. Billing Determinants'!$B$19:$R$41,4,0)/'4. Billing Determinants'!$E$41*$D14,IF($E14="kW",VLOOKUP(L$4,'4. Billing Determinants'!$B$19:$R$41,5,0)/'4. Billing Determinants'!$F$41*$D14,IF($E14="Non-RPP kWh",VLOOKUP(L$4,'4. Billing Determinants'!$B$19:$R$41,6,0)/'4. Billing Determinants'!$G$41*$D14, VLOOKUP(L$4,'4. Billing Determinants'!$B$19:$AA$41,22,0)*$D14)))),0)</f>
        <v>0</v>
      </c>
      <c r="M14" s="293">
        <f>IFERROR(IF(M$4="",0,IF($E14="kWh",VLOOKUP(M$4,'4. Billing Determinants'!$B$19:$R$41,4,0)/'4. Billing Determinants'!$E$41*$D14,IF($E14="kW",VLOOKUP(M$4,'4. Billing Determinants'!$B$19:$R$41,5,0)/'4. Billing Determinants'!$F$41*$D14,IF($E14="Non-RPP kWh",VLOOKUP(M$4,'4. Billing Determinants'!$B$19:$R$41,6,0)/'4. Billing Determinants'!$G$41*$D14, VLOOKUP(M$4,'4. Billing Determinants'!$B$19:$AA$41,22,0)*$D14)))),0)</f>
        <v>0</v>
      </c>
      <c r="N14" s="293">
        <f>IFERROR(IF(N$4="",0,IF($E14="kWh",VLOOKUP(N$4,'4. Billing Determinants'!$B$19:$R$41,4,0)/'4. Billing Determinants'!$E$41*$D14,IF($E14="kW",VLOOKUP(N$4,'4. Billing Determinants'!$B$19:$R$41,5,0)/'4. Billing Determinants'!$F$41*$D14,IF($E14="Non-RPP kWh",VLOOKUP(N$4,'4. Billing Determinants'!$B$19:$R$41,6,0)/'4. Billing Determinants'!$G$41*$D14, VLOOKUP(N$4,'4. Billing Determinants'!$B$19:$AA$41,22,0)*$D14)))),0)</f>
        <v>0</v>
      </c>
      <c r="O14" s="293">
        <f>IFERROR(IF(O$4="",0,IF($E14="kWh",VLOOKUP(O$4,'4. Billing Determinants'!$B$19:$R$41,4,0)/'4. Billing Determinants'!$E$41*$D14,IF($E14="kW",VLOOKUP(O$4,'4. Billing Determinants'!$B$19:$R$41,5,0)/'4. Billing Determinants'!$F$41*$D14,IF($E14="Non-RPP kWh",VLOOKUP(O$4,'4. Billing Determinants'!$B$19:$R$41,6,0)/'4. Billing Determinants'!$G$41*$D14, VLOOKUP(O$4,'4. Billing Determinants'!$B$19:$AA$41,22,0)*$D14)))),0)</f>
        <v>0</v>
      </c>
      <c r="P14" s="293">
        <f>IFERROR(IF(P$4="",0,IF($E14="kWh",VLOOKUP(P$4,'4. Billing Determinants'!$B$19:$R$41,4,0)/'4. Billing Determinants'!$E$41*$D14,IF($E14="kW",VLOOKUP(P$4,'4. Billing Determinants'!$B$19:$R$41,5,0)/'4. Billing Determinants'!$F$41*$D14,IF($E14="Non-RPP kWh",VLOOKUP(P$4,'4. Billing Determinants'!$B$19:$R$41,6,0)/'4. Billing Determinants'!$G$41*$D14, VLOOKUP(P$4,'4. Billing Determinants'!$B$19:$AA$41,22,0)*$D14)))),0)</f>
        <v>0</v>
      </c>
      <c r="Q14" s="293">
        <f>IFERROR(IF(Q$4="",0,IF($E14="kWh",VLOOKUP(Q$4,'4. Billing Determinants'!$B$19:$R$41,4,0)/'4. Billing Determinants'!$E$41*$D14,IF($E14="kW",VLOOKUP(Q$4,'4. Billing Determinants'!$B$19:$R$41,5,0)/'4. Billing Determinants'!$F$41*$D14,IF($E14="Non-RPP kWh",VLOOKUP(Q$4,'4. Billing Determinants'!$B$19:$R$41,6,0)/'4. Billing Determinants'!$G$41*$D14, VLOOKUP(Q$4,'4. Billing Determinants'!$B$19:$AA$41,22,0)*$D14)))),0)</f>
        <v>0</v>
      </c>
      <c r="R14" s="293">
        <f>IFERROR(IF(R$4="",0,IF($E14="kWh",VLOOKUP(R$4,'4. Billing Determinants'!$B$19:$R$41,4,0)/'4. Billing Determinants'!$E$41*$D14,IF($E14="kW",VLOOKUP(R$4,'4. Billing Determinants'!$B$19:$R$41,5,0)/'4. Billing Determinants'!$F$41*$D14,IF($E14="Non-RPP kWh",VLOOKUP(R$4,'4. Billing Determinants'!$B$19:$R$41,6,0)/'4. Billing Determinants'!$G$41*$D14, VLOOKUP(R$4,'4. Billing Determinants'!$B$19:$AA$41,22,0)*$D14)))),0)</f>
        <v>0</v>
      </c>
      <c r="S14" s="293">
        <f>IFERROR(IF(S$4="",0,IF($E14="kWh",VLOOKUP(S$4,'4. Billing Determinants'!$B$19:$R$41,4,0)/'4. Billing Determinants'!$E$41*$D14,IF($E14="kW",VLOOKUP(S$4,'4. Billing Determinants'!$B$19:$R$41,5,0)/'4. Billing Determinants'!$F$41*$D14,IF($E14="Non-RPP kWh",VLOOKUP(S$4,'4. Billing Determinants'!$B$19:$R$41,6,0)/'4. Billing Determinants'!$G$41*$D14, VLOOKUP(S$4,'4. Billing Determinants'!$B$19:$AA$41,22,0)*$D14)))),0)</f>
        <v>0</v>
      </c>
      <c r="T14" s="293">
        <f>IFERROR(IF(T$4="",0,IF($E14="kWh",VLOOKUP(T$4,'4. Billing Determinants'!$B$19:$R$41,4,0)/'4. Billing Determinants'!$E$41*$D14,IF($E14="kW",VLOOKUP(T$4,'4. Billing Determinants'!$B$19:$R$41,5,0)/'4. Billing Determinants'!$F$41*$D14,IF($E14="Non-RPP kWh",VLOOKUP(T$4,'4. Billing Determinants'!$B$19:$R$41,6,0)/'4. Billing Determinants'!$G$41*$D14, VLOOKUP(T$4,'4. Billing Determinants'!$B$19:$AA$41,22,0)*$D14)))),0)</f>
        <v>0</v>
      </c>
      <c r="U14" s="293">
        <f>IFERROR(IF(U$4="",0,IF($E14="kWh",VLOOKUP(U$4,'4. Billing Determinants'!$B$19:$R$41,4,0)/'4. Billing Determinants'!$E$41*$D14,IF($E14="kW",VLOOKUP(U$4,'4. Billing Determinants'!$B$19:$R$41,5,0)/'4. Billing Determinants'!$F$41*$D14,IF($E14="Non-RPP kWh",VLOOKUP(U$4,'4. Billing Determinants'!$B$19:$R$41,6,0)/'4. Billing Determinants'!$G$41*$D14, VLOOKUP(U$4,'4. Billing Determinants'!$B$19:$AA$41,22,0)*$D14)))),0)</f>
        <v>0</v>
      </c>
      <c r="V14" s="293">
        <f>IFERROR(IF(V$4="",0,IF($E14="kWh",VLOOKUP(V$4,'4. Billing Determinants'!$B$19:$R$41,4,0)/'4. Billing Determinants'!$E$41*$D14,IF($E14="kW",VLOOKUP(V$4,'4. Billing Determinants'!$B$19:$R$41,5,0)/'4. Billing Determinants'!$F$41*$D14,IF($E14="Non-RPP kWh",VLOOKUP(V$4,'4. Billing Determinants'!$B$19:$R$41,6,0)/'4. Billing Determinants'!$G$41*$D14, VLOOKUP(V$4,'4. Billing Determinants'!$B$19:$AA$41,22,0)*$D14)))),0)</f>
        <v>0</v>
      </c>
      <c r="W14" s="293">
        <f>IFERROR(IF(W$4="",0,IF($E14="kWh",VLOOKUP(W$4,'4. Billing Determinants'!$B$19:$R$41,4,0)/'4. Billing Determinants'!$E$41*$D14,IF($E14="kW",VLOOKUP(W$4,'4. Billing Determinants'!$B$19:$R$41,5,0)/'4. Billing Determinants'!$F$41*$D14,IF($E14="Non-RPP kWh",VLOOKUP(W$4,'4. Billing Determinants'!$B$19:$R$41,6,0)/'4. Billing Determinants'!$G$41*$D14, VLOOKUP(W$4,'4. Billing Determinants'!$B$19:$AA$41,22,0)*$D14)))),0)</f>
        <v>0</v>
      </c>
      <c r="X14" s="293">
        <f>IFERROR(IF(X$4="",0,IF($E14="kWh",VLOOKUP(X$4,'4. Billing Determinants'!$B$19:$R$41,4,0)/'4. Billing Determinants'!$E$41*$D14,IF($E14="kW",VLOOKUP(X$4,'4. Billing Determinants'!$B$19:$R$41,5,0)/'4. Billing Determinants'!$F$41*$D14,IF($E14="Non-RPP kWh",VLOOKUP(X$4,'4. Billing Determinants'!$B$19:$R$41,6,0)/'4. Billing Determinants'!$G$41*$D14, VLOOKUP(X$4,'4. Billing Determinants'!$B$19:$AA$41,22,0)*$D14)))),0)</f>
        <v>0</v>
      </c>
      <c r="Y14" s="293">
        <f>IFERROR(IF(Y$4="",0,IF($E14="kWh",VLOOKUP(Y$4,'4. Billing Determinants'!$B$19:$R$41,4,0)/'4. Billing Determinants'!$E$41*$D14,IF($E14="kW",VLOOKUP(Y$4,'4. Billing Determinants'!$B$19:$R$41,5,0)/'4. Billing Determinants'!$F$41*$D14,IF($E14="Non-RPP kWh",VLOOKUP(Y$4,'4. Billing Determinants'!$B$19:$R$41,6,0)/'4. Billing Determinants'!$G$41*$D14, VLOOKUP(Y$4,'4. Billing Determinants'!$B$19:$AA$41,22,0)*$D14)))),0)</f>
        <v>0</v>
      </c>
    </row>
    <row r="15" spans="1:27" x14ac:dyDescent="0.25">
      <c r="A15" s="278">
        <v>12</v>
      </c>
      <c r="B15" s="42" t="s">
        <v>3016</v>
      </c>
      <c r="C15" s="260">
        <v>1595</v>
      </c>
      <c r="D15" s="40">
        <f>'2a. Continuity Schedule'!BT36</f>
        <v>0</v>
      </c>
      <c r="E15" s="296" t="s">
        <v>146</v>
      </c>
      <c r="F15" s="293">
        <f>IFERROR(IF(F$4="",0,IF($E15="kWh",VLOOKUP(F$4,'4. Billing Determinants'!$B$19:$R$41,4,0)/'4. Billing Determinants'!$E$41*$D15,IF($E15="kW",VLOOKUP(F$4,'4. Billing Determinants'!$B$19:$R$41,5,0)/'4. Billing Determinants'!$F$41*$D15,IF($E15="Non-RPP kWh",VLOOKUP(F$4,'4. Billing Determinants'!$B$19:$R$41,6,0)/'4. Billing Determinants'!$G$41*$D15, VLOOKUP(F$4,'4. Billing Determinants'!$B$19:$AA$41,23,0)*$D15)))),0)</f>
        <v>0</v>
      </c>
      <c r="G15" s="293">
        <f>IFERROR(IF(G$4="",0,IF($E15="kWh",VLOOKUP(G$4,'4. Billing Determinants'!$B$19:$R$41,4,0)/'4. Billing Determinants'!$E$41*$D15,IF($E15="kW",VLOOKUP(G$4,'4. Billing Determinants'!$B$19:$R$41,5,0)/'4. Billing Determinants'!$F$41*$D15,IF($E15="Non-RPP kWh",VLOOKUP(G$4,'4. Billing Determinants'!$B$19:$R$41,6,0)/'4. Billing Determinants'!$G$41*$D15, VLOOKUP(G$4,'4. Billing Determinants'!$B$19:$AA$41,23,0)*$D15)))),0)</f>
        <v>0</v>
      </c>
      <c r="H15" s="293">
        <f>IFERROR(IF(H$4="",0,IF($E15="kWh",VLOOKUP(H$4,'4. Billing Determinants'!$B$19:$R$41,4,0)/'4. Billing Determinants'!$E$41*$D15,IF($E15="kW",VLOOKUP(H$4,'4. Billing Determinants'!$B$19:$R$41,5,0)/'4. Billing Determinants'!$F$41*$D15,IF($E15="Non-RPP kWh",VLOOKUP(H$4,'4. Billing Determinants'!$B$19:$R$41,6,0)/'4. Billing Determinants'!$G$41*$D15, VLOOKUP(H$4,'4. Billing Determinants'!$B$19:$AA$41,23,0)*$D15)))),0)</f>
        <v>0</v>
      </c>
      <c r="I15" s="293">
        <f>IFERROR(IF(I$4="",0,IF($E15="kWh",VLOOKUP(I$4,'4. Billing Determinants'!$B$19:$R$41,4,0)/'4. Billing Determinants'!$E$41*$D15,IF($E15="kW",VLOOKUP(I$4,'4. Billing Determinants'!$B$19:$R$41,5,0)/'4. Billing Determinants'!$F$41*$D15,IF($E15="Non-RPP kWh",VLOOKUP(I$4,'4. Billing Determinants'!$B$19:$R$41,6,0)/'4. Billing Determinants'!$G$41*$D15, VLOOKUP(I$4,'4. Billing Determinants'!$B$19:$AA$41,23,0)*$D15)))),0)</f>
        <v>0</v>
      </c>
      <c r="J15" s="293">
        <f>IFERROR(IF(J$4="",0,IF($E15="kWh",VLOOKUP(J$4,'4. Billing Determinants'!$B$19:$R$41,4,0)/'4. Billing Determinants'!$E$41*$D15,IF($E15="kW",VLOOKUP(J$4,'4. Billing Determinants'!$B$19:$R$41,5,0)/'4. Billing Determinants'!$F$41*$D15,IF($E15="Non-RPP kWh",VLOOKUP(J$4,'4. Billing Determinants'!$B$19:$R$41,6,0)/'4. Billing Determinants'!$G$41*$D15, VLOOKUP(J$4,'4. Billing Determinants'!$B$19:$AA$41,23,0)*$D15)))),0)</f>
        <v>0</v>
      </c>
      <c r="K15" s="293">
        <f>IFERROR(IF(K$4="",0,IF($E15="kWh",VLOOKUP(K$4,'4. Billing Determinants'!$B$19:$R$41,4,0)/'4. Billing Determinants'!$E$41*$D15,IF($E15="kW",VLOOKUP(K$4,'4. Billing Determinants'!$B$19:$R$41,5,0)/'4. Billing Determinants'!$F$41*$D15,IF($E15="Non-RPP kWh",VLOOKUP(K$4,'4. Billing Determinants'!$B$19:$R$41,6,0)/'4. Billing Determinants'!$G$41*$D15, VLOOKUP(K$4,'4. Billing Determinants'!$B$19:$AA$41,23,0)*$D15)))),0)</f>
        <v>0</v>
      </c>
      <c r="L15" s="293">
        <f>IFERROR(IF(L$4="",0,IF($E15="kWh",VLOOKUP(L$4,'4. Billing Determinants'!$B$19:$R$41,4,0)/'4. Billing Determinants'!$E$41*$D15,IF($E15="kW",VLOOKUP(L$4,'4. Billing Determinants'!$B$19:$R$41,5,0)/'4. Billing Determinants'!$F$41*$D15,IF($E15="Non-RPP kWh",VLOOKUP(L$4,'4. Billing Determinants'!$B$19:$R$41,6,0)/'4. Billing Determinants'!$G$41*$D15, VLOOKUP(L$4,'4. Billing Determinants'!$B$19:$AA$41,23,0)*$D15)))),0)</f>
        <v>0</v>
      </c>
      <c r="M15" s="293">
        <f>IFERROR(IF(M$4="",0,IF($E15="kWh",VLOOKUP(M$4,'4. Billing Determinants'!$B$19:$R$41,4,0)/'4. Billing Determinants'!$E$41*$D15,IF($E15="kW",VLOOKUP(M$4,'4. Billing Determinants'!$B$19:$R$41,5,0)/'4. Billing Determinants'!$F$41*$D15,IF($E15="Non-RPP kWh",VLOOKUP(M$4,'4. Billing Determinants'!$B$19:$R$41,6,0)/'4. Billing Determinants'!$G$41*$D15, VLOOKUP(M$4,'4. Billing Determinants'!$B$19:$AA$41,23,0)*$D15)))),0)</f>
        <v>0</v>
      </c>
      <c r="N15" s="293">
        <f>IFERROR(IF(N$4="",0,IF($E15="kWh",VLOOKUP(N$4,'4. Billing Determinants'!$B$19:$R$41,4,0)/'4. Billing Determinants'!$E$41*$D15,IF($E15="kW",VLOOKUP(N$4,'4. Billing Determinants'!$B$19:$R$41,5,0)/'4. Billing Determinants'!$F$41*$D15,IF($E15="Non-RPP kWh",VLOOKUP(N$4,'4. Billing Determinants'!$B$19:$R$41,6,0)/'4. Billing Determinants'!$G$41*$D15, VLOOKUP(N$4,'4. Billing Determinants'!$B$19:$AA$41,23,0)*$D15)))),0)</f>
        <v>0</v>
      </c>
      <c r="O15" s="293">
        <f>IFERROR(IF(O$4="",0,IF($E15="kWh",VLOOKUP(O$4,'4. Billing Determinants'!$B$19:$R$41,4,0)/'4. Billing Determinants'!$E$41*$D15,IF($E15="kW",VLOOKUP(O$4,'4. Billing Determinants'!$B$19:$R$41,5,0)/'4. Billing Determinants'!$F$41*$D15,IF($E15="Non-RPP kWh",VLOOKUP(O$4,'4. Billing Determinants'!$B$19:$R$41,6,0)/'4. Billing Determinants'!$G$41*$D15, VLOOKUP(O$4,'4. Billing Determinants'!$B$19:$AA$41,23,0)*$D15)))),0)</f>
        <v>0</v>
      </c>
      <c r="P15" s="293">
        <f>IFERROR(IF(P$4="",0,IF($E15="kWh",VLOOKUP(P$4,'4. Billing Determinants'!$B$19:$R$41,4,0)/'4. Billing Determinants'!$E$41*$D15,IF($E15="kW",VLOOKUP(P$4,'4. Billing Determinants'!$B$19:$R$41,5,0)/'4. Billing Determinants'!$F$41*$D15,IF($E15="Non-RPP kWh",VLOOKUP(P$4,'4. Billing Determinants'!$B$19:$R$41,6,0)/'4. Billing Determinants'!$G$41*$D15, VLOOKUP(P$4,'4. Billing Determinants'!$B$19:$AA$41,23,0)*$D15)))),0)</f>
        <v>0</v>
      </c>
      <c r="Q15" s="293">
        <f>IFERROR(IF(Q$4="",0,IF($E15="kWh",VLOOKUP(Q$4,'4. Billing Determinants'!$B$19:$R$41,4,0)/'4. Billing Determinants'!$E$41*$D15,IF($E15="kW",VLOOKUP(Q$4,'4. Billing Determinants'!$B$19:$R$41,5,0)/'4. Billing Determinants'!$F$41*$D15,IF($E15="Non-RPP kWh",VLOOKUP(Q$4,'4. Billing Determinants'!$B$19:$R$41,6,0)/'4. Billing Determinants'!$G$41*$D15, VLOOKUP(Q$4,'4. Billing Determinants'!$B$19:$AA$41,23,0)*$D15)))),0)</f>
        <v>0</v>
      </c>
      <c r="R15" s="293">
        <f>IFERROR(IF(R$4="",0,IF($E15="kWh",VLOOKUP(R$4,'4. Billing Determinants'!$B$19:$R$41,4,0)/'4. Billing Determinants'!$E$41*$D15,IF($E15="kW",VLOOKUP(R$4,'4. Billing Determinants'!$B$19:$R$41,5,0)/'4. Billing Determinants'!$F$41*$D15,IF($E15="Non-RPP kWh",VLOOKUP(R$4,'4. Billing Determinants'!$B$19:$R$41,6,0)/'4. Billing Determinants'!$G$41*$D15, VLOOKUP(R$4,'4. Billing Determinants'!$B$19:$AA$41,23,0)*$D15)))),0)</f>
        <v>0</v>
      </c>
      <c r="S15" s="293">
        <f>IFERROR(IF(S$4="",0,IF($E15="kWh",VLOOKUP(S$4,'4. Billing Determinants'!$B$19:$R$41,4,0)/'4. Billing Determinants'!$E$41*$D15,IF($E15="kW",VLOOKUP(S$4,'4. Billing Determinants'!$B$19:$R$41,5,0)/'4. Billing Determinants'!$F$41*$D15,IF($E15="Non-RPP kWh",VLOOKUP(S$4,'4. Billing Determinants'!$B$19:$R$41,6,0)/'4. Billing Determinants'!$G$41*$D15, VLOOKUP(S$4,'4. Billing Determinants'!$B$19:$AA$41,23,0)*$D15)))),0)</f>
        <v>0</v>
      </c>
      <c r="T15" s="293">
        <f>IFERROR(IF(T$4="",0,IF($E15="kWh",VLOOKUP(T$4,'4. Billing Determinants'!$B$19:$R$41,4,0)/'4. Billing Determinants'!$E$41*$D15,IF($E15="kW",VLOOKUP(T$4,'4. Billing Determinants'!$B$19:$R$41,5,0)/'4. Billing Determinants'!$F$41*$D15,IF($E15="Non-RPP kWh",VLOOKUP(T$4,'4. Billing Determinants'!$B$19:$R$41,6,0)/'4. Billing Determinants'!$G$41*$D15, VLOOKUP(T$4,'4. Billing Determinants'!$B$19:$AA$41,23,0)*$D15)))),0)</f>
        <v>0</v>
      </c>
      <c r="U15" s="293">
        <f>IFERROR(IF(U$4="",0,IF($E15="kWh",VLOOKUP(U$4,'4. Billing Determinants'!$B$19:$R$41,4,0)/'4. Billing Determinants'!$E$41*$D15,IF($E15="kW",VLOOKUP(U$4,'4. Billing Determinants'!$B$19:$R$41,5,0)/'4. Billing Determinants'!$F$41*$D15,IF($E15="Non-RPP kWh",VLOOKUP(U$4,'4. Billing Determinants'!$B$19:$R$41,6,0)/'4. Billing Determinants'!$G$41*$D15, VLOOKUP(U$4,'4. Billing Determinants'!$B$19:$AA$41,23,0)*$D15)))),0)</f>
        <v>0</v>
      </c>
      <c r="V15" s="293">
        <f>IFERROR(IF(V$4="",0,IF($E15="kWh",VLOOKUP(V$4,'4. Billing Determinants'!$B$19:$R$41,4,0)/'4. Billing Determinants'!$E$41*$D15,IF($E15="kW",VLOOKUP(V$4,'4. Billing Determinants'!$B$19:$R$41,5,0)/'4. Billing Determinants'!$F$41*$D15,IF($E15="Non-RPP kWh",VLOOKUP(V$4,'4. Billing Determinants'!$B$19:$R$41,6,0)/'4. Billing Determinants'!$G$41*$D15, VLOOKUP(V$4,'4. Billing Determinants'!$B$19:$AA$41,23,0)*$D15)))),0)</f>
        <v>0</v>
      </c>
      <c r="W15" s="293">
        <f>IFERROR(IF(W$4="",0,IF($E15="kWh",VLOOKUP(W$4,'4. Billing Determinants'!$B$19:$R$41,4,0)/'4. Billing Determinants'!$E$41*$D15,IF($E15="kW",VLOOKUP(W$4,'4. Billing Determinants'!$B$19:$R$41,5,0)/'4. Billing Determinants'!$F$41*$D15,IF($E15="Non-RPP kWh",VLOOKUP(W$4,'4. Billing Determinants'!$B$19:$R$41,6,0)/'4. Billing Determinants'!$G$41*$D15, VLOOKUP(W$4,'4. Billing Determinants'!$B$19:$AA$41,23,0)*$D15)))),0)</f>
        <v>0</v>
      </c>
      <c r="X15" s="293">
        <f>IFERROR(IF(X$4="",0,IF($E15="kWh",VLOOKUP(X$4,'4. Billing Determinants'!$B$19:$R$41,4,0)/'4. Billing Determinants'!$E$41*$D15,IF($E15="kW",VLOOKUP(X$4,'4. Billing Determinants'!$B$19:$R$41,5,0)/'4. Billing Determinants'!$F$41*$D15,IF($E15="Non-RPP kWh",VLOOKUP(X$4,'4. Billing Determinants'!$B$19:$R$41,6,0)/'4. Billing Determinants'!$G$41*$D15, VLOOKUP(X$4,'4. Billing Determinants'!$B$19:$AA$41,23,0)*$D15)))),0)</f>
        <v>0</v>
      </c>
      <c r="Y15" s="293">
        <f>IFERROR(IF(Y$4="",0,IF($E15="kWh",VLOOKUP(Y$4,'4. Billing Determinants'!$B$19:$R$41,4,0)/'4. Billing Determinants'!$E$41*$D15,IF($E15="kW",VLOOKUP(Y$4,'4. Billing Determinants'!$B$19:$R$41,5,0)/'4. Billing Determinants'!$F$41*$D15,IF($E15="Non-RPP kWh",VLOOKUP(Y$4,'4. Billing Determinants'!$B$19:$R$41,6,0)/'4. Billing Determinants'!$G$41*$D15, VLOOKUP(Y$4,'4. Billing Determinants'!$B$19:$AA$41,23,0)*$D15)))),0)</f>
        <v>0</v>
      </c>
    </row>
    <row r="16" spans="1:27" x14ac:dyDescent="0.25">
      <c r="A16" s="122">
        <v>13</v>
      </c>
      <c r="B16" s="42" t="s">
        <v>3058</v>
      </c>
      <c r="C16" s="39">
        <v>1595</v>
      </c>
      <c r="D16" s="40">
        <f>'2a. Continuity Schedule'!BT37</f>
        <v>0</v>
      </c>
      <c r="E16" s="296" t="s">
        <v>146</v>
      </c>
      <c r="F16" s="293">
        <f>IFERROR(IF(F$4="",0,IF($E16="kWh",VLOOKUP(F$4,'4. Billing Determinants'!$B$19:$R$41,4,0)/'4. Billing Determinants'!$E$41*$D16,IF($E16="kW",VLOOKUP(F$4,'4. Billing Determinants'!$B$19:$R$41,5,0)/'4. Billing Determinants'!$F$41*$D16,IF($E16="Non-RPP kWh",VLOOKUP(F$4,'4. Billing Determinants'!$B$19:$R$41,6,0)/'4. Billing Determinants'!$G$41*$D16, VLOOKUP(F$4,'4. Billing Determinants'!$B$19:$AA$41,24,0)*$D16)))),0)</f>
        <v>0</v>
      </c>
      <c r="G16" s="293">
        <f>IFERROR(IF(G$4="",0,IF($E16="kWh",VLOOKUP(G$4,'4. Billing Determinants'!$B$19:$R$41,4,0)/'4. Billing Determinants'!$E$41*$D16,IF($E16="kW",VLOOKUP(G$4,'4. Billing Determinants'!$B$19:$R$41,5,0)/'4. Billing Determinants'!$F$41*$D16,IF($E16="Non-RPP kWh",VLOOKUP(G$4,'4. Billing Determinants'!$B$19:$R$41,6,0)/'4. Billing Determinants'!$G$41*$D16, VLOOKUP(G$4,'4. Billing Determinants'!$B$19:$AA$41,24,0)*$D16)))),0)</f>
        <v>0</v>
      </c>
      <c r="H16" s="293">
        <f>IFERROR(IF(H$4="",0,IF($E16="kWh",VLOOKUP(H$4,'4. Billing Determinants'!$B$19:$R$41,4,0)/'4. Billing Determinants'!$E$41*$D16,IF($E16="kW",VLOOKUP(H$4,'4. Billing Determinants'!$B$19:$R$41,5,0)/'4. Billing Determinants'!$F$41*$D16,IF($E16="Non-RPP kWh",VLOOKUP(H$4,'4. Billing Determinants'!$B$19:$R$41,6,0)/'4. Billing Determinants'!$G$41*$D16, VLOOKUP(H$4,'4. Billing Determinants'!$B$19:$AA$41,24,0)*$D16)))),0)</f>
        <v>0</v>
      </c>
      <c r="I16" s="293">
        <f>IFERROR(IF(I$4="",0,IF($E16="kWh",VLOOKUP(I$4,'4. Billing Determinants'!$B$19:$R$41,4,0)/'4. Billing Determinants'!$E$41*$D16,IF($E16="kW",VLOOKUP(I$4,'4. Billing Determinants'!$B$19:$R$41,5,0)/'4. Billing Determinants'!$F$41*$D16,IF($E16="Non-RPP kWh",VLOOKUP(I$4,'4. Billing Determinants'!$B$19:$R$41,6,0)/'4. Billing Determinants'!$G$41*$D16, VLOOKUP(I$4,'4. Billing Determinants'!$B$19:$AA$41,24,0)*$D16)))),0)</f>
        <v>0</v>
      </c>
      <c r="J16" s="293">
        <f>IFERROR(IF(J$4="",0,IF($E16="kWh",VLOOKUP(J$4,'4. Billing Determinants'!$B$19:$R$41,4,0)/'4. Billing Determinants'!$E$41*$D16,IF($E16="kW",VLOOKUP(J$4,'4. Billing Determinants'!$B$19:$R$41,5,0)/'4. Billing Determinants'!$F$41*$D16,IF($E16="Non-RPP kWh",VLOOKUP(J$4,'4. Billing Determinants'!$B$19:$R$41,6,0)/'4. Billing Determinants'!$G$41*$D16, VLOOKUP(J$4,'4. Billing Determinants'!$B$19:$AA$41,24,0)*$D16)))),0)</f>
        <v>0</v>
      </c>
      <c r="K16" s="293">
        <f>IFERROR(IF(K$4="",0,IF($E16="kWh",VLOOKUP(K$4,'4. Billing Determinants'!$B$19:$R$41,4,0)/'4. Billing Determinants'!$E$41*$D16,IF($E16="kW",VLOOKUP(K$4,'4. Billing Determinants'!$B$19:$R$41,5,0)/'4. Billing Determinants'!$F$41*$D16,IF($E16="Non-RPP kWh",VLOOKUP(K$4,'4. Billing Determinants'!$B$19:$R$41,6,0)/'4. Billing Determinants'!$G$41*$D16, VLOOKUP(K$4,'4. Billing Determinants'!$B$19:$AA$41,24,0)*$D16)))),0)</f>
        <v>0</v>
      </c>
      <c r="L16" s="293">
        <f>IFERROR(IF(L$4="",0,IF($E16="kWh",VLOOKUP(L$4,'4. Billing Determinants'!$B$19:$R$41,4,0)/'4. Billing Determinants'!$E$41*$D16,IF($E16="kW",VLOOKUP(L$4,'4. Billing Determinants'!$B$19:$R$41,5,0)/'4. Billing Determinants'!$F$41*$D16,IF($E16="Non-RPP kWh",VLOOKUP(L$4,'4. Billing Determinants'!$B$19:$R$41,6,0)/'4. Billing Determinants'!$G$41*$D16, VLOOKUP(L$4,'4. Billing Determinants'!$B$19:$AA$41,24,0)*$D16)))),0)</f>
        <v>0</v>
      </c>
      <c r="M16" s="293">
        <f>IFERROR(IF(M$4="",0,IF($E16="kWh",VLOOKUP(M$4,'4. Billing Determinants'!$B$19:$R$41,4,0)/'4. Billing Determinants'!$E$41*$D16,IF($E16="kW",VLOOKUP(M$4,'4. Billing Determinants'!$B$19:$R$41,5,0)/'4. Billing Determinants'!$F$41*$D16,IF($E16="Non-RPP kWh",VLOOKUP(M$4,'4. Billing Determinants'!$B$19:$R$41,6,0)/'4. Billing Determinants'!$G$41*$D16, VLOOKUP(M$4,'4. Billing Determinants'!$B$19:$AA$41,24,0)*$D16)))),0)</f>
        <v>0</v>
      </c>
      <c r="N16" s="293">
        <f>IFERROR(IF(N$4="",0,IF($E16="kWh",VLOOKUP(N$4,'4. Billing Determinants'!$B$19:$R$41,4,0)/'4. Billing Determinants'!$E$41*$D16,IF($E16="kW",VLOOKUP(N$4,'4. Billing Determinants'!$B$19:$R$41,5,0)/'4. Billing Determinants'!$F$41*$D16,IF($E16="Non-RPP kWh",VLOOKUP(N$4,'4. Billing Determinants'!$B$19:$R$41,6,0)/'4. Billing Determinants'!$G$41*$D16, VLOOKUP(N$4,'4. Billing Determinants'!$B$19:$AA$41,24,0)*$D16)))),0)</f>
        <v>0</v>
      </c>
      <c r="O16" s="293">
        <f>IFERROR(IF(O$4="",0,IF($E16="kWh",VLOOKUP(O$4,'4. Billing Determinants'!$B$19:$R$41,4,0)/'4. Billing Determinants'!$E$41*$D16,IF($E16="kW",VLOOKUP(O$4,'4. Billing Determinants'!$B$19:$R$41,5,0)/'4. Billing Determinants'!$F$41*$D16,IF($E16="Non-RPP kWh",VLOOKUP(O$4,'4. Billing Determinants'!$B$19:$R$41,6,0)/'4. Billing Determinants'!$G$41*$D16, VLOOKUP(O$4,'4. Billing Determinants'!$B$19:$AA$41,24,0)*$D16)))),0)</f>
        <v>0</v>
      </c>
      <c r="P16" s="293">
        <f>IFERROR(IF(P$4="",0,IF($E16="kWh",VLOOKUP(P$4,'4. Billing Determinants'!$B$19:$R$41,4,0)/'4. Billing Determinants'!$E$41*$D16,IF($E16="kW",VLOOKUP(P$4,'4. Billing Determinants'!$B$19:$R$41,5,0)/'4. Billing Determinants'!$F$41*$D16,IF($E16="Non-RPP kWh",VLOOKUP(P$4,'4. Billing Determinants'!$B$19:$R$41,6,0)/'4. Billing Determinants'!$G$41*$D16, VLOOKUP(P$4,'4. Billing Determinants'!$B$19:$AA$41,24,0)*$D16)))),0)</f>
        <v>0</v>
      </c>
      <c r="Q16" s="293">
        <f>IFERROR(IF(Q$4="",0,IF($E16="kWh",VLOOKUP(Q$4,'4. Billing Determinants'!$B$19:$R$41,4,0)/'4. Billing Determinants'!$E$41*$D16,IF($E16="kW",VLOOKUP(Q$4,'4. Billing Determinants'!$B$19:$R$41,5,0)/'4. Billing Determinants'!$F$41*$D16,IF($E16="Non-RPP kWh",VLOOKUP(Q$4,'4. Billing Determinants'!$B$19:$R$41,6,0)/'4. Billing Determinants'!$G$41*$D16, VLOOKUP(Q$4,'4. Billing Determinants'!$B$19:$AA$41,24,0)*$D16)))),0)</f>
        <v>0</v>
      </c>
      <c r="R16" s="293">
        <f>IFERROR(IF(R$4="",0,IF($E16="kWh",VLOOKUP(R$4,'4. Billing Determinants'!$B$19:$R$41,4,0)/'4. Billing Determinants'!$E$41*$D16,IF($E16="kW",VLOOKUP(R$4,'4. Billing Determinants'!$B$19:$R$41,5,0)/'4. Billing Determinants'!$F$41*$D16,IF($E16="Non-RPP kWh",VLOOKUP(R$4,'4. Billing Determinants'!$B$19:$R$41,6,0)/'4. Billing Determinants'!$G$41*$D16, VLOOKUP(R$4,'4. Billing Determinants'!$B$19:$AA$41,24,0)*$D16)))),0)</f>
        <v>0</v>
      </c>
      <c r="S16" s="293">
        <f>IFERROR(IF(S$4="",0,IF($E16="kWh",VLOOKUP(S$4,'4. Billing Determinants'!$B$19:$R$41,4,0)/'4. Billing Determinants'!$E$41*$D16,IF($E16="kW",VLOOKUP(S$4,'4. Billing Determinants'!$B$19:$R$41,5,0)/'4. Billing Determinants'!$F$41*$D16,IF($E16="Non-RPP kWh",VLOOKUP(S$4,'4. Billing Determinants'!$B$19:$R$41,6,0)/'4. Billing Determinants'!$G$41*$D16, VLOOKUP(S$4,'4. Billing Determinants'!$B$19:$AA$41,24,0)*$D16)))),0)</f>
        <v>0</v>
      </c>
      <c r="T16" s="293">
        <f>IFERROR(IF(T$4="",0,IF($E16="kWh",VLOOKUP(T$4,'4. Billing Determinants'!$B$19:$R$41,4,0)/'4. Billing Determinants'!$E$41*$D16,IF($E16="kW",VLOOKUP(T$4,'4. Billing Determinants'!$B$19:$R$41,5,0)/'4. Billing Determinants'!$F$41*$D16,IF($E16="Non-RPP kWh",VLOOKUP(T$4,'4. Billing Determinants'!$B$19:$R$41,6,0)/'4. Billing Determinants'!$G$41*$D16, VLOOKUP(T$4,'4. Billing Determinants'!$B$19:$AA$41,24,0)*$D16)))),0)</f>
        <v>0</v>
      </c>
      <c r="U16" s="293">
        <f>IFERROR(IF(U$4="",0,IF($E16="kWh",VLOOKUP(U$4,'4. Billing Determinants'!$B$19:$R$41,4,0)/'4. Billing Determinants'!$E$41*$D16,IF($E16="kW",VLOOKUP(U$4,'4. Billing Determinants'!$B$19:$R$41,5,0)/'4. Billing Determinants'!$F$41*$D16,IF($E16="Non-RPP kWh",VLOOKUP(U$4,'4. Billing Determinants'!$B$19:$R$41,6,0)/'4. Billing Determinants'!$G$41*$D16, VLOOKUP(U$4,'4. Billing Determinants'!$B$19:$AA$41,24,0)*$D16)))),0)</f>
        <v>0</v>
      </c>
      <c r="V16" s="293">
        <f>IFERROR(IF(V$4="",0,IF($E16="kWh",VLOOKUP(V$4,'4. Billing Determinants'!$B$19:$R$41,4,0)/'4. Billing Determinants'!$E$41*$D16,IF($E16="kW",VLOOKUP(V$4,'4. Billing Determinants'!$B$19:$R$41,5,0)/'4. Billing Determinants'!$F$41*$D16,IF($E16="Non-RPP kWh",VLOOKUP(V$4,'4. Billing Determinants'!$B$19:$R$41,6,0)/'4. Billing Determinants'!$G$41*$D16, VLOOKUP(V$4,'4. Billing Determinants'!$B$19:$AA$41,24,0)*$D16)))),0)</f>
        <v>0</v>
      </c>
      <c r="W16" s="293">
        <f>IFERROR(IF(W$4="",0,IF($E16="kWh",VLOOKUP(W$4,'4. Billing Determinants'!$B$19:$R$41,4,0)/'4. Billing Determinants'!$E$41*$D16,IF($E16="kW",VLOOKUP(W$4,'4. Billing Determinants'!$B$19:$R$41,5,0)/'4. Billing Determinants'!$F$41*$D16,IF($E16="Non-RPP kWh",VLOOKUP(W$4,'4. Billing Determinants'!$B$19:$R$41,6,0)/'4. Billing Determinants'!$G$41*$D16, VLOOKUP(W$4,'4. Billing Determinants'!$B$19:$AA$41,24,0)*$D16)))),0)</f>
        <v>0</v>
      </c>
      <c r="X16" s="293">
        <f>IFERROR(IF(X$4="",0,IF($E16="kWh",VLOOKUP(X$4,'4. Billing Determinants'!$B$19:$R$41,4,0)/'4. Billing Determinants'!$E$41*$D16,IF($E16="kW",VLOOKUP(X$4,'4. Billing Determinants'!$B$19:$R$41,5,0)/'4. Billing Determinants'!$F$41*$D16,IF($E16="Non-RPP kWh",VLOOKUP(X$4,'4. Billing Determinants'!$B$19:$R$41,6,0)/'4. Billing Determinants'!$G$41*$D16, VLOOKUP(X$4,'4. Billing Determinants'!$B$19:$AA$41,24,0)*$D16)))),0)</f>
        <v>0</v>
      </c>
      <c r="Y16" s="293">
        <f>IFERROR(IF(Y$4="",0,IF($E16="kWh",VLOOKUP(Y$4,'4. Billing Determinants'!$B$19:$R$41,4,0)/'4. Billing Determinants'!$E$41*$D16,IF($E16="kW",VLOOKUP(Y$4,'4. Billing Determinants'!$B$19:$R$41,5,0)/'4. Billing Determinants'!$F$41*$D16,IF($E16="Non-RPP kWh",VLOOKUP(Y$4,'4. Billing Determinants'!$B$19:$R$41,6,0)/'4. Billing Determinants'!$G$41*$D16, VLOOKUP(Y$4,'4. Billing Determinants'!$B$19:$AA$41,24,0)*$D16)))),0)</f>
        <v>0</v>
      </c>
    </row>
    <row r="17" spans="1:25" x14ac:dyDescent="0.25">
      <c r="A17" s="122">
        <v>14</v>
      </c>
      <c r="B17" s="42" t="s">
        <v>3063</v>
      </c>
      <c r="C17" s="39">
        <v>1595</v>
      </c>
      <c r="D17" s="40">
        <f>'2a. Continuity Schedule'!BT38</f>
        <v>0</v>
      </c>
      <c r="E17" s="296" t="s">
        <v>146</v>
      </c>
      <c r="F17" s="293">
        <f>IFERROR(IF(F$4="",0,IF($E17="kWh",VLOOKUP(F$4,'4. Billing Determinants'!$B$19:$R$41,4,0)/'4. Billing Determinants'!$E$41*$D17,IF($E17="kW",VLOOKUP(F$4,'4. Billing Determinants'!$B$19:$R$41,5,0)/'4. Billing Determinants'!$F$41*$D17,IF($E17="Non-RPP kWh",VLOOKUP(F$4,'4. Billing Determinants'!$B$19:$R$41,6,0)/'4. Billing Determinants'!$G$41*$D17, VLOOKUP(F$4,'4. Billing Determinants'!$B$19:$AA$41,25,0)*$D17)))),0)</f>
        <v>0</v>
      </c>
      <c r="G17" s="293">
        <f>IFERROR(IF(G$4="",0,IF($E17="kWh",VLOOKUP(G$4,'4. Billing Determinants'!$B$19:$R$41,4,0)/'4. Billing Determinants'!$E$41*$D17,IF($E17="kW",VLOOKUP(G$4,'4. Billing Determinants'!$B$19:$R$41,5,0)/'4. Billing Determinants'!$F$41*$D17,IF($E17="Non-RPP kWh",VLOOKUP(G$4,'4. Billing Determinants'!$B$19:$R$41,6,0)/'4. Billing Determinants'!$G$41*$D17, VLOOKUP(G$4,'4. Billing Determinants'!$B$19:$AA$41,25,0)*$D17)))),0)</f>
        <v>0</v>
      </c>
      <c r="H17" s="293">
        <f>IFERROR(IF(H$4="",0,IF($E17="kWh",VLOOKUP(H$4,'4. Billing Determinants'!$B$19:$R$41,4,0)/'4. Billing Determinants'!$E$41*$D17,IF($E17="kW",VLOOKUP(H$4,'4. Billing Determinants'!$B$19:$R$41,5,0)/'4. Billing Determinants'!$F$41*$D17,IF($E17="Non-RPP kWh",VLOOKUP(H$4,'4. Billing Determinants'!$B$19:$R$41,6,0)/'4. Billing Determinants'!$G$41*$D17, VLOOKUP(H$4,'4. Billing Determinants'!$B$19:$AA$41,25,0)*$D17)))),0)</f>
        <v>0</v>
      </c>
      <c r="I17" s="293">
        <f>IFERROR(IF(I$4="",0,IF($E17="kWh",VLOOKUP(I$4,'4. Billing Determinants'!$B$19:$R$41,4,0)/'4. Billing Determinants'!$E$41*$D17,IF($E17="kW",VLOOKUP(I$4,'4. Billing Determinants'!$B$19:$R$41,5,0)/'4. Billing Determinants'!$F$41*$D17,IF($E17="Non-RPP kWh",VLOOKUP(I$4,'4. Billing Determinants'!$B$19:$R$41,6,0)/'4. Billing Determinants'!$G$41*$D17, VLOOKUP(I$4,'4. Billing Determinants'!$B$19:$AA$41,25,0)*$D17)))),0)</f>
        <v>0</v>
      </c>
      <c r="J17" s="293">
        <f>IFERROR(IF(J$4="",0,IF($E17="kWh",VLOOKUP(J$4,'4. Billing Determinants'!$B$19:$R$41,4,0)/'4. Billing Determinants'!$E$41*$D17,IF($E17="kW",VLOOKUP(J$4,'4. Billing Determinants'!$B$19:$R$41,5,0)/'4. Billing Determinants'!$F$41*$D17,IF($E17="Non-RPP kWh",VLOOKUP(J$4,'4. Billing Determinants'!$B$19:$R$41,6,0)/'4. Billing Determinants'!$G$41*$D17, VLOOKUP(J$4,'4. Billing Determinants'!$B$19:$AA$41,25,0)*$D17)))),0)</f>
        <v>0</v>
      </c>
      <c r="K17" s="293">
        <f>IFERROR(IF(K$4="",0,IF($E17="kWh",VLOOKUP(K$4,'4. Billing Determinants'!$B$19:$R$41,4,0)/'4. Billing Determinants'!$E$41*$D17,IF($E17="kW",VLOOKUP(K$4,'4. Billing Determinants'!$B$19:$R$41,5,0)/'4. Billing Determinants'!$F$41*$D17,IF($E17="Non-RPP kWh",VLOOKUP(K$4,'4. Billing Determinants'!$B$19:$R$41,6,0)/'4. Billing Determinants'!$G$41*$D17, VLOOKUP(K$4,'4. Billing Determinants'!$B$19:$AA$41,25,0)*$D17)))),0)</f>
        <v>0</v>
      </c>
      <c r="L17" s="293">
        <f>IFERROR(IF(L$4="",0,IF($E17="kWh",VLOOKUP(L$4,'4. Billing Determinants'!$B$19:$R$41,4,0)/'4. Billing Determinants'!$E$41*$D17,IF($E17="kW",VLOOKUP(L$4,'4. Billing Determinants'!$B$19:$R$41,5,0)/'4. Billing Determinants'!$F$41*$D17,IF($E17="Non-RPP kWh",VLOOKUP(L$4,'4. Billing Determinants'!$B$19:$R$41,6,0)/'4. Billing Determinants'!$G$41*$D17, VLOOKUP(L$4,'4. Billing Determinants'!$B$19:$AA$41,25,0)*$D17)))),0)</f>
        <v>0</v>
      </c>
      <c r="M17" s="293">
        <f>IFERROR(IF(M$4="",0,IF($E17="kWh",VLOOKUP(M$4,'4. Billing Determinants'!$B$19:$R$41,4,0)/'4. Billing Determinants'!$E$41*$D17,IF($E17="kW",VLOOKUP(M$4,'4. Billing Determinants'!$B$19:$R$41,5,0)/'4. Billing Determinants'!$F$41*$D17,IF($E17="Non-RPP kWh",VLOOKUP(M$4,'4. Billing Determinants'!$B$19:$R$41,6,0)/'4. Billing Determinants'!$G$41*$D17, VLOOKUP(M$4,'4. Billing Determinants'!$B$19:$AA$41,25,0)*$D17)))),0)</f>
        <v>0</v>
      </c>
      <c r="N17" s="293">
        <f>IFERROR(IF(N$4="",0,IF($E17="kWh",VLOOKUP(N$4,'4. Billing Determinants'!$B$19:$R$41,4,0)/'4. Billing Determinants'!$E$41*$D17,IF($E17="kW",VLOOKUP(N$4,'4. Billing Determinants'!$B$19:$R$41,5,0)/'4. Billing Determinants'!$F$41*$D17,IF($E17="Non-RPP kWh",VLOOKUP(N$4,'4. Billing Determinants'!$B$19:$R$41,6,0)/'4. Billing Determinants'!$G$41*$D17, VLOOKUP(N$4,'4. Billing Determinants'!$B$19:$AA$41,25,0)*$D17)))),0)</f>
        <v>0</v>
      </c>
      <c r="O17" s="293">
        <f>IFERROR(IF(O$4="",0,IF($E17="kWh",VLOOKUP(O$4,'4. Billing Determinants'!$B$19:$R$41,4,0)/'4. Billing Determinants'!$E$41*$D17,IF($E17="kW",VLOOKUP(O$4,'4. Billing Determinants'!$B$19:$R$41,5,0)/'4. Billing Determinants'!$F$41*$D17,IF($E17="Non-RPP kWh",VLOOKUP(O$4,'4. Billing Determinants'!$B$19:$R$41,6,0)/'4. Billing Determinants'!$G$41*$D17, VLOOKUP(O$4,'4. Billing Determinants'!$B$19:$AA$41,25,0)*$D17)))),0)</f>
        <v>0</v>
      </c>
      <c r="P17" s="293">
        <f>IFERROR(IF(P$4="",0,IF($E17="kWh",VLOOKUP(P$4,'4. Billing Determinants'!$B$19:$R$41,4,0)/'4. Billing Determinants'!$E$41*$D17,IF($E17="kW",VLOOKUP(P$4,'4. Billing Determinants'!$B$19:$R$41,5,0)/'4. Billing Determinants'!$F$41*$D17,IF($E17="Non-RPP kWh",VLOOKUP(P$4,'4. Billing Determinants'!$B$19:$R$41,6,0)/'4. Billing Determinants'!$G$41*$D17, VLOOKUP(P$4,'4. Billing Determinants'!$B$19:$AA$41,25,0)*$D17)))),0)</f>
        <v>0</v>
      </c>
      <c r="Q17" s="293">
        <f>IFERROR(IF(Q$4="",0,IF($E17="kWh",VLOOKUP(Q$4,'4. Billing Determinants'!$B$19:$R$41,4,0)/'4. Billing Determinants'!$E$41*$D17,IF($E17="kW",VLOOKUP(Q$4,'4. Billing Determinants'!$B$19:$R$41,5,0)/'4. Billing Determinants'!$F$41*$D17,IF($E17="Non-RPP kWh",VLOOKUP(Q$4,'4. Billing Determinants'!$B$19:$R$41,6,0)/'4. Billing Determinants'!$G$41*$D17, VLOOKUP(Q$4,'4. Billing Determinants'!$B$19:$AA$41,25,0)*$D17)))),0)</f>
        <v>0</v>
      </c>
      <c r="R17" s="293">
        <f>IFERROR(IF(R$4="",0,IF($E17="kWh",VLOOKUP(R$4,'4. Billing Determinants'!$B$19:$R$41,4,0)/'4. Billing Determinants'!$E$41*$D17,IF($E17="kW",VLOOKUP(R$4,'4. Billing Determinants'!$B$19:$R$41,5,0)/'4. Billing Determinants'!$F$41*$D17,IF($E17="Non-RPP kWh",VLOOKUP(R$4,'4. Billing Determinants'!$B$19:$R$41,6,0)/'4. Billing Determinants'!$G$41*$D17, VLOOKUP(R$4,'4. Billing Determinants'!$B$19:$AA$41,25,0)*$D17)))),0)</f>
        <v>0</v>
      </c>
      <c r="S17" s="293">
        <f>IFERROR(IF(S$4="",0,IF($E17="kWh",VLOOKUP(S$4,'4. Billing Determinants'!$B$19:$R$41,4,0)/'4. Billing Determinants'!$E$41*$D17,IF($E17="kW",VLOOKUP(S$4,'4. Billing Determinants'!$B$19:$R$41,5,0)/'4. Billing Determinants'!$F$41*$D17,IF($E17="Non-RPP kWh",VLOOKUP(S$4,'4. Billing Determinants'!$B$19:$R$41,6,0)/'4. Billing Determinants'!$G$41*$D17, VLOOKUP(S$4,'4. Billing Determinants'!$B$19:$AA$41,25,0)*$D17)))),0)</f>
        <v>0</v>
      </c>
      <c r="T17" s="293">
        <f>IFERROR(IF(T$4="",0,IF($E17="kWh",VLOOKUP(T$4,'4. Billing Determinants'!$B$19:$R$41,4,0)/'4. Billing Determinants'!$E$41*$D17,IF($E17="kW",VLOOKUP(T$4,'4. Billing Determinants'!$B$19:$R$41,5,0)/'4. Billing Determinants'!$F$41*$D17,IF($E17="Non-RPP kWh",VLOOKUP(T$4,'4. Billing Determinants'!$B$19:$R$41,6,0)/'4. Billing Determinants'!$G$41*$D17, VLOOKUP(T$4,'4. Billing Determinants'!$B$19:$AA$41,25,0)*$D17)))),0)</f>
        <v>0</v>
      </c>
      <c r="U17" s="293">
        <f>IFERROR(IF(U$4="",0,IF($E17="kWh",VLOOKUP(U$4,'4. Billing Determinants'!$B$19:$R$41,4,0)/'4. Billing Determinants'!$E$41*$D17,IF($E17="kW",VLOOKUP(U$4,'4. Billing Determinants'!$B$19:$R$41,5,0)/'4. Billing Determinants'!$F$41*$D17,IF($E17="Non-RPP kWh",VLOOKUP(U$4,'4. Billing Determinants'!$B$19:$R$41,6,0)/'4. Billing Determinants'!$G$41*$D17, VLOOKUP(U$4,'4. Billing Determinants'!$B$19:$AA$41,25,0)*$D17)))),0)</f>
        <v>0</v>
      </c>
      <c r="V17" s="293">
        <f>IFERROR(IF(V$4="",0,IF($E17="kWh",VLOOKUP(V$4,'4. Billing Determinants'!$B$19:$R$41,4,0)/'4. Billing Determinants'!$E$41*$D17,IF($E17="kW",VLOOKUP(V$4,'4. Billing Determinants'!$B$19:$R$41,5,0)/'4. Billing Determinants'!$F$41*$D17,IF($E17="Non-RPP kWh",VLOOKUP(V$4,'4. Billing Determinants'!$B$19:$R$41,6,0)/'4. Billing Determinants'!$G$41*$D17, VLOOKUP(V$4,'4. Billing Determinants'!$B$19:$AA$41,25,0)*$D17)))),0)</f>
        <v>0</v>
      </c>
      <c r="W17" s="293">
        <f>IFERROR(IF(W$4="",0,IF($E17="kWh",VLOOKUP(W$4,'4. Billing Determinants'!$B$19:$R$41,4,0)/'4. Billing Determinants'!$E$41*$D17,IF($E17="kW",VLOOKUP(W$4,'4. Billing Determinants'!$B$19:$R$41,5,0)/'4. Billing Determinants'!$F$41*$D17,IF($E17="Non-RPP kWh",VLOOKUP(W$4,'4. Billing Determinants'!$B$19:$R$41,6,0)/'4. Billing Determinants'!$G$41*$D17, VLOOKUP(W$4,'4. Billing Determinants'!$B$19:$AA$41,25,0)*$D17)))),0)</f>
        <v>0</v>
      </c>
      <c r="X17" s="293">
        <f>IFERROR(IF(X$4="",0,IF($E17="kWh",VLOOKUP(X$4,'4. Billing Determinants'!$B$19:$R$41,4,0)/'4. Billing Determinants'!$E$41*$D17,IF($E17="kW",VLOOKUP(X$4,'4. Billing Determinants'!$B$19:$R$41,5,0)/'4. Billing Determinants'!$F$41*$D17,IF($E17="Non-RPP kWh",VLOOKUP(X$4,'4. Billing Determinants'!$B$19:$R$41,6,0)/'4. Billing Determinants'!$G$41*$D17, VLOOKUP(X$4,'4. Billing Determinants'!$B$19:$AA$41,25,0)*$D17)))),0)</f>
        <v>0</v>
      </c>
      <c r="Y17" s="293">
        <f>IFERROR(IF(Y$4="",0,IF($E17="kWh",VLOOKUP(Y$4,'4. Billing Determinants'!$B$19:$R$41,4,0)/'4. Billing Determinants'!$E$41*$D17,IF($E17="kW",VLOOKUP(Y$4,'4. Billing Determinants'!$B$19:$R$41,5,0)/'4. Billing Determinants'!$F$41*$D17,IF($E17="Non-RPP kWh",VLOOKUP(Y$4,'4. Billing Determinants'!$B$19:$R$41,6,0)/'4. Billing Determinants'!$G$41*$D17, VLOOKUP(Y$4,'4. Billing Determinants'!$B$19:$AA$41,25,0)*$D17)))),0)</f>
        <v>0</v>
      </c>
    </row>
    <row r="18" spans="1:25" x14ac:dyDescent="0.25">
      <c r="A18" s="122">
        <v>15</v>
      </c>
      <c r="B18" s="42" t="s">
        <v>3425</v>
      </c>
      <c r="C18" s="39">
        <v>1595</v>
      </c>
      <c r="D18" s="40">
        <f>'2a. Continuity Schedule'!BT39</f>
        <v>0</v>
      </c>
      <c r="E18" s="296" t="s">
        <v>146</v>
      </c>
      <c r="F18" s="293">
        <f>IFERROR(IF(F$4="",0,IF($E18="kWh",VLOOKUP(F$4,'4. Billing Determinants'!$B$19:$R$41,4,0)/'4. Billing Determinants'!$E$41*$D18,IF($E18="kW",VLOOKUP(F$4,'4. Billing Determinants'!$B$19:$R$41,5,0)/'4. Billing Determinants'!$F$41*$D18,IF($E18="Non-RPP kWh",VLOOKUP(F$4,'4. Billing Determinants'!$B$19:$R$41,6,0)/'4. Billing Determinants'!$G$41*$D18, VLOOKUP(F$4,'4. Billing Determinants'!$B$19:$AA$41,26,0)*$D18)))),0)</f>
        <v>0</v>
      </c>
      <c r="G18" s="293">
        <f>IFERROR(IF(G$4="",0,IF($E18="kWh",VLOOKUP(G$4,'4. Billing Determinants'!$B$19:$R$41,4,0)/'4. Billing Determinants'!$E$41*$D18,IF($E18="kW",VLOOKUP(G$4,'4. Billing Determinants'!$B$19:$R$41,5,0)/'4. Billing Determinants'!$F$41*$D18,IF($E18="Non-RPP kWh",VLOOKUP(G$4,'4. Billing Determinants'!$B$19:$R$41,6,0)/'4. Billing Determinants'!$G$41*$D18, VLOOKUP(G$4,'4. Billing Determinants'!$B$19:$AA$41,26,0)*$D18)))),0)</f>
        <v>0</v>
      </c>
      <c r="H18" s="293">
        <f>IFERROR(IF(H$4="",0,IF($E18="kWh",VLOOKUP(H$4,'4. Billing Determinants'!$B$19:$R$41,4,0)/'4. Billing Determinants'!$E$41*$D18,IF($E18="kW",VLOOKUP(H$4,'4. Billing Determinants'!$B$19:$R$41,5,0)/'4. Billing Determinants'!$F$41*$D18,IF($E18="Non-RPP kWh",VLOOKUP(H$4,'4. Billing Determinants'!$B$19:$R$41,6,0)/'4. Billing Determinants'!$G$41*$D18, VLOOKUP(H$4,'4. Billing Determinants'!$B$19:$AA$41,26,0)*$D18)))),0)</f>
        <v>0</v>
      </c>
      <c r="I18" s="293">
        <f>IFERROR(IF(I$4="",0,IF($E18="kWh",VLOOKUP(I$4,'4. Billing Determinants'!$B$19:$R$41,4,0)/'4. Billing Determinants'!$E$41*$D18,IF($E18="kW",VLOOKUP(I$4,'4. Billing Determinants'!$B$19:$R$41,5,0)/'4. Billing Determinants'!$F$41*$D18,IF($E18="Non-RPP kWh",VLOOKUP(I$4,'4. Billing Determinants'!$B$19:$R$41,6,0)/'4. Billing Determinants'!$G$41*$D18, VLOOKUP(I$4,'4. Billing Determinants'!$B$19:$AA$41,26,0)*$D18)))),0)</f>
        <v>0</v>
      </c>
      <c r="J18" s="293">
        <f>IFERROR(IF(J$4="",0,IF($E18="kWh",VLOOKUP(J$4,'4. Billing Determinants'!$B$19:$R$41,4,0)/'4. Billing Determinants'!$E$41*$D18,IF($E18="kW",VLOOKUP(J$4,'4. Billing Determinants'!$B$19:$R$41,5,0)/'4. Billing Determinants'!$F$41*$D18,IF($E18="Non-RPP kWh",VLOOKUP(J$4,'4. Billing Determinants'!$B$19:$R$41,6,0)/'4. Billing Determinants'!$G$41*$D18, VLOOKUP(J$4,'4. Billing Determinants'!$B$19:$AA$41,26,0)*$D18)))),0)</f>
        <v>0</v>
      </c>
      <c r="K18" s="293">
        <f>IFERROR(IF(K$4="",0,IF($E18="kWh",VLOOKUP(K$4,'4. Billing Determinants'!$B$19:$R$41,4,0)/'4. Billing Determinants'!$E$41*$D18,IF($E18="kW",VLOOKUP(K$4,'4. Billing Determinants'!$B$19:$R$41,5,0)/'4. Billing Determinants'!$F$41*$D18,IF($E18="Non-RPP kWh",VLOOKUP(K$4,'4. Billing Determinants'!$B$19:$R$41,6,0)/'4. Billing Determinants'!$G$41*$D18, VLOOKUP(K$4,'4. Billing Determinants'!$B$19:$AA$41,26,0)*$D18)))),0)</f>
        <v>0</v>
      </c>
      <c r="L18" s="293">
        <f>IFERROR(IF(L$4="",0,IF($E18="kWh",VLOOKUP(L$4,'4. Billing Determinants'!$B$19:$R$41,4,0)/'4. Billing Determinants'!$E$41*$D18,IF($E18="kW",VLOOKUP(L$4,'4. Billing Determinants'!$B$19:$R$41,5,0)/'4. Billing Determinants'!$F$41*$D18,IF($E18="Non-RPP kWh",VLOOKUP(L$4,'4. Billing Determinants'!$B$19:$R$41,6,0)/'4. Billing Determinants'!$G$41*$D18, VLOOKUP(L$4,'4. Billing Determinants'!$B$19:$AA$41,26,0)*$D18)))),0)</f>
        <v>0</v>
      </c>
      <c r="M18" s="293">
        <f>IFERROR(IF(M$4="",0,IF($E18="kWh",VLOOKUP(M$4,'4. Billing Determinants'!$B$19:$R$41,4,0)/'4. Billing Determinants'!$E$41*$D18,IF($E18="kW",VLOOKUP(M$4,'4. Billing Determinants'!$B$19:$R$41,5,0)/'4. Billing Determinants'!$F$41*$D18,IF($E18="Non-RPP kWh",VLOOKUP(M$4,'4. Billing Determinants'!$B$19:$R$41,6,0)/'4. Billing Determinants'!$G$41*$D18, VLOOKUP(M$4,'4. Billing Determinants'!$B$19:$AA$41,26,0)*$D18)))),0)</f>
        <v>0</v>
      </c>
      <c r="N18" s="293">
        <f>IFERROR(IF(N$4="",0,IF($E18="kWh",VLOOKUP(N$4,'4. Billing Determinants'!$B$19:$R$41,4,0)/'4. Billing Determinants'!$E$41*$D18,IF($E18="kW",VLOOKUP(N$4,'4. Billing Determinants'!$B$19:$R$41,5,0)/'4. Billing Determinants'!$F$41*$D18,IF($E18="Non-RPP kWh",VLOOKUP(N$4,'4. Billing Determinants'!$B$19:$R$41,6,0)/'4. Billing Determinants'!$G$41*$D18, VLOOKUP(N$4,'4. Billing Determinants'!$B$19:$AA$41,26,0)*$D18)))),0)</f>
        <v>0</v>
      </c>
      <c r="O18" s="293">
        <f>IFERROR(IF(O$4="",0,IF($E18="kWh",VLOOKUP(O$4,'4. Billing Determinants'!$B$19:$R$41,4,0)/'4. Billing Determinants'!$E$41*$D18,IF($E18="kW",VLOOKUP(O$4,'4. Billing Determinants'!$B$19:$R$41,5,0)/'4. Billing Determinants'!$F$41*$D18,IF($E18="Non-RPP kWh",VLOOKUP(O$4,'4. Billing Determinants'!$B$19:$R$41,6,0)/'4. Billing Determinants'!$G$41*$D18, VLOOKUP(O$4,'4. Billing Determinants'!$B$19:$AA$41,26,0)*$D18)))),0)</f>
        <v>0</v>
      </c>
      <c r="P18" s="293">
        <f>IFERROR(IF(P$4="",0,IF($E18="kWh",VLOOKUP(P$4,'4. Billing Determinants'!$B$19:$R$41,4,0)/'4. Billing Determinants'!$E$41*$D18,IF($E18="kW",VLOOKUP(P$4,'4. Billing Determinants'!$B$19:$R$41,5,0)/'4. Billing Determinants'!$F$41*$D18,IF($E18="Non-RPP kWh",VLOOKUP(P$4,'4. Billing Determinants'!$B$19:$R$41,6,0)/'4. Billing Determinants'!$G$41*$D18, VLOOKUP(P$4,'4. Billing Determinants'!$B$19:$AA$41,26,0)*$D18)))),0)</f>
        <v>0</v>
      </c>
      <c r="Q18" s="293">
        <f>IFERROR(IF(Q$4="",0,IF($E18="kWh",VLOOKUP(Q$4,'4. Billing Determinants'!$B$19:$R$41,4,0)/'4. Billing Determinants'!$E$41*$D18,IF($E18="kW",VLOOKUP(Q$4,'4. Billing Determinants'!$B$19:$R$41,5,0)/'4. Billing Determinants'!$F$41*$D18,IF($E18="Non-RPP kWh",VLOOKUP(Q$4,'4. Billing Determinants'!$B$19:$R$41,6,0)/'4. Billing Determinants'!$G$41*$D18, VLOOKUP(Q$4,'4. Billing Determinants'!$B$19:$AA$41,26,0)*$D18)))),0)</f>
        <v>0</v>
      </c>
      <c r="R18" s="293">
        <f>IFERROR(IF(R$4="",0,IF($E18="kWh",VLOOKUP(R$4,'4. Billing Determinants'!$B$19:$R$41,4,0)/'4. Billing Determinants'!$E$41*$D18,IF($E18="kW",VLOOKUP(R$4,'4. Billing Determinants'!$B$19:$R$41,5,0)/'4. Billing Determinants'!$F$41*$D18,IF($E18="Non-RPP kWh",VLOOKUP(R$4,'4. Billing Determinants'!$B$19:$R$41,6,0)/'4. Billing Determinants'!$G$41*$D18, VLOOKUP(R$4,'4. Billing Determinants'!$B$19:$AA$41,26,0)*$D18)))),0)</f>
        <v>0</v>
      </c>
      <c r="S18" s="293">
        <f>IFERROR(IF(S$4="",0,IF($E18="kWh",VLOOKUP(S$4,'4. Billing Determinants'!$B$19:$R$41,4,0)/'4. Billing Determinants'!$E$41*$D18,IF($E18="kW",VLOOKUP(S$4,'4. Billing Determinants'!$B$19:$R$41,5,0)/'4. Billing Determinants'!$F$41*$D18,IF($E18="Non-RPP kWh",VLOOKUP(S$4,'4. Billing Determinants'!$B$19:$R$41,6,0)/'4. Billing Determinants'!$G$41*$D18, VLOOKUP(S$4,'4. Billing Determinants'!$B$19:$AA$41,26,0)*$D18)))),0)</f>
        <v>0</v>
      </c>
      <c r="T18" s="293">
        <f>IFERROR(IF(T$4="",0,IF($E18="kWh",VLOOKUP(T$4,'4. Billing Determinants'!$B$19:$R$41,4,0)/'4. Billing Determinants'!$E$41*$D18,IF($E18="kW",VLOOKUP(T$4,'4. Billing Determinants'!$B$19:$R$41,5,0)/'4. Billing Determinants'!$F$41*$D18,IF($E18="Non-RPP kWh",VLOOKUP(T$4,'4. Billing Determinants'!$B$19:$R$41,6,0)/'4. Billing Determinants'!$G$41*$D18, VLOOKUP(T$4,'4. Billing Determinants'!$B$19:$AA$41,26,0)*$D18)))),0)</f>
        <v>0</v>
      </c>
      <c r="U18" s="293">
        <f>IFERROR(IF(U$4="",0,IF($E18="kWh",VLOOKUP(U$4,'4. Billing Determinants'!$B$19:$R$41,4,0)/'4. Billing Determinants'!$E$41*$D18,IF($E18="kW",VLOOKUP(U$4,'4. Billing Determinants'!$B$19:$R$41,5,0)/'4. Billing Determinants'!$F$41*$D18,IF($E18="Non-RPP kWh",VLOOKUP(U$4,'4. Billing Determinants'!$B$19:$R$41,6,0)/'4. Billing Determinants'!$G$41*$D18, VLOOKUP(U$4,'4. Billing Determinants'!$B$19:$AA$41,26,0)*$D18)))),0)</f>
        <v>0</v>
      </c>
      <c r="V18" s="293">
        <f>IFERROR(IF(V$4="",0,IF($E18="kWh",VLOOKUP(V$4,'4. Billing Determinants'!$B$19:$R$41,4,0)/'4. Billing Determinants'!$E$41*$D18,IF($E18="kW",VLOOKUP(V$4,'4. Billing Determinants'!$B$19:$R$41,5,0)/'4. Billing Determinants'!$F$41*$D18,IF($E18="Non-RPP kWh",VLOOKUP(V$4,'4. Billing Determinants'!$B$19:$R$41,6,0)/'4. Billing Determinants'!$G$41*$D18, VLOOKUP(V$4,'4. Billing Determinants'!$B$19:$AA$41,26,0)*$D18)))),0)</f>
        <v>0</v>
      </c>
      <c r="W18" s="293">
        <f>IFERROR(IF(W$4="",0,IF($E18="kWh",VLOOKUP(W$4,'4. Billing Determinants'!$B$19:$R$41,4,0)/'4. Billing Determinants'!$E$41*$D18,IF($E18="kW",VLOOKUP(W$4,'4. Billing Determinants'!$B$19:$R$41,5,0)/'4. Billing Determinants'!$F$41*$D18,IF($E18="Non-RPP kWh",VLOOKUP(W$4,'4. Billing Determinants'!$B$19:$R$41,6,0)/'4. Billing Determinants'!$G$41*$D18, VLOOKUP(W$4,'4. Billing Determinants'!$B$19:$AA$41,26,0)*$D18)))),0)</f>
        <v>0</v>
      </c>
      <c r="X18" s="293">
        <f>IFERROR(IF(X$4="",0,IF($E18="kWh",VLOOKUP(X$4,'4. Billing Determinants'!$B$19:$R$41,4,0)/'4. Billing Determinants'!$E$41*$D18,IF($E18="kW",VLOOKUP(X$4,'4. Billing Determinants'!$B$19:$R$41,5,0)/'4. Billing Determinants'!$F$41*$D18,IF($E18="Non-RPP kWh",VLOOKUP(X$4,'4. Billing Determinants'!$B$19:$R$41,6,0)/'4. Billing Determinants'!$G$41*$D18, VLOOKUP(X$4,'4. Billing Determinants'!$B$19:$AA$41,26,0)*$D18)))),0)</f>
        <v>0</v>
      </c>
      <c r="Y18" s="293">
        <f>IFERROR(IF(Y$4="",0,IF($E18="kWh",VLOOKUP(Y$4,'4. Billing Determinants'!$B$19:$R$41,4,0)/'4. Billing Determinants'!$E$41*$D18,IF($E18="kW",VLOOKUP(Y$4,'4. Billing Determinants'!$B$19:$R$41,5,0)/'4. Billing Determinants'!$F$41*$D18,IF($E18="Non-RPP kWh",VLOOKUP(Y$4,'4. Billing Determinants'!$B$19:$R$41,6,0)/'4. Billing Determinants'!$G$41*$D18, VLOOKUP(Y$4,'4. Billing Determinants'!$B$19:$AA$41,26,0)*$D18)))),0)</f>
        <v>0</v>
      </c>
    </row>
    <row r="19" spans="1:25" x14ac:dyDescent="0.25">
      <c r="B19" s="42" t="s">
        <v>3683</v>
      </c>
      <c r="C19" s="39">
        <v>1595</v>
      </c>
      <c r="D19" s="40">
        <f>'2a. Continuity Schedule'!BT40</f>
        <v>0</v>
      </c>
      <c r="E19" s="296" t="s">
        <v>146</v>
      </c>
      <c r="F19" s="293">
        <f>IFERROR(IF(F$4="",0,IF($E19="kWh",VLOOKUP(F$4,'4. Billing Determinants'!$B$19:$R$41,4,0)/'4. Billing Determinants'!$E$41*$D19,IF($E19="kW",VLOOKUP(F$4,'4. Billing Determinants'!$B$19:$R$41,5,0)/'4. Billing Determinants'!$F$41*$D19,IF($E19="Non-RPP kWh",VLOOKUP(F$4,'4. Billing Determinants'!$B$19:$R$41,6,0)/'4. Billing Determinants'!$G$41*$D19, VLOOKUP(F$4,'4. Billing Determinants'!$B$19:$AB$41,27,0)*$D19)))),0)</f>
        <v>0</v>
      </c>
      <c r="G19" s="293">
        <f>IFERROR(IF(G$4="",0,IF($E19="kWh",VLOOKUP(G$4,'4. Billing Determinants'!$B$19:$R$41,4,0)/'4. Billing Determinants'!$E$41*$D19,IF($E19="kW",VLOOKUP(G$4,'4. Billing Determinants'!$B$19:$R$41,5,0)/'4. Billing Determinants'!$F$41*$D19,IF($E19="Non-RPP kWh",VLOOKUP(G$4,'4. Billing Determinants'!$B$19:$R$41,6,0)/'4. Billing Determinants'!$G$41*$D19, VLOOKUP(G$4,'4. Billing Determinants'!$B$19:$AB$41,27,0)*$D19)))),0)</f>
        <v>0</v>
      </c>
      <c r="H19" s="293">
        <f>IFERROR(IF(H$4="",0,IF($E19="kWh",VLOOKUP(H$4,'4. Billing Determinants'!$B$19:$R$41,4,0)/'4. Billing Determinants'!$E$41*$D19,IF($E19="kW",VLOOKUP(H$4,'4. Billing Determinants'!$B$19:$R$41,5,0)/'4. Billing Determinants'!$F$41*$D19,IF($E19="Non-RPP kWh",VLOOKUP(H$4,'4. Billing Determinants'!$B$19:$R$41,6,0)/'4. Billing Determinants'!$G$41*$D19, VLOOKUP(H$4,'4. Billing Determinants'!$B$19:$AB$41,27,0)*$D19)))),0)</f>
        <v>0</v>
      </c>
      <c r="I19" s="293">
        <f>IFERROR(IF(I$4="",0,IF($E19="kWh",VLOOKUP(I$4,'4. Billing Determinants'!$B$19:$R$41,4,0)/'4. Billing Determinants'!$E$41*$D19,IF($E19="kW",VLOOKUP(I$4,'4. Billing Determinants'!$B$19:$R$41,5,0)/'4. Billing Determinants'!$F$41*$D19,IF($E19="Non-RPP kWh",VLOOKUP(I$4,'4. Billing Determinants'!$B$19:$R$41,6,0)/'4. Billing Determinants'!$G$41*$D19, VLOOKUP(I$4,'4. Billing Determinants'!$B$19:$AB$41,27,0)*$D19)))),0)</f>
        <v>0</v>
      </c>
      <c r="J19" s="293">
        <f>IFERROR(IF(J$4="",0,IF($E19="kWh",VLOOKUP(J$4,'4. Billing Determinants'!$B$19:$R$41,4,0)/'4. Billing Determinants'!$E$41*$D19,IF($E19="kW",VLOOKUP(J$4,'4. Billing Determinants'!$B$19:$R$41,5,0)/'4. Billing Determinants'!$F$41*$D19,IF($E19="Non-RPP kWh",VLOOKUP(J$4,'4. Billing Determinants'!$B$19:$R$41,6,0)/'4. Billing Determinants'!$G$41*$D19, VLOOKUP(J$4,'4. Billing Determinants'!$B$19:$AB$41,27,0)*$D19)))),0)</f>
        <v>0</v>
      </c>
      <c r="K19" s="293">
        <f>IFERROR(IF(K$4="",0,IF($E19="kWh",VLOOKUP(K$4,'4. Billing Determinants'!$B$19:$R$41,4,0)/'4. Billing Determinants'!$E$41*$D19,IF($E19="kW",VLOOKUP(K$4,'4. Billing Determinants'!$B$19:$R$41,5,0)/'4. Billing Determinants'!$F$41*$D19,IF($E19="Non-RPP kWh",VLOOKUP(K$4,'4. Billing Determinants'!$B$19:$R$41,6,0)/'4. Billing Determinants'!$G$41*$D19, VLOOKUP(K$4,'4. Billing Determinants'!$B$19:$AB$41,27,0)*$D19)))),0)</f>
        <v>0</v>
      </c>
      <c r="L19" s="293">
        <f>IFERROR(IF(L$4="",0,IF($E19="kWh",VLOOKUP(L$4,'4. Billing Determinants'!$B$19:$R$41,4,0)/'4. Billing Determinants'!$E$41*$D19,IF($E19="kW",VLOOKUP(L$4,'4. Billing Determinants'!$B$19:$R$41,5,0)/'4. Billing Determinants'!$F$41*$D19,IF($E19="Non-RPP kWh",VLOOKUP(L$4,'4. Billing Determinants'!$B$19:$R$41,6,0)/'4. Billing Determinants'!$G$41*$D19, VLOOKUP(L$4,'4. Billing Determinants'!$B$19:$AB$41,27,0)*$D19)))),0)</f>
        <v>0</v>
      </c>
      <c r="M19" s="293">
        <f>IFERROR(IF(M$4="",0,IF($E19="kWh",VLOOKUP(M$4,'4. Billing Determinants'!$B$19:$R$41,4,0)/'4. Billing Determinants'!$E$41*$D19,IF($E19="kW",VLOOKUP(M$4,'4. Billing Determinants'!$B$19:$R$41,5,0)/'4. Billing Determinants'!$F$41*$D19,IF($E19="Non-RPP kWh",VLOOKUP(M$4,'4. Billing Determinants'!$B$19:$R$41,6,0)/'4. Billing Determinants'!$G$41*$D19, VLOOKUP(M$4,'4. Billing Determinants'!$B$19:$AB$41,27,0)*$D19)))),0)</f>
        <v>0</v>
      </c>
      <c r="N19" s="293">
        <f>IFERROR(IF(N$4="",0,IF($E19="kWh",VLOOKUP(N$4,'4. Billing Determinants'!$B$19:$R$41,4,0)/'4. Billing Determinants'!$E$41*$D19,IF($E19="kW",VLOOKUP(N$4,'4. Billing Determinants'!$B$19:$R$41,5,0)/'4. Billing Determinants'!$F$41*$D19,IF($E19="Non-RPP kWh",VLOOKUP(N$4,'4. Billing Determinants'!$B$19:$R$41,6,0)/'4. Billing Determinants'!$G$41*$D19, VLOOKUP(N$4,'4. Billing Determinants'!$B$19:$AB$41,27,0)*$D19)))),0)</f>
        <v>0</v>
      </c>
      <c r="O19" s="293">
        <f>IFERROR(IF(O$4="",0,IF($E19="kWh",VLOOKUP(O$4,'4. Billing Determinants'!$B$19:$R$41,4,0)/'4. Billing Determinants'!$E$41*$D19,IF($E19="kW",VLOOKUP(O$4,'4. Billing Determinants'!$B$19:$R$41,5,0)/'4. Billing Determinants'!$F$41*$D19,IF($E19="Non-RPP kWh",VLOOKUP(O$4,'4. Billing Determinants'!$B$19:$R$41,6,0)/'4. Billing Determinants'!$G$41*$D19, VLOOKUP(O$4,'4. Billing Determinants'!$B$19:$AB$41,27,0)*$D19)))),0)</f>
        <v>0</v>
      </c>
      <c r="P19" s="293">
        <f>IFERROR(IF(P$4="",0,IF($E19="kWh",VLOOKUP(P$4,'4. Billing Determinants'!$B$19:$R$41,4,0)/'4. Billing Determinants'!$E$41*$D19,IF($E19="kW",VLOOKUP(P$4,'4. Billing Determinants'!$B$19:$R$41,5,0)/'4. Billing Determinants'!$F$41*$D19,IF($E19="Non-RPP kWh",VLOOKUP(P$4,'4. Billing Determinants'!$B$19:$R$41,6,0)/'4. Billing Determinants'!$G$41*$D19, VLOOKUP(P$4,'4. Billing Determinants'!$B$19:$AB$41,27,0)*$D19)))),0)</f>
        <v>0</v>
      </c>
      <c r="Q19" s="293">
        <f>IFERROR(IF(Q$4="",0,IF($E19="kWh",VLOOKUP(Q$4,'4. Billing Determinants'!$B$19:$R$41,4,0)/'4. Billing Determinants'!$E$41*$D19,IF($E19="kW",VLOOKUP(Q$4,'4. Billing Determinants'!$B$19:$R$41,5,0)/'4. Billing Determinants'!$F$41*$D19,IF($E19="Non-RPP kWh",VLOOKUP(Q$4,'4. Billing Determinants'!$B$19:$R$41,6,0)/'4. Billing Determinants'!$G$41*$D19, VLOOKUP(Q$4,'4. Billing Determinants'!$B$19:$AB$41,27,0)*$D19)))),0)</f>
        <v>0</v>
      </c>
      <c r="R19" s="293">
        <f>IFERROR(IF(R$4="",0,IF($E19="kWh",VLOOKUP(R$4,'4. Billing Determinants'!$B$19:$R$41,4,0)/'4. Billing Determinants'!$E$41*$D19,IF($E19="kW",VLOOKUP(R$4,'4. Billing Determinants'!$B$19:$R$41,5,0)/'4. Billing Determinants'!$F$41*$D19,IF($E19="Non-RPP kWh",VLOOKUP(R$4,'4. Billing Determinants'!$B$19:$R$41,6,0)/'4. Billing Determinants'!$G$41*$D19, VLOOKUP(R$4,'4. Billing Determinants'!$B$19:$AB$41,27,0)*$D19)))),0)</f>
        <v>0</v>
      </c>
      <c r="S19" s="293">
        <f>IFERROR(IF(S$4="",0,IF($E19="kWh",VLOOKUP(S$4,'4. Billing Determinants'!$B$19:$R$41,4,0)/'4. Billing Determinants'!$E$41*$D19,IF($E19="kW",VLOOKUP(S$4,'4. Billing Determinants'!$B$19:$R$41,5,0)/'4. Billing Determinants'!$F$41*$D19,IF($E19="Non-RPP kWh",VLOOKUP(S$4,'4. Billing Determinants'!$B$19:$R$41,6,0)/'4. Billing Determinants'!$G$41*$D19, VLOOKUP(S$4,'4. Billing Determinants'!$B$19:$AB$41,27,0)*$D19)))),0)</f>
        <v>0</v>
      </c>
      <c r="T19" s="293">
        <f>IFERROR(IF(T$4="",0,IF($E19="kWh",VLOOKUP(T$4,'4. Billing Determinants'!$B$19:$R$41,4,0)/'4. Billing Determinants'!$E$41*$D19,IF($E19="kW",VLOOKUP(T$4,'4. Billing Determinants'!$B$19:$R$41,5,0)/'4. Billing Determinants'!$F$41*$D19,IF($E19="Non-RPP kWh",VLOOKUP(T$4,'4. Billing Determinants'!$B$19:$R$41,6,0)/'4. Billing Determinants'!$G$41*$D19, VLOOKUP(T$4,'4. Billing Determinants'!$B$19:$AB$41,27,0)*$D19)))),0)</f>
        <v>0</v>
      </c>
      <c r="U19" s="293">
        <f>IFERROR(IF(U$4="",0,IF($E19="kWh",VLOOKUP(U$4,'4. Billing Determinants'!$B$19:$R$41,4,0)/'4. Billing Determinants'!$E$41*$D19,IF($E19="kW",VLOOKUP(U$4,'4. Billing Determinants'!$B$19:$R$41,5,0)/'4. Billing Determinants'!$F$41*$D19,IF($E19="Non-RPP kWh",VLOOKUP(U$4,'4. Billing Determinants'!$B$19:$R$41,6,0)/'4. Billing Determinants'!$G$41*$D19, VLOOKUP(U$4,'4. Billing Determinants'!$B$19:$AB$41,27,0)*$D19)))),0)</f>
        <v>0</v>
      </c>
      <c r="V19" s="293">
        <f>IFERROR(IF(V$4="",0,IF($E19="kWh",VLOOKUP(V$4,'4. Billing Determinants'!$B$19:$R$41,4,0)/'4. Billing Determinants'!$E$41*$D19,IF($E19="kW",VLOOKUP(V$4,'4. Billing Determinants'!$B$19:$R$41,5,0)/'4. Billing Determinants'!$F$41*$D19,IF($E19="Non-RPP kWh",VLOOKUP(V$4,'4. Billing Determinants'!$B$19:$R$41,6,0)/'4. Billing Determinants'!$G$41*$D19, VLOOKUP(V$4,'4. Billing Determinants'!$B$19:$AB$41,27,0)*$D19)))),0)</f>
        <v>0</v>
      </c>
      <c r="W19" s="293">
        <f>IFERROR(IF(W$4="",0,IF($E19="kWh",VLOOKUP(W$4,'4. Billing Determinants'!$B$19:$R$41,4,0)/'4. Billing Determinants'!$E$41*$D19,IF($E19="kW",VLOOKUP(W$4,'4. Billing Determinants'!$B$19:$R$41,5,0)/'4. Billing Determinants'!$F$41*$D19,IF($E19="Non-RPP kWh",VLOOKUP(W$4,'4. Billing Determinants'!$B$19:$R$41,6,0)/'4. Billing Determinants'!$G$41*$D19, VLOOKUP(W$4,'4. Billing Determinants'!$B$19:$AB$41,27,0)*$D19)))),0)</f>
        <v>0</v>
      </c>
      <c r="X19" s="293">
        <f>IFERROR(IF(X$4="",0,IF($E19="kWh",VLOOKUP(X$4,'4. Billing Determinants'!$B$19:$R$41,4,0)/'4. Billing Determinants'!$E$41*$D19,IF($E19="kW",VLOOKUP(X$4,'4. Billing Determinants'!$B$19:$R$41,5,0)/'4. Billing Determinants'!$F$41*$D19,IF($E19="Non-RPP kWh",VLOOKUP(X$4,'4. Billing Determinants'!$B$19:$R$41,6,0)/'4. Billing Determinants'!$G$41*$D19, VLOOKUP(X$4,'4. Billing Determinants'!$B$19:$AB$41,27,0)*$D19)))),0)</f>
        <v>0</v>
      </c>
      <c r="Y19" s="293">
        <f>IFERROR(IF(Y$4="",0,IF($E19="kWh",VLOOKUP(Y$4,'4. Billing Determinants'!$B$19:$R$41,4,0)/'4. Billing Determinants'!$E$41*$D19,IF($E19="kW",VLOOKUP(Y$4,'4. Billing Determinants'!$B$19:$R$41,5,0)/'4. Billing Determinants'!$F$41*$D19,IF($E19="Non-RPP kWh",VLOOKUP(Y$4,'4. Billing Determinants'!$B$19:$R$41,6,0)/'4. Billing Determinants'!$G$41*$D19, VLOOKUP(Y$4,'4. Billing Determinants'!$B$19:$AB$41,27,0)*$D19)))),0)</f>
        <v>0</v>
      </c>
    </row>
    <row r="20" spans="1:25" s="2" customFormat="1" ht="13" x14ac:dyDescent="0.3">
      <c r="A20" s="278">
        <v>16</v>
      </c>
      <c r="B20" s="375" t="s">
        <v>3054</v>
      </c>
      <c r="C20" s="375"/>
      <c r="D20" s="376">
        <f>SUM(D5:D19)-D11</f>
        <v>57374232.21346467</v>
      </c>
      <c r="E20" s="545"/>
      <c r="F20" s="376">
        <f>SUM(F5:F19)-F11</f>
        <v>11060431.280162722</v>
      </c>
      <c r="G20" s="376">
        <f>SUM(G5:G19)-G11</f>
        <v>-519855.42814010696</v>
      </c>
      <c r="H20" s="376">
        <f>SUM(H5:H19)-H11</f>
        <v>5895184.9043287635</v>
      </c>
      <c r="I20" s="376">
        <f t="shared" ref="I20:X20" si="0">SUM(I5:I19)-I11</f>
        <v>24382747.512011416</v>
      </c>
      <c r="J20" s="376">
        <f t="shared" si="0"/>
        <v>10272899.629625324</v>
      </c>
      <c r="K20" s="376">
        <f t="shared" si="0"/>
        <v>4474288.8222709801</v>
      </c>
      <c r="L20" s="376">
        <f t="shared" si="0"/>
        <v>303366.15171869996</v>
      </c>
      <c r="M20" s="376">
        <f t="shared" si="0"/>
        <v>108015.25532432314</v>
      </c>
      <c r="N20" s="376">
        <f t="shared" si="0"/>
        <v>0</v>
      </c>
      <c r="O20" s="376">
        <f t="shared" si="0"/>
        <v>0</v>
      </c>
      <c r="P20" s="376">
        <f t="shared" si="0"/>
        <v>0</v>
      </c>
      <c r="Q20" s="376">
        <f t="shared" si="0"/>
        <v>0</v>
      </c>
      <c r="R20" s="376">
        <f t="shared" si="0"/>
        <v>0</v>
      </c>
      <c r="S20" s="376">
        <f t="shared" si="0"/>
        <v>0</v>
      </c>
      <c r="T20" s="376">
        <f t="shared" si="0"/>
        <v>0</v>
      </c>
      <c r="U20" s="376">
        <f t="shared" si="0"/>
        <v>0</v>
      </c>
      <c r="V20" s="376">
        <f t="shared" si="0"/>
        <v>0</v>
      </c>
      <c r="W20" s="376">
        <f t="shared" si="0"/>
        <v>0</v>
      </c>
      <c r="X20" s="376">
        <f t="shared" si="0"/>
        <v>0</v>
      </c>
      <c r="Y20" s="376">
        <f>SUM(Y5:Y19)-Y11</f>
        <v>0</v>
      </c>
    </row>
    <row r="21" spans="1:25" ht="8.25" customHeight="1" x14ac:dyDescent="0.3">
      <c r="A21" s="122">
        <v>17</v>
      </c>
      <c r="B21" s="43"/>
      <c r="C21" s="43"/>
      <c r="D21" s="546"/>
      <c r="E21" s="547"/>
    </row>
    <row r="22" spans="1:25" x14ac:dyDescent="0.25">
      <c r="A22" s="122">
        <v>18</v>
      </c>
      <c r="B22" s="38" t="s">
        <v>3067</v>
      </c>
      <c r="C22" s="39">
        <v>1508</v>
      </c>
      <c r="D22" s="40">
        <f>'2b. Continuity Schedule'!BT48</f>
        <v>0</v>
      </c>
      <c r="E22" s="61" t="s">
        <v>139</v>
      </c>
      <c r="F22" s="40">
        <f>IFERROR(IF(F$4="",0,IF($E22="kWh",VLOOKUP(F$4,'4. Billing Determinants'!$B$19:$R$41,4,0)/'4. Billing Determinants'!$E$41*$D22,IF($E22="kW",VLOOKUP(F$4,'4. Billing Determinants'!$B$19:$R$41,5,0)/'4. Billing Determinants'!$F$41*$D22,IF($E22="Non-RPP kWh",VLOOKUP(F$4,'4. Billing Determinants'!$B$19:$R$41,6,0)/'4. Billing Determinants'!$G$41*$D22,IF($E22="Distribution Rev.",VLOOKUP(F$4,'4. Billing Determinants'!$B$19:$R$41,8,0)/'4. Billing Determinants'!$I$41*$D22, VLOOKUP(F$4,'4. Billing Determinants'!$B$19:$R$41,3,0)/'4. Billing Determinants'!$D$41*$D22))))),0)</f>
        <v>0</v>
      </c>
      <c r="G22" s="40">
        <f>IFERROR(IF(G$4="",0,IF($E22="kWh",VLOOKUP(G$4,'4. Billing Determinants'!$B$19:$R$41,4,0)/'4. Billing Determinants'!$E$41*$D22,IF($E22="kW",VLOOKUP(G$4,'4. Billing Determinants'!$B$19:$R$41,5,0)/'4. Billing Determinants'!$F$41*$D22,IF($E22="Non-RPP kWh",VLOOKUP(G$4,'4. Billing Determinants'!$B$19:$R$41,6,0)/'4. Billing Determinants'!$G$41*$D22,IF($E22="Distribution Rev.",VLOOKUP(G$4,'4. Billing Determinants'!$B$19:$R$41,8,0)/'4. Billing Determinants'!$I$41*$D22, VLOOKUP(G$4,'4. Billing Determinants'!$B$19:$R$41,3,0)/'4. Billing Determinants'!$D$41*$D22))))),0)</f>
        <v>0</v>
      </c>
      <c r="H22" s="40">
        <f>IFERROR(IF(H$4="",0,IF($E22="kWh",VLOOKUP(H$4,'4. Billing Determinants'!$B$19:$R$41,4,0)/'4. Billing Determinants'!$E$41*$D22,IF($E22="kW",VLOOKUP(H$4,'4. Billing Determinants'!$B$19:$R$41,5,0)/'4. Billing Determinants'!$F$41*$D22,IF($E22="Non-RPP kWh",VLOOKUP(H$4,'4. Billing Determinants'!$B$19:$R$41,6,0)/'4. Billing Determinants'!$G$41*$D22,IF($E22="Distribution Rev.",VLOOKUP(H$4,'4. Billing Determinants'!$B$19:$R$41,8,0)/'4. Billing Determinants'!$I$41*$D22, VLOOKUP(H$4,'4. Billing Determinants'!$B$19:$R$41,3,0)/'4. Billing Determinants'!$D$41*$D22))))),0)</f>
        <v>0</v>
      </c>
      <c r="I22" s="40">
        <f>IFERROR(IF(I$4="",0,IF($E22="kWh",VLOOKUP(I$4,'4. Billing Determinants'!$B$19:$R$41,4,0)/'4. Billing Determinants'!$E$41*$D22,IF($E22="kW",VLOOKUP(I$4,'4. Billing Determinants'!$B$19:$R$41,5,0)/'4. Billing Determinants'!$F$41*$D22,IF($E22="Non-RPP kWh",VLOOKUP(I$4,'4. Billing Determinants'!$B$19:$R$41,6,0)/'4. Billing Determinants'!$G$41*$D22,IF($E22="Distribution Rev.",VLOOKUP(I$4,'4. Billing Determinants'!$B$19:$R$41,8,0)/'4. Billing Determinants'!$I$41*$D22, VLOOKUP(I$4,'4. Billing Determinants'!$B$19:$R$41,3,0)/'4. Billing Determinants'!$D$41*$D22))))),0)</f>
        <v>0</v>
      </c>
      <c r="J22" s="40">
        <f>IFERROR(IF(J$4="",0,IF($E22="kWh",VLOOKUP(J$4,'4. Billing Determinants'!$B$19:$R$41,4,0)/'4. Billing Determinants'!$E$41*$D22,IF($E22="kW",VLOOKUP(J$4,'4. Billing Determinants'!$B$19:$R$41,5,0)/'4. Billing Determinants'!$F$41*$D22,IF($E22="Non-RPP kWh",VLOOKUP(J$4,'4. Billing Determinants'!$B$19:$R$41,6,0)/'4. Billing Determinants'!$G$41*$D22,IF($E22="Distribution Rev.",VLOOKUP(J$4,'4. Billing Determinants'!$B$19:$R$41,8,0)/'4. Billing Determinants'!$I$41*$D22, VLOOKUP(J$4,'4. Billing Determinants'!$B$19:$R$41,3,0)/'4. Billing Determinants'!$D$41*$D22))))),0)</f>
        <v>0</v>
      </c>
      <c r="K22" s="40">
        <f>IFERROR(IF(K$4="",0,IF($E22="kWh",VLOOKUP(K$4,'4. Billing Determinants'!$B$19:$R$41,4,0)/'4. Billing Determinants'!$E$41*$D22,IF($E22="kW",VLOOKUP(K$4,'4. Billing Determinants'!$B$19:$R$41,5,0)/'4. Billing Determinants'!$F$41*$D22,IF($E22="Non-RPP kWh",VLOOKUP(K$4,'4. Billing Determinants'!$B$19:$R$41,6,0)/'4. Billing Determinants'!$G$41*$D22,IF($E22="Distribution Rev.",VLOOKUP(K$4,'4. Billing Determinants'!$B$19:$R$41,8,0)/'4. Billing Determinants'!$I$41*$D22, VLOOKUP(K$4,'4. Billing Determinants'!$B$19:$R$41,3,0)/'4. Billing Determinants'!$D$41*$D22))))),0)</f>
        <v>0</v>
      </c>
      <c r="L22" s="40">
        <f>IFERROR(IF(L$4="",0,IF($E22="kWh",VLOOKUP(L$4,'4. Billing Determinants'!$B$19:$R$41,4,0)/'4. Billing Determinants'!$E$41*$D22,IF($E22="kW",VLOOKUP(L$4,'4. Billing Determinants'!$B$19:$R$41,5,0)/'4. Billing Determinants'!$F$41*$D22,IF($E22="Non-RPP kWh",VLOOKUP(L$4,'4. Billing Determinants'!$B$19:$R$41,6,0)/'4. Billing Determinants'!$G$41*$D22,IF($E22="Distribution Rev.",VLOOKUP(L$4,'4. Billing Determinants'!$B$19:$R$41,8,0)/'4. Billing Determinants'!$I$41*$D22, VLOOKUP(L$4,'4. Billing Determinants'!$B$19:$R$41,3,0)/'4. Billing Determinants'!$D$41*$D22))))),0)</f>
        <v>0</v>
      </c>
      <c r="M22" s="40">
        <f>IFERROR(IF(M$4="",0,IF($E22="kWh",VLOOKUP(M$4,'4. Billing Determinants'!$B$19:$R$41,4,0)/'4. Billing Determinants'!$E$41*$D22,IF($E22="kW",VLOOKUP(M$4,'4. Billing Determinants'!$B$19:$R$41,5,0)/'4. Billing Determinants'!$F$41*$D22,IF($E22="Non-RPP kWh",VLOOKUP(M$4,'4. Billing Determinants'!$B$19:$R$41,6,0)/'4. Billing Determinants'!$G$41*$D22,IF($E22="Distribution Rev.",VLOOKUP(M$4,'4. Billing Determinants'!$B$19:$R$41,8,0)/'4. Billing Determinants'!$I$41*$D22, VLOOKUP(M$4,'4. Billing Determinants'!$B$19:$R$41,3,0)/'4. Billing Determinants'!$D$41*$D22))))),0)</f>
        <v>0</v>
      </c>
      <c r="N22" s="40">
        <f>IFERROR(IF(N$4="",0,IF($E22="kWh",VLOOKUP(N$4,'4. Billing Determinants'!$B$19:$R$41,4,0)/'4. Billing Determinants'!$E$41*$D22,IF($E22="kW",VLOOKUP(N$4,'4. Billing Determinants'!$B$19:$R$41,5,0)/'4. Billing Determinants'!$F$41*$D22,IF($E22="Non-RPP kWh",VLOOKUP(N$4,'4. Billing Determinants'!$B$19:$R$41,6,0)/'4. Billing Determinants'!$G$41*$D22,IF($E22="Distribution Rev.",VLOOKUP(N$4,'4. Billing Determinants'!$B$19:$R$41,8,0)/'4. Billing Determinants'!$I$41*$D22, VLOOKUP(N$4,'4. Billing Determinants'!$B$19:$R$41,3,0)/'4. Billing Determinants'!$D$41*$D22))))),0)</f>
        <v>0</v>
      </c>
      <c r="O22" s="40">
        <f>IFERROR(IF(O$4="",0,IF($E22="kWh",VLOOKUP(O$4,'4. Billing Determinants'!$B$19:$R$41,4,0)/'4. Billing Determinants'!$E$41*$D22,IF($E22="kW",VLOOKUP(O$4,'4. Billing Determinants'!$B$19:$R$41,5,0)/'4. Billing Determinants'!$F$41*$D22,IF($E22="Non-RPP kWh",VLOOKUP(O$4,'4. Billing Determinants'!$B$19:$R$41,6,0)/'4. Billing Determinants'!$G$41*$D22,IF($E22="Distribution Rev.",VLOOKUP(O$4,'4. Billing Determinants'!$B$19:$R$41,8,0)/'4. Billing Determinants'!$I$41*$D22, VLOOKUP(O$4,'4. Billing Determinants'!$B$19:$R$41,3,0)/'4. Billing Determinants'!$D$41*$D22))))),0)</f>
        <v>0</v>
      </c>
      <c r="P22" s="40">
        <f>IFERROR(IF(P$4="",0,IF($E22="kWh",VLOOKUP(P$4,'4. Billing Determinants'!$B$19:$R$41,4,0)/'4. Billing Determinants'!$E$41*$D22,IF($E22="kW",VLOOKUP(P$4,'4. Billing Determinants'!$B$19:$R$41,5,0)/'4. Billing Determinants'!$F$41*$D22,IF($E22="Non-RPP kWh",VLOOKUP(P$4,'4. Billing Determinants'!$B$19:$R$41,6,0)/'4. Billing Determinants'!$G$41*$D22,IF($E22="Distribution Rev.",VLOOKUP(P$4,'4. Billing Determinants'!$B$19:$R$41,8,0)/'4. Billing Determinants'!$I$41*$D22, VLOOKUP(P$4,'4. Billing Determinants'!$B$19:$R$41,3,0)/'4. Billing Determinants'!$D$41*$D22))))),0)</f>
        <v>0</v>
      </c>
      <c r="Q22" s="40">
        <f>IFERROR(IF(Q$4="",0,IF($E22="kWh",VLOOKUP(Q$4,'4. Billing Determinants'!$B$19:$R$41,4,0)/'4. Billing Determinants'!$E$41*$D22,IF($E22="kW",VLOOKUP(Q$4,'4. Billing Determinants'!$B$19:$R$41,5,0)/'4. Billing Determinants'!$F$41*$D22,IF($E22="Non-RPP kWh",VLOOKUP(Q$4,'4. Billing Determinants'!$B$19:$R$41,6,0)/'4. Billing Determinants'!$G$41*$D22,IF($E22="Distribution Rev.",VLOOKUP(Q$4,'4. Billing Determinants'!$B$19:$R$41,8,0)/'4. Billing Determinants'!$I$41*$D22, VLOOKUP(Q$4,'4. Billing Determinants'!$B$19:$R$41,3,0)/'4. Billing Determinants'!$D$41*$D22))))),0)</f>
        <v>0</v>
      </c>
      <c r="R22" s="40">
        <f>IFERROR(IF(R$4="",0,IF($E22="kWh",VLOOKUP(R$4,'4. Billing Determinants'!$B$19:$R$41,4,0)/'4. Billing Determinants'!$E$41*$D22,IF($E22="kW",VLOOKUP(R$4,'4. Billing Determinants'!$B$19:$R$41,5,0)/'4. Billing Determinants'!$F$41*$D22,IF($E22="Non-RPP kWh",VLOOKUP(R$4,'4. Billing Determinants'!$B$19:$R$41,6,0)/'4. Billing Determinants'!$G$41*$D22,IF($E22="Distribution Rev.",VLOOKUP(R$4,'4. Billing Determinants'!$B$19:$R$41,8,0)/'4. Billing Determinants'!$I$41*$D22, VLOOKUP(R$4,'4. Billing Determinants'!$B$19:$R$41,3,0)/'4. Billing Determinants'!$D$41*$D22))))),0)</f>
        <v>0</v>
      </c>
      <c r="S22" s="40">
        <f>IFERROR(IF(S$4="",0,IF($E22="kWh",VLOOKUP(S$4,'4. Billing Determinants'!$B$19:$R$41,4,0)/'4. Billing Determinants'!$E$41*$D22,IF($E22="kW",VLOOKUP(S$4,'4. Billing Determinants'!$B$19:$R$41,5,0)/'4. Billing Determinants'!$F$41*$D22,IF($E22="Non-RPP kWh",VLOOKUP(S$4,'4. Billing Determinants'!$B$19:$R$41,6,0)/'4. Billing Determinants'!$G$41*$D22,IF($E22="Distribution Rev.",VLOOKUP(S$4,'4. Billing Determinants'!$B$19:$R$41,8,0)/'4. Billing Determinants'!$I$41*$D22, VLOOKUP(S$4,'4. Billing Determinants'!$B$19:$R$41,3,0)/'4. Billing Determinants'!$D$41*$D22))))),0)</f>
        <v>0</v>
      </c>
      <c r="T22" s="40">
        <f>IFERROR(IF(T$4="",0,IF($E22="kWh",VLOOKUP(T$4,'4. Billing Determinants'!$B$19:$R$41,4,0)/'4. Billing Determinants'!$E$41*$D22,IF($E22="kW",VLOOKUP(T$4,'4. Billing Determinants'!$B$19:$R$41,5,0)/'4. Billing Determinants'!$F$41*$D22,IF($E22="Non-RPP kWh",VLOOKUP(T$4,'4. Billing Determinants'!$B$19:$R$41,6,0)/'4. Billing Determinants'!$G$41*$D22,IF($E22="Distribution Rev.",VLOOKUP(T$4,'4. Billing Determinants'!$B$19:$R$41,8,0)/'4. Billing Determinants'!$I$41*$D22, VLOOKUP(T$4,'4. Billing Determinants'!$B$19:$R$41,3,0)/'4. Billing Determinants'!$D$41*$D22))))),0)</f>
        <v>0</v>
      </c>
      <c r="U22" s="40">
        <f>IFERROR(IF(U$4="",0,IF($E22="kWh",VLOOKUP(U$4,'4. Billing Determinants'!$B$19:$R$41,4,0)/'4. Billing Determinants'!$E$41*$D22,IF($E22="kW",VLOOKUP(U$4,'4. Billing Determinants'!$B$19:$R$41,5,0)/'4. Billing Determinants'!$F$41*$D22,IF($E22="Non-RPP kWh",VLOOKUP(U$4,'4. Billing Determinants'!$B$19:$R$41,6,0)/'4. Billing Determinants'!$G$41*$D22,IF($E22="Distribution Rev.",VLOOKUP(U$4,'4. Billing Determinants'!$B$19:$R$41,8,0)/'4. Billing Determinants'!$I$41*$D22, VLOOKUP(U$4,'4. Billing Determinants'!$B$19:$R$41,3,0)/'4. Billing Determinants'!$D$41*$D22))))),0)</f>
        <v>0</v>
      </c>
      <c r="V22" s="40">
        <f>IFERROR(IF(V$4="",0,IF($E22="kWh",VLOOKUP(V$4,'4. Billing Determinants'!$B$19:$R$41,4,0)/'4. Billing Determinants'!$E$41*$D22,IF($E22="kW",VLOOKUP(V$4,'4. Billing Determinants'!$B$19:$R$41,5,0)/'4. Billing Determinants'!$F$41*$D22,IF($E22="Non-RPP kWh",VLOOKUP(V$4,'4. Billing Determinants'!$B$19:$R$41,6,0)/'4. Billing Determinants'!$G$41*$D22,IF($E22="Distribution Rev.",VLOOKUP(V$4,'4. Billing Determinants'!$B$19:$R$41,8,0)/'4. Billing Determinants'!$I$41*$D22, VLOOKUP(V$4,'4. Billing Determinants'!$B$19:$R$41,3,0)/'4. Billing Determinants'!$D$41*$D22))))),0)</f>
        <v>0</v>
      </c>
      <c r="W22" s="40">
        <f>IFERROR(IF(W$4="",0,IF($E22="kWh",VLOOKUP(W$4,'4. Billing Determinants'!$B$19:$R$41,4,0)/'4. Billing Determinants'!$E$41*$D22,IF($E22="kW",VLOOKUP(W$4,'4. Billing Determinants'!$B$19:$R$41,5,0)/'4. Billing Determinants'!$F$41*$D22,IF($E22="Non-RPP kWh",VLOOKUP(W$4,'4. Billing Determinants'!$B$19:$R$41,6,0)/'4. Billing Determinants'!$G$41*$D22,IF($E22="Distribution Rev.",VLOOKUP(W$4,'4. Billing Determinants'!$B$19:$R$41,8,0)/'4. Billing Determinants'!$I$41*$D22, VLOOKUP(W$4,'4. Billing Determinants'!$B$19:$R$41,3,0)/'4. Billing Determinants'!$D$41*$D22))))),0)</f>
        <v>0</v>
      </c>
      <c r="X22" s="40">
        <f>IFERROR(IF(X$4="",0,IF($E22="kWh",VLOOKUP(X$4,'4. Billing Determinants'!$B$19:$R$41,4,0)/'4. Billing Determinants'!$E$41*$D22,IF($E22="kW",VLOOKUP(X$4,'4. Billing Determinants'!$B$19:$R$41,5,0)/'4. Billing Determinants'!$F$41*$D22,IF($E22="Non-RPP kWh",VLOOKUP(X$4,'4. Billing Determinants'!$B$19:$R$41,6,0)/'4. Billing Determinants'!$G$41*$D22,IF($E22="Distribution Rev.",VLOOKUP(X$4,'4. Billing Determinants'!$B$19:$R$41,8,0)/'4. Billing Determinants'!$I$41*$D22, VLOOKUP(X$4,'4. Billing Determinants'!$B$19:$R$41,3,0)/'4. Billing Determinants'!$D$41*$D22))))),0)</f>
        <v>0</v>
      </c>
      <c r="Y22" s="40">
        <f>IFERROR(IF(Y$4="",0,IF($E22="kWh",VLOOKUP(Y$4,'4. Billing Determinants'!$B$19:$R$41,4,0)/'4. Billing Determinants'!$E$41*$D22,IF($E22="kW",VLOOKUP(Y$4,'4. Billing Determinants'!$B$19:$R$41,5,0)/'4. Billing Determinants'!$F$41*$D22,IF($E22="Non-RPP kWh",VLOOKUP(Y$4,'4. Billing Determinants'!$B$19:$R$41,6,0)/'4. Billing Determinants'!$G$41*$D22,IF($E22="Distribution Rev.",VLOOKUP(Y$4,'4. Billing Determinants'!$B$19:$R$41,8,0)/'4. Billing Determinants'!$I$41*$D22, VLOOKUP(Y$4,'4. Billing Determinants'!$B$19:$R$41,3,0)/'4. Billing Determinants'!$D$41*$D22))))),0)</f>
        <v>0</v>
      </c>
    </row>
    <row r="23" spans="1:25" x14ac:dyDescent="0.25">
      <c r="A23" s="122">
        <v>19</v>
      </c>
      <c r="B23" s="38" t="s">
        <v>442</v>
      </c>
      <c r="C23" s="39">
        <v>1508</v>
      </c>
      <c r="D23" s="40">
        <f>'2b. Continuity Schedule'!BT49</f>
        <v>0</v>
      </c>
      <c r="E23" s="295" t="s">
        <v>3033</v>
      </c>
      <c r="F23" s="40">
        <f>IFERROR(IF(F$4="",0,IF($E23="kWh",VLOOKUP(F$4,'4. Billing Determinants'!$B$19:$R$41,4,0)/'4. Billing Determinants'!$E$41*$D23,IF($E23="kW",VLOOKUP(F$4,'4. Billing Determinants'!$B$19:$R$41,5,0)/'4. Billing Determinants'!$F$41*$D23,IF($E23="Non-RPP kWh",VLOOKUP(F$4,'4. Billing Determinants'!$B$19:$R$41,6,0)/'4. Billing Determinants'!$G$41*$D23,IF($E23="Distribution Rev.",VLOOKUP(F$4,'4. Billing Determinants'!$B$19:$R$41,8,0)/'4. Billing Determinants'!$I$41*$D23, VLOOKUP(F$4,'4. Billing Determinants'!$B$19:$R$41,3,0)/'4. Billing Determinants'!$D$41*$D23))))),0)</f>
        <v>0</v>
      </c>
      <c r="G23" s="40">
        <f>IFERROR(IF(G$4="",0,IF($E23="kWh",VLOOKUP(G$4,'4. Billing Determinants'!$B$19:$R$41,4,0)/'4. Billing Determinants'!$E$41*$D23,IF($E23="kW",VLOOKUP(G$4,'4. Billing Determinants'!$B$19:$R$41,5,0)/'4. Billing Determinants'!$F$41*$D23,IF($E23="Non-RPP kWh",VLOOKUP(G$4,'4. Billing Determinants'!$B$19:$R$41,6,0)/'4. Billing Determinants'!$G$41*$D23,IF($E23="Distribution Rev.",VLOOKUP(G$4,'4. Billing Determinants'!$B$19:$R$41,8,0)/'4. Billing Determinants'!$I$41*$D23, VLOOKUP(G$4,'4. Billing Determinants'!$B$19:$R$41,3,0)/'4. Billing Determinants'!$D$41*$D23))))),0)</f>
        <v>0</v>
      </c>
      <c r="H23" s="40">
        <f>IFERROR(IF(H$4="",0,IF($E23="kWh",VLOOKUP(H$4,'4. Billing Determinants'!$B$19:$R$41,4,0)/'4. Billing Determinants'!$E$41*$D23,IF($E23="kW",VLOOKUP(H$4,'4. Billing Determinants'!$B$19:$R$41,5,0)/'4. Billing Determinants'!$F$41*$D23,IF($E23="Non-RPP kWh",VLOOKUP(H$4,'4. Billing Determinants'!$B$19:$R$41,6,0)/'4. Billing Determinants'!$G$41*$D23,IF($E23="Distribution Rev.",VLOOKUP(H$4,'4. Billing Determinants'!$B$19:$R$41,8,0)/'4. Billing Determinants'!$I$41*$D23, VLOOKUP(H$4,'4. Billing Determinants'!$B$19:$R$41,3,0)/'4. Billing Determinants'!$D$41*$D23))))),0)</f>
        <v>0</v>
      </c>
      <c r="I23" s="40">
        <f>IFERROR(IF(I$4="",0,IF($E23="kWh",VLOOKUP(I$4,'4. Billing Determinants'!$B$19:$R$41,4,0)/'4. Billing Determinants'!$E$41*$D23,IF($E23="kW",VLOOKUP(I$4,'4. Billing Determinants'!$B$19:$R$41,5,0)/'4. Billing Determinants'!$F$41*$D23,IF($E23="Non-RPP kWh",VLOOKUP(I$4,'4. Billing Determinants'!$B$19:$R$41,6,0)/'4. Billing Determinants'!$G$41*$D23,IF($E23="Distribution Rev.",VLOOKUP(I$4,'4. Billing Determinants'!$B$19:$R$41,8,0)/'4. Billing Determinants'!$I$41*$D23, VLOOKUP(I$4,'4. Billing Determinants'!$B$19:$R$41,3,0)/'4. Billing Determinants'!$D$41*$D23))))),0)</f>
        <v>0</v>
      </c>
      <c r="J23" s="40">
        <f>IFERROR(IF(J$4="",0,IF($E23="kWh",VLOOKUP(J$4,'4. Billing Determinants'!$B$19:$R$41,4,0)/'4. Billing Determinants'!$E$41*$D23,IF($E23="kW",VLOOKUP(J$4,'4. Billing Determinants'!$B$19:$R$41,5,0)/'4. Billing Determinants'!$F$41*$D23,IF($E23="Non-RPP kWh",VLOOKUP(J$4,'4. Billing Determinants'!$B$19:$R$41,6,0)/'4. Billing Determinants'!$G$41*$D23,IF($E23="Distribution Rev.",VLOOKUP(J$4,'4. Billing Determinants'!$B$19:$R$41,8,0)/'4. Billing Determinants'!$I$41*$D23, VLOOKUP(J$4,'4. Billing Determinants'!$B$19:$R$41,3,0)/'4. Billing Determinants'!$D$41*$D23))))),0)</f>
        <v>0</v>
      </c>
      <c r="K23" s="40">
        <f>IFERROR(IF(K$4="",0,IF($E23="kWh",VLOOKUP(K$4,'4. Billing Determinants'!$B$19:$R$41,4,0)/'4. Billing Determinants'!$E$41*$D23,IF($E23="kW",VLOOKUP(K$4,'4. Billing Determinants'!$B$19:$R$41,5,0)/'4. Billing Determinants'!$F$41*$D23,IF($E23="Non-RPP kWh",VLOOKUP(K$4,'4. Billing Determinants'!$B$19:$R$41,6,0)/'4. Billing Determinants'!$G$41*$D23,IF($E23="Distribution Rev.",VLOOKUP(K$4,'4. Billing Determinants'!$B$19:$R$41,8,0)/'4. Billing Determinants'!$I$41*$D23, VLOOKUP(K$4,'4. Billing Determinants'!$B$19:$R$41,3,0)/'4. Billing Determinants'!$D$41*$D23))))),0)</f>
        <v>0</v>
      </c>
      <c r="L23" s="40">
        <f>IFERROR(IF(L$4="",0,IF($E23="kWh",VLOOKUP(L$4,'4. Billing Determinants'!$B$19:$R$41,4,0)/'4. Billing Determinants'!$E$41*$D23,IF($E23="kW",VLOOKUP(L$4,'4. Billing Determinants'!$B$19:$R$41,5,0)/'4. Billing Determinants'!$F$41*$D23,IF($E23="Non-RPP kWh",VLOOKUP(L$4,'4. Billing Determinants'!$B$19:$R$41,6,0)/'4. Billing Determinants'!$G$41*$D23,IF($E23="Distribution Rev.",VLOOKUP(L$4,'4. Billing Determinants'!$B$19:$R$41,8,0)/'4. Billing Determinants'!$I$41*$D23, VLOOKUP(L$4,'4. Billing Determinants'!$B$19:$R$41,3,0)/'4. Billing Determinants'!$D$41*$D23))))),0)</f>
        <v>0</v>
      </c>
      <c r="M23" s="40">
        <f>IFERROR(IF(M$4="",0,IF($E23="kWh",VLOOKUP(M$4,'4. Billing Determinants'!$B$19:$R$41,4,0)/'4. Billing Determinants'!$E$41*$D23,IF($E23="kW",VLOOKUP(M$4,'4. Billing Determinants'!$B$19:$R$41,5,0)/'4. Billing Determinants'!$F$41*$D23,IF($E23="Non-RPP kWh",VLOOKUP(M$4,'4. Billing Determinants'!$B$19:$R$41,6,0)/'4. Billing Determinants'!$G$41*$D23,IF($E23="Distribution Rev.",VLOOKUP(M$4,'4. Billing Determinants'!$B$19:$R$41,8,0)/'4. Billing Determinants'!$I$41*$D23, VLOOKUP(M$4,'4. Billing Determinants'!$B$19:$R$41,3,0)/'4. Billing Determinants'!$D$41*$D23))))),0)</f>
        <v>0</v>
      </c>
      <c r="N23" s="40">
        <f>IFERROR(IF(N$4="",0,IF($E23="kWh",VLOOKUP(N$4,'4. Billing Determinants'!$B$19:$R$41,4,0)/'4. Billing Determinants'!$E$41*$D23,IF($E23="kW",VLOOKUP(N$4,'4. Billing Determinants'!$B$19:$R$41,5,0)/'4. Billing Determinants'!$F$41*$D23,IF($E23="Non-RPP kWh",VLOOKUP(N$4,'4. Billing Determinants'!$B$19:$R$41,6,0)/'4. Billing Determinants'!$G$41*$D23,IF($E23="Distribution Rev.",VLOOKUP(N$4,'4. Billing Determinants'!$B$19:$R$41,8,0)/'4. Billing Determinants'!$I$41*$D23, VLOOKUP(N$4,'4. Billing Determinants'!$B$19:$R$41,3,0)/'4. Billing Determinants'!$D$41*$D23))))),0)</f>
        <v>0</v>
      </c>
      <c r="O23" s="40">
        <f>IFERROR(IF(O$4="",0,IF($E23="kWh",VLOOKUP(O$4,'4. Billing Determinants'!$B$19:$R$41,4,0)/'4. Billing Determinants'!$E$41*$D23,IF($E23="kW",VLOOKUP(O$4,'4. Billing Determinants'!$B$19:$R$41,5,0)/'4. Billing Determinants'!$F$41*$D23,IF($E23="Non-RPP kWh",VLOOKUP(O$4,'4. Billing Determinants'!$B$19:$R$41,6,0)/'4. Billing Determinants'!$G$41*$D23,IF($E23="Distribution Rev.",VLOOKUP(O$4,'4. Billing Determinants'!$B$19:$R$41,8,0)/'4. Billing Determinants'!$I$41*$D23, VLOOKUP(O$4,'4. Billing Determinants'!$B$19:$R$41,3,0)/'4. Billing Determinants'!$D$41*$D23))))),0)</f>
        <v>0</v>
      </c>
      <c r="P23" s="40">
        <f>IFERROR(IF(P$4="",0,IF($E23="kWh",VLOOKUP(P$4,'4. Billing Determinants'!$B$19:$R$41,4,0)/'4. Billing Determinants'!$E$41*$D23,IF($E23="kW",VLOOKUP(P$4,'4. Billing Determinants'!$B$19:$R$41,5,0)/'4. Billing Determinants'!$F$41*$D23,IF($E23="Non-RPP kWh",VLOOKUP(P$4,'4. Billing Determinants'!$B$19:$R$41,6,0)/'4. Billing Determinants'!$G$41*$D23,IF($E23="Distribution Rev.",VLOOKUP(P$4,'4. Billing Determinants'!$B$19:$R$41,8,0)/'4. Billing Determinants'!$I$41*$D23, VLOOKUP(P$4,'4. Billing Determinants'!$B$19:$R$41,3,0)/'4. Billing Determinants'!$D$41*$D23))))),0)</f>
        <v>0</v>
      </c>
      <c r="Q23" s="40">
        <f>IFERROR(IF(Q$4="",0,IF($E23="kWh",VLOOKUP(Q$4,'4. Billing Determinants'!$B$19:$R$41,4,0)/'4. Billing Determinants'!$E$41*$D23,IF($E23="kW",VLOOKUP(Q$4,'4. Billing Determinants'!$B$19:$R$41,5,0)/'4. Billing Determinants'!$F$41*$D23,IF($E23="Non-RPP kWh",VLOOKUP(Q$4,'4. Billing Determinants'!$B$19:$R$41,6,0)/'4. Billing Determinants'!$G$41*$D23,IF($E23="Distribution Rev.",VLOOKUP(Q$4,'4. Billing Determinants'!$B$19:$R$41,8,0)/'4. Billing Determinants'!$I$41*$D23, VLOOKUP(Q$4,'4. Billing Determinants'!$B$19:$R$41,3,0)/'4. Billing Determinants'!$D$41*$D23))))),0)</f>
        <v>0</v>
      </c>
      <c r="R23" s="40">
        <f>IFERROR(IF(R$4="",0,IF($E23="kWh",VLOOKUP(R$4,'4. Billing Determinants'!$B$19:$R$41,4,0)/'4. Billing Determinants'!$E$41*$D23,IF($E23="kW",VLOOKUP(R$4,'4. Billing Determinants'!$B$19:$R$41,5,0)/'4. Billing Determinants'!$F$41*$D23,IF($E23="Non-RPP kWh",VLOOKUP(R$4,'4. Billing Determinants'!$B$19:$R$41,6,0)/'4. Billing Determinants'!$G$41*$D23,IF($E23="Distribution Rev.",VLOOKUP(R$4,'4. Billing Determinants'!$B$19:$R$41,8,0)/'4. Billing Determinants'!$I$41*$D23, VLOOKUP(R$4,'4. Billing Determinants'!$B$19:$R$41,3,0)/'4. Billing Determinants'!$D$41*$D23))))),0)</f>
        <v>0</v>
      </c>
      <c r="S23" s="40">
        <f>IFERROR(IF(S$4="",0,IF($E23="kWh",VLOOKUP(S$4,'4. Billing Determinants'!$B$19:$R$41,4,0)/'4. Billing Determinants'!$E$41*$D23,IF($E23="kW",VLOOKUP(S$4,'4. Billing Determinants'!$B$19:$R$41,5,0)/'4. Billing Determinants'!$F$41*$D23,IF($E23="Non-RPP kWh",VLOOKUP(S$4,'4. Billing Determinants'!$B$19:$R$41,6,0)/'4. Billing Determinants'!$G$41*$D23,IF($E23="Distribution Rev.",VLOOKUP(S$4,'4. Billing Determinants'!$B$19:$R$41,8,0)/'4. Billing Determinants'!$I$41*$D23, VLOOKUP(S$4,'4. Billing Determinants'!$B$19:$R$41,3,0)/'4. Billing Determinants'!$D$41*$D23))))),0)</f>
        <v>0</v>
      </c>
      <c r="T23" s="40">
        <f>IFERROR(IF(T$4="",0,IF($E23="kWh",VLOOKUP(T$4,'4. Billing Determinants'!$B$19:$R$41,4,0)/'4. Billing Determinants'!$E$41*$D23,IF($E23="kW",VLOOKUP(T$4,'4. Billing Determinants'!$B$19:$R$41,5,0)/'4. Billing Determinants'!$F$41*$D23,IF($E23="Non-RPP kWh",VLOOKUP(T$4,'4. Billing Determinants'!$B$19:$R$41,6,0)/'4. Billing Determinants'!$G$41*$D23,IF($E23="Distribution Rev.",VLOOKUP(T$4,'4. Billing Determinants'!$B$19:$R$41,8,0)/'4. Billing Determinants'!$I$41*$D23, VLOOKUP(T$4,'4. Billing Determinants'!$B$19:$R$41,3,0)/'4. Billing Determinants'!$D$41*$D23))))),0)</f>
        <v>0</v>
      </c>
      <c r="U23" s="40">
        <f>IFERROR(IF(U$4="",0,IF($E23="kWh",VLOOKUP(U$4,'4. Billing Determinants'!$B$19:$R$41,4,0)/'4. Billing Determinants'!$E$41*$D23,IF($E23="kW",VLOOKUP(U$4,'4. Billing Determinants'!$B$19:$R$41,5,0)/'4. Billing Determinants'!$F$41*$D23,IF($E23="Non-RPP kWh",VLOOKUP(U$4,'4. Billing Determinants'!$B$19:$R$41,6,0)/'4. Billing Determinants'!$G$41*$D23,IF($E23="Distribution Rev.",VLOOKUP(U$4,'4. Billing Determinants'!$B$19:$R$41,8,0)/'4. Billing Determinants'!$I$41*$D23, VLOOKUP(U$4,'4. Billing Determinants'!$B$19:$R$41,3,0)/'4. Billing Determinants'!$D$41*$D23))))),0)</f>
        <v>0</v>
      </c>
      <c r="V23" s="40">
        <f>IFERROR(IF(V$4="",0,IF($E23="kWh",VLOOKUP(V$4,'4. Billing Determinants'!$B$19:$R$41,4,0)/'4. Billing Determinants'!$E$41*$D23,IF($E23="kW",VLOOKUP(V$4,'4. Billing Determinants'!$B$19:$R$41,5,0)/'4. Billing Determinants'!$F$41*$D23,IF($E23="Non-RPP kWh",VLOOKUP(V$4,'4. Billing Determinants'!$B$19:$R$41,6,0)/'4. Billing Determinants'!$G$41*$D23,IF($E23="Distribution Rev.",VLOOKUP(V$4,'4. Billing Determinants'!$B$19:$R$41,8,0)/'4. Billing Determinants'!$I$41*$D23, VLOOKUP(V$4,'4. Billing Determinants'!$B$19:$R$41,3,0)/'4. Billing Determinants'!$D$41*$D23))))),0)</f>
        <v>0</v>
      </c>
      <c r="W23" s="40">
        <f>IFERROR(IF(W$4="",0,IF($E23="kWh",VLOOKUP(W$4,'4. Billing Determinants'!$B$19:$R$41,4,0)/'4. Billing Determinants'!$E$41*$D23,IF($E23="kW",VLOOKUP(W$4,'4. Billing Determinants'!$B$19:$R$41,5,0)/'4. Billing Determinants'!$F$41*$D23,IF($E23="Non-RPP kWh",VLOOKUP(W$4,'4. Billing Determinants'!$B$19:$R$41,6,0)/'4. Billing Determinants'!$G$41*$D23,IF($E23="Distribution Rev.",VLOOKUP(W$4,'4. Billing Determinants'!$B$19:$R$41,8,0)/'4. Billing Determinants'!$I$41*$D23, VLOOKUP(W$4,'4. Billing Determinants'!$B$19:$R$41,3,0)/'4. Billing Determinants'!$D$41*$D23))))),0)</f>
        <v>0</v>
      </c>
      <c r="X23" s="40">
        <f>IFERROR(IF(X$4="",0,IF($E23="kWh",VLOOKUP(X$4,'4. Billing Determinants'!$B$19:$R$41,4,0)/'4. Billing Determinants'!$E$41*$D23,IF($E23="kW",VLOOKUP(X$4,'4. Billing Determinants'!$B$19:$R$41,5,0)/'4. Billing Determinants'!$F$41*$D23,IF($E23="Non-RPP kWh",VLOOKUP(X$4,'4. Billing Determinants'!$B$19:$R$41,6,0)/'4. Billing Determinants'!$G$41*$D23,IF($E23="Distribution Rev.",VLOOKUP(X$4,'4. Billing Determinants'!$B$19:$R$41,8,0)/'4. Billing Determinants'!$I$41*$D23, VLOOKUP(X$4,'4. Billing Determinants'!$B$19:$R$41,3,0)/'4. Billing Determinants'!$D$41*$D23))))),0)</f>
        <v>0</v>
      </c>
      <c r="Y23" s="40">
        <f>IFERROR(IF(Y$4="",0,IF($E23="kWh",VLOOKUP(Y$4,'4. Billing Determinants'!$B$19:$R$41,4,0)/'4. Billing Determinants'!$E$41*$D23,IF($E23="kW",VLOOKUP(Y$4,'4. Billing Determinants'!$B$19:$R$41,5,0)/'4. Billing Determinants'!$F$41*$D23,IF($E23="Non-RPP kWh",VLOOKUP(Y$4,'4. Billing Determinants'!$B$19:$R$41,6,0)/'4. Billing Determinants'!$G$41*$D23,IF($E23="Distribution Rev.",VLOOKUP(Y$4,'4. Billing Determinants'!$B$19:$R$41,8,0)/'4. Billing Determinants'!$I$41*$D23, VLOOKUP(Y$4,'4. Billing Determinants'!$B$19:$R$41,3,0)/'4. Billing Determinants'!$D$41*$D23))))),0)</f>
        <v>0</v>
      </c>
    </row>
    <row r="24" spans="1:25" x14ac:dyDescent="0.25">
      <c r="A24" s="278">
        <v>20</v>
      </c>
      <c r="B24" s="106" t="s">
        <v>443</v>
      </c>
      <c r="C24" s="39">
        <v>1508</v>
      </c>
      <c r="D24" s="40">
        <f>'2b. Continuity Schedule'!BT50</f>
        <v>0</v>
      </c>
      <c r="E24" s="61" t="s">
        <v>59</v>
      </c>
      <c r="F24" s="40">
        <f>IFERROR(IF(F$4="",0,IF($E24="kWh",VLOOKUP(F$4,'4. Billing Determinants'!$B$19:$R$41,4,0)/'4. Billing Determinants'!$E$41*$D24,IF($E24="kW",VLOOKUP(F$4,'4. Billing Determinants'!$B$19:$R$41,5,0)/'4. Billing Determinants'!$F$41*$D24,IF($E24="Non-RPP kWh",VLOOKUP(F$4,'4. Billing Determinants'!$B$19:$R$41,6,0)/'4. Billing Determinants'!$G$41*$D24,IF($E24="Distribution Rev.",VLOOKUP(F$4,'4. Billing Determinants'!$B$19:$R$41,8,0)/'4. Billing Determinants'!$I$41*$D24, VLOOKUP(F$4,'4. Billing Determinants'!$B$19:$R$41,3,0)/'4. Billing Determinants'!$D$41*$D24))))),0)</f>
        <v>0</v>
      </c>
      <c r="G24" s="40">
        <f>IFERROR(IF(G$4="",0,IF($E24="kWh",VLOOKUP(G$4,'4. Billing Determinants'!$B$19:$R$41,4,0)/'4. Billing Determinants'!$E$41*$D24,IF($E24="kW",VLOOKUP(G$4,'4. Billing Determinants'!$B$19:$R$41,5,0)/'4. Billing Determinants'!$F$41*$D24,IF($E24="Non-RPP kWh",VLOOKUP(G$4,'4. Billing Determinants'!$B$19:$R$41,6,0)/'4. Billing Determinants'!$G$41*$D24,IF($E24="Distribution Rev.",VLOOKUP(G$4,'4. Billing Determinants'!$B$19:$R$41,8,0)/'4. Billing Determinants'!$I$41*$D24, VLOOKUP(G$4,'4. Billing Determinants'!$B$19:$R$41,3,0)/'4. Billing Determinants'!$D$41*$D24))))),0)</f>
        <v>0</v>
      </c>
      <c r="H24" s="40">
        <f>IFERROR(IF(H$4="",0,IF($E24="kWh",VLOOKUP(H$4,'4. Billing Determinants'!$B$19:$R$41,4,0)/'4. Billing Determinants'!$E$41*$D24,IF($E24="kW",VLOOKUP(H$4,'4. Billing Determinants'!$B$19:$R$41,5,0)/'4. Billing Determinants'!$F$41*$D24,IF($E24="Non-RPP kWh",VLOOKUP(H$4,'4. Billing Determinants'!$B$19:$R$41,6,0)/'4. Billing Determinants'!$G$41*$D24,IF($E24="Distribution Rev.",VLOOKUP(H$4,'4. Billing Determinants'!$B$19:$R$41,8,0)/'4. Billing Determinants'!$I$41*$D24, VLOOKUP(H$4,'4. Billing Determinants'!$B$19:$R$41,3,0)/'4. Billing Determinants'!$D$41*$D24))))),0)</f>
        <v>0</v>
      </c>
      <c r="I24" s="40">
        <f>IFERROR(IF(I$4="",0,IF($E24="kWh",VLOOKUP(I$4,'4. Billing Determinants'!$B$19:$R$41,4,0)/'4. Billing Determinants'!$E$41*$D24,IF($E24="kW",VLOOKUP(I$4,'4. Billing Determinants'!$B$19:$R$41,5,0)/'4. Billing Determinants'!$F$41*$D24,IF($E24="Non-RPP kWh",VLOOKUP(I$4,'4. Billing Determinants'!$B$19:$R$41,6,0)/'4. Billing Determinants'!$G$41*$D24,IF($E24="Distribution Rev.",VLOOKUP(I$4,'4. Billing Determinants'!$B$19:$R$41,8,0)/'4. Billing Determinants'!$I$41*$D24, VLOOKUP(I$4,'4. Billing Determinants'!$B$19:$R$41,3,0)/'4. Billing Determinants'!$D$41*$D24))))),0)</f>
        <v>0</v>
      </c>
      <c r="J24" s="40">
        <f>IFERROR(IF(J$4="",0,IF($E24="kWh",VLOOKUP(J$4,'4. Billing Determinants'!$B$19:$R$41,4,0)/'4. Billing Determinants'!$E$41*$D24,IF($E24="kW",VLOOKUP(J$4,'4. Billing Determinants'!$B$19:$R$41,5,0)/'4. Billing Determinants'!$F$41*$D24,IF($E24="Non-RPP kWh",VLOOKUP(J$4,'4. Billing Determinants'!$B$19:$R$41,6,0)/'4. Billing Determinants'!$G$41*$D24,IF($E24="Distribution Rev.",VLOOKUP(J$4,'4. Billing Determinants'!$B$19:$R$41,8,0)/'4. Billing Determinants'!$I$41*$D24, VLOOKUP(J$4,'4. Billing Determinants'!$B$19:$R$41,3,0)/'4. Billing Determinants'!$D$41*$D24))))),0)</f>
        <v>0</v>
      </c>
      <c r="K24" s="40">
        <f>IFERROR(IF(K$4="",0,IF($E24="kWh",VLOOKUP(K$4,'4. Billing Determinants'!$B$19:$R$41,4,0)/'4. Billing Determinants'!$E$41*$D24,IF($E24="kW",VLOOKUP(K$4,'4. Billing Determinants'!$B$19:$R$41,5,0)/'4. Billing Determinants'!$F$41*$D24,IF($E24="Non-RPP kWh",VLOOKUP(K$4,'4. Billing Determinants'!$B$19:$R$41,6,0)/'4. Billing Determinants'!$G$41*$D24,IF($E24="Distribution Rev.",VLOOKUP(K$4,'4. Billing Determinants'!$B$19:$R$41,8,0)/'4. Billing Determinants'!$I$41*$D24, VLOOKUP(K$4,'4. Billing Determinants'!$B$19:$R$41,3,0)/'4. Billing Determinants'!$D$41*$D24))))),0)</f>
        <v>0</v>
      </c>
      <c r="L24" s="40">
        <f>IFERROR(IF(L$4="",0,IF($E24="kWh",VLOOKUP(L$4,'4. Billing Determinants'!$B$19:$R$41,4,0)/'4. Billing Determinants'!$E$41*$D24,IF($E24="kW",VLOOKUP(L$4,'4. Billing Determinants'!$B$19:$R$41,5,0)/'4. Billing Determinants'!$F$41*$D24,IF($E24="Non-RPP kWh",VLOOKUP(L$4,'4. Billing Determinants'!$B$19:$R$41,6,0)/'4. Billing Determinants'!$G$41*$D24,IF($E24="Distribution Rev.",VLOOKUP(L$4,'4. Billing Determinants'!$B$19:$R$41,8,0)/'4. Billing Determinants'!$I$41*$D24, VLOOKUP(L$4,'4. Billing Determinants'!$B$19:$R$41,3,0)/'4. Billing Determinants'!$D$41*$D24))))),0)</f>
        <v>0</v>
      </c>
      <c r="M24" s="40">
        <f>IFERROR(IF(M$4="",0,IF($E24="kWh",VLOOKUP(M$4,'4. Billing Determinants'!$B$19:$R$41,4,0)/'4. Billing Determinants'!$E$41*$D24,IF($E24="kW",VLOOKUP(M$4,'4. Billing Determinants'!$B$19:$R$41,5,0)/'4. Billing Determinants'!$F$41*$D24,IF($E24="Non-RPP kWh",VLOOKUP(M$4,'4. Billing Determinants'!$B$19:$R$41,6,0)/'4. Billing Determinants'!$G$41*$D24,IF($E24="Distribution Rev.",VLOOKUP(M$4,'4. Billing Determinants'!$B$19:$R$41,8,0)/'4. Billing Determinants'!$I$41*$D24, VLOOKUP(M$4,'4. Billing Determinants'!$B$19:$R$41,3,0)/'4. Billing Determinants'!$D$41*$D24))))),0)</f>
        <v>0</v>
      </c>
      <c r="N24" s="40">
        <f>IFERROR(IF(N$4="",0,IF($E24="kWh",VLOOKUP(N$4,'4. Billing Determinants'!$B$19:$R$41,4,0)/'4. Billing Determinants'!$E$41*$D24,IF($E24="kW",VLOOKUP(N$4,'4. Billing Determinants'!$B$19:$R$41,5,0)/'4. Billing Determinants'!$F$41*$D24,IF($E24="Non-RPP kWh",VLOOKUP(N$4,'4. Billing Determinants'!$B$19:$R$41,6,0)/'4. Billing Determinants'!$G$41*$D24,IF($E24="Distribution Rev.",VLOOKUP(N$4,'4. Billing Determinants'!$B$19:$R$41,8,0)/'4. Billing Determinants'!$I$41*$D24, VLOOKUP(N$4,'4. Billing Determinants'!$B$19:$R$41,3,0)/'4. Billing Determinants'!$D$41*$D24))))),0)</f>
        <v>0</v>
      </c>
      <c r="O24" s="40">
        <f>IFERROR(IF(O$4="",0,IF($E24="kWh",VLOOKUP(O$4,'4. Billing Determinants'!$B$19:$R$41,4,0)/'4. Billing Determinants'!$E$41*$D24,IF($E24="kW",VLOOKUP(O$4,'4. Billing Determinants'!$B$19:$R$41,5,0)/'4. Billing Determinants'!$F$41*$D24,IF($E24="Non-RPP kWh",VLOOKUP(O$4,'4. Billing Determinants'!$B$19:$R$41,6,0)/'4. Billing Determinants'!$G$41*$D24,IF($E24="Distribution Rev.",VLOOKUP(O$4,'4. Billing Determinants'!$B$19:$R$41,8,0)/'4. Billing Determinants'!$I$41*$D24, VLOOKUP(O$4,'4. Billing Determinants'!$B$19:$R$41,3,0)/'4. Billing Determinants'!$D$41*$D24))))),0)</f>
        <v>0</v>
      </c>
      <c r="P24" s="40">
        <f>IFERROR(IF(P$4="",0,IF($E24="kWh",VLOOKUP(P$4,'4. Billing Determinants'!$B$19:$R$41,4,0)/'4. Billing Determinants'!$E$41*$D24,IF($E24="kW",VLOOKUP(P$4,'4. Billing Determinants'!$B$19:$R$41,5,0)/'4. Billing Determinants'!$F$41*$D24,IF($E24="Non-RPP kWh",VLOOKUP(P$4,'4. Billing Determinants'!$B$19:$R$41,6,0)/'4. Billing Determinants'!$G$41*$D24,IF($E24="Distribution Rev.",VLOOKUP(P$4,'4. Billing Determinants'!$B$19:$R$41,8,0)/'4. Billing Determinants'!$I$41*$D24, VLOOKUP(P$4,'4. Billing Determinants'!$B$19:$R$41,3,0)/'4. Billing Determinants'!$D$41*$D24))))),0)</f>
        <v>0</v>
      </c>
      <c r="Q24" s="40">
        <f>IFERROR(IF(Q$4="",0,IF($E24="kWh",VLOOKUP(Q$4,'4. Billing Determinants'!$B$19:$R$41,4,0)/'4. Billing Determinants'!$E$41*$D24,IF($E24="kW",VLOOKUP(Q$4,'4. Billing Determinants'!$B$19:$R$41,5,0)/'4. Billing Determinants'!$F$41*$D24,IF($E24="Non-RPP kWh",VLOOKUP(Q$4,'4. Billing Determinants'!$B$19:$R$41,6,0)/'4. Billing Determinants'!$G$41*$D24,IF($E24="Distribution Rev.",VLOOKUP(Q$4,'4. Billing Determinants'!$B$19:$R$41,8,0)/'4. Billing Determinants'!$I$41*$D24, VLOOKUP(Q$4,'4. Billing Determinants'!$B$19:$R$41,3,0)/'4. Billing Determinants'!$D$41*$D24))))),0)</f>
        <v>0</v>
      </c>
      <c r="R24" s="40">
        <f>IFERROR(IF(R$4="",0,IF($E24="kWh",VLOOKUP(R$4,'4. Billing Determinants'!$B$19:$R$41,4,0)/'4. Billing Determinants'!$E$41*$D24,IF($E24="kW",VLOOKUP(R$4,'4. Billing Determinants'!$B$19:$R$41,5,0)/'4. Billing Determinants'!$F$41*$D24,IF($E24="Non-RPP kWh",VLOOKUP(R$4,'4. Billing Determinants'!$B$19:$R$41,6,0)/'4. Billing Determinants'!$G$41*$D24,IF($E24="Distribution Rev.",VLOOKUP(R$4,'4. Billing Determinants'!$B$19:$R$41,8,0)/'4. Billing Determinants'!$I$41*$D24, VLOOKUP(R$4,'4. Billing Determinants'!$B$19:$R$41,3,0)/'4. Billing Determinants'!$D$41*$D24))))),0)</f>
        <v>0</v>
      </c>
      <c r="S24" s="40">
        <f>IFERROR(IF(S$4="",0,IF($E24="kWh",VLOOKUP(S$4,'4. Billing Determinants'!$B$19:$R$41,4,0)/'4. Billing Determinants'!$E$41*$D24,IF($E24="kW",VLOOKUP(S$4,'4. Billing Determinants'!$B$19:$R$41,5,0)/'4. Billing Determinants'!$F$41*$D24,IF($E24="Non-RPP kWh",VLOOKUP(S$4,'4. Billing Determinants'!$B$19:$R$41,6,0)/'4. Billing Determinants'!$G$41*$D24,IF($E24="Distribution Rev.",VLOOKUP(S$4,'4. Billing Determinants'!$B$19:$R$41,8,0)/'4. Billing Determinants'!$I$41*$D24, VLOOKUP(S$4,'4. Billing Determinants'!$B$19:$R$41,3,0)/'4. Billing Determinants'!$D$41*$D24))))),0)</f>
        <v>0</v>
      </c>
      <c r="T24" s="40">
        <f>IFERROR(IF(T$4="",0,IF($E24="kWh",VLOOKUP(T$4,'4. Billing Determinants'!$B$19:$R$41,4,0)/'4. Billing Determinants'!$E$41*$D24,IF($E24="kW",VLOOKUP(T$4,'4. Billing Determinants'!$B$19:$R$41,5,0)/'4. Billing Determinants'!$F$41*$D24,IF($E24="Non-RPP kWh",VLOOKUP(T$4,'4. Billing Determinants'!$B$19:$R$41,6,0)/'4. Billing Determinants'!$G$41*$D24,IF($E24="Distribution Rev.",VLOOKUP(T$4,'4. Billing Determinants'!$B$19:$R$41,8,0)/'4. Billing Determinants'!$I$41*$D24, VLOOKUP(T$4,'4. Billing Determinants'!$B$19:$R$41,3,0)/'4. Billing Determinants'!$D$41*$D24))))),0)</f>
        <v>0</v>
      </c>
      <c r="U24" s="40">
        <f>IFERROR(IF(U$4="",0,IF($E24="kWh",VLOOKUP(U$4,'4. Billing Determinants'!$B$19:$R$41,4,0)/'4. Billing Determinants'!$E$41*$D24,IF($E24="kW",VLOOKUP(U$4,'4. Billing Determinants'!$B$19:$R$41,5,0)/'4. Billing Determinants'!$F$41*$D24,IF($E24="Non-RPP kWh",VLOOKUP(U$4,'4. Billing Determinants'!$B$19:$R$41,6,0)/'4. Billing Determinants'!$G$41*$D24,IF($E24="Distribution Rev.",VLOOKUP(U$4,'4. Billing Determinants'!$B$19:$R$41,8,0)/'4. Billing Determinants'!$I$41*$D24, VLOOKUP(U$4,'4. Billing Determinants'!$B$19:$R$41,3,0)/'4. Billing Determinants'!$D$41*$D24))))),0)</f>
        <v>0</v>
      </c>
      <c r="V24" s="40">
        <f>IFERROR(IF(V$4="",0,IF($E24="kWh",VLOOKUP(V$4,'4. Billing Determinants'!$B$19:$R$41,4,0)/'4. Billing Determinants'!$E$41*$D24,IF($E24="kW",VLOOKUP(V$4,'4. Billing Determinants'!$B$19:$R$41,5,0)/'4. Billing Determinants'!$F$41*$D24,IF($E24="Non-RPP kWh",VLOOKUP(V$4,'4. Billing Determinants'!$B$19:$R$41,6,0)/'4. Billing Determinants'!$G$41*$D24,IF($E24="Distribution Rev.",VLOOKUP(V$4,'4. Billing Determinants'!$B$19:$R$41,8,0)/'4. Billing Determinants'!$I$41*$D24, VLOOKUP(V$4,'4. Billing Determinants'!$B$19:$R$41,3,0)/'4. Billing Determinants'!$D$41*$D24))))),0)</f>
        <v>0</v>
      </c>
      <c r="W24" s="40">
        <f>IFERROR(IF(W$4="",0,IF($E24="kWh",VLOOKUP(W$4,'4. Billing Determinants'!$B$19:$R$41,4,0)/'4. Billing Determinants'!$E$41*$D24,IF($E24="kW",VLOOKUP(W$4,'4. Billing Determinants'!$B$19:$R$41,5,0)/'4. Billing Determinants'!$F$41*$D24,IF($E24="Non-RPP kWh",VLOOKUP(W$4,'4. Billing Determinants'!$B$19:$R$41,6,0)/'4. Billing Determinants'!$G$41*$D24,IF($E24="Distribution Rev.",VLOOKUP(W$4,'4. Billing Determinants'!$B$19:$R$41,8,0)/'4. Billing Determinants'!$I$41*$D24, VLOOKUP(W$4,'4. Billing Determinants'!$B$19:$R$41,3,0)/'4. Billing Determinants'!$D$41*$D24))))),0)</f>
        <v>0</v>
      </c>
      <c r="X24" s="40">
        <f>IFERROR(IF(X$4="",0,IF($E24="kWh",VLOOKUP(X$4,'4. Billing Determinants'!$B$19:$R$41,4,0)/'4. Billing Determinants'!$E$41*$D24,IF($E24="kW",VLOOKUP(X$4,'4. Billing Determinants'!$B$19:$R$41,5,0)/'4. Billing Determinants'!$F$41*$D24,IF($E24="Non-RPP kWh",VLOOKUP(X$4,'4. Billing Determinants'!$B$19:$R$41,6,0)/'4. Billing Determinants'!$G$41*$D24,IF($E24="Distribution Rev.",VLOOKUP(X$4,'4. Billing Determinants'!$B$19:$R$41,8,0)/'4. Billing Determinants'!$I$41*$D24, VLOOKUP(X$4,'4. Billing Determinants'!$B$19:$R$41,3,0)/'4. Billing Determinants'!$D$41*$D24))))),0)</f>
        <v>0</v>
      </c>
      <c r="Y24" s="40">
        <f>IFERROR(IF(Y$4="",0,IF($E24="kWh",VLOOKUP(Y$4,'4. Billing Determinants'!$B$19:$R$41,4,0)/'4. Billing Determinants'!$E$41*$D24,IF($E24="kW",VLOOKUP(Y$4,'4. Billing Determinants'!$B$19:$R$41,5,0)/'4. Billing Determinants'!$F$41*$D24,IF($E24="Non-RPP kWh",VLOOKUP(Y$4,'4. Billing Determinants'!$B$19:$R$41,6,0)/'4. Billing Determinants'!$G$41*$D24,IF($E24="Distribution Rev.",VLOOKUP(Y$4,'4. Billing Determinants'!$B$19:$R$41,8,0)/'4. Billing Determinants'!$I$41*$D24, VLOOKUP(Y$4,'4. Billing Determinants'!$B$19:$R$41,3,0)/'4. Billing Determinants'!$D$41*$D24))))),0)</f>
        <v>0</v>
      </c>
    </row>
    <row r="25" spans="1:25" x14ac:dyDescent="0.25">
      <c r="A25" s="122">
        <v>21</v>
      </c>
      <c r="B25" s="345" t="str">
        <f>IF('2b. Continuity Schedule'!C51="","",LEFT('2b. Continuity Schedule'!C51,LEN('2b. Continuity Schedule'!C51)-1))</f>
        <v>Customer Choice Initiative Costs</v>
      </c>
      <c r="C25" s="39">
        <v>1508</v>
      </c>
      <c r="D25" s="40">
        <f>'2b. Continuity Schedule'!BT51</f>
        <v>0</v>
      </c>
      <c r="E25" s="61" t="s">
        <v>139</v>
      </c>
      <c r="F25" s="40">
        <f>IFERROR(IF(F$4="",0,IF($E25="kWh",VLOOKUP(F$4,'4. Billing Determinants'!$B$19:$R$41,4,0)/'4. Billing Determinants'!$E$41*$D25,IF($E25="kW",VLOOKUP(F$4,'4. Billing Determinants'!$B$19:$R$41,5,0)/'4. Billing Determinants'!$F$41*$D25,IF($E25="Non-RPP kWh",VLOOKUP(F$4,'4. Billing Determinants'!$B$19:$R$41,6,0)/'4. Billing Determinants'!$G$41*$D25,IF($E25="Distribution Rev.",VLOOKUP(F$4,'4. Billing Determinants'!$B$19:$R$41,8,0)/'4. Billing Determinants'!$I$41*$D25, VLOOKUP(F$4,'4. Billing Determinants'!$B$19:$R$41,3,0)/'4. Billing Determinants'!$D$41*$D25))))),0)</f>
        <v>0</v>
      </c>
      <c r="G25" s="40">
        <f>IFERROR(IF(G$4="",0,IF($E25="kWh",VLOOKUP(G$4,'4. Billing Determinants'!$B$19:$R$41,4,0)/'4. Billing Determinants'!$E$41*$D25,IF($E25="kW",VLOOKUP(G$4,'4. Billing Determinants'!$B$19:$R$41,5,0)/'4. Billing Determinants'!$F$41*$D25,IF($E25="Non-RPP kWh",VLOOKUP(G$4,'4. Billing Determinants'!$B$19:$R$41,6,0)/'4. Billing Determinants'!$G$41*$D25,IF($E25="Distribution Rev.",VLOOKUP(G$4,'4. Billing Determinants'!$B$19:$R$41,8,0)/'4. Billing Determinants'!$I$41*$D25, VLOOKUP(G$4,'4. Billing Determinants'!$B$19:$R$41,3,0)/'4. Billing Determinants'!$D$41*$D25))))),0)</f>
        <v>0</v>
      </c>
      <c r="H25" s="40">
        <f>IFERROR(IF(H$4="",0,IF($E25="kWh",VLOOKUP(H$4,'4. Billing Determinants'!$B$19:$R$41,4,0)/'4. Billing Determinants'!$E$41*$D25,IF($E25="kW",VLOOKUP(H$4,'4. Billing Determinants'!$B$19:$R$41,5,0)/'4. Billing Determinants'!$F$41*$D25,IF($E25="Non-RPP kWh",VLOOKUP(H$4,'4. Billing Determinants'!$B$19:$R$41,6,0)/'4. Billing Determinants'!$G$41*$D25,IF($E25="Distribution Rev.",VLOOKUP(H$4,'4. Billing Determinants'!$B$19:$R$41,8,0)/'4. Billing Determinants'!$I$41*$D25, VLOOKUP(H$4,'4. Billing Determinants'!$B$19:$R$41,3,0)/'4. Billing Determinants'!$D$41*$D25))))),0)</f>
        <v>0</v>
      </c>
      <c r="I25" s="40">
        <f>IFERROR(IF(I$4="",0,IF($E25="kWh",VLOOKUP(I$4,'4. Billing Determinants'!$B$19:$R$41,4,0)/'4. Billing Determinants'!$E$41*$D25,IF($E25="kW",VLOOKUP(I$4,'4. Billing Determinants'!$B$19:$R$41,5,0)/'4. Billing Determinants'!$F$41*$D25,IF($E25="Non-RPP kWh",VLOOKUP(I$4,'4. Billing Determinants'!$B$19:$R$41,6,0)/'4. Billing Determinants'!$G$41*$D25,IF($E25="Distribution Rev.",VLOOKUP(I$4,'4. Billing Determinants'!$B$19:$R$41,8,0)/'4. Billing Determinants'!$I$41*$D25, VLOOKUP(I$4,'4. Billing Determinants'!$B$19:$R$41,3,0)/'4. Billing Determinants'!$D$41*$D25))))),0)</f>
        <v>0</v>
      </c>
      <c r="J25" s="40">
        <f>IFERROR(IF(J$4="",0,IF($E25="kWh",VLOOKUP(J$4,'4. Billing Determinants'!$B$19:$R$41,4,0)/'4. Billing Determinants'!$E$41*$D25,IF($E25="kW",VLOOKUP(J$4,'4. Billing Determinants'!$B$19:$R$41,5,0)/'4. Billing Determinants'!$F$41*$D25,IF($E25="Non-RPP kWh",VLOOKUP(J$4,'4. Billing Determinants'!$B$19:$R$41,6,0)/'4. Billing Determinants'!$G$41*$D25,IF($E25="Distribution Rev.",VLOOKUP(J$4,'4. Billing Determinants'!$B$19:$R$41,8,0)/'4. Billing Determinants'!$I$41*$D25, VLOOKUP(J$4,'4. Billing Determinants'!$B$19:$R$41,3,0)/'4. Billing Determinants'!$D$41*$D25))))),0)</f>
        <v>0</v>
      </c>
      <c r="K25" s="40">
        <f>IFERROR(IF(K$4="",0,IF($E25="kWh",VLOOKUP(K$4,'4. Billing Determinants'!$B$19:$R$41,4,0)/'4. Billing Determinants'!$E$41*$D25,IF($E25="kW",VLOOKUP(K$4,'4. Billing Determinants'!$B$19:$R$41,5,0)/'4. Billing Determinants'!$F$41*$D25,IF($E25="Non-RPP kWh",VLOOKUP(K$4,'4. Billing Determinants'!$B$19:$R$41,6,0)/'4. Billing Determinants'!$G$41*$D25,IF($E25="Distribution Rev.",VLOOKUP(K$4,'4. Billing Determinants'!$B$19:$R$41,8,0)/'4. Billing Determinants'!$I$41*$D25, VLOOKUP(K$4,'4. Billing Determinants'!$B$19:$R$41,3,0)/'4. Billing Determinants'!$D$41*$D25))))),0)</f>
        <v>0</v>
      </c>
      <c r="L25" s="40">
        <f>IFERROR(IF(L$4="",0,IF($E25="kWh",VLOOKUP(L$4,'4. Billing Determinants'!$B$19:$R$41,4,0)/'4. Billing Determinants'!$E$41*$D25,IF($E25="kW",VLOOKUP(L$4,'4. Billing Determinants'!$B$19:$R$41,5,0)/'4. Billing Determinants'!$F$41*$D25,IF($E25="Non-RPP kWh",VLOOKUP(L$4,'4. Billing Determinants'!$B$19:$R$41,6,0)/'4. Billing Determinants'!$G$41*$D25,IF($E25="Distribution Rev.",VLOOKUP(L$4,'4. Billing Determinants'!$B$19:$R$41,8,0)/'4. Billing Determinants'!$I$41*$D25, VLOOKUP(L$4,'4. Billing Determinants'!$B$19:$R$41,3,0)/'4. Billing Determinants'!$D$41*$D25))))),0)</f>
        <v>0</v>
      </c>
      <c r="M25" s="40">
        <f>IFERROR(IF(M$4="",0,IF($E25="kWh",VLOOKUP(M$4,'4. Billing Determinants'!$B$19:$R$41,4,0)/'4. Billing Determinants'!$E$41*$D25,IF($E25="kW",VLOOKUP(M$4,'4. Billing Determinants'!$B$19:$R$41,5,0)/'4. Billing Determinants'!$F$41*$D25,IF($E25="Non-RPP kWh",VLOOKUP(M$4,'4. Billing Determinants'!$B$19:$R$41,6,0)/'4. Billing Determinants'!$G$41*$D25,IF($E25="Distribution Rev.",VLOOKUP(M$4,'4. Billing Determinants'!$B$19:$R$41,8,0)/'4. Billing Determinants'!$I$41*$D25, VLOOKUP(M$4,'4. Billing Determinants'!$B$19:$R$41,3,0)/'4. Billing Determinants'!$D$41*$D25))))),0)</f>
        <v>0</v>
      </c>
      <c r="N25" s="40">
        <f>IFERROR(IF(N$4="",0,IF($E25="kWh",VLOOKUP(N$4,'4. Billing Determinants'!$B$19:$R$41,4,0)/'4. Billing Determinants'!$E$41*$D25,IF($E25="kW",VLOOKUP(N$4,'4. Billing Determinants'!$B$19:$R$41,5,0)/'4. Billing Determinants'!$F$41*$D25,IF($E25="Non-RPP kWh",VLOOKUP(N$4,'4. Billing Determinants'!$B$19:$R$41,6,0)/'4. Billing Determinants'!$G$41*$D25,IF($E25="Distribution Rev.",VLOOKUP(N$4,'4. Billing Determinants'!$B$19:$R$41,8,0)/'4. Billing Determinants'!$I$41*$D25, VLOOKUP(N$4,'4. Billing Determinants'!$B$19:$R$41,3,0)/'4. Billing Determinants'!$D$41*$D25))))),0)</f>
        <v>0</v>
      </c>
      <c r="O25" s="40">
        <f>IFERROR(IF(O$4="",0,IF($E25="kWh",VLOOKUP(O$4,'4. Billing Determinants'!$B$19:$R$41,4,0)/'4. Billing Determinants'!$E$41*$D25,IF($E25="kW",VLOOKUP(O$4,'4. Billing Determinants'!$B$19:$R$41,5,0)/'4. Billing Determinants'!$F$41*$D25,IF($E25="Non-RPP kWh",VLOOKUP(O$4,'4. Billing Determinants'!$B$19:$R$41,6,0)/'4. Billing Determinants'!$G$41*$D25,IF($E25="Distribution Rev.",VLOOKUP(O$4,'4. Billing Determinants'!$B$19:$R$41,8,0)/'4. Billing Determinants'!$I$41*$D25, VLOOKUP(O$4,'4. Billing Determinants'!$B$19:$R$41,3,0)/'4. Billing Determinants'!$D$41*$D25))))),0)</f>
        <v>0</v>
      </c>
      <c r="P25" s="40">
        <f>IFERROR(IF(P$4="",0,IF($E25="kWh",VLOOKUP(P$4,'4. Billing Determinants'!$B$19:$R$41,4,0)/'4. Billing Determinants'!$E$41*$D25,IF($E25="kW",VLOOKUP(P$4,'4. Billing Determinants'!$B$19:$R$41,5,0)/'4. Billing Determinants'!$F$41*$D25,IF($E25="Non-RPP kWh",VLOOKUP(P$4,'4. Billing Determinants'!$B$19:$R$41,6,0)/'4. Billing Determinants'!$G$41*$D25,IF($E25="Distribution Rev.",VLOOKUP(P$4,'4. Billing Determinants'!$B$19:$R$41,8,0)/'4. Billing Determinants'!$I$41*$D25, VLOOKUP(P$4,'4. Billing Determinants'!$B$19:$R$41,3,0)/'4. Billing Determinants'!$D$41*$D25))))),0)</f>
        <v>0</v>
      </c>
      <c r="Q25" s="40">
        <f>IFERROR(IF(Q$4="",0,IF($E25="kWh",VLOOKUP(Q$4,'4. Billing Determinants'!$B$19:$R$41,4,0)/'4. Billing Determinants'!$E$41*$D25,IF($E25="kW",VLOOKUP(Q$4,'4. Billing Determinants'!$B$19:$R$41,5,0)/'4. Billing Determinants'!$F$41*$D25,IF($E25="Non-RPP kWh",VLOOKUP(Q$4,'4. Billing Determinants'!$B$19:$R$41,6,0)/'4. Billing Determinants'!$G$41*$D25,IF($E25="Distribution Rev.",VLOOKUP(Q$4,'4. Billing Determinants'!$B$19:$R$41,8,0)/'4. Billing Determinants'!$I$41*$D25, VLOOKUP(Q$4,'4. Billing Determinants'!$B$19:$R$41,3,0)/'4. Billing Determinants'!$D$41*$D25))))),0)</f>
        <v>0</v>
      </c>
      <c r="R25" s="40">
        <f>IFERROR(IF(R$4="",0,IF($E25="kWh",VLOOKUP(R$4,'4. Billing Determinants'!$B$19:$R$41,4,0)/'4. Billing Determinants'!$E$41*$D25,IF($E25="kW",VLOOKUP(R$4,'4. Billing Determinants'!$B$19:$R$41,5,0)/'4. Billing Determinants'!$F$41*$D25,IF($E25="Non-RPP kWh",VLOOKUP(R$4,'4. Billing Determinants'!$B$19:$R$41,6,0)/'4. Billing Determinants'!$G$41*$D25,IF($E25="Distribution Rev.",VLOOKUP(R$4,'4. Billing Determinants'!$B$19:$R$41,8,0)/'4. Billing Determinants'!$I$41*$D25, VLOOKUP(R$4,'4. Billing Determinants'!$B$19:$R$41,3,0)/'4. Billing Determinants'!$D$41*$D25))))),0)</f>
        <v>0</v>
      </c>
      <c r="S25" s="40">
        <f>IFERROR(IF(S$4="",0,IF($E25="kWh",VLOOKUP(S$4,'4. Billing Determinants'!$B$19:$R$41,4,0)/'4. Billing Determinants'!$E$41*$D25,IF($E25="kW",VLOOKUP(S$4,'4. Billing Determinants'!$B$19:$R$41,5,0)/'4. Billing Determinants'!$F$41*$D25,IF($E25="Non-RPP kWh",VLOOKUP(S$4,'4. Billing Determinants'!$B$19:$R$41,6,0)/'4. Billing Determinants'!$G$41*$D25,IF($E25="Distribution Rev.",VLOOKUP(S$4,'4. Billing Determinants'!$B$19:$R$41,8,0)/'4. Billing Determinants'!$I$41*$D25, VLOOKUP(S$4,'4. Billing Determinants'!$B$19:$R$41,3,0)/'4. Billing Determinants'!$D$41*$D25))))),0)</f>
        <v>0</v>
      </c>
      <c r="T25" s="40">
        <f>IFERROR(IF(T$4="",0,IF($E25="kWh",VLOOKUP(T$4,'4. Billing Determinants'!$B$19:$R$41,4,0)/'4. Billing Determinants'!$E$41*$D25,IF($E25="kW",VLOOKUP(T$4,'4. Billing Determinants'!$B$19:$R$41,5,0)/'4. Billing Determinants'!$F$41*$D25,IF($E25="Non-RPP kWh",VLOOKUP(T$4,'4. Billing Determinants'!$B$19:$R$41,6,0)/'4. Billing Determinants'!$G$41*$D25,IF($E25="Distribution Rev.",VLOOKUP(T$4,'4. Billing Determinants'!$B$19:$R$41,8,0)/'4. Billing Determinants'!$I$41*$D25, VLOOKUP(T$4,'4. Billing Determinants'!$B$19:$R$41,3,0)/'4. Billing Determinants'!$D$41*$D25))))),0)</f>
        <v>0</v>
      </c>
      <c r="U25" s="40">
        <f>IFERROR(IF(U$4="",0,IF($E25="kWh",VLOOKUP(U$4,'4. Billing Determinants'!$B$19:$R$41,4,0)/'4. Billing Determinants'!$E$41*$D25,IF($E25="kW",VLOOKUP(U$4,'4. Billing Determinants'!$B$19:$R$41,5,0)/'4. Billing Determinants'!$F$41*$D25,IF($E25="Non-RPP kWh",VLOOKUP(U$4,'4. Billing Determinants'!$B$19:$R$41,6,0)/'4. Billing Determinants'!$G$41*$D25,IF($E25="Distribution Rev.",VLOOKUP(U$4,'4. Billing Determinants'!$B$19:$R$41,8,0)/'4. Billing Determinants'!$I$41*$D25, VLOOKUP(U$4,'4. Billing Determinants'!$B$19:$R$41,3,0)/'4. Billing Determinants'!$D$41*$D25))))),0)</f>
        <v>0</v>
      </c>
      <c r="V25" s="40">
        <f>IFERROR(IF(V$4="",0,IF($E25="kWh",VLOOKUP(V$4,'4. Billing Determinants'!$B$19:$R$41,4,0)/'4. Billing Determinants'!$E$41*$D25,IF($E25="kW",VLOOKUP(V$4,'4. Billing Determinants'!$B$19:$R$41,5,0)/'4. Billing Determinants'!$F$41*$D25,IF($E25="Non-RPP kWh",VLOOKUP(V$4,'4. Billing Determinants'!$B$19:$R$41,6,0)/'4. Billing Determinants'!$G$41*$D25,IF($E25="Distribution Rev.",VLOOKUP(V$4,'4. Billing Determinants'!$B$19:$R$41,8,0)/'4. Billing Determinants'!$I$41*$D25, VLOOKUP(V$4,'4. Billing Determinants'!$B$19:$R$41,3,0)/'4. Billing Determinants'!$D$41*$D25))))),0)</f>
        <v>0</v>
      </c>
      <c r="W25" s="40">
        <f>IFERROR(IF(W$4="",0,IF($E25="kWh",VLOOKUP(W$4,'4. Billing Determinants'!$B$19:$R$41,4,0)/'4. Billing Determinants'!$E$41*$D25,IF($E25="kW",VLOOKUP(W$4,'4. Billing Determinants'!$B$19:$R$41,5,0)/'4. Billing Determinants'!$F$41*$D25,IF($E25="Non-RPP kWh",VLOOKUP(W$4,'4. Billing Determinants'!$B$19:$R$41,6,0)/'4. Billing Determinants'!$G$41*$D25,IF($E25="Distribution Rev.",VLOOKUP(W$4,'4. Billing Determinants'!$B$19:$R$41,8,0)/'4. Billing Determinants'!$I$41*$D25, VLOOKUP(W$4,'4. Billing Determinants'!$B$19:$R$41,3,0)/'4. Billing Determinants'!$D$41*$D25))))),0)</f>
        <v>0</v>
      </c>
      <c r="X25" s="40">
        <f>IFERROR(IF(X$4="",0,IF($E25="kWh",VLOOKUP(X$4,'4. Billing Determinants'!$B$19:$R$41,4,0)/'4. Billing Determinants'!$E$41*$D25,IF($E25="kW",VLOOKUP(X$4,'4. Billing Determinants'!$B$19:$R$41,5,0)/'4. Billing Determinants'!$F$41*$D25,IF($E25="Non-RPP kWh",VLOOKUP(X$4,'4. Billing Determinants'!$B$19:$R$41,6,0)/'4. Billing Determinants'!$G$41*$D25,IF($E25="Distribution Rev.",VLOOKUP(X$4,'4. Billing Determinants'!$B$19:$R$41,8,0)/'4. Billing Determinants'!$I$41*$D25, VLOOKUP(X$4,'4. Billing Determinants'!$B$19:$R$41,3,0)/'4. Billing Determinants'!$D$41*$D25))))),0)</f>
        <v>0</v>
      </c>
      <c r="Y25" s="40">
        <f>IFERROR(IF(Y$4="",0,IF($E25="kWh",VLOOKUP(Y$4,'4. Billing Determinants'!$B$19:$R$41,4,0)/'4. Billing Determinants'!$E$41*$D25,IF($E25="kW",VLOOKUP(Y$4,'4. Billing Determinants'!$B$19:$R$41,5,0)/'4. Billing Determinants'!$F$41*$D25,IF($E25="Non-RPP kWh",VLOOKUP(Y$4,'4. Billing Determinants'!$B$19:$R$41,6,0)/'4. Billing Determinants'!$G$41*$D25,IF($E25="Distribution Rev.",VLOOKUP(Y$4,'4. Billing Determinants'!$B$19:$R$41,8,0)/'4. Billing Determinants'!$I$41*$D25, VLOOKUP(Y$4,'4. Billing Determinants'!$B$19:$R$41,3,0)/'4. Billing Determinants'!$D$41*$D25))))),0)</f>
        <v>0</v>
      </c>
    </row>
    <row r="26" spans="1:25" x14ac:dyDescent="0.25">
      <c r="B26" s="345" t="str">
        <f>IF('2b. Continuity Schedule'!C52="","",LEFT('2b. Continuity Schedule'!C52,LEN('2b. Continuity Schedule'!C52)-1))</f>
        <v>Local Initiatives Program Costs</v>
      </c>
      <c r="C26" s="39">
        <v>1508</v>
      </c>
      <c r="D26" s="40">
        <f>'2b. Continuity Schedule'!BT52</f>
        <v>0</v>
      </c>
      <c r="E26" s="61" t="s">
        <v>139</v>
      </c>
      <c r="F26" s="40">
        <f>IFERROR(IF(F$4="",0,IF($E26="kWh",VLOOKUP(F$4,'4. Billing Determinants'!$B$19:$R$41,4,0)/'4. Billing Determinants'!$E$41*$D26,IF($E26="kW",VLOOKUP(F$4,'4. Billing Determinants'!$B$19:$R$41,5,0)/'4. Billing Determinants'!$F$41*$D26,IF($E26="Non-RPP kWh",VLOOKUP(F$4,'4. Billing Determinants'!$B$19:$R$41,6,0)/'4. Billing Determinants'!$G$41*$D26,IF($E26="Distribution Rev.",VLOOKUP(F$4,'4. Billing Determinants'!$B$19:$R$41,8,0)/'4. Billing Determinants'!$I$41*$D26, VLOOKUP(F$4,'4. Billing Determinants'!$B$19:$R$41,3,0)/'4. Billing Determinants'!$D$41*$D26))))),0)</f>
        <v>0</v>
      </c>
      <c r="G26" s="40">
        <f>IFERROR(IF(G$4="",0,IF($E26="kWh",VLOOKUP(G$4,'4. Billing Determinants'!$B$19:$R$41,4,0)/'4. Billing Determinants'!$E$41*$D26,IF($E26="kW",VLOOKUP(G$4,'4. Billing Determinants'!$B$19:$R$41,5,0)/'4. Billing Determinants'!$F$41*$D26,IF($E26="Non-RPP kWh",VLOOKUP(G$4,'4. Billing Determinants'!$B$19:$R$41,6,0)/'4. Billing Determinants'!$G$41*$D26,IF($E26="Distribution Rev.",VLOOKUP(G$4,'4. Billing Determinants'!$B$19:$R$41,8,0)/'4. Billing Determinants'!$I$41*$D26, VLOOKUP(G$4,'4. Billing Determinants'!$B$19:$R$41,3,0)/'4. Billing Determinants'!$D$41*$D26))))),0)</f>
        <v>0</v>
      </c>
      <c r="H26" s="40">
        <f>IFERROR(IF(H$4="",0,IF($E26="kWh",VLOOKUP(H$4,'4. Billing Determinants'!$B$19:$R$41,4,0)/'4. Billing Determinants'!$E$41*$D26,IF($E26="kW",VLOOKUP(H$4,'4. Billing Determinants'!$B$19:$R$41,5,0)/'4. Billing Determinants'!$F$41*$D26,IF($E26="Non-RPP kWh",VLOOKUP(H$4,'4. Billing Determinants'!$B$19:$R$41,6,0)/'4. Billing Determinants'!$G$41*$D26,IF($E26="Distribution Rev.",VLOOKUP(H$4,'4. Billing Determinants'!$B$19:$R$41,8,0)/'4. Billing Determinants'!$I$41*$D26, VLOOKUP(H$4,'4. Billing Determinants'!$B$19:$R$41,3,0)/'4. Billing Determinants'!$D$41*$D26))))),0)</f>
        <v>0</v>
      </c>
      <c r="I26" s="40">
        <f>IFERROR(IF(I$4="",0,IF($E26="kWh",VLOOKUP(I$4,'4. Billing Determinants'!$B$19:$R$41,4,0)/'4. Billing Determinants'!$E$41*$D26,IF($E26="kW",VLOOKUP(I$4,'4. Billing Determinants'!$B$19:$R$41,5,0)/'4. Billing Determinants'!$F$41*$D26,IF($E26="Non-RPP kWh",VLOOKUP(I$4,'4. Billing Determinants'!$B$19:$R$41,6,0)/'4. Billing Determinants'!$G$41*$D26,IF($E26="Distribution Rev.",VLOOKUP(I$4,'4. Billing Determinants'!$B$19:$R$41,8,0)/'4. Billing Determinants'!$I$41*$D26, VLOOKUP(I$4,'4. Billing Determinants'!$B$19:$R$41,3,0)/'4. Billing Determinants'!$D$41*$D26))))),0)</f>
        <v>0</v>
      </c>
      <c r="J26" s="40">
        <f>IFERROR(IF(J$4="",0,IF($E26="kWh",VLOOKUP(J$4,'4. Billing Determinants'!$B$19:$R$41,4,0)/'4. Billing Determinants'!$E$41*$D26,IF($E26="kW",VLOOKUP(J$4,'4. Billing Determinants'!$B$19:$R$41,5,0)/'4. Billing Determinants'!$F$41*$D26,IF($E26="Non-RPP kWh",VLOOKUP(J$4,'4. Billing Determinants'!$B$19:$R$41,6,0)/'4. Billing Determinants'!$G$41*$D26,IF($E26="Distribution Rev.",VLOOKUP(J$4,'4. Billing Determinants'!$B$19:$R$41,8,0)/'4. Billing Determinants'!$I$41*$D26, VLOOKUP(J$4,'4. Billing Determinants'!$B$19:$R$41,3,0)/'4. Billing Determinants'!$D$41*$D26))))),0)</f>
        <v>0</v>
      </c>
      <c r="K26" s="40">
        <f>IFERROR(IF(K$4="",0,IF($E26="kWh",VLOOKUP(K$4,'4. Billing Determinants'!$B$19:$R$41,4,0)/'4. Billing Determinants'!$E$41*$D26,IF($E26="kW",VLOOKUP(K$4,'4. Billing Determinants'!$B$19:$R$41,5,0)/'4. Billing Determinants'!$F$41*$D26,IF($E26="Non-RPP kWh",VLOOKUP(K$4,'4. Billing Determinants'!$B$19:$R$41,6,0)/'4. Billing Determinants'!$G$41*$D26,IF($E26="Distribution Rev.",VLOOKUP(K$4,'4. Billing Determinants'!$B$19:$R$41,8,0)/'4. Billing Determinants'!$I$41*$D26, VLOOKUP(K$4,'4. Billing Determinants'!$B$19:$R$41,3,0)/'4. Billing Determinants'!$D$41*$D26))))),0)</f>
        <v>0</v>
      </c>
      <c r="L26" s="40">
        <f>IFERROR(IF(L$4="",0,IF($E26="kWh",VLOOKUP(L$4,'4. Billing Determinants'!$B$19:$R$41,4,0)/'4. Billing Determinants'!$E$41*$D26,IF($E26="kW",VLOOKUP(L$4,'4. Billing Determinants'!$B$19:$R$41,5,0)/'4. Billing Determinants'!$F$41*$D26,IF($E26="Non-RPP kWh",VLOOKUP(L$4,'4. Billing Determinants'!$B$19:$R$41,6,0)/'4. Billing Determinants'!$G$41*$D26,IF($E26="Distribution Rev.",VLOOKUP(L$4,'4. Billing Determinants'!$B$19:$R$41,8,0)/'4. Billing Determinants'!$I$41*$D26, VLOOKUP(L$4,'4. Billing Determinants'!$B$19:$R$41,3,0)/'4. Billing Determinants'!$D$41*$D26))))),0)</f>
        <v>0</v>
      </c>
      <c r="M26" s="40">
        <f>IFERROR(IF(M$4="",0,IF($E26="kWh",VLOOKUP(M$4,'4. Billing Determinants'!$B$19:$R$41,4,0)/'4. Billing Determinants'!$E$41*$D26,IF($E26="kW",VLOOKUP(M$4,'4. Billing Determinants'!$B$19:$R$41,5,0)/'4. Billing Determinants'!$F$41*$D26,IF($E26="Non-RPP kWh",VLOOKUP(M$4,'4. Billing Determinants'!$B$19:$R$41,6,0)/'4. Billing Determinants'!$G$41*$D26,IF($E26="Distribution Rev.",VLOOKUP(M$4,'4. Billing Determinants'!$B$19:$R$41,8,0)/'4. Billing Determinants'!$I$41*$D26, VLOOKUP(M$4,'4. Billing Determinants'!$B$19:$R$41,3,0)/'4. Billing Determinants'!$D$41*$D26))))),0)</f>
        <v>0</v>
      </c>
      <c r="N26" s="40">
        <f>IFERROR(IF(N$4="",0,IF($E26="kWh",VLOOKUP(N$4,'4. Billing Determinants'!$B$19:$R$41,4,0)/'4. Billing Determinants'!$E$41*$D26,IF($E26="kW",VLOOKUP(N$4,'4. Billing Determinants'!$B$19:$R$41,5,0)/'4. Billing Determinants'!$F$41*$D26,IF($E26="Non-RPP kWh",VLOOKUP(N$4,'4. Billing Determinants'!$B$19:$R$41,6,0)/'4. Billing Determinants'!$G$41*$D26,IF($E26="Distribution Rev.",VLOOKUP(N$4,'4. Billing Determinants'!$B$19:$R$41,8,0)/'4. Billing Determinants'!$I$41*$D26, VLOOKUP(N$4,'4. Billing Determinants'!$B$19:$R$41,3,0)/'4. Billing Determinants'!$D$41*$D26))))),0)</f>
        <v>0</v>
      </c>
      <c r="O26" s="40">
        <f>IFERROR(IF(O$4="",0,IF($E26="kWh",VLOOKUP(O$4,'4. Billing Determinants'!$B$19:$R$41,4,0)/'4. Billing Determinants'!$E$41*$D26,IF($E26="kW",VLOOKUP(O$4,'4. Billing Determinants'!$B$19:$R$41,5,0)/'4. Billing Determinants'!$F$41*$D26,IF($E26="Non-RPP kWh",VLOOKUP(O$4,'4. Billing Determinants'!$B$19:$R$41,6,0)/'4. Billing Determinants'!$G$41*$D26,IF($E26="Distribution Rev.",VLOOKUP(O$4,'4. Billing Determinants'!$B$19:$R$41,8,0)/'4. Billing Determinants'!$I$41*$D26, VLOOKUP(O$4,'4. Billing Determinants'!$B$19:$R$41,3,0)/'4. Billing Determinants'!$D$41*$D26))))),0)</f>
        <v>0</v>
      </c>
      <c r="P26" s="40">
        <f>IFERROR(IF(P$4="",0,IF($E26="kWh",VLOOKUP(P$4,'4. Billing Determinants'!$B$19:$R$41,4,0)/'4. Billing Determinants'!$E$41*$D26,IF($E26="kW",VLOOKUP(P$4,'4. Billing Determinants'!$B$19:$R$41,5,0)/'4. Billing Determinants'!$F$41*$D26,IF($E26="Non-RPP kWh",VLOOKUP(P$4,'4. Billing Determinants'!$B$19:$R$41,6,0)/'4. Billing Determinants'!$G$41*$D26,IF($E26="Distribution Rev.",VLOOKUP(P$4,'4. Billing Determinants'!$B$19:$R$41,8,0)/'4. Billing Determinants'!$I$41*$D26, VLOOKUP(P$4,'4. Billing Determinants'!$B$19:$R$41,3,0)/'4. Billing Determinants'!$D$41*$D26))))),0)</f>
        <v>0</v>
      </c>
      <c r="Q26" s="40">
        <f>IFERROR(IF(Q$4="",0,IF($E26="kWh",VLOOKUP(Q$4,'4. Billing Determinants'!$B$19:$R$41,4,0)/'4. Billing Determinants'!$E$41*$D26,IF($E26="kW",VLOOKUP(Q$4,'4. Billing Determinants'!$B$19:$R$41,5,0)/'4. Billing Determinants'!$F$41*$D26,IF($E26="Non-RPP kWh",VLOOKUP(Q$4,'4. Billing Determinants'!$B$19:$R$41,6,0)/'4. Billing Determinants'!$G$41*$D26,IF($E26="Distribution Rev.",VLOOKUP(Q$4,'4. Billing Determinants'!$B$19:$R$41,8,0)/'4. Billing Determinants'!$I$41*$D26, VLOOKUP(Q$4,'4. Billing Determinants'!$B$19:$R$41,3,0)/'4. Billing Determinants'!$D$41*$D26))))),0)</f>
        <v>0</v>
      </c>
      <c r="R26" s="40">
        <f>IFERROR(IF(R$4="",0,IF($E26="kWh",VLOOKUP(R$4,'4. Billing Determinants'!$B$19:$R$41,4,0)/'4. Billing Determinants'!$E$41*$D26,IF($E26="kW",VLOOKUP(R$4,'4. Billing Determinants'!$B$19:$R$41,5,0)/'4. Billing Determinants'!$F$41*$D26,IF($E26="Non-RPP kWh",VLOOKUP(R$4,'4. Billing Determinants'!$B$19:$R$41,6,0)/'4. Billing Determinants'!$G$41*$D26,IF($E26="Distribution Rev.",VLOOKUP(R$4,'4. Billing Determinants'!$B$19:$R$41,8,0)/'4. Billing Determinants'!$I$41*$D26, VLOOKUP(R$4,'4. Billing Determinants'!$B$19:$R$41,3,0)/'4. Billing Determinants'!$D$41*$D26))))),0)</f>
        <v>0</v>
      </c>
      <c r="S26" s="40">
        <f>IFERROR(IF(S$4="",0,IF($E26="kWh",VLOOKUP(S$4,'4. Billing Determinants'!$B$19:$R$41,4,0)/'4. Billing Determinants'!$E$41*$D26,IF($E26="kW",VLOOKUP(S$4,'4. Billing Determinants'!$B$19:$R$41,5,0)/'4. Billing Determinants'!$F$41*$D26,IF($E26="Non-RPP kWh",VLOOKUP(S$4,'4. Billing Determinants'!$B$19:$R$41,6,0)/'4. Billing Determinants'!$G$41*$D26,IF($E26="Distribution Rev.",VLOOKUP(S$4,'4. Billing Determinants'!$B$19:$R$41,8,0)/'4. Billing Determinants'!$I$41*$D26, VLOOKUP(S$4,'4. Billing Determinants'!$B$19:$R$41,3,0)/'4. Billing Determinants'!$D$41*$D26))))),0)</f>
        <v>0</v>
      </c>
      <c r="T26" s="40">
        <f>IFERROR(IF(T$4="",0,IF($E26="kWh",VLOOKUP(T$4,'4. Billing Determinants'!$B$19:$R$41,4,0)/'4. Billing Determinants'!$E$41*$D26,IF($E26="kW",VLOOKUP(T$4,'4. Billing Determinants'!$B$19:$R$41,5,0)/'4. Billing Determinants'!$F$41*$D26,IF($E26="Non-RPP kWh",VLOOKUP(T$4,'4. Billing Determinants'!$B$19:$R$41,6,0)/'4. Billing Determinants'!$G$41*$D26,IF($E26="Distribution Rev.",VLOOKUP(T$4,'4. Billing Determinants'!$B$19:$R$41,8,0)/'4. Billing Determinants'!$I$41*$D26, VLOOKUP(T$4,'4. Billing Determinants'!$B$19:$R$41,3,0)/'4. Billing Determinants'!$D$41*$D26))))),0)</f>
        <v>0</v>
      </c>
      <c r="U26" s="40">
        <f>IFERROR(IF(U$4="",0,IF($E26="kWh",VLOOKUP(U$4,'4. Billing Determinants'!$B$19:$R$41,4,0)/'4. Billing Determinants'!$E$41*$D26,IF($E26="kW",VLOOKUP(U$4,'4. Billing Determinants'!$B$19:$R$41,5,0)/'4. Billing Determinants'!$F$41*$D26,IF($E26="Non-RPP kWh",VLOOKUP(U$4,'4. Billing Determinants'!$B$19:$R$41,6,0)/'4. Billing Determinants'!$G$41*$D26,IF($E26="Distribution Rev.",VLOOKUP(U$4,'4. Billing Determinants'!$B$19:$R$41,8,0)/'4. Billing Determinants'!$I$41*$D26, VLOOKUP(U$4,'4. Billing Determinants'!$B$19:$R$41,3,0)/'4. Billing Determinants'!$D$41*$D26))))),0)</f>
        <v>0</v>
      </c>
      <c r="V26" s="40">
        <f>IFERROR(IF(V$4="",0,IF($E26="kWh",VLOOKUP(V$4,'4. Billing Determinants'!$B$19:$R$41,4,0)/'4. Billing Determinants'!$E$41*$D26,IF($E26="kW",VLOOKUP(V$4,'4. Billing Determinants'!$B$19:$R$41,5,0)/'4. Billing Determinants'!$F$41*$D26,IF($E26="Non-RPP kWh",VLOOKUP(V$4,'4. Billing Determinants'!$B$19:$R$41,6,0)/'4. Billing Determinants'!$G$41*$D26,IF($E26="Distribution Rev.",VLOOKUP(V$4,'4. Billing Determinants'!$B$19:$R$41,8,0)/'4. Billing Determinants'!$I$41*$D26, VLOOKUP(V$4,'4. Billing Determinants'!$B$19:$R$41,3,0)/'4. Billing Determinants'!$D$41*$D26))))),0)</f>
        <v>0</v>
      </c>
      <c r="W26" s="40">
        <f>IFERROR(IF(W$4="",0,IF($E26="kWh",VLOOKUP(W$4,'4. Billing Determinants'!$B$19:$R$41,4,0)/'4. Billing Determinants'!$E$41*$D26,IF($E26="kW",VLOOKUP(W$4,'4. Billing Determinants'!$B$19:$R$41,5,0)/'4. Billing Determinants'!$F$41*$D26,IF($E26="Non-RPP kWh",VLOOKUP(W$4,'4. Billing Determinants'!$B$19:$R$41,6,0)/'4. Billing Determinants'!$G$41*$D26,IF($E26="Distribution Rev.",VLOOKUP(W$4,'4. Billing Determinants'!$B$19:$R$41,8,0)/'4. Billing Determinants'!$I$41*$D26, VLOOKUP(W$4,'4. Billing Determinants'!$B$19:$R$41,3,0)/'4. Billing Determinants'!$D$41*$D26))))),0)</f>
        <v>0</v>
      </c>
      <c r="X26" s="40">
        <f>IFERROR(IF(X$4="",0,IF($E26="kWh",VLOOKUP(X$4,'4. Billing Determinants'!$B$19:$R$41,4,0)/'4. Billing Determinants'!$E$41*$D26,IF($E26="kW",VLOOKUP(X$4,'4. Billing Determinants'!$B$19:$R$41,5,0)/'4. Billing Determinants'!$F$41*$D26,IF($E26="Non-RPP kWh",VLOOKUP(X$4,'4. Billing Determinants'!$B$19:$R$41,6,0)/'4. Billing Determinants'!$G$41*$D26,IF($E26="Distribution Rev.",VLOOKUP(X$4,'4. Billing Determinants'!$B$19:$R$41,8,0)/'4. Billing Determinants'!$I$41*$D26, VLOOKUP(X$4,'4. Billing Determinants'!$B$19:$R$41,3,0)/'4. Billing Determinants'!$D$41*$D26))))),0)</f>
        <v>0</v>
      </c>
      <c r="Y26" s="40">
        <f>IFERROR(IF(Y$4="",0,IF($E26="kWh",VLOOKUP(Y$4,'4. Billing Determinants'!$B$19:$R$41,4,0)/'4. Billing Determinants'!$E$41*$D26,IF($E26="kW",VLOOKUP(Y$4,'4. Billing Determinants'!$B$19:$R$41,5,0)/'4. Billing Determinants'!$F$41*$D26,IF($E26="Non-RPP kWh",VLOOKUP(Y$4,'4. Billing Determinants'!$B$19:$R$41,6,0)/'4. Billing Determinants'!$G$41*$D26,IF($E26="Distribution Rev.",VLOOKUP(Y$4,'4. Billing Determinants'!$B$19:$R$41,8,0)/'4. Billing Determinants'!$I$41*$D26, VLOOKUP(Y$4,'4. Billing Determinants'!$B$19:$R$41,3,0)/'4. Billing Determinants'!$D$41*$D26))))),0)</f>
        <v>0</v>
      </c>
    </row>
    <row r="27" spans="1:25" x14ac:dyDescent="0.25">
      <c r="B27" s="345" t="str">
        <f>IF('2b. Continuity Schedule'!C53="","",LEFT('2b. Continuity Schedule'!C53,LEN('2b. Continuity Schedule'!C53)-2))</f>
        <v>Green Button Initiative Costs</v>
      </c>
      <c r="C27" s="39">
        <v>1508</v>
      </c>
      <c r="D27" s="40">
        <f>'2b. Continuity Schedule'!BT53</f>
        <v>0</v>
      </c>
      <c r="E27" s="61" t="s">
        <v>139</v>
      </c>
      <c r="F27" s="40">
        <f>IFERROR(IF(F$4="",0,IF($E27="kWh",VLOOKUP(F$4,'4. Billing Determinants'!$B$19:$R$41,4,0)/'4. Billing Determinants'!$E$41*$D27,IF($E27="kW",VLOOKUP(F$4,'4. Billing Determinants'!$B$19:$R$41,5,0)/'4. Billing Determinants'!$F$41*$D27,IF($E27="Non-RPP kWh",VLOOKUP(F$4,'4. Billing Determinants'!$B$19:$R$41,6,0)/'4. Billing Determinants'!$G$41*$D27,IF($E27="Distribution Rev.",VLOOKUP(F$4,'4. Billing Determinants'!$B$19:$R$41,8,0)/'4. Billing Determinants'!$I$41*$D27, VLOOKUP(F$4,'4. Billing Determinants'!$B$19:$R$41,3,0)/'4. Billing Determinants'!$D$41*$D27))))),0)</f>
        <v>0</v>
      </c>
      <c r="G27" s="40">
        <f>IFERROR(IF(G$4="",0,IF($E27="kWh",VLOOKUP(G$4,'4. Billing Determinants'!$B$19:$R$41,4,0)/'4. Billing Determinants'!$E$41*$D27,IF($E27="kW",VLOOKUP(G$4,'4. Billing Determinants'!$B$19:$R$41,5,0)/'4. Billing Determinants'!$F$41*$D27,IF($E27="Non-RPP kWh",VLOOKUP(G$4,'4. Billing Determinants'!$B$19:$R$41,6,0)/'4. Billing Determinants'!$G$41*$D27,IF($E27="Distribution Rev.",VLOOKUP(G$4,'4. Billing Determinants'!$B$19:$R$41,8,0)/'4. Billing Determinants'!$I$41*$D27, VLOOKUP(G$4,'4. Billing Determinants'!$B$19:$R$41,3,0)/'4. Billing Determinants'!$D$41*$D27))))),0)</f>
        <v>0</v>
      </c>
      <c r="H27" s="40">
        <f>IFERROR(IF(H$4="",0,IF($E27="kWh",VLOOKUP(H$4,'4. Billing Determinants'!$B$19:$R$41,4,0)/'4. Billing Determinants'!$E$41*$D27,IF($E27="kW",VLOOKUP(H$4,'4. Billing Determinants'!$B$19:$R$41,5,0)/'4. Billing Determinants'!$F$41*$D27,IF($E27="Non-RPP kWh",VLOOKUP(H$4,'4. Billing Determinants'!$B$19:$R$41,6,0)/'4. Billing Determinants'!$G$41*$D27,IF($E27="Distribution Rev.",VLOOKUP(H$4,'4. Billing Determinants'!$B$19:$R$41,8,0)/'4. Billing Determinants'!$I$41*$D27, VLOOKUP(H$4,'4. Billing Determinants'!$B$19:$R$41,3,0)/'4. Billing Determinants'!$D$41*$D27))))),0)</f>
        <v>0</v>
      </c>
      <c r="I27" s="40">
        <f>IFERROR(IF(I$4="",0,IF($E27="kWh",VLOOKUP(I$4,'4. Billing Determinants'!$B$19:$R$41,4,0)/'4. Billing Determinants'!$E$41*$D27,IF($E27="kW",VLOOKUP(I$4,'4. Billing Determinants'!$B$19:$R$41,5,0)/'4. Billing Determinants'!$F$41*$D27,IF($E27="Non-RPP kWh",VLOOKUP(I$4,'4. Billing Determinants'!$B$19:$R$41,6,0)/'4. Billing Determinants'!$G$41*$D27,IF($E27="Distribution Rev.",VLOOKUP(I$4,'4. Billing Determinants'!$B$19:$R$41,8,0)/'4. Billing Determinants'!$I$41*$D27, VLOOKUP(I$4,'4. Billing Determinants'!$B$19:$R$41,3,0)/'4. Billing Determinants'!$D$41*$D27))))),0)</f>
        <v>0</v>
      </c>
      <c r="J27" s="40">
        <f>IFERROR(IF(J$4="",0,IF($E27="kWh",VLOOKUP(J$4,'4. Billing Determinants'!$B$19:$R$41,4,0)/'4. Billing Determinants'!$E$41*$D27,IF($E27="kW",VLOOKUP(J$4,'4. Billing Determinants'!$B$19:$R$41,5,0)/'4. Billing Determinants'!$F$41*$D27,IF($E27="Non-RPP kWh",VLOOKUP(J$4,'4. Billing Determinants'!$B$19:$R$41,6,0)/'4. Billing Determinants'!$G$41*$D27,IF($E27="Distribution Rev.",VLOOKUP(J$4,'4. Billing Determinants'!$B$19:$R$41,8,0)/'4. Billing Determinants'!$I$41*$D27, VLOOKUP(J$4,'4. Billing Determinants'!$B$19:$R$41,3,0)/'4. Billing Determinants'!$D$41*$D27))))),0)</f>
        <v>0</v>
      </c>
      <c r="K27" s="40">
        <f>IFERROR(IF(K$4="",0,IF($E27="kWh",VLOOKUP(K$4,'4. Billing Determinants'!$B$19:$R$41,4,0)/'4. Billing Determinants'!$E$41*$D27,IF($E27="kW",VLOOKUP(K$4,'4. Billing Determinants'!$B$19:$R$41,5,0)/'4. Billing Determinants'!$F$41*$D27,IF($E27="Non-RPP kWh",VLOOKUP(K$4,'4. Billing Determinants'!$B$19:$R$41,6,0)/'4. Billing Determinants'!$G$41*$D27,IF($E27="Distribution Rev.",VLOOKUP(K$4,'4. Billing Determinants'!$B$19:$R$41,8,0)/'4. Billing Determinants'!$I$41*$D27, VLOOKUP(K$4,'4. Billing Determinants'!$B$19:$R$41,3,0)/'4. Billing Determinants'!$D$41*$D27))))),0)</f>
        <v>0</v>
      </c>
      <c r="L27" s="40">
        <f>IFERROR(IF(L$4="",0,IF($E27="kWh",VLOOKUP(L$4,'4. Billing Determinants'!$B$19:$R$41,4,0)/'4. Billing Determinants'!$E$41*$D27,IF($E27="kW",VLOOKUP(L$4,'4. Billing Determinants'!$B$19:$R$41,5,0)/'4. Billing Determinants'!$F$41*$D27,IF($E27="Non-RPP kWh",VLOOKUP(L$4,'4. Billing Determinants'!$B$19:$R$41,6,0)/'4. Billing Determinants'!$G$41*$D27,IF($E27="Distribution Rev.",VLOOKUP(L$4,'4. Billing Determinants'!$B$19:$R$41,8,0)/'4. Billing Determinants'!$I$41*$D27, VLOOKUP(L$4,'4. Billing Determinants'!$B$19:$R$41,3,0)/'4. Billing Determinants'!$D$41*$D27))))),0)</f>
        <v>0</v>
      </c>
      <c r="M27" s="40">
        <f>IFERROR(IF(M$4="",0,IF($E27="kWh",VLOOKUP(M$4,'4. Billing Determinants'!$B$19:$R$41,4,0)/'4. Billing Determinants'!$E$41*$D27,IF($E27="kW",VLOOKUP(M$4,'4. Billing Determinants'!$B$19:$R$41,5,0)/'4. Billing Determinants'!$F$41*$D27,IF($E27="Non-RPP kWh",VLOOKUP(M$4,'4. Billing Determinants'!$B$19:$R$41,6,0)/'4. Billing Determinants'!$G$41*$D27,IF($E27="Distribution Rev.",VLOOKUP(M$4,'4. Billing Determinants'!$B$19:$R$41,8,0)/'4. Billing Determinants'!$I$41*$D27, VLOOKUP(M$4,'4. Billing Determinants'!$B$19:$R$41,3,0)/'4. Billing Determinants'!$D$41*$D27))))),0)</f>
        <v>0</v>
      </c>
      <c r="N27" s="40">
        <f>IFERROR(IF(N$4="",0,IF($E27="kWh",VLOOKUP(N$4,'4. Billing Determinants'!$B$19:$R$41,4,0)/'4. Billing Determinants'!$E$41*$D27,IF($E27="kW",VLOOKUP(N$4,'4. Billing Determinants'!$B$19:$R$41,5,0)/'4. Billing Determinants'!$F$41*$D27,IF($E27="Non-RPP kWh",VLOOKUP(N$4,'4. Billing Determinants'!$B$19:$R$41,6,0)/'4. Billing Determinants'!$G$41*$D27,IF($E27="Distribution Rev.",VLOOKUP(N$4,'4. Billing Determinants'!$B$19:$R$41,8,0)/'4. Billing Determinants'!$I$41*$D27, VLOOKUP(N$4,'4. Billing Determinants'!$B$19:$R$41,3,0)/'4. Billing Determinants'!$D$41*$D27))))),0)</f>
        <v>0</v>
      </c>
      <c r="O27" s="40">
        <f>IFERROR(IF(O$4="",0,IF($E27="kWh",VLOOKUP(O$4,'4. Billing Determinants'!$B$19:$R$41,4,0)/'4. Billing Determinants'!$E$41*$D27,IF($E27="kW",VLOOKUP(O$4,'4. Billing Determinants'!$B$19:$R$41,5,0)/'4. Billing Determinants'!$F$41*$D27,IF($E27="Non-RPP kWh",VLOOKUP(O$4,'4. Billing Determinants'!$B$19:$R$41,6,0)/'4. Billing Determinants'!$G$41*$D27,IF($E27="Distribution Rev.",VLOOKUP(O$4,'4. Billing Determinants'!$B$19:$R$41,8,0)/'4. Billing Determinants'!$I$41*$D27, VLOOKUP(O$4,'4. Billing Determinants'!$B$19:$R$41,3,0)/'4. Billing Determinants'!$D$41*$D27))))),0)</f>
        <v>0</v>
      </c>
      <c r="P27" s="40">
        <f>IFERROR(IF(P$4="",0,IF($E27="kWh",VLOOKUP(P$4,'4. Billing Determinants'!$B$19:$R$41,4,0)/'4. Billing Determinants'!$E$41*$D27,IF($E27="kW",VLOOKUP(P$4,'4. Billing Determinants'!$B$19:$R$41,5,0)/'4. Billing Determinants'!$F$41*$D27,IF($E27="Non-RPP kWh",VLOOKUP(P$4,'4. Billing Determinants'!$B$19:$R$41,6,0)/'4. Billing Determinants'!$G$41*$D27,IF($E27="Distribution Rev.",VLOOKUP(P$4,'4. Billing Determinants'!$B$19:$R$41,8,0)/'4. Billing Determinants'!$I$41*$D27, VLOOKUP(P$4,'4. Billing Determinants'!$B$19:$R$41,3,0)/'4. Billing Determinants'!$D$41*$D27))))),0)</f>
        <v>0</v>
      </c>
      <c r="Q27" s="40">
        <f>IFERROR(IF(Q$4="",0,IF($E27="kWh",VLOOKUP(Q$4,'4. Billing Determinants'!$B$19:$R$41,4,0)/'4. Billing Determinants'!$E$41*$D27,IF($E27="kW",VLOOKUP(Q$4,'4. Billing Determinants'!$B$19:$R$41,5,0)/'4. Billing Determinants'!$F$41*$D27,IF($E27="Non-RPP kWh",VLOOKUP(Q$4,'4. Billing Determinants'!$B$19:$R$41,6,0)/'4. Billing Determinants'!$G$41*$D27,IF($E27="Distribution Rev.",VLOOKUP(Q$4,'4. Billing Determinants'!$B$19:$R$41,8,0)/'4. Billing Determinants'!$I$41*$D27, VLOOKUP(Q$4,'4. Billing Determinants'!$B$19:$R$41,3,0)/'4. Billing Determinants'!$D$41*$D27))))),0)</f>
        <v>0</v>
      </c>
      <c r="R27" s="40">
        <f>IFERROR(IF(R$4="",0,IF($E27="kWh",VLOOKUP(R$4,'4. Billing Determinants'!$B$19:$R$41,4,0)/'4. Billing Determinants'!$E$41*$D27,IF($E27="kW",VLOOKUP(R$4,'4. Billing Determinants'!$B$19:$R$41,5,0)/'4. Billing Determinants'!$F$41*$D27,IF($E27="Non-RPP kWh",VLOOKUP(R$4,'4. Billing Determinants'!$B$19:$R$41,6,0)/'4. Billing Determinants'!$G$41*$D27,IF($E27="Distribution Rev.",VLOOKUP(R$4,'4. Billing Determinants'!$B$19:$R$41,8,0)/'4. Billing Determinants'!$I$41*$D27, VLOOKUP(R$4,'4. Billing Determinants'!$B$19:$R$41,3,0)/'4. Billing Determinants'!$D$41*$D27))))),0)</f>
        <v>0</v>
      </c>
      <c r="S27" s="40">
        <f>IFERROR(IF(S$4="",0,IF($E27="kWh",VLOOKUP(S$4,'4. Billing Determinants'!$B$19:$R$41,4,0)/'4. Billing Determinants'!$E$41*$D27,IF($E27="kW",VLOOKUP(S$4,'4. Billing Determinants'!$B$19:$R$41,5,0)/'4. Billing Determinants'!$F$41*$D27,IF($E27="Non-RPP kWh",VLOOKUP(S$4,'4. Billing Determinants'!$B$19:$R$41,6,0)/'4. Billing Determinants'!$G$41*$D27,IF($E27="Distribution Rev.",VLOOKUP(S$4,'4. Billing Determinants'!$B$19:$R$41,8,0)/'4. Billing Determinants'!$I$41*$D27, VLOOKUP(S$4,'4. Billing Determinants'!$B$19:$R$41,3,0)/'4. Billing Determinants'!$D$41*$D27))))),0)</f>
        <v>0</v>
      </c>
      <c r="T27" s="40">
        <f>IFERROR(IF(T$4="",0,IF($E27="kWh",VLOOKUP(T$4,'4. Billing Determinants'!$B$19:$R$41,4,0)/'4. Billing Determinants'!$E$41*$D27,IF($E27="kW",VLOOKUP(T$4,'4. Billing Determinants'!$B$19:$R$41,5,0)/'4. Billing Determinants'!$F$41*$D27,IF($E27="Non-RPP kWh",VLOOKUP(T$4,'4. Billing Determinants'!$B$19:$R$41,6,0)/'4. Billing Determinants'!$G$41*$D27,IF($E27="Distribution Rev.",VLOOKUP(T$4,'4. Billing Determinants'!$B$19:$R$41,8,0)/'4. Billing Determinants'!$I$41*$D27, VLOOKUP(T$4,'4. Billing Determinants'!$B$19:$R$41,3,0)/'4. Billing Determinants'!$D$41*$D27))))),0)</f>
        <v>0</v>
      </c>
      <c r="U27" s="40">
        <f>IFERROR(IF(U$4="",0,IF($E27="kWh",VLOOKUP(U$4,'4. Billing Determinants'!$B$19:$R$41,4,0)/'4. Billing Determinants'!$E$41*$D27,IF($E27="kW",VLOOKUP(U$4,'4. Billing Determinants'!$B$19:$R$41,5,0)/'4. Billing Determinants'!$F$41*$D27,IF($E27="Non-RPP kWh",VLOOKUP(U$4,'4. Billing Determinants'!$B$19:$R$41,6,0)/'4. Billing Determinants'!$G$41*$D27,IF($E27="Distribution Rev.",VLOOKUP(U$4,'4. Billing Determinants'!$B$19:$R$41,8,0)/'4. Billing Determinants'!$I$41*$D27, VLOOKUP(U$4,'4. Billing Determinants'!$B$19:$R$41,3,0)/'4. Billing Determinants'!$D$41*$D27))))),0)</f>
        <v>0</v>
      </c>
      <c r="V27" s="40">
        <f>IFERROR(IF(V$4="",0,IF($E27="kWh",VLOOKUP(V$4,'4. Billing Determinants'!$B$19:$R$41,4,0)/'4. Billing Determinants'!$E$41*$D27,IF($E27="kW",VLOOKUP(V$4,'4. Billing Determinants'!$B$19:$R$41,5,0)/'4. Billing Determinants'!$F$41*$D27,IF($E27="Non-RPP kWh",VLOOKUP(V$4,'4. Billing Determinants'!$B$19:$R$41,6,0)/'4. Billing Determinants'!$G$41*$D27,IF($E27="Distribution Rev.",VLOOKUP(V$4,'4. Billing Determinants'!$B$19:$R$41,8,0)/'4. Billing Determinants'!$I$41*$D27, VLOOKUP(V$4,'4. Billing Determinants'!$B$19:$R$41,3,0)/'4. Billing Determinants'!$D$41*$D27))))),0)</f>
        <v>0</v>
      </c>
      <c r="W27" s="40">
        <f>IFERROR(IF(W$4="",0,IF($E27="kWh",VLOOKUP(W$4,'4. Billing Determinants'!$B$19:$R$41,4,0)/'4. Billing Determinants'!$E$41*$D27,IF($E27="kW",VLOOKUP(W$4,'4. Billing Determinants'!$B$19:$R$41,5,0)/'4. Billing Determinants'!$F$41*$D27,IF($E27="Non-RPP kWh",VLOOKUP(W$4,'4. Billing Determinants'!$B$19:$R$41,6,0)/'4. Billing Determinants'!$G$41*$D27,IF($E27="Distribution Rev.",VLOOKUP(W$4,'4. Billing Determinants'!$B$19:$R$41,8,0)/'4. Billing Determinants'!$I$41*$D27, VLOOKUP(W$4,'4. Billing Determinants'!$B$19:$R$41,3,0)/'4. Billing Determinants'!$D$41*$D27))))),0)</f>
        <v>0</v>
      </c>
      <c r="X27" s="40">
        <f>IFERROR(IF(X$4="",0,IF($E27="kWh",VLOOKUP(X$4,'4. Billing Determinants'!$B$19:$R$41,4,0)/'4. Billing Determinants'!$E$41*$D27,IF($E27="kW",VLOOKUP(X$4,'4. Billing Determinants'!$B$19:$R$41,5,0)/'4. Billing Determinants'!$F$41*$D27,IF($E27="Non-RPP kWh",VLOOKUP(X$4,'4. Billing Determinants'!$B$19:$R$41,6,0)/'4. Billing Determinants'!$G$41*$D27,IF($E27="Distribution Rev.",VLOOKUP(X$4,'4. Billing Determinants'!$B$19:$R$41,8,0)/'4. Billing Determinants'!$I$41*$D27, VLOOKUP(X$4,'4. Billing Determinants'!$B$19:$R$41,3,0)/'4. Billing Determinants'!$D$41*$D27))))),0)</f>
        <v>0</v>
      </c>
      <c r="Y27" s="40">
        <f>IFERROR(IF(Y$4="",0,IF($E27="kWh",VLOOKUP(Y$4,'4. Billing Determinants'!$B$19:$R$41,4,0)/'4. Billing Determinants'!$E$41*$D27,IF($E27="kW",VLOOKUP(Y$4,'4. Billing Determinants'!$B$19:$R$41,5,0)/'4. Billing Determinants'!$F$41*$D27,IF($E27="Non-RPP kWh",VLOOKUP(Y$4,'4. Billing Determinants'!$B$19:$R$41,6,0)/'4. Billing Determinants'!$G$41*$D27,IF($E27="Distribution Rev.",VLOOKUP(Y$4,'4. Billing Determinants'!$B$19:$R$41,8,0)/'4. Billing Determinants'!$I$41*$D27, VLOOKUP(Y$4,'4. Billing Determinants'!$B$19:$R$41,3,0)/'4. Billing Determinants'!$D$41*$D27))))),0)</f>
        <v>0</v>
      </c>
    </row>
    <row r="28" spans="1:25" x14ac:dyDescent="0.25">
      <c r="B28" s="345" t="str">
        <f>IF('2b. Continuity Schedule'!C54="","",'2b. Continuity Schedule'!C54)</f>
        <v>Other Regulatory Assets, Sub-account Designated Broadband Project Impacts13</v>
      </c>
      <c r="C28" s="39">
        <v>1508</v>
      </c>
      <c r="D28" s="40">
        <f>'2b. Continuity Schedule'!BT54</f>
        <v>0</v>
      </c>
      <c r="E28" s="61" t="s">
        <v>139</v>
      </c>
      <c r="F28" s="40">
        <f>IFERROR(IF(F$4="",0,IF($E28="kWh",VLOOKUP(F$4,'4. Billing Determinants'!$B$19:$R$41,4,0)/'4. Billing Determinants'!$E$41*$D28,IF($E28="kW",VLOOKUP(F$4,'4. Billing Determinants'!$B$19:$R$41,5,0)/'4. Billing Determinants'!$F$41*$D28,IF($E28="Non-RPP kWh",VLOOKUP(F$4,'4. Billing Determinants'!$B$19:$R$41,6,0)/'4. Billing Determinants'!$G$41*$D28,IF($E28="Distribution Rev.",VLOOKUP(F$4,'4. Billing Determinants'!$B$19:$R$41,8,0)/'4. Billing Determinants'!$I$41*$D28, VLOOKUP(F$4,'4. Billing Determinants'!$B$19:$R$41,3,0)/'4. Billing Determinants'!$D$41*$D28))))),0)</f>
        <v>0</v>
      </c>
      <c r="G28" s="40">
        <f>IFERROR(IF(G$4="",0,IF($E28="kWh",VLOOKUP(G$4,'4. Billing Determinants'!$B$19:$R$41,4,0)/'4. Billing Determinants'!$E$41*$D28,IF($E28="kW",VLOOKUP(G$4,'4. Billing Determinants'!$B$19:$R$41,5,0)/'4. Billing Determinants'!$F$41*$D28,IF($E28="Non-RPP kWh",VLOOKUP(G$4,'4. Billing Determinants'!$B$19:$R$41,6,0)/'4. Billing Determinants'!$G$41*$D28,IF($E28="Distribution Rev.",VLOOKUP(G$4,'4. Billing Determinants'!$B$19:$R$41,8,0)/'4. Billing Determinants'!$I$41*$D28, VLOOKUP(G$4,'4. Billing Determinants'!$B$19:$R$41,3,0)/'4. Billing Determinants'!$D$41*$D28))))),0)</f>
        <v>0</v>
      </c>
      <c r="H28" s="40">
        <f>IFERROR(IF(H$4="",0,IF($E28="kWh",VLOOKUP(H$4,'4. Billing Determinants'!$B$19:$R$41,4,0)/'4. Billing Determinants'!$E$41*$D28,IF($E28="kW",VLOOKUP(H$4,'4. Billing Determinants'!$B$19:$R$41,5,0)/'4. Billing Determinants'!$F$41*$D28,IF($E28="Non-RPP kWh",VLOOKUP(H$4,'4. Billing Determinants'!$B$19:$R$41,6,0)/'4. Billing Determinants'!$G$41*$D28,IF($E28="Distribution Rev.",VLOOKUP(H$4,'4. Billing Determinants'!$B$19:$R$41,8,0)/'4. Billing Determinants'!$I$41*$D28, VLOOKUP(H$4,'4. Billing Determinants'!$B$19:$R$41,3,0)/'4. Billing Determinants'!$D$41*$D28))))),0)</f>
        <v>0</v>
      </c>
      <c r="I28" s="40">
        <f>IFERROR(IF(I$4="",0,IF($E28="kWh",VLOOKUP(I$4,'4. Billing Determinants'!$B$19:$R$41,4,0)/'4. Billing Determinants'!$E$41*$D28,IF($E28="kW",VLOOKUP(I$4,'4. Billing Determinants'!$B$19:$R$41,5,0)/'4. Billing Determinants'!$F$41*$D28,IF($E28="Non-RPP kWh",VLOOKUP(I$4,'4. Billing Determinants'!$B$19:$R$41,6,0)/'4. Billing Determinants'!$G$41*$D28,IF($E28="Distribution Rev.",VLOOKUP(I$4,'4. Billing Determinants'!$B$19:$R$41,8,0)/'4. Billing Determinants'!$I$41*$D28, VLOOKUP(I$4,'4. Billing Determinants'!$B$19:$R$41,3,0)/'4. Billing Determinants'!$D$41*$D28))))),0)</f>
        <v>0</v>
      </c>
      <c r="J28" s="40">
        <f>IFERROR(IF(J$4="",0,IF($E28="kWh",VLOOKUP(J$4,'4. Billing Determinants'!$B$19:$R$41,4,0)/'4. Billing Determinants'!$E$41*$D28,IF($E28="kW",VLOOKUP(J$4,'4. Billing Determinants'!$B$19:$R$41,5,0)/'4. Billing Determinants'!$F$41*$D28,IF($E28="Non-RPP kWh",VLOOKUP(J$4,'4. Billing Determinants'!$B$19:$R$41,6,0)/'4. Billing Determinants'!$G$41*$D28,IF($E28="Distribution Rev.",VLOOKUP(J$4,'4. Billing Determinants'!$B$19:$R$41,8,0)/'4. Billing Determinants'!$I$41*$D28, VLOOKUP(J$4,'4. Billing Determinants'!$B$19:$R$41,3,0)/'4. Billing Determinants'!$D$41*$D28))))),0)</f>
        <v>0</v>
      </c>
      <c r="K28" s="40">
        <f>IFERROR(IF(K$4="",0,IF($E28="kWh",VLOOKUP(K$4,'4. Billing Determinants'!$B$19:$R$41,4,0)/'4. Billing Determinants'!$E$41*$D28,IF($E28="kW",VLOOKUP(K$4,'4. Billing Determinants'!$B$19:$R$41,5,0)/'4. Billing Determinants'!$F$41*$D28,IF($E28="Non-RPP kWh",VLOOKUP(K$4,'4. Billing Determinants'!$B$19:$R$41,6,0)/'4. Billing Determinants'!$G$41*$D28,IF($E28="Distribution Rev.",VLOOKUP(K$4,'4. Billing Determinants'!$B$19:$R$41,8,0)/'4. Billing Determinants'!$I$41*$D28, VLOOKUP(K$4,'4. Billing Determinants'!$B$19:$R$41,3,0)/'4. Billing Determinants'!$D$41*$D28))))),0)</f>
        <v>0</v>
      </c>
      <c r="L28" s="40">
        <f>IFERROR(IF(L$4="",0,IF($E28="kWh",VLOOKUP(L$4,'4. Billing Determinants'!$B$19:$R$41,4,0)/'4. Billing Determinants'!$E$41*$D28,IF($E28="kW",VLOOKUP(L$4,'4. Billing Determinants'!$B$19:$R$41,5,0)/'4. Billing Determinants'!$F$41*$D28,IF($E28="Non-RPP kWh",VLOOKUP(L$4,'4. Billing Determinants'!$B$19:$R$41,6,0)/'4. Billing Determinants'!$G$41*$D28,IF($E28="Distribution Rev.",VLOOKUP(L$4,'4. Billing Determinants'!$B$19:$R$41,8,0)/'4. Billing Determinants'!$I$41*$D28, VLOOKUP(L$4,'4. Billing Determinants'!$B$19:$R$41,3,0)/'4. Billing Determinants'!$D$41*$D28))))),0)</f>
        <v>0</v>
      </c>
      <c r="M28" s="40">
        <f>IFERROR(IF(M$4="",0,IF($E28="kWh",VLOOKUP(M$4,'4. Billing Determinants'!$B$19:$R$41,4,0)/'4. Billing Determinants'!$E$41*$D28,IF($E28="kW",VLOOKUP(M$4,'4. Billing Determinants'!$B$19:$R$41,5,0)/'4. Billing Determinants'!$F$41*$D28,IF($E28="Non-RPP kWh",VLOOKUP(M$4,'4. Billing Determinants'!$B$19:$R$41,6,0)/'4. Billing Determinants'!$G$41*$D28,IF($E28="Distribution Rev.",VLOOKUP(M$4,'4. Billing Determinants'!$B$19:$R$41,8,0)/'4. Billing Determinants'!$I$41*$D28, VLOOKUP(M$4,'4. Billing Determinants'!$B$19:$R$41,3,0)/'4. Billing Determinants'!$D$41*$D28))))),0)</f>
        <v>0</v>
      </c>
      <c r="N28" s="40">
        <f>IFERROR(IF(N$4="",0,IF($E28="kWh",VLOOKUP(N$4,'4. Billing Determinants'!$B$19:$R$41,4,0)/'4. Billing Determinants'!$E$41*$D28,IF($E28="kW",VLOOKUP(N$4,'4. Billing Determinants'!$B$19:$R$41,5,0)/'4. Billing Determinants'!$F$41*$D28,IF($E28="Non-RPP kWh",VLOOKUP(N$4,'4. Billing Determinants'!$B$19:$R$41,6,0)/'4. Billing Determinants'!$G$41*$D28,IF($E28="Distribution Rev.",VLOOKUP(N$4,'4. Billing Determinants'!$B$19:$R$41,8,0)/'4. Billing Determinants'!$I$41*$D28, VLOOKUP(N$4,'4. Billing Determinants'!$B$19:$R$41,3,0)/'4. Billing Determinants'!$D$41*$D28))))),0)</f>
        <v>0</v>
      </c>
      <c r="O28" s="40">
        <f>IFERROR(IF(O$4="",0,IF($E28="kWh",VLOOKUP(O$4,'4. Billing Determinants'!$B$19:$R$41,4,0)/'4. Billing Determinants'!$E$41*$D28,IF($E28="kW",VLOOKUP(O$4,'4. Billing Determinants'!$B$19:$R$41,5,0)/'4. Billing Determinants'!$F$41*$D28,IF($E28="Non-RPP kWh",VLOOKUP(O$4,'4. Billing Determinants'!$B$19:$R$41,6,0)/'4. Billing Determinants'!$G$41*$D28,IF($E28="Distribution Rev.",VLOOKUP(O$4,'4. Billing Determinants'!$B$19:$R$41,8,0)/'4. Billing Determinants'!$I$41*$D28, VLOOKUP(O$4,'4. Billing Determinants'!$B$19:$R$41,3,0)/'4. Billing Determinants'!$D$41*$D28))))),0)</f>
        <v>0</v>
      </c>
      <c r="P28" s="40">
        <f>IFERROR(IF(P$4="",0,IF($E28="kWh",VLOOKUP(P$4,'4. Billing Determinants'!$B$19:$R$41,4,0)/'4. Billing Determinants'!$E$41*$D28,IF($E28="kW",VLOOKUP(P$4,'4. Billing Determinants'!$B$19:$R$41,5,0)/'4. Billing Determinants'!$F$41*$D28,IF($E28="Non-RPP kWh",VLOOKUP(P$4,'4. Billing Determinants'!$B$19:$R$41,6,0)/'4. Billing Determinants'!$G$41*$D28,IF($E28="Distribution Rev.",VLOOKUP(P$4,'4. Billing Determinants'!$B$19:$R$41,8,0)/'4. Billing Determinants'!$I$41*$D28, VLOOKUP(P$4,'4. Billing Determinants'!$B$19:$R$41,3,0)/'4. Billing Determinants'!$D$41*$D28))))),0)</f>
        <v>0</v>
      </c>
      <c r="Q28" s="40">
        <f>IFERROR(IF(Q$4="",0,IF($E28="kWh",VLOOKUP(Q$4,'4. Billing Determinants'!$B$19:$R$41,4,0)/'4. Billing Determinants'!$E$41*$D28,IF($E28="kW",VLOOKUP(Q$4,'4. Billing Determinants'!$B$19:$R$41,5,0)/'4. Billing Determinants'!$F$41*$D28,IF($E28="Non-RPP kWh",VLOOKUP(Q$4,'4. Billing Determinants'!$B$19:$R$41,6,0)/'4. Billing Determinants'!$G$41*$D28,IF($E28="Distribution Rev.",VLOOKUP(Q$4,'4. Billing Determinants'!$B$19:$R$41,8,0)/'4. Billing Determinants'!$I$41*$D28, VLOOKUP(Q$4,'4. Billing Determinants'!$B$19:$R$41,3,0)/'4. Billing Determinants'!$D$41*$D28))))),0)</f>
        <v>0</v>
      </c>
      <c r="R28" s="40">
        <f>IFERROR(IF(R$4="",0,IF($E28="kWh",VLOOKUP(R$4,'4. Billing Determinants'!$B$19:$R$41,4,0)/'4. Billing Determinants'!$E$41*$D28,IF($E28="kW",VLOOKUP(R$4,'4. Billing Determinants'!$B$19:$R$41,5,0)/'4. Billing Determinants'!$F$41*$D28,IF($E28="Non-RPP kWh",VLOOKUP(R$4,'4. Billing Determinants'!$B$19:$R$41,6,0)/'4. Billing Determinants'!$G$41*$D28,IF($E28="Distribution Rev.",VLOOKUP(R$4,'4. Billing Determinants'!$B$19:$R$41,8,0)/'4. Billing Determinants'!$I$41*$D28, VLOOKUP(R$4,'4. Billing Determinants'!$B$19:$R$41,3,0)/'4. Billing Determinants'!$D$41*$D28))))),0)</f>
        <v>0</v>
      </c>
      <c r="S28" s="40">
        <f>IFERROR(IF(S$4="",0,IF($E28="kWh",VLOOKUP(S$4,'4. Billing Determinants'!$B$19:$R$41,4,0)/'4. Billing Determinants'!$E$41*$D28,IF($E28="kW",VLOOKUP(S$4,'4. Billing Determinants'!$B$19:$R$41,5,0)/'4. Billing Determinants'!$F$41*$D28,IF($E28="Non-RPP kWh",VLOOKUP(S$4,'4. Billing Determinants'!$B$19:$R$41,6,0)/'4. Billing Determinants'!$G$41*$D28,IF($E28="Distribution Rev.",VLOOKUP(S$4,'4. Billing Determinants'!$B$19:$R$41,8,0)/'4. Billing Determinants'!$I$41*$D28, VLOOKUP(S$4,'4. Billing Determinants'!$B$19:$R$41,3,0)/'4. Billing Determinants'!$D$41*$D28))))),0)</f>
        <v>0</v>
      </c>
      <c r="T28" s="40">
        <f>IFERROR(IF(T$4="",0,IF($E28="kWh",VLOOKUP(T$4,'4. Billing Determinants'!$B$19:$R$41,4,0)/'4. Billing Determinants'!$E$41*$D28,IF($E28="kW",VLOOKUP(T$4,'4. Billing Determinants'!$B$19:$R$41,5,0)/'4. Billing Determinants'!$F$41*$D28,IF($E28="Non-RPP kWh",VLOOKUP(T$4,'4. Billing Determinants'!$B$19:$R$41,6,0)/'4. Billing Determinants'!$G$41*$D28,IF($E28="Distribution Rev.",VLOOKUP(T$4,'4. Billing Determinants'!$B$19:$R$41,8,0)/'4. Billing Determinants'!$I$41*$D28, VLOOKUP(T$4,'4. Billing Determinants'!$B$19:$R$41,3,0)/'4. Billing Determinants'!$D$41*$D28))))),0)</f>
        <v>0</v>
      </c>
      <c r="U28" s="40">
        <f>IFERROR(IF(U$4="",0,IF($E28="kWh",VLOOKUP(U$4,'4. Billing Determinants'!$B$19:$R$41,4,0)/'4. Billing Determinants'!$E$41*$D28,IF($E28="kW",VLOOKUP(U$4,'4. Billing Determinants'!$B$19:$R$41,5,0)/'4. Billing Determinants'!$F$41*$D28,IF($E28="Non-RPP kWh",VLOOKUP(U$4,'4. Billing Determinants'!$B$19:$R$41,6,0)/'4. Billing Determinants'!$G$41*$D28,IF($E28="Distribution Rev.",VLOOKUP(U$4,'4. Billing Determinants'!$B$19:$R$41,8,0)/'4. Billing Determinants'!$I$41*$D28, VLOOKUP(U$4,'4. Billing Determinants'!$B$19:$R$41,3,0)/'4. Billing Determinants'!$D$41*$D28))))),0)</f>
        <v>0</v>
      </c>
      <c r="V28" s="40">
        <f>IFERROR(IF(V$4="",0,IF($E28="kWh",VLOOKUP(V$4,'4. Billing Determinants'!$B$19:$R$41,4,0)/'4. Billing Determinants'!$E$41*$D28,IF($E28="kW",VLOOKUP(V$4,'4. Billing Determinants'!$B$19:$R$41,5,0)/'4. Billing Determinants'!$F$41*$D28,IF($E28="Non-RPP kWh",VLOOKUP(V$4,'4. Billing Determinants'!$B$19:$R$41,6,0)/'4. Billing Determinants'!$G$41*$D28,IF($E28="Distribution Rev.",VLOOKUP(V$4,'4. Billing Determinants'!$B$19:$R$41,8,0)/'4. Billing Determinants'!$I$41*$D28, VLOOKUP(V$4,'4. Billing Determinants'!$B$19:$R$41,3,0)/'4. Billing Determinants'!$D$41*$D28))))),0)</f>
        <v>0</v>
      </c>
      <c r="W28" s="40">
        <f>IFERROR(IF(W$4="",0,IF($E28="kWh",VLOOKUP(W$4,'4. Billing Determinants'!$B$19:$R$41,4,0)/'4. Billing Determinants'!$E$41*$D28,IF($E28="kW",VLOOKUP(W$4,'4. Billing Determinants'!$B$19:$R$41,5,0)/'4. Billing Determinants'!$F$41*$D28,IF($E28="Non-RPP kWh",VLOOKUP(W$4,'4. Billing Determinants'!$B$19:$R$41,6,0)/'4. Billing Determinants'!$G$41*$D28,IF($E28="Distribution Rev.",VLOOKUP(W$4,'4. Billing Determinants'!$B$19:$R$41,8,0)/'4. Billing Determinants'!$I$41*$D28, VLOOKUP(W$4,'4. Billing Determinants'!$B$19:$R$41,3,0)/'4. Billing Determinants'!$D$41*$D28))))),0)</f>
        <v>0</v>
      </c>
      <c r="X28" s="40">
        <f>IFERROR(IF(X$4="",0,IF($E28="kWh",VLOOKUP(X$4,'4. Billing Determinants'!$B$19:$R$41,4,0)/'4. Billing Determinants'!$E$41*$D28,IF($E28="kW",VLOOKUP(X$4,'4. Billing Determinants'!$B$19:$R$41,5,0)/'4. Billing Determinants'!$F$41*$D28,IF($E28="Non-RPP kWh",VLOOKUP(X$4,'4. Billing Determinants'!$B$19:$R$41,6,0)/'4. Billing Determinants'!$G$41*$D28,IF($E28="Distribution Rev.",VLOOKUP(X$4,'4. Billing Determinants'!$B$19:$R$41,8,0)/'4. Billing Determinants'!$I$41*$D28, VLOOKUP(X$4,'4. Billing Determinants'!$B$19:$R$41,3,0)/'4. Billing Determinants'!$D$41*$D28))))),0)</f>
        <v>0</v>
      </c>
      <c r="Y28" s="40">
        <f>IFERROR(IF(Y$4="",0,IF($E28="kWh",VLOOKUP(Y$4,'4. Billing Determinants'!$B$19:$R$41,4,0)/'4. Billing Determinants'!$E$41*$D28,IF($E28="kW",VLOOKUP(Y$4,'4. Billing Determinants'!$B$19:$R$41,5,0)/'4. Billing Determinants'!$F$41*$D28,IF($E28="Non-RPP kWh",VLOOKUP(Y$4,'4. Billing Determinants'!$B$19:$R$41,6,0)/'4. Billing Determinants'!$G$41*$D28,IF($E28="Distribution Rev.",VLOOKUP(Y$4,'4. Billing Determinants'!$B$19:$R$41,8,0)/'4. Billing Determinants'!$I$41*$D28, VLOOKUP(Y$4,'4. Billing Determinants'!$B$19:$R$41,3,0)/'4. Billing Determinants'!$D$41*$D28))))),0)</f>
        <v>0</v>
      </c>
    </row>
    <row r="29" spans="1:25" x14ac:dyDescent="0.25">
      <c r="B29" s="345" t="str">
        <f>IF('2b. Continuity Schedule'!C55="","",'2b. Continuity Schedule'!C55)</f>
        <v>Other Regulatory Assets, Sub-account Designated Broadband Project Impacts</v>
      </c>
      <c r="C29" s="39">
        <v>1508</v>
      </c>
      <c r="D29" s="40">
        <f>'2b. Continuity Schedule'!BT55</f>
        <v>0</v>
      </c>
      <c r="E29" s="61" t="s">
        <v>139</v>
      </c>
      <c r="F29" s="40">
        <f>IFERROR(IF(F$4="",0,IF($E29="kWh",VLOOKUP(F$4,'4. Billing Determinants'!$B$19:$R$41,4,0)/'4. Billing Determinants'!$E$41*$D29,IF($E29="kW",VLOOKUP(F$4,'4. Billing Determinants'!$B$19:$R$41,5,0)/'4. Billing Determinants'!$F$41*$D29,IF($E29="Non-RPP kWh",VLOOKUP(F$4,'4. Billing Determinants'!$B$19:$R$41,6,0)/'4. Billing Determinants'!$G$41*$D29,IF($E29="Distribution Rev.",VLOOKUP(F$4,'4. Billing Determinants'!$B$19:$R$41,8,0)/'4. Billing Determinants'!$I$41*$D29, VLOOKUP(F$4,'4. Billing Determinants'!$B$19:$R$41,3,0)/'4. Billing Determinants'!$D$41*$D29))))),0)</f>
        <v>0</v>
      </c>
      <c r="G29" s="40">
        <f>IFERROR(IF(G$4="",0,IF($E29="kWh",VLOOKUP(G$4,'4. Billing Determinants'!$B$19:$R$41,4,0)/'4. Billing Determinants'!$E$41*$D29,IF($E29="kW",VLOOKUP(G$4,'4. Billing Determinants'!$B$19:$R$41,5,0)/'4. Billing Determinants'!$F$41*$D29,IF($E29="Non-RPP kWh",VLOOKUP(G$4,'4. Billing Determinants'!$B$19:$R$41,6,0)/'4. Billing Determinants'!$G$41*$D29,IF($E29="Distribution Rev.",VLOOKUP(G$4,'4. Billing Determinants'!$B$19:$R$41,8,0)/'4. Billing Determinants'!$I$41*$D29, VLOOKUP(G$4,'4. Billing Determinants'!$B$19:$R$41,3,0)/'4. Billing Determinants'!$D$41*$D29))))),0)</f>
        <v>0</v>
      </c>
      <c r="H29" s="40">
        <f>IFERROR(IF(H$4="",0,IF($E29="kWh",VLOOKUP(H$4,'4. Billing Determinants'!$B$19:$R$41,4,0)/'4. Billing Determinants'!$E$41*$D29,IF($E29="kW",VLOOKUP(H$4,'4. Billing Determinants'!$B$19:$R$41,5,0)/'4. Billing Determinants'!$F$41*$D29,IF($E29="Non-RPP kWh",VLOOKUP(H$4,'4. Billing Determinants'!$B$19:$R$41,6,0)/'4. Billing Determinants'!$G$41*$D29,IF($E29="Distribution Rev.",VLOOKUP(H$4,'4. Billing Determinants'!$B$19:$R$41,8,0)/'4. Billing Determinants'!$I$41*$D29, VLOOKUP(H$4,'4. Billing Determinants'!$B$19:$R$41,3,0)/'4. Billing Determinants'!$D$41*$D29))))),0)</f>
        <v>0</v>
      </c>
      <c r="I29" s="40">
        <f>IFERROR(IF(I$4="",0,IF($E29="kWh",VLOOKUP(I$4,'4. Billing Determinants'!$B$19:$R$41,4,0)/'4. Billing Determinants'!$E$41*$D29,IF($E29="kW",VLOOKUP(I$4,'4. Billing Determinants'!$B$19:$R$41,5,0)/'4. Billing Determinants'!$F$41*$D29,IF($E29="Non-RPP kWh",VLOOKUP(I$4,'4. Billing Determinants'!$B$19:$R$41,6,0)/'4. Billing Determinants'!$G$41*$D29,IF($E29="Distribution Rev.",VLOOKUP(I$4,'4. Billing Determinants'!$B$19:$R$41,8,0)/'4. Billing Determinants'!$I$41*$D29, VLOOKUP(I$4,'4. Billing Determinants'!$B$19:$R$41,3,0)/'4. Billing Determinants'!$D$41*$D29))))),0)</f>
        <v>0</v>
      </c>
      <c r="J29" s="40">
        <f>IFERROR(IF(J$4="",0,IF($E29="kWh",VLOOKUP(J$4,'4. Billing Determinants'!$B$19:$R$41,4,0)/'4. Billing Determinants'!$E$41*$D29,IF($E29="kW",VLOOKUP(J$4,'4. Billing Determinants'!$B$19:$R$41,5,0)/'4. Billing Determinants'!$F$41*$D29,IF($E29="Non-RPP kWh",VLOOKUP(J$4,'4. Billing Determinants'!$B$19:$R$41,6,0)/'4. Billing Determinants'!$G$41*$D29,IF($E29="Distribution Rev.",VLOOKUP(J$4,'4. Billing Determinants'!$B$19:$R$41,8,0)/'4. Billing Determinants'!$I$41*$D29, VLOOKUP(J$4,'4. Billing Determinants'!$B$19:$R$41,3,0)/'4. Billing Determinants'!$D$41*$D29))))),0)</f>
        <v>0</v>
      </c>
      <c r="K29" s="40">
        <f>IFERROR(IF(K$4="",0,IF($E29="kWh",VLOOKUP(K$4,'4. Billing Determinants'!$B$19:$R$41,4,0)/'4. Billing Determinants'!$E$41*$D29,IF($E29="kW",VLOOKUP(K$4,'4. Billing Determinants'!$B$19:$R$41,5,0)/'4. Billing Determinants'!$F$41*$D29,IF($E29="Non-RPP kWh",VLOOKUP(K$4,'4. Billing Determinants'!$B$19:$R$41,6,0)/'4. Billing Determinants'!$G$41*$D29,IF($E29="Distribution Rev.",VLOOKUP(K$4,'4. Billing Determinants'!$B$19:$R$41,8,0)/'4. Billing Determinants'!$I$41*$D29, VLOOKUP(K$4,'4. Billing Determinants'!$B$19:$R$41,3,0)/'4. Billing Determinants'!$D$41*$D29))))),0)</f>
        <v>0</v>
      </c>
      <c r="L29" s="40">
        <f>IFERROR(IF(L$4="",0,IF($E29="kWh",VLOOKUP(L$4,'4. Billing Determinants'!$B$19:$R$41,4,0)/'4. Billing Determinants'!$E$41*$D29,IF($E29="kW",VLOOKUP(L$4,'4. Billing Determinants'!$B$19:$R$41,5,0)/'4. Billing Determinants'!$F$41*$D29,IF($E29="Non-RPP kWh",VLOOKUP(L$4,'4. Billing Determinants'!$B$19:$R$41,6,0)/'4. Billing Determinants'!$G$41*$D29,IF($E29="Distribution Rev.",VLOOKUP(L$4,'4. Billing Determinants'!$B$19:$R$41,8,0)/'4. Billing Determinants'!$I$41*$D29, VLOOKUP(L$4,'4. Billing Determinants'!$B$19:$R$41,3,0)/'4. Billing Determinants'!$D$41*$D29))))),0)</f>
        <v>0</v>
      </c>
      <c r="M29" s="40">
        <f>IFERROR(IF(M$4="",0,IF($E29="kWh",VLOOKUP(M$4,'4. Billing Determinants'!$B$19:$R$41,4,0)/'4. Billing Determinants'!$E$41*$D29,IF($E29="kW",VLOOKUP(M$4,'4. Billing Determinants'!$B$19:$R$41,5,0)/'4. Billing Determinants'!$F$41*$D29,IF($E29="Non-RPP kWh",VLOOKUP(M$4,'4. Billing Determinants'!$B$19:$R$41,6,0)/'4. Billing Determinants'!$G$41*$D29,IF($E29="Distribution Rev.",VLOOKUP(M$4,'4. Billing Determinants'!$B$19:$R$41,8,0)/'4. Billing Determinants'!$I$41*$D29, VLOOKUP(M$4,'4. Billing Determinants'!$B$19:$R$41,3,0)/'4. Billing Determinants'!$D$41*$D29))))),0)</f>
        <v>0</v>
      </c>
      <c r="N29" s="40">
        <f>IFERROR(IF(N$4="",0,IF($E29="kWh",VLOOKUP(N$4,'4. Billing Determinants'!$B$19:$R$41,4,0)/'4. Billing Determinants'!$E$41*$D29,IF($E29="kW",VLOOKUP(N$4,'4. Billing Determinants'!$B$19:$R$41,5,0)/'4. Billing Determinants'!$F$41*$D29,IF($E29="Non-RPP kWh",VLOOKUP(N$4,'4. Billing Determinants'!$B$19:$R$41,6,0)/'4. Billing Determinants'!$G$41*$D29,IF($E29="Distribution Rev.",VLOOKUP(N$4,'4. Billing Determinants'!$B$19:$R$41,8,0)/'4. Billing Determinants'!$I$41*$D29, VLOOKUP(N$4,'4. Billing Determinants'!$B$19:$R$41,3,0)/'4. Billing Determinants'!$D$41*$D29))))),0)</f>
        <v>0</v>
      </c>
      <c r="O29" s="40">
        <f>IFERROR(IF(O$4="",0,IF($E29="kWh",VLOOKUP(O$4,'4. Billing Determinants'!$B$19:$R$41,4,0)/'4. Billing Determinants'!$E$41*$D29,IF($E29="kW",VLOOKUP(O$4,'4. Billing Determinants'!$B$19:$R$41,5,0)/'4. Billing Determinants'!$F$41*$D29,IF($E29="Non-RPP kWh",VLOOKUP(O$4,'4. Billing Determinants'!$B$19:$R$41,6,0)/'4. Billing Determinants'!$G$41*$D29,IF($E29="Distribution Rev.",VLOOKUP(O$4,'4. Billing Determinants'!$B$19:$R$41,8,0)/'4. Billing Determinants'!$I$41*$D29, VLOOKUP(O$4,'4. Billing Determinants'!$B$19:$R$41,3,0)/'4. Billing Determinants'!$D$41*$D29))))),0)</f>
        <v>0</v>
      </c>
      <c r="P29" s="40">
        <f>IFERROR(IF(P$4="",0,IF($E29="kWh",VLOOKUP(P$4,'4. Billing Determinants'!$B$19:$R$41,4,0)/'4. Billing Determinants'!$E$41*$D29,IF($E29="kW",VLOOKUP(P$4,'4. Billing Determinants'!$B$19:$R$41,5,0)/'4. Billing Determinants'!$F$41*$D29,IF($E29="Non-RPP kWh",VLOOKUP(P$4,'4. Billing Determinants'!$B$19:$R$41,6,0)/'4. Billing Determinants'!$G$41*$D29,IF($E29="Distribution Rev.",VLOOKUP(P$4,'4. Billing Determinants'!$B$19:$R$41,8,0)/'4. Billing Determinants'!$I$41*$D29, VLOOKUP(P$4,'4. Billing Determinants'!$B$19:$R$41,3,0)/'4. Billing Determinants'!$D$41*$D29))))),0)</f>
        <v>0</v>
      </c>
      <c r="Q29" s="40">
        <f>IFERROR(IF(Q$4="",0,IF($E29="kWh",VLOOKUP(Q$4,'4. Billing Determinants'!$B$19:$R$41,4,0)/'4. Billing Determinants'!$E$41*$D29,IF($E29="kW",VLOOKUP(Q$4,'4. Billing Determinants'!$B$19:$R$41,5,0)/'4. Billing Determinants'!$F$41*$D29,IF($E29="Non-RPP kWh",VLOOKUP(Q$4,'4. Billing Determinants'!$B$19:$R$41,6,0)/'4. Billing Determinants'!$G$41*$D29,IF($E29="Distribution Rev.",VLOOKUP(Q$4,'4. Billing Determinants'!$B$19:$R$41,8,0)/'4. Billing Determinants'!$I$41*$D29, VLOOKUP(Q$4,'4. Billing Determinants'!$B$19:$R$41,3,0)/'4. Billing Determinants'!$D$41*$D29))))),0)</f>
        <v>0</v>
      </c>
      <c r="R29" s="40">
        <f>IFERROR(IF(R$4="",0,IF($E29="kWh",VLOOKUP(R$4,'4. Billing Determinants'!$B$19:$R$41,4,0)/'4. Billing Determinants'!$E$41*$D29,IF($E29="kW",VLOOKUP(R$4,'4. Billing Determinants'!$B$19:$R$41,5,0)/'4. Billing Determinants'!$F$41*$D29,IF($E29="Non-RPP kWh",VLOOKUP(R$4,'4. Billing Determinants'!$B$19:$R$41,6,0)/'4. Billing Determinants'!$G$41*$D29,IF($E29="Distribution Rev.",VLOOKUP(R$4,'4. Billing Determinants'!$B$19:$R$41,8,0)/'4. Billing Determinants'!$I$41*$D29, VLOOKUP(R$4,'4. Billing Determinants'!$B$19:$R$41,3,0)/'4. Billing Determinants'!$D$41*$D29))))),0)</f>
        <v>0</v>
      </c>
      <c r="S29" s="40">
        <f>IFERROR(IF(S$4="",0,IF($E29="kWh",VLOOKUP(S$4,'4. Billing Determinants'!$B$19:$R$41,4,0)/'4. Billing Determinants'!$E$41*$D29,IF($E29="kW",VLOOKUP(S$4,'4. Billing Determinants'!$B$19:$R$41,5,0)/'4. Billing Determinants'!$F$41*$D29,IF($E29="Non-RPP kWh",VLOOKUP(S$4,'4. Billing Determinants'!$B$19:$R$41,6,0)/'4. Billing Determinants'!$G$41*$D29,IF($E29="Distribution Rev.",VLOOKUP(S$4,'4. Billing Determinants'!$B$19:$R$41,8,0)/'4. Billing Determinants'!$I$41*$D29, VLOOKUP(S$4,'4. Billing Determinants'!$B$19:$R$41,3,0)/'4. Billing Determinants'!$D$41*$D29))))),0)</f>
        <v>0</v>
      </c>
      <c r="T29" s="40">
        <f>IFERROR(IF(T$4="",0,IF($E29="kWh",VLOOKUP(T$4,'4. Billing Determinants'!$B$19:$R$41,4,0)/'4. Billing Determinants'!$E$41*$D29,IF($E29="kW",VLOOKUP(T$4,'4. Billing Determinants'!$B$19:$R$41,5,0)/'4. Billing Determinants'!$F$41*$D29,IF($E29="Non-RPP kWh",VLOOKUP(T$4,'4. Billing Determinants'!$B$19:$R$41,6,0)/'4. Billing Determinants'!$G$41*$D29,IF($E29="Distribution Rev.",VLOOKUP(T$4,'4. Billing Determinants'!$B$19:$R$41,8,0)/'4. Billing Determinants'!$I$41*$D29, VLOOKUP(T$4,'4. Billing Determinants'!$B$19:$R$41,3,0)/'4. Billing Determinants'!$D$41*$D29))))),0)</f>
        <v>0</v>
      </c>
      <c r="U29" s="40">
        <f>IFERROR(IF(U$4="",0,IF($E29="kWh",VLOOKUP(U$4,'4. Billing Determinants'!$B$19:$R$41,4,0)/'4. Billing Determinants'!$E$41*$D29,IF($E29="kW",VLOOKUP(U$4,'4. Billing Determinants'!$B$19:$R$41,5,0)/'4. Billing Determinants'!$F$41*$D29,IF($E29="Non-RPP kWh",VLOOKUP(U$4,'4. Billing Determinants'!$B$19:$R$41,6,0)/'4. Billing Determinants'!$G$41*$D29,IF($E29="Distribution Rev.",VLOOKUP(U$4,'4. Billing Determinants'!$B$19:$R$41,8,0)/'4. Billing Determinants'!$I$41*$D29, VLOOKUP(U$4,'4. Billing Determinants'!$B$19:$R$41,3,0)/'4. Billing Determinants'!$D$41*$D29))))),0)</f>
        <v>0</v>
      </c>
      <c r="V29" s="40">
        <f>IFERROR(IF(V$4="",0,IF($E29="kWh",VLOOKUP(V$4,'4. Billing Determinants'!$B$19:$R$41,4,0)/'4. Billing Determinants'!$E$41*$D29,IF($E29="kW",VLOOKUP(V$4,'4. Billing Determinants'!$B$19:$R$41,5,0)/'4. Billing Determinants'!$F$41*$D29,IF($E29="Non-RPP kWh",VLOOKUP(V$4,'4. Billing Determinants'!$B$19:$R$41,6,0)/'4. Billing Determinants'!$G$41*$D29,IF($E29="Distribution Rev.",VLOOKUP(V$4,'4. Billing Determinants'!$B$19:$R$41,8,0)/'4. Billing Determinants'!$I$41*$D29, VLOOKUP(V$4,'4. Billing Determinants'!$B$19:$R$41,3,0)/'4. Billing Determinants'!$D$41*$D29))))),0)</f>
        <v>0</v>
      </c>
      <c r="W29" s="40">
        <f>IFERROR(IF(W$4="",0,IF($E29="kWh",VLOOKUP(W$4,'4. Billing Determinants'!$B$19:$R$41,4,0)/'4. Billing Determinants'!$E$41*$D29,IF($E29="kW",VLOOKUP(W$4,'4. Billing Determinants'!$B$19:$R$41,5,0)/'4. Billing Determinants'!$F$41*$D29,IF($E29="Non-RPP kWh",VLOOKUP(W$4,'4. Billing Determinants'!$B$19:$R$41,6,0)/'4. Billing Determinants'!$G$41*$D29,IF($E29="Distribution Rev.",VLOOKUP(W$4,'4. Billing Determinants'!$B$19:$R$41,8,0)/'4. Billing Determinants'!$I$41*$D29, VLOOKUP(W$4,'4. Billing Determinants'!$B$19:$R$41,3,0)/'4. Billing Determinants'!$D$41*$D29))))),0)</f>
        <v>0</v>
      </c>
      <c r="X29" s="40">
        <f>IFERROR(IF(X$4="",0,IF($E29="kWh",VLOOKUP(X$4,'4. Billing Determinants'!$B$19:$R$41,4,0)/'4. Billing Determinants'!$E$41*$D29,IF($E29="kW",VLOOKUP(X$4,'4. Billing Determinants'!$B$19:$R$41,5,0)/'4. Billing Determinants'!$F$41*$D29,IF($E29="Non-RPP kWh",VLOOKUP(X$4,'4. Billing Determinants'!$B$19:$R$41,6,0)/'4. Billing Determinants'!$G$41*$D29,IF($E29="Distribution Rev.",VLOOKUP(X$4,'4. Billing Determinants'!$B$19:$R$41,8,0)/'4. Billing Determinants'!$I$41*$D29, VLOOKUP(X$4,'4. Billing Determinants'!$B$19:$R$41,3,0)/'4. Billing Determinants'!$D$41*$D29))))),0)</f>
        <v>0</v>
      </c>
      <c r="Y29" s="40">
        <f>IFERROR(IF(Y$4="",0,IF($E29="kWh",VLOOKUP(Y$4,'4. Billing Determinants'!$B$19:$R$41,4,0)/'4. Billing Determinants'!$E$41*$D29,IF($E29="kW",VLOOKUP(Y$4,'4. Billing Determinants'!$B$19:$R$41,5,0)/'4. Billing Determinants'!$F$41*$D29,IF($E29="Non-RPP kWh",VLOOKUP(Y$4,'4. Billing Determinants'!$B$19:$R$41,6,0)/'4. Billing Determinants'!$G$41*$D29,IF($E29="Distribution Rev.",VLOOKUP(Y$4,'4. Billing Determinants'!$B$19:$R$41,8,0)/'4. Billing Determinants'!$I$41*$D29, VLOOKUP(Y$4,'4. Billing Determinants'!$B$19:$R$41,3,0)/'4. Billing Determinants'!$D$41*$D29))))),0)</f>
        <v>0</v>
      </c>
    </row>
    <row r="30" spans="1:25" x14ac:dyDescent="0.25">
      <c r="B30" s="345" t="str">
        <f>IF('2b. Continuity Schedule'!C56="","",'2b. Continuity Schedule'!C56)</f>
        <v/>
      </c>
      <c r="C30" s="39">
        <v>1508</v>
      </c>
      <c r="D30" s="40">
        <f>'2b. Continuity Schedule'!BT56</f>
        <v>0</v>
      </c>
      <c r="E30" s="61" t="s">
        <v>139</v>
      </c>
      <c r="F30" s="40">
        <f>IFERROR(IF(F$4="",0,IF($E30="kWh",VLOOKUP(F$4,'4. Billing Determinants'!$B$19:$R$41,4,0)/'4. Billing Determinants'!$E$41*$D30,IF($E30="kW",VLOOKUP(F$4,'4. Billing Determinants'!$B$19:$R$41,5,0)/'4. Billing Determinants'!$F$41*$D30,IF($E30="Non-RPP kWh",VLOOKUP(F$4,'4. Billing Determinants'!$B$19:$R$41,6,0)/'4. Billing Determinants'!$G$41*$D30,IF($E30="Distribution Rev.",VLOOKUP(F$4,'4. Billing Determinants'!$B$19:$R$41,8,0)/'4. Billing Determinants'!$I$41*$D30, VLOOKUP(F$4,'4. Billing Determinants'!$B$19:$R$41,3,0)/'4. Billing Determinants'!$D$41*$D30))))),0)</f>
        <v>0</v>
      </c>
      <c r="G30" s="40">
        <f>IFERROR(IF(G$4="",0,IF($E30="kWh",VLOOKUP(G$4,'4. Billing Determinants'!$B$19:$R$41,4,0)/'4. Billing Determinants'!$E$41*$D30,IF($E30="kW",VLOOKUP(G$4,'4. Billing Determinants'!$B$19:$R$41,5,0)/'4. Billing Determinants'!$F$41*$D30,IF($E30="Non-RPP kWh",VLOOKUP(G$4,'4. Billing Determinants'!$B$19:$R$41,6,0)/'4. Billing Determinants'!$G$41*$D30,IF($E30="Distribution Rev.",VLOOKUP(G$4,'4. Billing Determinants'!$B$19:$R$41,8,0)/'4. Billing Determinants'!$I$41*$D30, VLOOKUP(G$4,'4. Billing Determinants'!$B$19:$R$41,3,0)/'4. Billing Determinants'!$D$41*$D30))))),0)</f>
        <v>0</v>
      </c>
      <c r="H30" s="40">
        <f>IFERROR(IF(H$4="",0,IF($E30="kWh",VLOOKUP(H$4,'4. Billing Determinants'!$B$19:$R$41,4,0)/'4. Billing Determinants'!$E$41*$D30,IF($E30="kW",VLOOKUP(H$4,'4. Billing Determinants'!$B$19:$R$41,5,0)/'4. Billing Determinants'!$F$41*$D30,IF($E30="Non-RPP kWh",VLOOKUP(H$4,'4. Billing Determinants'!$B$19:$R$41,6,0)/'4. Billing Determinants'!$G$41*$D30,IF($E30="Distribution Rev.",VLOOKUP(H$4,'4. Billing Determinants'!$B$19:$R$41,8,0)/'4. Billing Determinants'!$I$41*$D30, VLOOKUP(H$4,'4. Billing Determinants'!$B$19:$R$41,3,0)/'4. Billing Determinants'!$D$41*$D30))))),0)</f>
        <v>0</v>
      </c>
      <c r="I30" s="40">
        <f>IFERROR(IF(I$4="",0,IF($E30="kWh",VLOOKUP(I$4,'4. Billing Determinants'!$B$19:$R$41,4,0)/'4. Billing Determinants'!$E$41*$D30,IF($E30="kW",VLOOKUP(I$4,'4. Billing Determinants'!$B$19:$R$41,5,0)/'4. Billing Determinants'!$F$41*$D30,IF($E30="Non-RPP kWh",VLOOKUP(I$4,'4. Billing Determinants'!$B$19:$R$41,6,0)/'4. Billing Determinants'!$G$41*$D30,IF($E30="Distribution Rev.",VLOOKUP(I$4,'4. Billing Determinants'!$B$19:$R$41,8,0)/'4. Billing Determinants'!$I$41*$D30, VLOOKUP(I$4,'4. Billing Determinants'!$B$19:$R$41,3,0)/'4. Billing Determinants'!$D$41*$D30))))),0)</f>
        <v>0</v>
      </c>
      <c r="J30" s="40">
        <f>IFERROR(IF(J$4="",0,IF($E30="kWh",VLOOKUP(J$4,'4. Billing Determinants'!$B$19:$R$41,4,0)/'4. Billing Determinants'!$E$41*$D30,IF($E30="kW",VLOOKUP(J$4,'4. Billing Determinants'!$B$19:$R$41,5,0)/'4. Billing Determinants'!$F$41*$D30,IF($E30="Non-RPP kWh",VLOOKUP(J$4,'4. Billing Determinants'!$B$19:$R$41,6,0)/'4. Billing Determinants'!$G$41*$D30,IF($E30="Distribution Rev.",VLOOKUP(J$4,'4. Billing Determinants'!$B$19:$R$41,8,0)/'4. Billing Determinants'!$I$41*$D30, VLOOKUP(J$4,'4. Billing Determinants'!$B$19:$R$41,3,0)/'4. Billing Determinants'!$D$41*$D30))))),0)</f>
        <v>0</v>
      </c>
      <c r="K30" s="40">
        <f>IFERROR(IF(K$4="",0,IF($E30="kWh",VLOOKUP(K$4,'4. Billing Determinants'!$B$19:$R$41,4,0)/'4. Billing Determinants'!$E$41*$D30,IF($E30="kW",VLOOKUP(K$4,'4. Billing Determinants'!$B$19:$R$41,5,0)/'4. Billing Determinants'!$F$41*$D30,IF($E30="Non-RPP kWh",VLOOKUP(K$4,'4. Billing Determinants'!$B$19:$R$41,6,0)/'4. Billing Determinants'!$G$41*$D30,IF($E30="Distribution Rev.",VLOOKUP(K$4,'4. Billing Determinants'!$B$19:$R$41,8,0)/'4. Billing Determinants'!$I$41*$D30, VLOOKUP(K$4,'4. Billing Determinants'!$B$19:$R$41,3,0)/'4. Billing Determinants'!$D$41*$D30))))),0)</f>
        <v>0</v>
      </c>
      <c r="L30" s="40">
        <f>IFERROR(IF(L$4="",0,IF($E30="kWh",VLOOKUP(L$4,'4. Billing Determinants'!$B$19:$R$41,4,0)/'4. Billing Determinants'!$E$41*$D30,IF($E30="kW",VLOOKUP(L$4,'4. Billing Determinants'!$B$19:$R$41,5,0)/'4. Billing Determinants'!$F$41*$D30,IF($E30="Non-RPP kWh",VLOOKUP(L$4,'4. Billing Determinants'!$B$19:$R$41,6,0)/'4. Billing Determinants'!$G$41*$D30,IF($E30="Distribution Rev.",VLOOKUP(L$4,'4. Billing Determinants'!$B$19:$R$41,8,0)/'4. Billing Determinants'!$I$41*$D30, VLOOKUP(L$4,'4. Billing Determinants'!$B$19:$R$41,3,0)/'4. Billing Determinants'!$D$41*$D30))))),0)</f>
        <v>0</v>
      </c>
      <c r="M30" s="40">
        <f>IFERROR(IF(M$4="",0,IF($E30="kWh",VLOOKUP(M$4,'4. Billing Determinants'!$B$19:$R$41,4,0)/'4. Billing Determinants'!$E$41*$D30,IF($E30="kW",VLOOKUP(M$4,'4. Billing Determinants'!$B$19:$R$41,5,0)/'4. Billing Determinants'!$F$41*$D30,IF($E30="Non-RPP kWh",VLOOKUP(M$4,'4. Billing Determinants'!$B$19:$R$41,6,0)/'4. Billing Determinants'!$G$41*$D30,IF($E30="Distribution Rev.",VLOOKUP(M$4,'4. Billing Determinants'!$B$19:$R$41,8,0)/'4. Billing Determinants'!$I$41*$D30, VLOOKUP(M$4,'4. Billing Determinants'!$B$19:$R$41,3,0)/'4. Billing Determinants'!$D$41*$D30))))),0)</f>
        <v>0</v>
      </c>
      <c r="N30" s="40">
        <f>IFERROR(IF(N$4="",0,IF($E30="kWh",VLOOKUP(N$4,'4. Billing Determinants'!$B$19:$R$41,4,0)/'4. Billing Determinants'!$E$41*$D30,IF($E30="kW",VLOOKUP(N$4,'4. Billing Determinants'!$B$19:$R$41,5,0)/'4. Billing Determinants'!$F$41*$D30,IF($E30="Non-RPP kWh",VLOOKUP(N$4,'4. Billing Determinants'!$B$19:$R$41,6,0)/'4. Billing Determinants'!$G$41*$D30,IF($E30="Distribution Rev.",VLOOKUP(N$4,'4. Billing Determinants'!$B$19:$R$41,8,0)/'4. Billing Determinants'!$I$41*$D30, VLOOKUP(N$4,'4. Billing Determinants'!$B$19:$R$41,3,0)/'4. Billing Determinants'!$D$41*$D30))))),0)</f>
        <v>0</v>
      </c>
      <c r="O30" s="40">
        <f>IFERROR(IF(O$4="",0,IF($E30="kWh",VLOOKUP(O$4,'4. Billing Determinants'!$B$19:$R$41,4,0)/'4. Billing Determinants'!$E$41*$D30,IF($E30="kW",VLOOKUP(O$4,'4. Billing Determinants'!$B$19:$R$41,5,0)/'4. Billing Determinants'!$F$41*$D30,IF($E30="Non-RPP kWh",VLOOKUP(O$4,'4. Billing Determinants'!$B$19:$R$41,6,0)/'4. Billing Determinants'!$G$41*$D30,IF($E30="Distribution Rev.",VLOOKUP(O$4,'4. Billing Determinants'!$B$19:$R$41,8,0)/'4. Billing Determinants'!$I$41*$D30, VLOOKUP(O$4,'4. Billing Determinants'!$B$19:$R$41,3,0)/'4. Billing Determinants'!$D$41*$D30))))),0)</f>
        <v>0</v>
      </c>
      <c r="P30" s="40">
        <f>IFERROR(IF(P$4="",0,IF($E30="kWh",VLOOKUP(P$4,'4. Billing Determinants'!$B$19:$R$41,4,0)/'4. Billing Determinants'!$E$41*$D30,IF($E30="kW",VLOOKUP(P$4,'4. Billing Determinants'!$B$19:$R$41,5,0)/'4. Billing Determinants'!$F$41*$D30,IF($E30="Non-RPP kWh",VLOOKUP(P$4,'4. Billing Determinants'!$B$19:$R$41,6,0)/'4. Billing Determinants'!$G$41*$D30,IF($E30="Distribution Rev.",VLOOKUP(P$4,'4. Billing Determinants'!$B$19:$R$41,8,0)/'4. Billing Determinants'!$I$41*$D30, VLOOKUP(P$4,'4. Billing Determinants'!$B$19:$R$41,3,0)/'4. Billing Determinants'!$D$41*$D30))))),0)</f>
        <v>0</v>
      </c>
      <c r="Q30" s="40">
        <f>IFERROR(IF(Q$4="",0,IF($E30="kWh",VLOOKUP(Q$4,'4. Billing Determinants'!$B$19:$R$41,4,0)/'4. Billing Determinants'!$E$41*$D30,IF($E30="kW",VLOOKUP(Q$4,'4. Billing Determinants'!$B$19:$R$41,5,0)/'4. Billing Determinants'!$F$41*$D30,IF($E30="Non-RPP kWh",VLOOKUP(Q$4,'4. Billing Determinants'!$B$19:$R$41,6,0)/'4. Billing Determinants'!$G$41*$D30,IF($E30="Distribution Rev.",VLOOKUP(Q$4,'4. Billing Determinants'!$B$19:$R$41,8,0)/'4. Billing Determinants'!$I$41*$D30, VLOOKUP(Q$4,'4. Billing Determinants'!$B$19:$R$41,3,0)/'4. Billing Determinants'!$D$41*$D30))))),0)</f>
        <v>0</v>
      </c>
      <c r="R30" s="40">
        <f>IFERROR(IF(R$4="",0,IF($E30="kWh",VLOOKUP(R$4,'4. Billing Determinants'!$B$19:$R$41,4,0)/'4. Billing Determinants'!$E$41*$D30,IF($E30="kW",VLOOKUP(R$4,'4. Billing Determinants'!$B$19:$R$41,5,0)/'4. Billing Determinants'!$F$41*$D30,IF($E30="Non-RPP kWh",VLOOKUP(R$4,'4. Billing Determinants'!$B$19:$R$41,6,0)/'4. Billing Determinants'!$G$41*$D30,IF($E30="Distribution Rev.",VLOOKUP(R$4,'4. Billing Determinants'!$B$19:$R$41,8,0)/'4. Billing Determinants'!$I$41*$D30, VLOOKUP(R$4,'4. Billing Determinants'!$B$19:$R$41,3,0)/'4. Billing Determinants'!$D$41*$D30))))),0)</f>
        <v>0</v>
      </c>
      <c r="S30" s="40">
        <f>IFERROR(IF(S$4="",0,IF($E30="kWh",VLOOKUP(S$4,'4. Billing Determinants'!$B$19:$R$41,4,0)/'4. Billing Determinants'!$E$41*$D30,IF($E30="kW",VLOOKUP(S$4,'4. Billing Determinants'!$B$19:$R$41,5,0)/'4. Billing Determinants'!$F$41*$D30,IF($E30="Non-RPP kWh",VLOOKUP(S$4,'4. Billing Determinants'!$B$19:$R$41,6,0)/'4. Billing Determinants'!$G$41*$D30,IF($E30="Distribution Rev.",VLOOKUP(S$4,'4. Billing Determinants'!$B$19:$R$41,8,0)/'4. Billing Determinants'!$I$41*$D30, VLOOKUP(S$4,'4. Billing Determinants'!$B$19:$R$41,3,0)/'4. Billing Determinants'!$D$41*$D30))))),0)</f>
        <v>0</v>
      </c>
      <c r="T30" s="40">
        <f>IFERROR(IF(T$4="",0,IF($E30="kWh",VLOOKUP(T$4,'4. Billing Determinants'!$B$19:$R$41,4,0)/'4. Billing Determinants'!$E$41*$D30,IF($E30="kW",VLOOKUP(T$4,'4. Billing Determinants'!$B$19:$R$41,5,0)/'4. Billing Determinants'!$F$41*$D30,IF($E30="Non-RPP kWh",VLOOKUP(T$4,'4. Billing Determinants'!$B$19:$R$41,6,0)/'4. Billing Determinants'!$G$41*$D30,IF($E30="Distribution Rev.",VLOOKUP(T$4,'4. Billing Determinants'!$B$19:$R$41,8,0)/'4. Billing Determinants'!$I$41*$D30, VLOOKUP(T$4,'4. Billing Determinants'!$B$19:$R$41,3,0)/'4. Billing Determinants'!$D$41*$D30))))),0)</f>
        <v>0</v>
      </c>
      <c r="U30" s="40">
        <f>IFERROR(IF(U$4="",0,IF($E30="kWh",VLOOKUP(U$4,'4. Billing Determinants'!$B$19:$R$41,4,0)/'4. Billing Determinants'!$E$41*$D30,IF($E30="kW",VLOOKUP(U$4,'4. Billing Determinants'!$B$19:$R$41,5,0)/'4. Billing Determinants'!$F$41*$D30,IF($E30="Non-RPP kWh",VLOOKUP(U$4,'4. Billing Determinants'!$B$19:$R$41,6,0)/'4. Billing Determinants'!$G$41*$D30,IF($E30="Distribution Rev.",VLOOKUP(U$4,'4. Billing Determinants'!$B$19:$R$41,8,0)/'4. Billing Determinants'!$I$41*$D30, VLOOKUP(U$4,'4. Billing Determinants'!$B$19:$R$41,3,0)/'4. Billing Determinants'!$D$41*$D30))))),0)</f>
        <v>0</v>
      </c>
      <c r="V30" s="40">
        <f>IFERROR(IF(V$4="",0,IF($E30="kWh",VLOOKUP(V$4,'4. Billing Determinants'!$B$19:$R$41,4,0)/'4. Billing Determinants'!$E$41*$D30,IF($E30="kW",VLOOKUP(V$4,'4. Billing Determinants'!$B$19:$R$41,5,0)/'4. Billing Determinants'!$F$41*$D30,IF($E30="Non-RPP kWh",VLOOKUP(V$4,'4. Billing Determinants'!$B$19:$R$41,6,0)/'4. Billing Determinants'!$G$41*$D30,IF($E30="Distribution Rev.",VLOOKUP(V$4,'4. Billing Determinants'!$B$19:$R$41,8,0)/'4. Billing Determinants'!$I$41*$D30, VLOOKUP(V$4,'4. Billing Determinants'!$B$19:$R$41,3,0)/'4. Billing Determinants'!$D$41*$D30))))),0)</f>
        <v>0</v>
      </c>
      <c r="W30" s="40">
        <f>IFERROR(IF(W$4="",0,IF($E30="kWh",VLOOKUP(W$4,'4. Billing Determinants'!$B$19:$R$41,4,0)/'4. Billing Determinants'!$E$41*$D30,IF($E30="kW",VLOOKUP(W$4,'4. Billing Determinants'!$B$19:$R$41,5,0)/'4. Billing Determinants'!$F$41*$D30,IF($E30="Non-RPP kWh",VLOOKUP(W$4,'4. Billing Determinants'!$B$19:$R$41,6,0)/'4. Billing Determinants'!$G$41*$D30,IF($E30="Distribution Rev.",VLOOKUP(W$4,'4. Billing Determinants'!$B$19:$R$41,8,0)/'4. Billing Determinants'!$I$41*$D30, VLOOKUP(W$4,'4. Billing Determinants'!$B$19:$R$41,3,0)/'4. Billing Determinants'!$D$41*$D30))))),0)</f>
        <v>0</v>
      </c>
      <c r="X30" s="40">
        <f>IFERROR(IF(X$4="",0,IF($E30="kWh",VLOOKUP(X$4,'4. Billing Determinants'!$B$19:$R$41,4,0)/'4. Billing Determinants'!$E$41*$D30,IF($E30="kW",VLOOKUP(X$4,'4. Billing Determinants'!$B$19:$R$41,5,0)/'4. Billing Determinants'!$F$41*$D30,IF($E30="Non-RPP kWh",VLOOKUP(X$4,'4. Billing Determinants'!$B$19:$R$41,6,0)/'4. Billing Determinants'!$G$41*$D30,IF($E30="Distribution Rev.",VLOOKUP(X$4,'4. Billing Determinants'!$B$19:$R$41,8,0)/'4. Billing Determinants'!$I$41*$D30, VLOOKUP(X$4,'4. Billing Determinants'!$B$19:$R$41,3,0)/'4. Billing Determinants'!$D$41*$D30))))),0)</f>
        <v>0</v>
      </c>
      <c r="Y30" s="40">
        <f>IFERROR(IF(Y$4="",0,IF($E30="kWh",VLOOKUP(Y$4,'4. Billing Determinants'!$B$19:$R$41,4,0)/'4. Billing Determinants'!$E$41*$D30,IF($E30="kW",VLOOKUP(Y$4,'4. Billing Determinants'!$B$19:$R$41,5,0)/'4. Billing Determinants'!$F$41*$D30,IF($E30="Non-RPP kWh",VLOOKUP(Y$4,'4. Billing Determinants'!$B$19:$R$41,6,0)/'4. Billing Determinants'!$G$41*$D30,IF($E30="Distribution Rev.",VLOOKUP(Y$4,'4. Billing Determinants'!$B$19:$R$41,8,0)/'4. Billing Determinants'!$I$41*$D30, VLOOKUP(Y$4,'4. Billing Determinants'!$B$19:$R$41,3,0)/'4. Billing Determinants'!$D$41*$D30))))),0)</f>
        <v>0</v>
      </c>
    </row>
    <row r="31" spans="1:25" x14ac:dyDescent="0.25">
      <c r="B31" s="345" t="str">
        <f>IF('2b. Continuity Schedule'!C57="","",'2b. Continuity Schedule'!C57)</f>
        <v/>
      </c>
      <c r="C31" s="39">
        <v>1508</v>
      </c>
      <c r="D31" s="40">
        <f>'2b. Continuity Schedule'!BT57</f>
        <v>0</v>
      </c>
      <c r="E31" s="61" t="s">
        <v>139</v>
      </c>
      <c r="F31" s="40">
        <f>IFERROR(IF(F$4="",0,IF($E31="kWh",VLOOKUP(F$4,'4. Billing Determinants'!$B$19:$R$41,4,0)/'4. Billing Determinants'!$E$41*$D31,IF($E31="kW",VLOOKUP(F$4,'4. Billing Determinants'!$B$19:$R$41,5,0)/'4. Billing Determinants'!$F$41*$D31,IF($E31="Non-RPP kWh",VLOOKUP(F$4,'4. Billing Determinants'!$B$19:$R$41,6,0)/'4. Billing Determinants'!$G$41*$D31,IF($E31="Distribution Rev.",VLOOKUP(F$4,'4. Billing Determinants'!$B$19:$R$41,8,0)/'4. Billing Determinants'!$I$41*$D31, VLOOKUP(F$4,'4. Billing Determinants'!$B$19:$R$41,3,0)/'4. Billing Determinants'!$D$41*$D31))))),0)</f>
        <v>0</v>
      </c>
      <c r="G31" s="40">
        <f>IFERROR(IF(G$4="",0,IF($E31="kWh",VLOOKUP(G$4,'4. Billing Determinants'!$B$19:$R$41,4,0)/'4. Billing Determinants'!$E$41*$D31,IF($E31="kW",VLOOKUP(G$4,'4. Billing Determinants'!$B$19:$R$41,5,0)/'4. Billing Determinants'!$F$41*$D31,IF($E31="Non-RPP kWh",VLOOKUP(G$4,'4. Billing Determinants'!$B$19:$R$41,6,0)/'4. Billing Determinants'!$G$41*$D31,IF($E31="Distribution Rev.",VLOOKUP(G$4,'4. Billing Determinants'!$B$19:$R$41,8,0)/'4. Billing Determinants'!$I$41*$D31, VLOOKUP(G$4,'4. Billing Determinants'!$B$19:$R$41,3,0)/'4. Billing Determinants'!$D$41*$D31))))),0)</f>
        <v>0</v>
      </c>
      <c r="H31" s="40">
        <f>IFERROR(IF(H$4="",0,IF($E31="kWh",VLOOKUP(H$4,'4. Billing Determinants'!$B$19:$R$41,4,0)/'4. Billing Determinants'!$E$41*$D31,IF($E31="kW",VLOOKUP(H$4,'4. Billing Determinants'!$B$19:$R$41,5,0)/'4. Billing Determinants'!$F$41*$D31,IF($E31="Non-RPP kWh",VLOOKUP(H$4,'4. Billing Determinants'!$B$19:$R$41,6,0)/'4. Billing Determinants'!$G$41*$D31,IF($E31="Distribution Rev.",VLOOKUP(H$4,'4. Billing Determinants'!$B$19:$R$41,8,0)/'4. Billing Determinants'!$I$41*$D31, VLOOKUP(H$4,'4. Billing Determinants'!$B$19:$R$41,3,0)/'4. Billing Determinants'!$D$41*$D31))))),0)</f>
        <v>0</v>
      </c>
      <c r="I31" s="40">
        <f>IFERROR(IF(I$4="",0,IF($E31="kWh",VLOOKUP(I$4,'4. Billing Determinants'!$B$19:$R$41,4,0)/'4. Billing Determinants'!$E$41*$D31,IF($E31="kW",VLOOKUP(I$4,'4. Billing Determinants'!$B$19:$R$41,5,0)/'4. Billing Determinants'!$F$41*$D31,IF($E31="Non-RPP kWh",VLOOKUP(I$4,'4. Billing Determinants'!$B$19:$R$41,6,0)/'4. Billing Determinants'!$G$41*$D31,IF($E31="Distribution Rev.",VLOOKUP(I$4,'4. Billing Determinants'!$B$19:$R$41,8,0)/'4. Billing Determinants'!$I$41*$D31, VLOOKUP(I$4,'4. Billing Determinants'!$B$19:$R$41,3,0)/'4. Billing Determinants'!$D$41*$D31))))),0)</f>
        <v>0</v>
      </c>
      <c r="J31" s="40">
        <f>IFERROR(IF(J$4="",0,IF($E31="kWh",VLOOKUP(J$4,'4. Billing Determinants'!$B$19:$R$41,4,0)/'4. Billing Determinants'!$E$41*$D31,IF($E31="kW",VLOOKUP(J$4,'4. Billing Determinants'!$B$19:$R$41,5,0)/'4. Billing Determinants'!$F$41*$D31,IF($E31="Non-RPP kWh",VLOOKUP(J$4,'4. Billing Determinants'!$B$19:$R$41,6,0)/'4. Billing Determinants'!$G$41*$D31,IF($E31="Distribution Rev.",VLOOKUP(J$4,'4. Billing Determinants'!$B$19:$R$41,8,0)/'4. Billing Determinants'!$I$41*$D31, VLOOKUP(J$4,'4. Billing Determinants'!$B$19:$R$41,3,0)/'4. Billing Determinants'!$D$41*$D31))))),0)</f>
        <v>0</v>
      </c>
      <c r="K31" s="40">
        <f>IFERROR(IF(K$4="",0,IF($E31="kWh",VLOOKUP(K$4,'4. Billing Determinants'!$B$19:$R$41,4,0)/'4. Billing Determinants'!$E$41*$D31,IF($E31="kW",VLOOKUP(K$4,'4. Billing Determinants'!$B$19:$R$41,5,0)/'4. Billing Determinants'!$F$41*$D31,IF($E31="Non-RPP kWh",VLOOKUP(K$4,'4. Billing Determinants'!$B$19:$R$41,6,0)/'4. Billing Determinants'!$G$41*$D31,IF($E31="Distribution Rev.",VLOOKUP(K$4,'4. Billing Determinants'!$B$19:$R$41,8,0)/'4. Billing Determinants'!$I$41*$D31, VLOOKUP(K$4,'4. Billing Determinants'!$B$19:$R$41,3,0)/'4. Billing Determinants'!$D$41*$D31))))),0)</f>
        <v>0</v>
      </c>
      <c r="L31" s="40">
        <f>IFERROR(IF(L$4="",0,IF($E31="kWh",VLOOKUP(L$4,'4. Billing Determinants'!$B$19:$R$41,4,0)/'4. Billing Determinants'!$E$41*$D31,IF($E31="kW",VLOOKUP(L$4,'4. Billing Determinants'!$B$19:$R$41,5,0)/'4. Billing Determinants'!$F$41*$D31,IF($E31="Non-RPP kWh",VLOOKUP(L$4,'4. Billing Determinants'!$B$19:$R$41,6,0)/'4. Billing Determinants'!$G$41*$D31,IF($E31="Distribution Rev.",VLOOKUP(L$4,'4. Billing Determinants'!$B$19:$R$41,8,0)/'4. Billing Determinants'!$I$41*$D31, VLOOKUP(L$4,'4. Billing Determinants'!$B$19:$R$41,3,0)/'4. Billing Determinants'!$D$41*$D31))))),0)</f>
        <v>0</v>
      </c>
      <c r="M31" s="40">
        <f>IFERROR(IF(M$4="",0,IF($E31="kWh",VLOOKUP(M$4,'4. Billing Determinants'!$B$19:$R$41,4,0)/'4. Billing Determinants'!$E$41*$D31,IF($E31="kW",VLOOKUP(M$4,'4. Billing Determinants'!$B$19:$R$41,5,0)/'4. Billing Determinants'!$F$41*$D31,IF($E31="Non-RPP kWh",VLOOKUP(M$4,'4. Billing Determinants'!$B$19:$R$41,6,0)/'4. Billing Determinants'!$G$41*$D31,IF($E31="Distribution Rev.",VLOOKUP(M$4,'4. Billing Determinants'!$B$19:$R$41,8,0)/'4. Billing Determinants'!$I$41*$D31, VLOOKUP(M$4,'4. Billing Determinants'!$B$19:$R$41,3,0)/'4. Billing Determinants'!$D$41*$D31))))),0)</f>
        <v>0</v>
      </c>
      <c r="N31" s="40">
        <f>IFERROR(IF(N$4="",0,IF($E31="kWh",VLOOKUP(N$4,'4. Billing Determinants'!$B$19:$R$41,4,0)/'4. Billing Determinants'!$E$41*$D31,IF($E31="kW",VLOOKUP(N$4,'4. Billing Determinants'!$B$19:$R$41,5,0)/'4. Billing Determinants'!$F$41*$D31,IF($E31="Non-RPP kWh",VLOOKUP(N$4,'4. Billing Determinants'!$B$19:$R$41,6,0)/'4. Billing Determinants'!$G$41*$D31,IF($E31="Distribution Rev.",VLOOKUP(N$4,'4. Billing Determinants'!$B$19:$R$41,8,0)/'4. Billing Determinants'!$I$41*$D31, VLOOKUP(N$4,'4. Billing Determinants'!$B$19:$R$41,3,0)/'4. Billing Determinants'!$D$41*$D31))))),0)</f>
        <v>0</v>
      </c>
      <c r="O31" s="40">
        <f>IFERROR(IF(O$4="",0,IF($E31="kWh",VLOOKUP(O$4,'4. Billing Determinants'!$B$19:$R$41,4,0)/'4. Billing Determinants'!$E$41*$D31,IF($E31="kW",VLOOKUP(O$4,'4. Billing Determinants'!$B$19:$R$41,5,0)/'4. Billing Determinants'!$F$41*$D31,IF($E31="Non-RPP kWh",VLOOKUP(O$4,'4. Billing Determinants'!$B$19:$R$41,6,0)/'4. Billing Determinants'!$G$41*$D31,IF($E31="Distribution Rev.",VLOOKUP(O$4,'4. Billing Determinants'!$B$19:$R$41,8,0)/'4. Billing Determinants'!$I$41*$D31, VLOOKUP(O$4,'4. Billing Determinants'!$B$19:$R$41,3,0)/'4. Billing Determinants'!$D$41*$D31))))),0)</f>
        <v>0</v>
      </c>
      <c r="P31" s="40">
        <f>IFERROR(IF(P$4="",0,IF($E31="kWh",VLOOKUP(P$4,'4. Billing Determinants'!$B$19:$R$41,4,0)/'4. Billing Determinants'!$E$41*$D31,IF($E31="kW",VLOOKUP(P$4,'4. Billing Determinants'!$B$19:$R$41,5,0)/'4. Billing Determinants'!$F$41*$D31,IF($E31="Non-RPP kWh",VLOOKUP(P$4,'4. Billing Determinants'!$B$19:$R$41,6,0)/'4. Billing Determinants'!$G$41*$D31,IF($E31="Distribution Rev.",VLOOKUP(P$4,'4. Billing Determinants'!$B$19:$R$41,8,0)/'4. Billing Determinants'!$I$41*$D31, VLOOKUP(P$4,'4. Billing Determinants'!$B$19:$R$41,3,0)/'4. Billing Determinants'!$D$41*$D31))))),0)</f>
        <v>0</v>
      </c>
      <c r="Q31" s="40">
        <f>IFERROR(IF(Q$4="",0,IF($E31="kWh",VLOOKUP(Q$4,'4. Billing Determinants'!$B$19:$R$41,4,0)/'4. Billing Determinants'!$E$41*$D31,IF($E31="kW",VLOOKUP(Q$4,'4. Billing Determinants'!$B$19:$R$41,5,0)/'4. Billing Determinants'!$F$41*$D31,IF($E31="Non-RPP kWh",VLOOKUP(Q$4,'4. Billing Determinants'!$B$19:$R$41,6,0)/'4. Billing Determinants'!$G$41*$D31,IF($E31="Distribution Rev.",VLOOKUP(Q$4,'4. Billing Determinants'!$B$19:$R$41,8,0)/'4. Billing Determinants'!$I$41*$D31, VLOOKUP(Q$4,'4. Billing Determinants'!$B$19:$R$41,3,0)/'4. Billing Determinants'!$D$41*$D31))))),0)</f>
        <v>0</v>
      </c>
      <c r="R31" s="40">
        <f>IFERROR(IF(R$4="",0,IF($E31="kWh",VLOOKUP(R$4,'4. Billing Determinants'!$B$19:$R$41,4,0)/'4. Billing Determinants'!$E$41*$D31,IF($E31="kW",VLOOKUP(R$4,'4. Billing Determinants'!$B$19:$R$41,5,0)/'4. Billing Determinants'!$F$41*$D31,IF($E31="Non-RPP kWh",VLOOKUP(R$4,'4. Billing Determinants'!$B$19:$R$41,6,0)/'4. Billing Determinants'!$G$41*$D31,IF($E31="Distribution Rev.",VLOOKUP(R$4,'4. Billing Determinants'!$B$19:$R$41,8,0)/'4. Billing Determinants'!$I$41*$D31, VLOOKUP(R$4,'4. Billing Determinants'!$B$19:$R$41,3,0)/'4. Billing Determinants'!$D$41*$D31))))),0)</f>
        <v>0</v>
      </c>
      <c r="S31" s="40">
        <f>IFERROR(IF(S$4="",0,IF($E31="kWh",VLOOKUP(S$4,'4. Billing Determinants'!$B$19:$R$41,4,0)/'4. Billing Determinants'!$E$41*$D31,IF($E31="kW",VLOOKUP(S$4,'4. Billing Determinants'!$B$19:$R$41,5,0)/'4. Billing Determinants'!$F$41*$D31,IF($E31="Non-RPP kWh",VLOOKUP(S$4,'4. Billing Determinants'!$B$19:$R$41,6,0)/'4. Billing Determinants'!$G$41*$D31,IF($E31="Distribution Rev.",VLOOKUP(S$4,'4. Billing Determinants'!$B$19:$R$41,8,0)/'4. Billing Determinants'!$I$41*$D31, VLOOKUP(S$4,'4. Billing Determinants'!$B$19:$R$41,3,0)/'4. Billing Determinants'!$D$41*$D31))))),0)</f>
        <v>0</v>
      </c>
      <c r="T31" s="40">
        <f>IFERROR(IF(T$4="",0,IF($E31="kWh",VLOOKUP(T$4,'4. Billing Determinants'!$B$19:$R$41,4,0)/'4. Billing Determinants'!$E$41*$D31,IF($E31="kW",VLOOKUP(T$4,'4. Billing Determinants'!$B$19:$R$41,5,0)/'4. Billing Determinants'!$F$41*$D31,IF($E31="Non-RPP kWh",VLOOKUP(T$4,'4. Billing Determinants'!$B$19:$R$41,6,0)/'4. Billing Determinants'!$G$41*$D31,IF($E31="Distribution Rev.",VLOOKUP(T$4,'4. Billing Determinants'!$B$19:$R$41,8,0)/'4. Billing Determinants'!$I$41*$D31, VLOOKUP(T$4,'4. Billing Determinants'!$B$19:$R$41,3,0)/'4. Billing Determinants'!$D$41*$D31))))),0)</f>
        <v>0</v>
      </c>
      <c r="U31" s="40">
        <f>IFERROR(IF(U$4="",0,IF($E31="kWh",VLOOKUP(U$4,'4. Billing Determinants'!$B$19:$R$41,4,0)/'4. Billing Determinants'!$E$41*$D31,IF($E31="kW",VLOOKUP(U$4,'4. Billing Determinants'!$B$19:$R$41,5,0)/'4. Billing Determinants'!$F$41*$D31,IF($E31="Non-RPP kWh",VLOOKUP(U$4,'4. Billing Determinants'!$B$19:$R$41,6,0)/'4. Billing Determinants'!$G$41*$D31,IF($E31="Distribution Rev.",VLOOKUP(U$4,'4. Billing Determinants'!$B$19:$R$41,8,0)/'4. Billing Determinants'!$I$41*$D31, VLOOKUP(U$4,'4. Billing Determinants'!$B$19:$R$41,3,0)/'4. Billing Determinants'!$D$41*$D31))))),0)</f>
        <v>0</v>
      </c>
      <c r="V31" s="40">
        <f>IFERROR(IF(V$4="",0,IF($E31="kWh",VLOOKUP(V$4,'4. Billing Determinants'!$B$19:$R$41,4,0)/'4. Billing Determinants'!$E$41*$D31,IF($E31="kW",VLOOKUP(V$4,'4. Billing Determinants'!$B$19:$R$41,5,0)/'4. Billing Determinants'!$F$41*$D31,IF($E31="Non-RPP kWh",VLOOKUP(V$4,'4. Billing Determinants'!$B$19:$R$41,6,0)/'4. Billing Determinants'!$G$41*$D31,IF($E31="Distribution Rev.",VLOOKUP(V$4,'4. Billing Determinants'!$B$19:$R$41,8,0)/'4. Billing Determinants'!$I$41*$D31, VLOOKUP(V$4,'4. Billing Determinants'!$B$19:$R$41,3,0)/'4. Billing Determinants'!$D$41*$D31))))),0)</f>
        <v>0</v>
      </c>
      <c r="W31" s="40">
        <f>IFERROR(IF(W$4="",0,IF($E31="kWh",VLOOKUP(W$4,'4. Billing Determinants'!$B$19:$R$41,4,0)/'4. Billing Determinants'!$E$41*$D31,IF($E31="kW",VLOOKUP(W$4,'4. Billing Determinants'!$B$19:$R$41,5,0)/'4. Billing Determinants'!$F$41*$D31,IF($E31="Non-RPP kWh",VLOOKUP(W$4,'4. Billing Determinants'!$B$19:$R$41,6,0)/'4. Billing Determinants'!$G$41*$D31,IF($E31="Distribution Rev.",VLOOKUP(W$4,'4. Billing Determinants'!$B$19:$R$41,8,0)/'4. Billing Determinants'!$I$41*$D31, VLOOKUP(W$4,'4. Billing Determinants'!$B$19:$R$41,3,0)/'4. Billing Determinants'!$D$41*$D31))))),0)</f>
        <v>0</v>
      </c>
      <c r="X31" s="40">
        <f>IFERROR(IF(X$4="",0,IF($E31="kWh",VLOOKUP(X$4,'4. Billing Determinants'!$B$19:$R$41,4,0)/'4. Billing Determinants'!$E$41*$D31,IF($E31="kW",VLOOKUP(X$4,'4. Billing Determinants'!$B$19:$R$41,5,0)/'4. Billing Determinants'!$F$41*$D31,IF($E31="Non-RPP kWh",VLOOKUP(X$4,'4. Billing Determinants'!$B$19:$R$41,6,0)/'4. Billing Determinants'!$G$41*$D31,IF($E31="Distribution Rev.",VLOOKUP(X$4,'4. Billing Determinants'!$B$19:$R$41,8,0)/'4. Billing Determinants'!$I$41*$D31, VLOOKUP(X$4,'4. Billing Determinants'!$B$19:$R$41,3,0)/'4. Billing Determinants'!$D$41*$D31))))),0)</f>
        <v>0</v>
      </c>
      <c r="Y31" s="40">
        <f>IFERROR(IF(Y$4="",0,IF($E31="kWh",VLOOKUP(Y$4,'4. Billing Determinants'!$B$19:$R$41,4,0)/'4. Billing Determinants'!$E$41*$D31,IF($E31="kW",VLOOKUP(Y$4,'4. Billing Determinants'!$B$19:$R$41,5,0)/'4. Billing Determinants'!$F$41*$D31,IF($E31="Non-RPP kWh",VLOOKUP(Y$4,'4. Billing Determinants'!$B$19:$R$41,6,0)/'4. Billing Determinants'!$G$41*$D31,IF($E31="Distribution Rev.",VLOOKUP(Y$4,'4. Billing Determinants'!$B$19:$R$41,8,0)/'4. Billing Determinants'!$I$41*$D31, VLOOKUP(Y$4,'4. Billing Determinants'!$B$19:$R$41,3,0)/'4. Billing Determinants'!$D$41*$D31))))),0)</f>
        <v>0</v>
      </c>
    </row>
    <row r="32" spans="1:25" x14ac:dyDescent="0.25">
      <c r="B32" s="345" t="str">
        <f>IF('2b. Continuity Schedule'!C58="","",'2b. Continuity Schedule'!C58)</f>
        <v/>
      </c>
      <c r="C32" s="39">
        <v>1508</v>
      </c>
      <c r="D32" s="40">
        <f>'2b. Continuity Schedule'!BT58</f>
        <v>0</v>
      </c>
      <c r="E32" s="61" t="s">
        <v>139</v>
      </c>
      <c r="F32" s="40">
        <f>IFERROR(IF(F$4="",0,IF($E32="kWh",VLOOKUP(F$4,'4. Billing Determinants'!$B$19:$R$41,4,0)/'4. Billing Determinants'!$E$41*$D32,IF($E32="kW",VLOOKUP(F$4,'4. Billing Determinants'!$B$19:$R$41,5,0)/'4. Billing Determinants'!$F$41*$D32,IF($E32="Non-RPP kWh",VLOOKUP(F$4,'4. Billing Determinants'!$B$19:$R$41,6,0)/'4. Billing Determinants'!$G$41*$D32,IF($E32="Distribution Rev.",VLOOKUP(F$4,'4. Billing Determinants'!$B$19:$R$41,8,0)/'4. Billing Determinants'!$I$41*$D32, VLOOKUP(F$4,'4. Billing Determinants'!$B$19:$R$41,3,0)/'4. Billing Determinants'!$D$41*$D32))))),0)</f>
        <v>0</v>
      </c>
      <c r="G32" s="40">
        <f>IFERROR(IF(G$4="",0,IF($E32="kWh",VLOOKUP(G$4,'4. Billing Determinants'!$B$19:$R$41,4,0)/'4. Billing Determinants'!$E$41*$D32,IF($E32="kW",VLOOKUP(G$4,'4. Billing Determinants'!$B$19:$R$41,5,0)/'4. Billing Determinants'!$F$41*$D32,IF($E32="Non-RPP kWh",VLOOKUP(G$4,'4. Billing Determinants'!$B$19:$R$41,6,0)/'4. Billing Determinants'!$G$41*$D32,IF($E32="Distribution Rev.",VLOOKUP(G$4,'4. Billing Determinants'!$B$19:$R$41,8,0)/'4. Billing Determinants'!$I$41*$D32, VLOOKUP(G$4,'4. Billing Determinants'!$B$19:$R$41,3,0)/'4. Billing Determinants'!$D$41*$D32))))),0)</f>
        <v>0</v>
      </c>
      <c r="H32" s="40">
        <f>IFERROR(IF(H$4="",0,IF($E32="kWh",VLOOKUP(H$4,'4. Billing Determinants'!$B$19:$R$41,4,0)/'4. Billing Determinants'!$E$41*$D32,IF($E32="kW",VLOOKUP(H$4,'4. Billing Determinants'!$B$19:$R$41,5,0)/'4. Billing Determinants'!$F$41*$D32,IF($E32="Non-RPP kWh",VLOOKUP(H$4,'4. Billing Determinants'!$B$19:$R$41,6,0)/'4. Billing Determinants'!$G$41*$D32,IF($E32="Distribution Rev.",VLOOKUP(H$4,'4. Billing Determinants'!$B$19:$R$41,8,0)/'4. Billing Determinants'!$I$41*$D32, VLOOKUP(H$4,'4. Billing Determinants'!$B$19:$R$41,3,0)/'4. Billing Determinants'!$D$41*$D32))))),0)</f>
        <v>0</v>
      </c>
      <c r="I32" s="40">
        <f>IFERROR(IF(I$4="",0,IF($E32="kWh",VLOOKUP(I$4,'4. Billing Determinants'!$B$19:$R$41,4,0)/'4. Billing Determinants'!$E$41*$D32,IF($E32="kW",VLOOKUP(I$4,'4. Billing Determinants'!$B$19:$R$41,5,0)/'4. Billing Determinants'!$F$41*$D32,IF($E32="Non-RPP kWh",VLOOKUP(I$4,'4. Billing Determinants'!$B$19:$R$41,6,0)/'4. Billing Determinants'!$G$41*$D32,IF($E32="Distribution Rev.",VLOOKUP(I$4,'4. Billing Determinants'!$B$19:$R$41,8,0)/'4. Billing Determinants'!$I$41*$D32, VLOOKUP(I$4,'4. Billing Determinants'!$B$19:$R$41,3,0)/'4. Billing Determinants'!$D$41*$D32))))),0)</f>
        <v>0</v>
      </c>
      <c r="J32" s="40">
        <f>IFERROR(IF(J$4="",0,IF($E32="kWh",VLOOKUP(J$4,'4. Billing Determinants'!$B$19:$R$41,4,0)/'4. Billing Determinants'!$E$41*$D32,IF($E32="kW",VLOOKUP(J$4,'4. Billing Determinants'!$B$19:$R$41,5,0)/'4. Billing Determinants'!$F$41*$D32,IF($E32="Non-RPP kWh",VLOOKUP(J$4,'4. Billing Determinants'!$B$19:$R$41,6,0)/'4. Billing Determinants'!$G$41*$D32,IF($E32="Distribution Rev.",VLOOKUP(J$4,'4. Billing Determinants'!$B$19:$R$41,8,0)/'4. Billing Determinants'!$I$41*$D32, VLOOKUP(J$4,'4. Billing Determinants'!$B$19:$R$41,3,0)/'4. Billing Determinants'!$D$41*$D32))))),0)</f>
        <v>0</v>
      </c>
      <c r="K32" s="40">
        <f>IFERROR(IF(K$4="",0,IF($E32="kWh",VLOOKUP(K$4,'4. Billing Determinants'!$B$19:$R$41,4,0)/'4. Billing Determinants'!$E$41*$D32,IF($E32="kW",VLOOKUP(K$4,'4. Billing Determinants'!$B$19:$R$41,5,0)/'4. Billing Determinants'!$F$41*$D32,IF($E32="Non-RPP kWh",VLOOKUP(K$4,'4. Billing Determinants'!$B$19:$R$41,6,0)/'4. Billing Determinants'!$G$41*$D32,IF($E32="Distribution Rev.",VLOOKUP(K$4,'4. Billing Determinants'!$B$19:$R$41,8,0)/'4. Billing Determinants'!$I$41*$D32, VLOOKUP(K$4,'4. Billing Determinants'!$B$19:$R$41,3,0)/'4. Billing Determinants'!$D$41*$D32))))),0)</f>
        <v>0</v>
      </c>
      <c r="L32" s="40">
        <f>IFERROR(IF(L$4="",0,IF($E32="kWh",VLOOKUP(L$4,'4. Billing Determinants'!$B$19:$R$41,4,0)/'4. Billing Determinants'!$E$41*$D32,IF($E32="kW",VLOOKUP(L$4,'4. Billing Determinants'!$B$19:$R$41,5,0)/'4. Billing Determinants'!$F$41*$D32,IF($E32="Non-RPP kWh",VLOOKUP(L$4,'4. Billing Determinants'!$B$19:$R$41,6,0)/'4. Billing Determinants'!$G$41*$D32,IF($E32="Distribution Rev.",VLOOKUP(L$4,'4. Billing Determinants'!$B$19:$R$41,8,0)/'4. Billing Determinants'!$I$41*$D32, VLOOKUP(L$4,'4. Billing Determinants'!$B$19:$R$41,3,0)/'4. Billing Determinants'!$D$41*$D32))))),0)</f>
        <v>0</v>
      </c>
      <c r="M32" s="40">
        <f>IFERROR(IF(M$4="",0,IF($E32="kWh",VLOOKUP(M$4,'4. Billing Determinants'!$B$19:$R$41,4,0)/'4. Billing Determinants'!$E$41*$D32,IF($E32="kW",VLOOKUP(M$4,'4. Billing Determinants'!$B$19:$R$41,5,0)/'4. Billing Determinants'!$F$41*$D32,IF($E32="Non-RPP kWh",VLOOKUP(M$4,'4. Billing Determinants'!$B$19:$R$41,6,0)/'4. Billing Determinants'!$G$41*$D32,IF($E32="Distribution Rev.",VLOOKUP(M$4,'4. Billing Determinants'!$B$19:$R$41,8,0)/'4. Billing Determinants'!$I$41*$D32, VLOOKUP(M$4,'4. Billing Determinants'!$B$19:$R$41,3,0)/'4. Billing Determinants'!$D$41*$D32))))),0)</f>
        <v>0</v>
      </c>
      <c r="N32" s="40">
        <f>IFERROR(IF(N$4="",0,IF($E32="kWh",VLOOKUP(N$4,'4. Billing Determinants'!$B$19:$R$41,4,0)/'4. Billing Determinants'!$E$41*$D32,IF($E32="kW",VLOOKUP(N$4,'4. Billing Determinants'!$B$19:$R$41,5,0)/'4. Billing Determinants'!$F$41*$D32,IF($E32="Non-RPP kWh",VLOOKUP(N$4,'4. Billing Determinants'!$B$19:$R$41,6,0)/'4. Billing Determinants'!$G$41*$D32,IF($E32="Distribution Rev.",VLOOKUP(N$4,'4. Billing Determinants'!$B$19:$R$41,8,0)/'4. Billing Determinants'!$I$41*$D32, VLOOKUP(N$4,'4. Billing Determinants'!$B$19:$R$41,3,0)/'4. Billing Determinants'!$D$41*$D32))))),0)</f>
        <v>0</v>
      </c>
      <c r="O32" s="40">
        <f>IFERROR(IF(O$4="",0,IF($E32="kWh",VLOOKUP(O$4,'4. Billing Determinants'!$B$19:$R$41,4,0)/'4. Billing Determinants'!$E$41*$D32,IF($E32="kW",VLOOKUP(O$4,'4. Billing Determinants'!$B$19:$R$41,5,0)/'4. Billing Determinants'!$F$41*$D32,IF($E32="Non-RPP kWh",VLOOKUP(O$4,'4. Billing Determinants'!$B$19:$R$41,6,0)/'4. Billing Determinants'!$G$41*$D32,IF($E32="Distribution Rev.",VLOOKUP(O$4,'4. Billing Determinants'!$B$19:$R$41,8,0)/'4. Billing Determinants'!$I$41*$D32, VLOOKUP(O$4,'4. Billing Determinants'!$B$19:$R$41,3,0)/'4. Billing Determinants'!$D$41*$D32))))),0)</f>
        <v>0</v>
      </c>
      <c r="P32" s="40">
        <f>IFERROR(IF(P$4="",0,IF($E32="kWh",VLOOKUP(P$4,'4. Billing Determinants'!$B$19:$R$41,4,0)/'4. Billing Determinants'!$E$41*$D32,IF($E32="kW",VLOOKUP(P$4,'4. Billing Determinants'!$B$19:$R$41,5,0)/'4. Billing Determinants'!$F$41*$D32,IF($E32="Non-RPP kWh",VLOOKUP(P$4,'4. Billing Determinants'!$B$19:$R$41,6,0)/'4. Billing Determinants'!$G$41*$D32,IF($E32="Distribution Rev.",VLOOKUP(P$4,'4. Billing Determinants'!$B$19:$R$41,8,0)/'4. Billing Determinants'!$I$41*$D32, VLOOKUP(P$4,'4. Billing Determinants'!$B$19:$R$41,3,0)/'4. Billing Determinants'!$D$41*$D32))))),0)</f>
        <v>0</v>
      </c>
      <c r="Q32" s="40">
        <f>IFERROR(IF(Q$4="",0,IF($E32="kWh",VLOOKUP(Q$4,'4. Billing Determinants'!$B$19:$R$41,4,0)/'4. Billing Determinants'!$E$41*$D32,IF($E32="kW",VLOOKUP(Q$4,'4. Billing Determinants'!$B$19:$R$41,5,0)/'4. Billing Determinants'!$F$41*$D32,IF($E32="Non-RPP kWh",VLOOKUP(Q$4,'4. Billing Determinants'!$B$19:$R$41,6,0)/'4. Billing Determinants'!$G$41*$D32,IF($E32="Distribution Rev.",VLOOKUP(Q$4,'4. Billing Determinants'!$B$19:$R$41,8,0)/'4. Billing Determinants'!$I$41*$D32, VLOOKUP(Q$4,'4. Billing Determinants'!$B$19:$R$41,3,0)/'4. Billing Determinants'!$D$41*$D32))))),0)</f>
        <v>0</v>
      </c>
      <c r="R32" s="40">
        <f>IFERROR(IF(R$4="",0,IF($E32="kWh",VLOOKUP(R$4,'4. Billing Determinants'!$B$19:$R$41,4,0)/'4. Billing Determinants'!$E$41*$D32,IF($E32="kW",VLOOKUP(R$4,'4. Billing Determinants'!$B$19:$R$41,5,0)/'4. Billing Determinants'!$F$41*$D32,IF($E32="Non-RPP kWh",VLOOKUP(R$4,'4. Billing Determinants'!$B$19:$R$41,6,0)/'4. Billing Determinants'!$G$41*$D32,IF($E32="Distribution Rev.",VLOOKUP(R$4,'4. Billing Determinants'!$B$19:$R$41,8,0)/'4. Billing Determinants'!$I$41*$D32, VLOOKUP(R$4,'4. Billing Determinants'!$B$19:$R$41,3,0)/'4. Billing Determinants'!$D$41*$D32))))),0)</f>
        <v>0</v>
      </c>
      <c r="S32" s="40">
        <f>IFERROR(IF(S$4="",0,IF($E32="kWh",VLOOKUP(S$4,'4. Billing Determinants'!$B$19:$R$41,4,0)/'4. Billing Determinants'!$E$41*$D32,IF($E32="kW",VLOOKUP(S$4,'4. Billing Determinants'!$B$19:$R$41,5,0)/'4. Billing Determinants'!$F$41*$D32,IF($E32="Non-RPP kWh",VLOOKUP(S$4,'4. Billing Determinants'!$B$19:$R$41,6,0)/'4. Billing Determinants'!$G$41*$D32,IF($E32="Distribution Rev.",VLOOKUP(S$4,'4. Billing Determinants'!$B$19:$R$41,8,0)/'4. Billing Determinants'!$I$41*$D32, VLOOKUP(S$4,'4. Billing Determinants'!$B$19:$R$41,3,0)/'4. Billing Determinants'!$D$41*$D32))))),0)</f>
        <v>0</v>
      </c>
      <c r="T32" s="40">
        <f>IFERROR(IF(T$4="",0,IF($E32="kWh",VLOOKUP(T$4,'4. Billing Determinants'!$B$19:$R$41,4,0)/'4. Billing Determinants'!$E$41*$D32,IF($E32="kW",VLOOKUP(T$4,'4. Billing Determinants'!$B$19:$R$41,5,0)/'4. Billing Determinants'!$F$41*$D32,IF($E32="Non-RPP kWh",VLOOKUP(T$4,'4. Billing Determinants'!$B$19:$R$41,6,0)/'4. Billing Determinants'!$G$41*$D32,IF($E32="Distribution Rev.",VLOOKUP(T$4,'4. Billing Determinants'!$B$19:$R$41,8,0)/'4. Billing Determinants'!$I$41*$D32, VLOOKUP(T$4,'4. Billing Determinants'!$B$19:$R$41,3,0)/'4. Billing Determinants'!$D$41*$D32))))),0)</f>
        <v>0</v>
      </c>
      <c r="U32" s="40">
        <f>IFERROR(IF(U$4="",0,IF($E32="kWh",VLOOKUP(U$4,'4. Billing Determinants'!$B$19:$R$41,4,0)/'4. Billing Determinants'!$E$41*$D32,IF($E32="kW",VLOOKUP(U$4,'4. Billing Determinants'!$B$19:$R$41,5,0)/'4. Billing Determinants'!$F$41*$D32,IF($E32="Non-RPP kWh",VLOOKUP(U$4,'4. Billing Determinants'!$B$19:$R$41,6,0)/'4. Billing Determinants'!$G$41*$D32,IF($E32="Distribution Rev.",VLOOKUP(U$4,'4. Billing Determinants'!$B$19:$R$41,8,0)/'4. Billing Determinants'!$I$41*$D32, VLOOKUP(U$4,'4. Billing Determinants'!$B$19:$R$41,3,0)/'4. Billing Determinants'!$D$41*$D32))))),0)</f>
        <v>0</v>
      </c>
      <c r="V32" s="40">
        <f>IFERROR(IF(V$4="",0,IF($E32="kWh",VLOOKUP(V$4,'4. Billing Determinants'!$B$19:$R$41,4,0)/'4. Billing Determinants'!$E$41*$D32,IF($E32="kW",VLOOKUP(V$4,'4. Billing Determinants'!$B$19:$R$41,5,0)/'4. Billing Determinants'!$F$41*$D32,IF($E32="Non-RPP kWh",VLOOKUP(V$4,'4. Billing Determinants'!$B$19:$R$41,6,0)/'4. Billing Determinants'!$G$41*$D32,IF($E32="Distribution Rev.",VLOOKUP(V$4,'4. Billing Determinants'!$B$19:$R$41,8,0)/'4. Billing Determinants'!$I$41*$D32, VLOOKUP(V$4,'4. Billing Determinants'!$B$19:$R$41,3,0)/'4. Billing Determinants'!$D$41*$D32))))),0)</f>
        <v>0</v>
      </c>
      <c r="W32" s="40">
        <f>IFERROR(IF(W$4="",0,IF($E32="kWh",VLOOKUP(W$4,'4. Billing Determinants'!$B$19:$R$41,4,0)/'4. Billing Determinants'!$E$41*$D32,IF($E32="kW",VLOOKUP(W$4,'4. Billing Determinants'!$B$19:$R$41,5,0)/'4. Billing Determinants'!$F$41*$D32,IF($E32="Non-RPP kWh",VLOOKUP(W$4,'4. Billing Determinants'!$B$19:$R$41,6,0)/'4. Billing Determinants'!$G$41*$D32,IF($E32="Distribution Rev.",VLOOKUP(W$4,'4. Billing Determinants'!$B$19:$R$41,8,0)/'4. Billing Determinants'!$I$41*$D32, VLOOKUP(W$4,'4. Billing Determinants'!$B$19:$R$41,3,0)/'4. Billing Determinants'!$D$41*$D32))))),0)</f>
        <v>0</v>
      </c>
      <c r="X32" s="40">
        <f>IFERROR(IF(X$4="",0,IF($E32="kWh",VLOOKUP(X$4,'4. Billing Determinants'!$B$19:$R$41,4,0)/'4. Billing Determinants'!$E$41*$D32,IF($E32="kW",VLOOKUP(X$4,'4. Billing Determinants'!$B$19:$R$41,5,0)/'4. Billing Determinants'!$F$41*$D32,IF($E32="Non-RPP kWh",VLOOKUP(X$4,'4. Billing Determinants'!$B$19:$R$41,6,0)/'4. Billing Determinants'!$G$41*$D32,IF($E32="Distribution Rev.",VLOOKUP(X$4,'4. Billing Determinants'!$B$19:$R$41,8,0)/'4. Billing Determinants'!$I$41*$D32, VLOOKUP(X$4,'4. Billing Determinants'!$B$19:$R$41,3,0)/'4. Billing Determinants'!$D$41*$D32))))),0)</f>
        <v>0</v>
      </c>
      <c r="Y32" s="40">
        <f>IFERROR(IF(Y$4="",0,IF($E32="kWh",VLOOKUP(Y$4,'4. Billing Determinants'!$B$19:$R$41,4,0)/'4. Billing Determinants'!$E$41*$D32,IF($E32="kW",VLOOKUP(Y$4,'4. Billing Determinants'!$B$19:$R$41,5,0)/'4. Billing Determinants'!$F$41*$D32,IF($E32="Non-RPP kWh",VLOOKUP(Y$4,'4. Billing Determinants'!$B$19:$R$41,6,0)/'4. Billing Determinants'!$G$41*$D32,IF($E32="Distribution Rev.",VLOOKUP(Y$4,'4. Billing Determinants'!$B$19:$R$41,8,0)/'4. Billing Determinants'!$I$41*$D32, VLOOKUP(Y$4,'4. Billing Determinants'!$B$19:$R$41,3,0)/'4. Billing Determinants'!$D$41*$D32))))),0)</f>
        <v>0</v>
      </c>
    </row>
    <row r="33" spans="1:25" x14ac:dyDescent="0.25">
      <c r="B33" s="345" t="str">
        <f>IF('2b. Continuity Schedule'!C59="","",'2b. Continuity Schedule'!C59)</f>
        <v/>
      </c>
      <c r="C33" s="39">
        <v>1508</v>
      </c>
      <c r="D33" s="40">
        <f>'2b. Continuity Schedule'!BT59</f>
        <v>0</v>
      </c>
      <c r="E33" s="61" t="s">
        <v>139</v>
      </c>
      <c r="F33" s="40">
        <f>IFERROR(IF(F$4="",0,IF($E33="kWh",VLOOKUP(F$4,'4. Billing Determinants'!$B$19:$R$41,4,0)/'4. Billing Determinants'!$E$41*$D33,IF($E33="kW",VLOOKUP(F$4,'4. Billing Determinants'!$B$19:$R$41,5,0)/'4. Billing Determinants'!$F$41*$D33,IF($E33="Non-RPP kWh",VLOOKUP(F$4,'4. Billing Determinants'!$B$19:$R$41,6,0)/'4. Billing Determinants'!$G$41*$D33,IF($E33="Distribution Rev.",VLOOKUP(F$4,'4. Billing Determinants'!$B$19:$R$41,8,0)/'4. Billing Determinants'!$I$41*$D33, VLOOKUP(F$4,'4. Billing Determinants'!$B$19:$R$41,3,0)/'4. Billing Determinants'!$D$41*$D33))))),0)</f>
        <v>0</v>
      </c>
      <c r="G33" s="40">
        <f>IFERROR(IF(G$4="",0,IF($E33="kWh",VLOOKUP(G$4,'4. Billing Determinants'!$B$19:$R$41,4,0)/'4. Billing Determinants'!$E$41*$D33,IF($E33="kW",VLOOKUP(G$4,'4. Billing Determinants'!$B$19:$R$41,5,0)/'4. Billing Determinants'!$F$41*$D33,IF($E33="Non-RPP kWh",VLOOKUP(G$4,'4. Billing Determinants'!$B$19:$R$41,6,0)/'4. Billing Determinants'!$G$41*$D33,IF($E33="Distribution Rev.",VLOOKUP(G$4,'4. Billing Determinants'!$B$19:$R$41,8,0)/'4. Billing Determinants'!$I$41*$D33, VLOOKUP(G$4,'4. Billing Determinants'!$B$19:$R$41,3,0)/'4. Billing Determinants'!$D$41*$D33))))),0)</f>
        <v>0</v>
      </c>
      <c r="H33" s="40">
        <f>IFERROR(IF(H$4="",0,IF($E33="kWh",VLOOKUP(H$4,'4. Billing Determinants'!$B$19:$R$41,4,0)/'4. Billing Determinants'!$E$41*$D33,IF($E33="kW",VLOOKUP(H$4,'4. Billing Determinants'!$B$19:$R$41,5,0)/'4. Billing Determinants'!$F$41*$D33,IF($E33="Non-RPP kWh",VLOOKUP(H$4,'4. Billing Determinants'!$B$19:$R$41,6,0)/'4. Billing Determinants'!$G$41*$D33,IF($E33="Distribution Rev.",VLOOKUP(H$4,'4. Billing Determinants'!$B$19:$R$41,8,0)/'4. Billing Determinants'!$I$41*$D33, VLOOKUP(H$4,'4. Billing Determinants'!$B$19:$R$41,3,0)/'4. Billing Determinants'!$D$41*$D33))))),0)</f>
        <v>0</v>
      </c>
      <c r="I33" s="40">
        <f>IFERROR(IF(I$4="",0,IF($E33="kWh",VLOOKUP(I$4,'4. Billing Determinants'!$B$19:$R$41,4,0)/'4. Billing Determinants'!$E$41*$D33,IF($E33="kW",VLOOKUP(I$4,'4. Billing Determinants'!$B$19:$R$41,5,0)/'4. Billing Determinants'!$F$41*$D33,IF($E33="Non-RPP kWh",VLOOKUP(I$4,'4. Billing Determinants'!$B$19:$R$41,6,0)/'4. Billing Determinants'!$G$41*$D33,IF($E33="Distribution Rev.",VLOOKUP(I$4,'4. Billing Determinants'!$B$19:$R$41,8,0)/'4. Billing Determinants'!$I$41*$D33, VLOOKUP(I$4,'4. Billing Determinants'!$B$19:$R$41,3,0)/'4. Billing Determinants'!$D$41*$D33))))),0)</f>
        <v>0</v>
      </c>
      <c r="J33" s="40">
        <f>IFERROR(IF(J$4="",0,IF($E33="kWh",VLOOKUP(J$4,'4. Billing Determinants'!$B$19:$R$41,4,0)/'4. Billing Determinants'!$E$41*$D33,IF($E33="kW",VLOOKUP(J$4,'4. Billing Determinants'!$B$19:$R$41,5,0)/'4. Billing Determinants'!$F$41*$D33,IF($E33="Non-RPP kWh",VLOOKUP(J$4,'4. Billing Determinants'!$B$19:$R$41,6,0)/'4. Billing Determinants'!$G$41*$D33,IF($E33="Distribution Rev.",VLOOKUP(J$4,'4. Billing Determinants'!$B$19:$R$41,8,0)/'4. Billing Determinants'!$I$41*$D33, VLOOKUP(J$4,'4. Billing Determinants'!$B$19:$R$41,3,0)/'4. Billing Determinants'!$D$41*$D33))))),0)</f>
        <v>0</v>
      </c>
      <c r="K33" s="40">
        <f>IFERROR(IF(K$4="",0,IF($E33="kWh",VLOOKUP(K$4,'4. Billing Determinants'!$B$19:$R$41,4,0)/'4. Billing Determinants'!$E$41*$D33,IF($E33="kW",VLOOKUP(K$4,'4. Billing Determinants'!$B$19:$R$41,5,0)/'4. Billing Determinants'!$F$41*$D33,IF($E33="Non-RPP kWh",VLOOKUP(K$4,'4. Billing Determinants'!$B$19:$R$41,6,0)/'4. Billing Determinants'!$G$41*$D33,IF($E33="Distribution Rev.",VLOOKUP(K$4,'4. Billing Determinants'!$B$19:$R$41,8,0)/'4. Billing Determinants'!$I$41*$D33, VLOOKUP(K$4,'4. Billing Determinants'!$B$19:$R$41,3,0)/'4. Billing Determinants'!$D$41*$D33))))),0)</f>
        <v>0</v>
      </c>
      <c r="L33" s="40">
        <f>IFERROR(IF(L$4="",0,IF($E33="kWh",VLOOKUP(L$4,'4. Billing Determinants'!$B$19:$R$41,4,0)/'4. Billing Determinants'!$E$41*$D33,IF($E33="kW",VLOOKUP(L$4,'4. Billing Determinants'!$B$19:$R$41,5,0)/'4. Billing Determinants'!$F$41*$D33,IF($E33="Non-RPP kWh",VLOOKUP(L$4,'4. Billing Determinants'!$B$19:$R$41,6,0)/'4. Billing Determinants'!$G$41*$D33,IF($E33="Distribution Rev.",VLOOKUP(L$4,'4. Billing Determinants'!$B$19:$R$41,8,0)/'4. Billing Determinants'!$I$41*$D33, VLOOKUP(L$4,'4. Billing Determinants'!$B$19:$R$41,3,0)/'4. Billing Determinants'!$D$41*$D33))))),0)</f>
        <v>0</v>
      </c>
      <c r="M33" s="40">
        <f>IFERROR(IF(M$4="",0,IF($E33="kWh",VLOOKUP(M$4,'4. Billing Determinants'!$B$19:$R$41,4,0)/'4. Billing Determinants'!$E$41*$D33,IF($E33="kW",VLOOKUP(M$4,'4. Billing Determinants'!$B$19:$R$41,5,0)/'4. Billing Determinants'!$F$41*$D33,IF($E33="Non-RPP kWh",VLOOKUP(M$4,'4. Billing Determinants'!$B$19:$R$41,6,0)/'4. Billing Determinants'!$G$41*$D33,IF($E33="Distribution Rev.",VLOOKUP(M$4,'4. Billing Determinants'!$B$19:$R$41,8,0)/'4. Billing Determinants'!$I$41*$D33, VLOOKUP(M$4,'4. Billing Determinants'!$B$19:$R$41,3,0)/'4. Billing Determinants'!$D$41*$D33))))),0)</f>
        <v>0</v>
      </c>
      <c r="N33" s="40">
        <f>IFERROR(IF(N$4="",0,IF($E33="kWh",VLOOKUP(N$4,'4. Billing Determinants'!$B$19:$R$41,4,0)/'4. Billing Determinants'!$E$41*$D33,IF($E33="kW",VLOOKUP(N$4,'4. Billing Determinants'!$B$19:$R$41,5,0)/'4. Billing Determinants'!$F$41*$D33,IF($E33="Non-RPP kWh",VLOOKUP(N$4,'4. Billing Determinants'!$B$19:$R$41,6,0)/'4. Billing Determinants'!$G$41*$D33,IF($E33="Distribution Rev.",VLOOKUP(N$4,'4. Billing Determinants'!$B$19:$R$41,8,0)/'4. Billing Determinants'!$I$41*$D33, VLOOKUP(N$4,'4. Billing Determinants'!$B$19:$R$41,3,0)/'4. Billing Determinants'!$D$41*$D33))))),0)</f>
        <v>0</v>
      </c>
      <c r="O33" s="40">
        <f>IFERROR(IF(O$4="",0,IF($E33="kWh",VLOOKUP(O$4,'4. Billing Determinants'!$B$19:$R$41,4,0)/'4. Billing Determinants'!$E$41*$D33,IF($E33="kW",VLOOKUP(O$4,'4. Billing Determinants'!$B$19:$R$41,5,0)/'4. Billing Determinants'!$F$41*$D33,IF($E33="Non-RPP kWh",VLOOKUP(O$4,'4. Billing Determinants'!$B$19:$R$41,6,0)/'4. Billing Determinants'!$G$41*$D33,IF($E33="Distribution Rev.",VLOOKUP(O$4,'4. Billing Determinants'!$B$19:$R$41,8,0)/'4. Billing Determinants'!$I$41*$D33, VLOOKUP(O$4,'4. Billing Determinants'!$B$19:$R$41,3,0)/'4. Billing Determinants'!$D$41*$D33))))),0)</f>
        <v>0</v>
      </c>
      <c r="P33" s="40">
        <f>IFERROR(IF(P$4="",0,IF($E33="kWh",VLOOKUP(P$4,'4. Billing Determinants'!$B$19:$R$41,4,0)/'4. Billing Determinants'!$E$41*$D33,IF($E33="kW",VLOOKUP(P$4,'4. Billing Determinants'!$B$19:$R$41,5,0)/'4. Billing Determinants'!$F$41*$D33,IF($E33="Non-RPP kWh",VLOOKUP(P$4,'4. Billing Determinants'!$B$19:$R$41,6,0)/'4. Billing Determinants'!$G$41*$D33,IF($E33="Distribution Rev.",VLOOKUP(P$4,'4. Billing Determinants'!$B$19:$R$41,8,0)/'4. Billing Determinants'!$I$41*$D33, VLOOKUP(P$4,'4. Billing Determinants'!$B$19:$R$41,3,0)/'4. Billing Determinants'!$D$41*$D33))))),0)</f>
        <v>0</v>
      </c>
      <c r="Q33" s="40">
        <f>IFERROR(IF(Q$4="",0,IF($E33="kWh",VLOOKUP(Q$4,'4. Billing Determinants'!$B$19:$R$41,4,0)/'4. Billing Determinants'!$E$41*$D33,IF($E33="kW",VLOOKUP(Q$4,'4. Billing Determinants'!$B$19:$R$41,5,0)/'4. Billing Determinants'!$F$41*$D33,IF($E33="Non-RPP kWh",VLOOKUP(Q$4,'4. Billing Determinants'!$B$19:$R$41,6,0)/'4. Billing Determinants'!$G$41*$D33,IF($E33="Distribution Rev.",VLOOKUP(Q$4,'4. Billing Determinants'!$B$19:$R$41,8,0)/'4. Billing Determinants'!$I$41*$D33, VLOOKUP(Q$4,'4. Billing Determinants'!$B$19:$R$41,3,0)/'4. Billing Determinants'!$D$41*$D33))))),0)</f>
        <v>0</v>
      </c>
      <c r="R33" s="40">
        <f>IFERROR(IF(R$4="",0,IF($E33="kWh",VLOOKUP(R$4,'4. Billing Determinants'!$B$19:$R$41,4,0)/'4. Billing Determinants'!$E$41*$D33,IF($E33="kW",VLOOKUP(R$4,'4. Billing Determinants'!$B$19:$R$41,5,0)/'4. Billing Determinants'!$F$41*$D33,IF($E33="Non-RPP kWh",VLOOKUP(R$4,'4. Billing Determinants'!$B$19:$R$41,6,0)/'4. Billing Determinants'!$G$41*$D33,IF($E33="Distribution Rev.",VLOOKUP(R$4,'4. Billing Determinants'!$B$19:$R$41,8,0)/'4. Billing Determinants'!$I$41*$D33, VLOOKUP(R$4,'4. Billing Determinants'!$B$19:$R$41,3,0)/'4. Billing Determinants'!$D$41*$D33))))),0)</f>
        <v>0</v>
      </c>
      <c r="S33" s="40">
        <f>IFERROR(IF(S$4="",0,IF($E33="kWh",VLOOKUP(S$4,'4. Billing Determinants'!$B$19:$R$41,4,0)/'4. Billing Determinants'!$E$41*$D33,IF($E33="kW",VLOOKUP(S$4,'4. Billing Determinants'!$B$19:$R$41,5,0)/'4. Billing Determinants'!$F$41*$D33,IF($E33="Non-RPP kWh",VLOOKUP(S$4,'4. Billing Determinants'!$B$19:$R$41,6,0)/'4. Billing Determinants'!$G$41*$D33,IF($E33="Distribution Rev.",VLOOKUP(S$4,'4. Billing Determinants'!$B$19:$R$41,8,0)/'4. Billing Determinants'!$I$41*$D33, VLOOKUP(S$4,'4. Billing Determinants'!$B$19:$R$41,3,0)/'4. Billing Determinants'!$D$41*$D33))))),0)</f>
        <v>0</v>
      </c>
      <c r="T33" s="40">
        <f>IFERROR(IF(T$4="",0,IF($E33="kWh",VLOOKUP(T$4,'4. Billing Determinants'!$B$19:$R$41,4,0)/'4. Billing Determinants'!$E$41*$D33,IF($E33="kW",VLOOKUP(T$4,'4. Billing Determinants'!$B$19:$R$41,5,0)/'4. Billing Determinants'!$F$41*$D33,IF($E33="Non-RPP kWh",VLOOKUP(T$4,'4. Billing Determinants'!$B$19:$R$41,6,0)/'4. Billing Determinants'!$G$41*$D33,IF($E33="Distribution Rev.",VLOOKUP(T$4,'4. Billing Determinants'!$B$19:$R$41,8,0)/'4. Billing Determinants'!$I$41*$D33, VLOOKUP(T$4,'4. Billing Determinants'!$B$19:$R$41,3,0)/'4. Billing Determinants'!$D$41*$D33))))),0)</f>
        <v>0</v>
      </c>
      <c r="U33" s="40">
        <f>IFERROR(IF(U$4="",0,IF($E33="kWh",VLOOKUP(U$4,'4. Billing Determinants'!$B$19:$R$41,4,0)/'4. Billing Determinants'!$E$41*$D33,IF($E33="kW",VLOOKUP(U$4,'4. Billing Determinants'!$B$19:$R$41,5,0)/'4. Billing Determinants'!$F$41*$D33,IF($E33="Non-RPP kWh",VLOOKUP(U$4,'4. Billing Determinants'!$B$19:$R$41,6,0)/'4. Billing Determinants'!$G$41*$D33,IF($E33="Distribution Rev.",VLOOKUP(U$4,'4. Billing Determinants'!$B$19:$R$41,8,0)/'4. Billing Determinants'!$I$41*$D33, VLOOKUP(U$4,'4. Billing Determinants'!$B$19:$R$41,3,0)/'4. Billing Determinants'!$D$41*$D33))))),0)</f>
        <v>0</v>
      </c>
      <c r="V33" s="40">
        <f>IFERROR(IF(V$4="",0,IF($E33="kWh",VLOOKUP(V$4,'4. Billing Determinants'!$B$19:$R$41,4,0)/'4. Billing Determinants'!$E$41*$D33,IF($E33="kW",VLOOKUP(V$4,'4. Billing Determinants'!$B$19:$R$41,5,0)/'4. Billing Determinants'!$F$41*$D33,IF($E33="Non-RPP kWh",VLOOKUP(V$4,'4. Billing Determinants'!$B$19:$R$41,6,0)/'4. Billing Determinants'!$G$41*$D33,IF($E33="Distribution Rev.",VLOOKUP(V$4,'4. Billing Determinants'!$B$19:$R$41,8,0)/'4. Billing Determinants'!$I$41*$D33, VLOOKUP(V$4,'4. Billing Determinants'!$B$19:$R$41,3,0)/'4. Billing Determinants'!$D$41*$D33))))),0)</f>
        <v>0</v>
      </c>
      <c r="W33" s="40">
        <f>IFERROR(IF(W$4="",0,IF($E33="kWh",VLOOKUP(W$4,'4. Billing Determinants'!$B$19:$R$41,4,0)/'4. Billing Determinants'!$E$41*$D33,IF($E33="kW",VLOOKUP(W$4,'4. Billing Determinants'!$B$19:$R$41,5,0)/'4. Billing Determinants'!$F$41*$D33,IF($E33="Non-RPP kWh",VLOOKUP(W$4,'4. Billing Determinants'!$B$19:$R$41,6,0)/'4. Billing Determinants'!$G$41*$D33,IF($E33="Distribution Rev.",VLOOKUP(W$4,'4. Billing Determinants'!$B$19:$R$41,8,0)/'4. Billing Determinants'!$I$41*$D33, VLOOKUP(W$4,'4. Billing Determinants'!$B$19:$R$41,3,0)/'4. Billing Determinants'!$D$41*$D33))))),0)</f>
        <v>0</v>
      </c>
      <c r="X33" s="40">
        <f>IFERROR(IF(X$4="",0,IF($E33="kWh",VLOOKUP(X$4,'4. Billing Determinants'!$B$19:$R$41,4,0)/'4. Billing Determinants'!$E$41*$D33,IF($E33="kW",VLOOKUP(X$4,'4. Billing Determinants'!$B$19:$R$41,5,0)/'4. Billing Determinants'!$F$41*$D33,IF($E33="Non-RPP kWh",VLOOKUP(X$4,'4. Billing Determinants'!$B$19:$R$41,6,0)/'4. Billing Determinants'!$G$41*$D33,IF($E33="Distribution Rev.",VLOOKUP(X$4,'4. Billing Determinants'!$B$19:$R$41,8,0)/'4. Billing Determinants'!$I$41*$D33, VLOOKUP(X$4,'4. Billing Determinants'!$B$19:$R$41,3,0)/'4. Billing Determinants'!$D$41*$D33))))),0)</f>
        <v>0</v>
      </c>
      <c r="Y33" s="40">
        <f>IFERROR(IF(Y$4="",0,IF($E33="kWh",VLOOKUP(Y$4,'4. Billing Determinants'!$B$19:$R$41,4,0)/'4. Billing Determinants'!$E$41*$D33,IF($E33="kW",VLOOKUP(Y$4,'4. Billing Determinants'!$B$19:$R$41,5,0)/'4. Billing Determinants'!$F$41*$D33,IF($E33="Non-RPP kWh",VLOOKUP(Y$4,'4. Billing Determinants'!$B$19:$R$41,6,0)/'4. Billing Determinants'!$G$41*$D33,IF($E33="Distribution Rev.",VLOOKUP(Y$4,'4. Billing Determinants'!$B$19:$R$41,8,0)/'4. Billing Determinants'!$I$41*$D33, VLOOKUP(Y$4,'4. Billing Determinants'!$B$19:$R$41,3,0)/'4. Billing Determinants'!$D$41*$D33))))),0)</f>
        <v>0</v>
      </c>
    </row>
    <row r="34" spans="1:25" x14ac:dyDescent="0.25">
      <c r="B34" s="345" t="str">
        <f>IF('2b. Continuity Schedule'!C60="","",'2b. Continuity Schedule'!C60)</f>
        <v/>
      </c>
      <c r="C34" s="39">
        <v>1508</v>
      </c>
      <c r="D34" s="40">
        <f>'2b. Continuity Schedule'!BT60</f>
        <v>0</v>
      </c>
      <c r="E34" s="61" t="s">
        <v>139</v>
      </c>
      <c r="F34" s="40">
        <f>IFERROR(IF(F$4="",0,IF($E34="kWh",VLOOKUP(F$4,'4. Billing Determinants'!$B$19:$R$41,4,0)/'4. Billing Determinants'!$E$41*$D34,IF($E34="kW",VLOOKUP(F$4,'4. Billing Determinants'!$B$19:$R$41,5,0)/'4. Billing Determinants'!$F$41*$D34,IF($E34="Non-RPP kWh",VLOOKUP(F$4,'4. Billing Determinants'!$B$19:$R$41,6,0)/'4. Billing Determinants'!$G$41*$D34,IF($E34="Distribution Rev.",VLOOKUP(F$4,'4. Billing Determinants'!$B$19:$R$41,8,0)/'4. Billing Determinants'!$I$41*$D34, VLOOKUP(F$4,'4. Billing Determinants'!$B$19:$R$41,3,0)/'4. Billing Determinants'!$D$41*$D34))))),0)</f>
        <v>0</v>
      </c>
      <c r="G34" s="40">
        <f>IFERROR(IF(G$4="",0,IF($E34="kWh",VLOOKUP(G$4,'4. Billing Determinants'!$B$19:$R$41,4,0)/'4. Billing Determinants'!$E$41*$D34,IF($E34="kW",VLOOKUP(G$4,'4. Billing Determinants'!$B$19:$R$41,5,0)/'4. Billing Determinants'!$F$41*$D34,IF($E34="Non-RPP kWh",VLOOKUP(G$4,'4. Billing Determinants'!$B$19:$R$41,6,0)/'4. Billing Determinants'!$G$41*$D34,IF($E34="Distribution Rev.",VLOOKUP(G$4,'4. Billing Determinants'!$B$19:$R$41,8,0)/'4. Billing Determinants'!$I$41*$D34, VLOOKUP(G$4,'4. Billing Determinants'!$B$19:$R$41,3,0)/'4. Billing Determinants'!$D$41*$D34))))),0)</f>
        <v>0</v>
      </c>
      <c r="H34" s="40">
        <f>IFERROR(IF(H$4="",0,IF($E34="kWh",VLOOKUP(H$4,'4. Billing Determinants'!$B$19:$R$41,4,0)/'4. Billing Determinants'!$E$41*$D34,IF($E34="kW",VLOOKUP(H$4,'4. Billing Determinants'!$B$19:$R$41,5,0)/'4. Billing Determinants'!$F$41*$D34,IF($E34="Non-RPP kWh",VLOOKUP(H$4,'4. Billing Determinants'!$B$19:$R$41,6,0)/'4. Billing Determinants'!$G$41*$D34,IF($E34="Distribution Rev.",VLOOKUP(H$4,'4. Billing Determinants'!$B$19:$R$41,8,0)/'4. Billing Determinants'!$I$41*$D34, VLOOKUP(H$4,'4. Billing Determinants'!$B$19:$R$41,3,0)/'4. Billing Determinants'!$D$41*$D34))))),0)</f>
        <v>0</v>
      </c>
      <c r="I34" s="40">
        <f>IFERROR(IF(I$4="",0,IF($E34="kWh",VLOOKUP(I$4,'4. Billing Determinants'!$B$19:$R$41,4,0)/'4. Billing Determinants'!$E$41*$D34,IF($E34="kW",VLOOKUP(I$4,'4. Billing Determinants'!$B$19:$R$41,5,0)/'4. Billing Determinants'!$F$41*$D34,IF($E34="Non-RPP kWh",VLOOKUP(I$4,'4. Billing Determinants'!$B$19:$R$41,6,0)/'4. Billing Determinants'!$G$41*$D34,IF($E34="Distribution Rev.",VLOOKUP(I$4,'4. Billing Determinants'!$B$19:$R$41,8,0)/'4. Billing Determinants'!$I$41*$D34, VLOOKUP(I$4,'4. Billing Determinants'!$B$19:$R$41,3,0)/'4. Billing Determinants'!$D$41*$D34))))),0)</f>
        <v>0</v>
      </c>
      <c r="J34" s="40">
        <f>IFERROR(IF(J$4="",0,IF($E34="kWh",VLOOKUP(J$4,'4. Billing Determinants'!$B$19:$R$41,4,0)/'4. Billing Determinants'!$E$41*$D34,IF($E34="kW",VLOOKUP(J$4,'4. Billing Determinants'!$B$19:$R$41,5,0)/'4. Billing Determinants'!$F$41*$D34,IF($E34="Non-RPP kWh",VLOOKUP(J$4,'4. Billing Determinants'!$B$19:$R$41,6,0)/'4. Billing Determinants'!$G$41*$D34,IF($E34="Distribution Rev.",VLOOKUP(J$4,'4. Billing Determinants'!$B$19:$R$41,8,0)/'4. Billing Determinants'!$I$41*$D34, VLOOKUP(J$4,'4. Billing Determinants'!$B$19:$R$41,3,0)/'4. Billing Determinants'!$D$41*$D34))))),0)</f>
        <v>0</v>
      </c>
      <c r="K34" s="40">
        <f>IFERROR(IF(K$4="",0,IF($E34="kWh",VLOOKUP(K$4,'4. Billing Determinants'!$B$19:$R$41,4,0)/'4. Billing Determinants'!$E$41*$D34,IF($E34="kW",VLOOKUP(K$4,'4. Billing Determinants'!$B$19:$R$41,5,0)/'4. Billing Determinants'!$F$41*$D34,IF($E34="Non-RPP kWh",VLOOKUP(K$4,'4. Billing Determinants'!$B$19:$R$41,6,0)/'4. Billing Determinants'!$G$41*$D34,IF($E34="Distribution Rev.",VLOOKUP(K$4,'4. Billing Determinants'!$B$19:$R$41,8,0)/'4. Billing Determinants'!$I$41*$D34, VLOOKUP(K$4,'4. Billing Determinants'!$B$19:$R$41,3,0)/'4. Billing Determinants'!$D$41*$D34))))),0)</f>
        <v>0</v>
      </c>
      <c r="L34" s="40">
        <f>IFERROR(IF(L$4="",0,IF($E34="kWh",VLOOKUP(L$4,'4. Billing Determinants'!$B$19:$R$41,4,0)/'4. Billing Determinants'!$E$41*$D34,IF($E34="kW",VLOOKUP(L$4,'4. Billing Determinants'!$B$19:$R$41,5,0)/'4. Billing Determinants'!$F$41*$D34,IF($E34="Non-RPP kWh",VLOOKUP(L$4,'4. Billing Determinants'!$B$19:$R$41,6,0)/'4. Billing Determinants'!$G$41*$D34,IF($E34="Distribution Rev.",VLOOKUP(L$4,'4. Billing Determinants'!$B$19:$R$41,8,0)/'4. Billing Determinants'!$I$41*$D34, VLOOKUP(L$4,'4. Billing Determinants'!$B$19:$R$41,3,0)/'4. Billing Determinants'!$D$41*$D34))))),0)</f>
        <v>0</v>
      </c>
      <c r="M34" s="40">
        <f>IFERROR(IF(M$4="",0,IF($E34="kWh",VLOOKUP(M$4,'4. Billing Determinants'!$B$19:$R$41,4,0)/'4. Billing Determinants'!$E$41*$D34,IF($E34="kW",VLOOKUP(M$4,'4. Billing Determinants'!$B$19:$R$41,5,0)/'4. Billing Determinants'!$F$41*$D34,IF($E34="Non-RPP kWh",VLOOKUP(M$4,'4. Billing Determinants'!$B$19:$R$41,6,0)/'4. Billing Determinants'!$G$41*$D34,IF($E34="Distribution Rev.",VLOOKUP(M$4,'4. Billing Determinants'!$B$19:$R$41,8,0)/'4. Billing Determinants'!$I$41*$D34, VLOOKUP(M$4,'4. Billing Determinants'!$B$19:$R$41,3,0)/'4. Billing Determinants'!$D$41*$D34))))),0)</f>
        <v>0</v>
      </c>
      <c r="N34" s="40">
        <f>IFERROR(IF(N$4="",0,IF($E34="kWh",VLOOKUP(N$4,'4. Billing Determinants'!$B$19:$R$41,4,0)/'4. Billing Determinants'!$E$41*$D34,IF($E34="kW",VLOOKUP(N$4,'4. Billing Determinants'!$B$19:$R$41,5,0)/'4. Billing Determinants'!$F$41*$D34,IF($E34="Non-RPP kWh",VLOOKUP(N$4,'4. Billing Determinants'!$B$19:$R$41,6,0)/'4. Billing Determinants'!$G$41*$D34,IF($E34="Distribution Rev.",VLOOKUP(N$4,'4. Billing Determinants'!$B$19:$R$41,8,0)/'4. Billing Determinants'!$I$41*$D34, VLOOKUP(N$4,'4. Billing Determinants'!$B$19:$R$41,3,0)/'4. Billing Determinants'!$D$41*$D34))))),0)</f>
        <v>0</v>
      </c>
      <c r="O34" s="40">
        <f>IFERROR(IF(O$4="",0,IF($E34="kWh",VLOOKUP(O$4,'4. Billing Determinants'!$B$19:$R$41,4,0)/'4. Billing Determinants'!$E$41*$D34,IF($E34="kW",VLOOKUP(O$4,'4. Billing Determinants'!$B$19:$R$41,5,0)/'4. Billing Determinants'!$F$41*$D34,IF($E34="Non-RPP kWh",VLOOKUP(O$4,'4. Billing Determinants'!$B$19:$R$41,6,0)/'4. Billing Determinants'!$G$41*$D34,IF($E34="Distribution Rev.",VLOOKUP(O$4,'4. Billing Determinants'!$B$19:$R$41,8,0)/'4. Billing Determinants'!$I$41*$D34, VLOOKUP(O$4,'4. Billing Determinants'!$B$19:$R$41,3,0)/'4. Billing Determinants'!$D$41*$D34))))),0)</f>
        <v>0</v>
      </c>
      <c r="P34" s="40">
        <f>IFERROR(IF(P$4="",0,IF($E34="kWh",VLOOKUP(P$4,'4. Billing Determinants'!$B$19:$R$41,4,0)/'4. Billing Determinants'!$E$41*$D34,IF($E34="kW",VLOOKUP(P$4,'4. Billing Determinants'!$B$19:$R$41,5,0)/'4. Billing Determinants'!$F$41*$D34,IF($E34="Non-RPP kWh",VLOOKUP(P$4,'4. Billing Determinants'!$B$19:$R$41,6,0)/'4. Billing Determinants'!$G$41*$D34,IF($E34="Distribution Rev.",VLOOKUP(P$4,'4. Billing Determinants'!$B$19:$R$41,8,0)/'4. Billing Determinants'!$I$41*$D34, VLOOKUP(P$4,'4. Billing Determinants'!$B$19:$R$41,3,0)/'4. Billing Determinants'!$D$41*$D34))))),0)</f>
        <v>0</v>
      </c>
      <c r="Q34" s="40">
        <f>IFERROR(IF(Q$4="",0,IF($E34="kWh",VLOOKUP(Q$4,'4. Billing Determinants'!$B$19:$R$41,4,0)/'4. Billing Determinants'!$E$41*$D34,IF($E34="kW",VLOOKUP(Q$4,'4. Billing Determinants'!$B$19:$R$41,5,0)/'4. Billing Determinants'!$F$41*$D34,IF($E34="Non-RPP kWh",VLOOKUP(Q$4,'4. Billing Determinants'!$B$19:$R$41,6,0)/'4. Billing Determinants'!$G$41*$D34,IF($E34="Distribution Rev.",VLOOKUP(Q$4,'4. Billing Determinants'!$B$19:$R$41,8,0)/'4. Billing Determinants'!$I$41*$D34, VLOOKUP(Q$4,'4. Billing Determinants'!$B$19:$R$41,3,0)/'4. Billing Determinants'!$D$41*$D34))))),0)</f>
        <v>0</v>
      </c>
      <c r="R34" s="40">
        <f>IFERROR(IF(R$4="",0,IF($E34="kWh",VLOOKUP(R$4,'4. Billing Determinants'!$B$19:$R$41,4,0)/'4. Billing Determinants'!$E$41*$D34,IF($E34="kW",VLOOKUP(R$4,'4. Billing Determinants'!$B$19:$R$41,5,0)/'4. Billing Determinants'!$F$41*$D34,IF($E34="Non-RPP kWh",VLOOKUP(R$4,'4. Billing Determinants'!$B$19:$R$41,6,0)/'4. Billing Determinants'!$G$41*$D34,IF($E34="Distribution Rev.",VLOOKUP(R$4,'4. Billing Determinants'!$B$19:$R$41,8,0)/'4. Billing Determinants'!$I$41*$D34, VLOOKUP(R$4,'4. Billing Determinants'!$B$19:$R$41,3,0)/'4. Billing Determinants'!$D$41*$D34))))),0)</f>
        <v>0</v>
      </c>
      <c r="S34" s="40">
        <f>IFERROR(IF(S$4="",0,IF($E34="kWh",VLOOKUP(S$4,'4. Billing Determinants'!$B$19:$R$41,4,0)/'4. Billing Determinants'!$E$41*$D34,IF($E34="kW",VLOOKUP(S$4,'4. Billing Determinants'!$B$19:$R$41,5,0)/'4. Billing Determinants'!$F$41*$D34,IF($E34="Non-RPP kWh",VLOOKUP(S$4,'4. Billing Determinants'!$B$19:$R$41,6,0)/'4. Billing Determinants'!$G$41*$D34,IF($E34="Distribution Rev.",VLOOKUP(S$4,'4. Billing Determinants'!$B$19:$R$41,8,0)/'4. Billing Determinants'!$I$41*$D34, VLOOKUP(S$4,'4. Billing Determinants'!$B$19:$R$41,3,0)/'4. Billing Determinants'!$D$41*$D34))))),0)</f>
        <v>0</v>
      </c>
      <c r="T34" s="40">
        <f>IFERROR(IF(T$4="",0,IF($E34="kWh",VLOOKUP(T$4,'4. Billing Determinants'!$B$19:$R$41,4,0)/'4. Billing Determinants'!$E$41*$D34,IF($E34="kW",VLOOKUP(T$4,'4. Billing Determinants'!$B$19:$R$41,5,0)/'4. Billing Determinants'!$F$41*$D34,IF($E34="Non-RPP kWh",VLOOKUP(T$4,'4. Billing Determinants'!$B$19:$R$41,6,0)/'4. Billing Determinants'!$G$41*$D34,IF($E34="Distribution Rev.",VLOOKUP(T$4,'4. Billing Determinants'!$B$19:$R$41,8,0)/'4. Billing Determinants'!$I$41*$D34, VLOOKUP(T$4,'4. Billing Determinants'!$B$19:$R$41,3,0)/'4. Billing Determinants'!$D$41*$D34))))),0)</f>
        <v>0</v>
      </c>
      <c r="U34" s="40">
        <f>IFERROR(IF(U$4="",0,IF($E34="kWh",VLOOKUP(U$4,'4. Billing Determinants'!$B$19:$R$41,4,0)/'4. Billing Determinants'!$E$41*$D34,IF($E34="kW",VLOOKUP(U$4,'4. Billing Determinants'!$B$19:$R$41,5,0)/'4. Billing Determinants'!$F$41*$D34,IF($E34="Non-RPP kWh",VLOOKUP(U$4,'4. Billing Determinants'!$B$19:$R$41,6,0)/'4. Billing Determinants'!$G$41*$D34,IF($E34="Distribution Rev.",VLOOKUP(U$4,'4. Billing Determinants'!$B$19:$R$41,8,0)/'4. Billing Determinants'!$I$41*$D34, VLOOKUP(U$4,'4. Billing Determinants'!$B$19:$R$41,3,0)/'4. Billing Determinants'!$D$41*$D34))))),0)</f>
        <v>0</v>
      </c>
      <c r="V34" s="40">
        <f>IFERROR(IF(V$4="",0,IF($E34="kWh",VLOOKUP(V$4,'4. Billing Determinants'!$B$19:$R$41,4,0)/'4. Billing Determinants'!$E$41*$D34,IF($E34="kW",VLOOKUP(V$4,'4. Billing Determinants'!$B$19:$R$41,5,0)/'4. Billing Determinants'!$F$41*$D34,IF($E34="Non-RPP kWh",VLOOKUP(V$4,'4. Billing Determinants'!$B$19:$R$41,6,0)/'4. Billing Determinants'!$G$41*$D34,IF($E34="Distribution Rev.",VLOOKUP(V$4,'4. Billing Determinants'!$B$19:$R$41,8,0)/'4. Billing Determinants'!$I$41*$D34, VLOOKUP(V$4,'4. Billing Determinants'!$B$19:$R$41,3,0)/'4. Billing Determinants'!$D$41*$D34))))),0)</f>
        <v>0</v>
      </c>
      <c r="W34" s="40">
        <f>IFERROR(IF(W$4="",0,IF($E34="kWh",VLOOKUP(W$4,'4. Billing Determinants'!$B$19:$R$41,4,0)/'4. Billing Determinants'!$E$41*$D34,IF($E34="kW",VLOOKUP(W$4,'4. Billing Determinants'!$B$19:$R$41,5,0)/'4. Billing Determinants'!$F$41*$D34,IF($E34="Non-RPP kWh",VLOOKUP(W$4,'4. Billing Determinants'!$B$19:$R$41,6,0)/'4. Billing Determinants'!$G$41*$D34,IF($E34="Distribution Rev.",VLOOKUP(W$4,'4. Billing Determinants'!$B$19:$R$41,8,0)/'4. Billing Determinants'!$I$41*$D34, VLOOKUP(W$4,'4. Billing Determinants'!$B$19:$R$41,3,0)/'4. Billing Determinants'!$D$41*$D34))))),0)</f>
        <v>0</v>
      </c>
      <c r="X34" s="40">
        <f>IFERROR(IF(X$4="",0,IF($E34="kWh",VLOOKUP(X$4,'4. Billing Determinants'!$B$19:$R$41,4,0)/'4. Billing Determinants'!$E$41*$D34,IF($E34="kW",VLOOKUP(X$4,'4. Billing Determinants'!$B$19:$R$41,5,0)/'4. Billing Determinants'!$F$41*$D34,IF($E34="Non-RPP kWh",VLOOKUP(X$4,'4. Billing Determinants'!$B$19:$R$41,6,0)/'4. Billing Determinants'!$G$41*$D34,IF($E34="Distribution Rev.",VLOOKUP(X$4,'4. Billing Determinants'!$B$19:$R$41,8,0)/'4. Billing Determinants'!$I$41*$D34, VLOOKUP(X$4,'4. Billing Determinants'!$B$19:$R$41,3,0)/'4. Billing Determinants'!$D$41*$D34))))),0)</f>
        <v>0</v>
      </c>
      <c r="Y34" s="40">
        <f>IFERROR(IF(Y$4="",0,IF($E34="kWh",VLOOKUP(Y$4,'4. Billing Determinants'!$B$19:$R$41,4,0)/'4. Billing Determinants'!$E$41*$D34,IF($E34="kW",VLOOKUP(Y$4,'4. Billing Determinants'!$B$19:$R$41,5,0)/'4. Billing Determinants'!$F$41*$D34,IF($E34="Non-RPP kWh",VLOOKUP(Y$4,'4. Billing Determinants'!$B$19:$R$41,6,0)/'4. Billing Determinants'!$G$41*$D34,IF($E34="Distribution Rev.",VLOOKUP(Y$4,'4. Billing Determinants'!$B$19:$R$41,8,0)/'4. Billing Determinants'!$I$41*$D34, VLOOKUP(Y$4,'4. Billing Determinants'!$B$19:$R$41,3,0)/'4. Billing Determinants'!$D$41*$D34))))),0)</f>
        <v>0</v>
      </c>
    </row>
    <row r="35" spans="1:25" x14ac:dyDescent="0.25">
      <c r="B35" s="345" t="str">
        <f>IF('2b. Continuity Schedule'!C61="","",'2b. Continuity Schedule'!C61)</f>
        <v/>
      </c>
      <c r="C35" s="39">
        <v>1508</v>
      </c>
      <c r="D35" s="40">
        <f>'2b. Continuity Schedule'!BT61</f>
        <v>0</v>
      </c>
      <c r="E35" s="61" t="s">
        <v>139</v>
      </c>
      <c r="F35" s="40">
        <f>IFERROR(IF(F$4="",0,IF($E35="kWh",VLOOKUP(F$4,'4. Billing Determinants'!$B$19:$R$41,4,0)/'4. Billing Determinants'!$E$41*$D35,IF($E35="kW",VLOOKUP(F$4,'4. Billing Determinants'!$B$19:$R$41,5,0)/'4. Billing Determinants'!$F$41*$D35,IF($E35="Non-RPP kWh",VLOOKUP(F$4,'4. Billing Determinants'!$B$19:$R$41,6,0)/'4. Billing Determinants'!$G$41*$D35,IF($E35="Distribution Rev.",VLOOKUP(F$4,'4. Billing Determinants'!$B$19:$R$41,8,0)/'4. Billing Determinants'!$I$41*$D35, VLOOKUP(F$4,'4. Billing Determinants'!$B$19:$R$41,3,0)/'4. Billing Determinants'!$D$41*$D35))))),0)</f>
        <v>0</v>
      </c>
      <c r="G35" s="40">
        <f>IFERROR(IF(G$4="",0,IF($E35="kWh",VLOOKUP(G$4,'4. Billing Determinants'!$B$19:$R$41,4,0)/'4. Billing Determinants'!$E$41*$D35,IF($E35="kW",VLOOKUP(G$4,'4. Billing Determinants'!$B$19:$R$41,5,0)/'4. Billing Determinants'!$F$41*$D35,IF($E35="Non-RPP kWh",VLOOKUP(G$4,'4. Billing Determinants'!$B$19:$R$41,6,0)/'4. Billing Determinants'!$G$41*$D35,IF($E35="Distribution Rev.",VLOOKUP(G$4,'4. Billing Determinants'!$B$19:$R$41,8,0)/'4. Billing Determinants'!$I$41*$D35, VLOOKUP(G$4,'4. Billing Determinants'!$B$19:$R$41,3,0)/'4. Billing Determinants'!$D$41*$D35))))),0)</f>
        <v>0</v>
      </c>
      <c r="H35" s="40">
        <f>IFERROR(IF(H$4="",0,IF($E35="kWh",VLOOKUP(H$4,'4. Billing Determinants'!$B$19:$R$41,4,0)/'4. Billing Determinants'!$E$41*$D35,IF($E35="kW",VLOOKUP(H$4,'4. Billing Determinants'!$B$19:$R$41,5,0)/'4. Billing Determinants'!$F$41*$D35,IF($E35="Non-RPP kWh",VLOOKUP(H$4,'4. Billing Determinants'!$B$19:$R$41,6,0)/'4. Billing Determinants'!$G$41*$D35,IF($E35="Distribution Rev.",VLOOKUP(H$4,'4. Billing Determinants'!$B$19:$R$41,8,0)/'4. Billing Determinants'!$I$41*$D35, VLOOKUP(H$4,'4. Billing Determinants'!$B$19:$R$41,3,0)/'4. Billing Determinants'!$D$41*$D35))))),0)</f>
        <v>0</v>
      </c>
      <c r="I35" s="40">
        <f>IFERROR(IF(I$4="",0,IF($E35="kWh",VLOOKUP(I$4,'4. Billing Determinants'!$B$19:$R$41,4,0)/'4. Billing Determinants'!$E$41*$D35,IF($E35="kW",VLOOKUP(I$4,'4. Billing Determinants'!$B$19:$R$41,5,0)/'4. Billing Determinants'!$F$41*$D35,IF($E35="Non-RPP kWh",VLOOKUP(I$4,'4. Billing Determinants'!$B$19:$R$41,6,0)/'4. Billing Determinants'!$G$41*$D35,IF($E35="Distribution Rev.",VLOOKUP(I$4,'4. Billing Determinants'!$B$19:$R$41,8,0)/'4. Billing Determinants'!$I$41*$D35, VLOOKUP(I$4,'4. Billing Determinants'!$B$19:$R$41,3,0)/'4. Billing Determinants'!$D$41*$D35))))),0)</f>
        <v>0</v>
      </c>
      <c r="J35" s="40">
        <f>IFERROR(IF(J$4="",0,IF($E35="kWh",VLOOKUP(J$4,'4. Billing Determinants'!$B$19:$R$41,4,0)/'4. Billing Determinants'!$E$41*$D35,IF($E35="kW",VLOOKUP(J$4,'4. Billing Determinants'!$B$19:$R$41,5,0)/'4. Billing Determinants'!$F$41*$D35,IF($E35="Non-RPP kWh",VLOOKUP(J$4,'4. Billing Determinants'!$B$19:$R$41,6,0)/'4. Billing Determinants'!$G$41*$D35,IF($E35="Distribution Rev.",VLOOKUP(J$4,'4. Billing Determinants'!$B$19:$R$41,8,0)/'4. Billing Determinants'!$I$41*$D35, VLOOKUP(J$4,'4. Billing Determinants'!$B$19:$R$41,3,0)/'4. Billing Determinants'!$D$41*$D35))))),0)</f>
        <v>0</v>
      </c>
      <c r="K35" s="40">
        <f>IFERROR(IF(K$4="",0,IF($E35="kWh",VLOOKUP(K$4,'4. Billing Determinants'!$B$19:$R$41,4,0)/'4. Billing Determinants'!$E$41*$D35,IF($E35="kW",VLOOKUP(K$4,'4. Billing Determinants'!$B$19:$R$41,5,0)/'4. Billing Determinants'!$F$41*$D35,IF($E35="Non-RPP kWh",VLOOKUP(K$4,'4. Billing Determinants'!$B$19:$R$41,6,0)/'4. Billing Determinants'!$G$41*$D35,IF($E35="Distribution Rev.",VLOOKUP(K$4,'4. Billing Determinants'!$B$19:$R$41,8,0)/'4. Billing Determinants'!$I$41*$D35, VLOOKUP(K$4,'4. Billing Determinants'!$B$19:$R$41,3,0)/'4. Billing Determinants'!$D$41*$D35))))),0)</f>
        <v>0</v>
      </c>
      <c r="L35" s="40">
        <f>IFERROR(IF(L$4="",0,IF($E35="kWh",VLOOKUP(L$4,'4. Billing Determinants'!$B$19:$R$41,4,0)/'4. Billing Determinants'!$E$41*$D35,IF($E35="kW",VLOOKUP(L$4,'4. Billing Determinants'!$B$19:$R$41,5,0)/'4. Billing Determinants'!$F$41*$D35,IF($E35="Non-RPP kWh",VLOOKUP(L$4,'4. Billing Determinants'!$B$19:$R$41,6,0)/'4. Billing Determinants'!$G$41*$D35,IF($E35="Distribution Rev.",VLOOKUP(L$4,'4. Billing Determinants'!$B$19:$R$41,8,0)/'4. Billing Determinants'!$I$41*$D35, VLOOKUP(L$4,'4. Billing Determinants'!$B$19:$R$41,3,0)/'4. Billing Determinants'!$D$41*$D35))))),0)</f>
        <v>0</v>
      </c>
      <c r="M35" s="40">
        <f>IFERROR(IF(M$4="",0,IF($E35="kWh",VLOOKUP(M$4,'4. Billing Determinants'!$B$19:$R$41,4,0)/'4. Billing Determinants'!$E$41*$D35,IF($E35="kW",VLOOKUP(M$4,'4. Billing Determinants'!$B$19:$R$41,5,0)/'4. Billing Determinants'!$F$41*$D35,IF($E35="Non-RPP kWh",VLOOKUP(M$4,'4. Billing Determinants'!$B$19:$R$41,6,0)/'4. Billing Determinants'!$G$41*$D35,IF($E35="Distribution Rev.",VLOOKUP(M$4,'4. Billing Determinants'!$B$19:$R$41,8,0)/'4. Billing Determinants'!$I$41*$D35, VLOOKUP(M$4,'4. Billing Determinants'!$B$19:$R$41,3,0)/'4. Billing Determinants'!$D$41*$D35))))),0)</f>
        <v>0</v>
      </c>
      <c r="N35" s="40">
        <f>IFERROR(IF(N$4="",0,IF($E35="kWh",VLOOKUP(N$4,'4. Billing Determinants'!$B$19:$R$41,4,0)/'4. Billing Determinants'!$E$41*$D35,IF($E35="kW",VLOOKUP(N$4,'4. Billing Determinants'!$B$19:$R$41,5,0)/'4. Billing Determinants'!$F$41*$D35,IF($E35="Non-RPP kWh",VLOOKUP(N$4,'4. Billing Determinants'!$B$19:$R$41,6,0)/'4. Billing Determinants'!$G$41*$D35,IF($E35="Distribution Rev.",VLOOKUP(N$4,'4. Billing Determinants'!$B$19:$R$41,8,0)/'4. Billing Determinants'!$I$41*$D35, VLOOKUP(N$4,'4. Billing Determinants'!$B$19:$R$41,3,0)/'4. Billing Determinants'!$D$41*$D35))))),0)</f>
        <v>0</v>
      </c>
      <c r="O35" s="40">
        <f>IFERROR(IF(O$4="",0,IF($E35="kWh",VLOOKUP(O$4,'4. Billing Determinants'!$B$19:$R$41,4,0)/'4. Billing Determinants'!$E$41*$D35,IF($E35="kW",VLOOKUP(O$4,'4. Billing Determinants'!$B$19:$R$41,5,0)/'4. Billing Determinants'!$F$41*$D35,IF($E35="Non-RPP kWh",VLOOKUP(O$4,'4. Billing Determinants'!$B$19:$R$41,6,0)/'4. Billing Determinants'!$G$41*$D35,IF($E35="Distribution Rev.",VLOOKUP(O$4,'4. Billing Determinants'!$B$19:$R$41,8,0)/'4. Billing Determinants'!$I$41*$D35, VLOOKUP(O$4,'4. Billing Determinants'!$B$19:$R$41,3,0)/'4. Billing Determinants'!$D$41*$D35))))),0)</f>
        <v>0</v>
      </c>
      <c r="P35" s="40">
        <f>IFERROR(IF(P$4="",0,IF($E35="kWh",VLOOKUP(P$4,'4. Billing Determinants'!$B$19:$R$41,4,0)/'4. Billing Determinants'!$E$41*$D35,IF($E35="kW",VLOOKUP(P$4,'4. Billing Determinants'!$B$19:$R$41,5,0)/'4. Billing Determinants'!$F$41*$D35,IF($E35="Non-RPP kWh",VLOOKUP(P$4,'4. Billing Determinants'!$B$19:$R$41,6,0)/'4. Billing Determinants'!$G$41*$D35,IF($E35="Distribution Rev.",VLOOKUP(P$4,'4. Billing Determinants'!$B$19:$R$41,8,0)/'4. Billing Determinants'!$I$41*$D35, VLOOKUP(P$4,'4. Billing Determinants'!$B$19:$R$41,3,0)/'4. Billing Determinants'!$D$41*$D35))))),0)</f>
        <v>0</v>
      </c>
      <c r="Q35" s="40">
        <f>IFERROR(IF(Q$4="",0,IF($E35="kWh",VLOOKUP(Q$4,'4. Billing Determinants'!$B$19:$R$41,4,0)/'4. Billing Determinants'!$E$41*$D35,IF($E35="kW",VLOOKUP(Q$4,'4. Billing Determinants'!$B$19:$R$41,5,0)/'4. Billing Determinants'!$F$41*$D35,IF($E35="Non-RPP kWh",VLOOKUP(Q$4,'4. Billing Determinants'!$B$19:$R$41,6,0)/'4. Billing Determinants'!$G$41*$D35,IF($E35="Distribution Rev.",VLOOKUP(Q$4,'4. Billing Determinants'!$B$19:$R$41,8,0)/'4. Billing Determinants'!$I$41*$D35, VLOOKUP(Q$4,'4. Billing Determinants'!$B$19:$R$41,3,0)/'4. Billing Determinants'!$D$41*$D35))))),0)</f>
        <v>0</v>
      </c>
      <c r="R35" s="40">
        <f>IFERROR(IF(R$4="",0,IF($E35="kWh",VLOOKUP(R$4,'4. Billing Determinants'!$B$19:$R$41,4,0)/'4. Billing Determinants'!$E$41*$D35,IF($E35="kW",VLOOKUP(R$4,'4. Billing Determinants'!$B$19:$R$41,5,0)/'4. Billing Determinants'!$F$41*$D35,IF($E35="Non-RPP kWh",VLOOKUP(R$4,'4. Billing Determinants'!$B$19:$R$41,6,0)/'4. Billing Determinants'!$G$41*$D35,IF($E35="Distribution Rev.",VLOOKUP(R$4,'4. Billing Determinants'!$B$19:$R$41,8,0)/'4. Billing Determinants'!$I$41*$D35, VLOOKUP(R$4,'4. Billing Determinants'!$B$19:$R$41,3,0)/'4. Billing Determinants'!$D$41*$D35))))),0)</f>
        <v>0</v>
      </c>
      <c r="S35" s="40">
        <f>IFERROR(IF(S$4="",0,IF($E35="kWh",VLOOKUP(S$4,'4. Billing Determinants'!$B$19:$R$41,4,0)/'4. Billing Determinants'!$E$41*$D35,IF($E35="kW",VLOOKUP(S$4,'4. Billing Determinants'!$B$19:$R$41,5,0)/'4. Billing Determinants'!$F$41*$D35,IF($E35="Non-RPP kWh",VLOOKUP(S$4,'4. Billing Determinants'!$B$19:$R$41,6,0)/'4. Billing Determinants'!$G$41*$D35,IF($E35="Distribution Rev.",VLOOKUP(S$4,'4. Billing Determinants'!$B$19:$R$41,8,0)/'4. Billing Determinants'!$I$41*$D35, VLOOKUP(S$4,'4. Billing Determinants'!$B$19:$R$41,3,0)/'4. Billing Determinants'!$D$41*$D35))))),0)</f>
        <v>0</v>
      </c>
      <c r="T35" s="40">
        <f>IFERROR(IF(T$4="",0,IF($E35="kWh",VLOOKUP(T$4,'4. Billing Determinants'!$B$19:$R$41,4,0)/'4. Billing Determinants'!$E$41*$D35,IF($E35="kW",VLOOKUP(T$4,'4. Billing Determinants'!$B$19:$R$41,5,0)/'4. Billing Determinants'!$F$41*$D35,IF($E35="Non-RPP kWh",VLOOKUP(T$4,'4. Billing Determinants'!$B$19:$R$41,6,0)/'4. Billing Determinants'!$G$41*$D35,IF($E35="Distribution Rev.",VLOOKUP(T$4,'4. Billing Determinants'!$B$19:$R$41,8,0)/'4. Billing Determinants'!$I$41*$D35, VLOOKUP(T$4,'4. Billing Determinants'!$B$19:$R$41,3,0)/'4. Billing Determinants'!$D$41*$D35))))),0)</f>
        <v>0</v>
      </c>
      <c r="U35" s="40">
        <f>IFERROR(IF(U$4="",0,IF($E35="kWh",VLOOKUP(U$4,'4. Billing Determinants'!$B$19:$R$41,4,0)/'4. Billing Determinants'!$E$41*$D35,IF($E35="kW",VLOOKUP(U$4,'4. Billing Determinants'!$B$19:$R$41,5,0)/'4. Billing Determinants'!$F$41*$D35,IF($E35="Non-RPP kWh",VLOOKUP(U$4,'4. Billing Determinants'!$B$19:$R$41,6,0)/'4. Billing Determinants'!$G$41*$D35,IF($E35="Distribution Rev.",VLOOKUP(U$4,'4. Billing Determinants'!$B$19:$R$41,8,0)/'4. Billing Determinants'!$I$41*$D35, VLOOKUP(U$4,'4. Billing Determinants'!$B$19:$R$41,3,0)/'4. Billing Determinants'!$D$41*$D35))))),0)</f>
        <v>0</v>
      </c>
      <c r="V35" s="40">
        <f>IFERROR(IF(V$4="",0,IF($E35="kWh",VLOOKUP(V$4,'4. Billing Determinants'!$B$19:$R$41,4,0)/'4. Billing Determinants'!$E$41*$D35,IF($E35="kW",VLOOKUP(V$4,'4. Billing Determinants'!$B$19:$R$41,5,0)/'4. Billing Determinants'!$F$41*$D35,IF($E35="Non-RPP kWh",VLOOKUP(V$4,'4. Billing Determinants'!$B$19:$R$41,6,0)/'4. Billing Determinants'!$G$41*$D35,IF($E35="Distribution Rev.",VLOOKUP(V$4,'4. Billing Determinants'!$B$19:$R$41,8,0)/'4. Billing Determinants'!$I$41*$D35, VLOOKUP(V$4,'4. Billing Determinants'!$B$19:$R$41,3,0)/'4. Billing Determinants'!$D$41*$D35))))),0)</f>
        <v>0</v>
      </c>
      <c r="W35" s="40">
        <f>IFERROR(IF(W$4="",0,IF($E35="kWh",VLOOKUP(W$4,'4. Billing Determinants'!$B$19:$R$41,4,0)/'4. Billing Determinants'!$E$41*$D35,IF($E35="kW",VLOOKUP(W$4,'4. Billing Determinants'!$B$19:$R$41,5,0)/'4. Billing Determinants'!$F$41*$D35,IF($E35="Non-RPP kWh",VLOOKUP(W$4,'4. Billing Determinants'!$B$19:$R$41,6,0)/'4. Billing Determinants'!$G$41*$D35,IF($E35="Distribution Rev.",VLOOKUP(W$4,'4. Billing Determinants'!$B$19:$R$41,8,0)/'4. Billing Determinants'!$I$41*$D35, VLOOKUP(W$4,'4. Billing Determinants'!$B$19:$R$41,3,0)/'4. Billing Determinants'!$D$41*$D35))))),0)</f>
        <v>0</v>
      </c>
      <c r="X35" s="40">
        <f>IFERROR(IF(X$4="",0,IF($E35="kWh",VLOOKUP(X$4,'4. Billing Determinants'!$B$19:$R$41,4,0)/'4. Billing Determinants'!$E$41*$D35,IF($E35="kW",VLOOKUP(X$4,'4. Billing Determinants'!$B$19:$R$41,5,0)/'4. Billing Determinants'!$F$41*$D35,IF($E35="Non-RPP kWh",VLOOKUP(X$4,'4. Billing Determinants'!$B$19:$R$41,6,0)/'4. Billing Determinants'!$G$41*$D35,IF($E35="Distribution Rev.",VLOOKUP(X$4,'4. Billing Determinants'!$B$19:$R$41,8,0)/'4. Billing Determinants'!$I$41*$D35, VLOOKUP(X$4,'4. Billing Determinants'!$B$19:$R$41,3,0)/'4. Billing Determinants'!$D$41*$D35))))),0)</f>
        <v>0</v>
      </c>
      <c r="Y35" s="40">
        <f>IFERROR(IF(Y$4="",0,IF($E35="kWh",VLOOKUP(Y$4,'4. Billing Determinants'!$B$19:$R$41,4,0)/'4. Billing Determinants'!$E$41*$D35,IF($E35="kW",VLOOKUP(Y$4,'4. Billing Determinants'!$B$19:$R$41,5,0)/'4. Billing Determinants'!$F$41*$D35,IF($E35="Non-RPP kWh",VLOOKUP(Y$4,'4. Billing Determinants'!$B$19:$R$41,6,0)/'4. Billing Determinants'!$G$41*$D35,IF($E35="Distribution Rev.",VLOOKUP(Y$4,'4. Billing Determinants'!$B$19:$R$41,8,0)/'4. Billing Determinants'!$I$41*$D35, VLOOKUP(Y$4,'4. Billing Determinants'!$B$19:$R$41,3,0)/'4. Billing Determinants'!$D$41*$D35))))),0)</f>
        <v>0</v>
      </c>
    </row>
    <row r="36" spans="1:25" x14ac:dyDescent="0.25">
      <c r="B36" s="345" t="str">
        <f>IF('2b. Continuity Schedule'!C62="","",'2b. Continuity Schedule'!C62)</f>
        <v/>
      </c>
      <c r="C36" s="39">
        <v>1508</v>
      </c>
      <c r="D36" s="40">
        <f>'2b. Continuity Schedule'!BT62</f>
        <v>0</v>
      </c>
      <c r="E36" s="61" t="s">
        <v>139</v>
      </c>
      <c r="F36" s="40">
        <f>IFERROR(IF(F$4="",0,IF($E36="kWh",VLOOKUP(F$4,'4. Billing Determinants'!$B$19:$R$41,4,0)/'4. Billing Determinants'!$E$41*$D36,IF($E36="kW",VLOOKUP(F$4,'4. Billing Determinants'!$B$19:$R$41,5,0)/'4. Billing Determinants'!$F$41*$D36,IF($E36="Non-RPP kWh",VLOOKUP(F$4,'4. Billing Determinants'!$B$19:$R$41,6,0)/'4. Billing Determinants'!$G$41*$D36,IF($E36="Distribution Rev.",VLOOKUP(F$4,'4. Billing Determinants'!$B$19:$R$41,8,0)/'4. Billing Determinants'!$I$41*$D36, VLOOKUP(F$4,'4. Billing Determinants'!$B$19:$R$41,3,0)/'4. Billing Determinants'!$D$41*$D36))))),0)</f>
        <v>0</v>
      </c>
      <c r="G36" s="40">
        <f>IFERROR(IF(G$4="",0,IF($E36="kWh",VLOOKUP(G$4,'4. Billing Determinants'!$B$19:$R$41,4,0)/'4. Billing Determinants'!$E$41*$D36,IF($E36="kW",VLOOKUP(G$4,'4. Billing Determinants'!$B$19:$R$41,5,0)/'4. Billing Determinants'!$F$41*$D36,IF($E36="Non-RPP kWh",VLOOKUP(G$4,'4. Billing Determinants'!$B$19:$R$41,6,0)/'4. Billing Determinants'!$G$41*$D36,IF($E36="Distribution Rev.",VLOOKUP(G$4,'4. Billing Determinants'!$B$19:$R$41,8,0)/'4. Billing Determinants'!$I$41*$D36, VLOOKUP(G$4,'4. Billing Determinants'!$B$19:$R$41,3,0)/'4. Billing Determinants'!$D$41*$D36))))),0)</f>
        <v>0</v>
      </c>
      <c r="H36" s="40">
        <f>IFERROR(IF(H$4="",0,IF($E36="kWh",VLOOKUP(H$4,'4. Billing Determinants'!$B$19:$R$41,4,0)/'4. Billing Determinants'!$E$41*$D36,IF($E36="kW",VLOOKUP(H$4,'4. Billing Determinants'!$B$19:$R$41,5,0)/'4. Billing Determinants'!$F$41*$D36,IF($E36="Non-RPP kWh",VLOOKUP(H$4,'4. Billing Determinants'!$B$19:$R$41,6,0)/'4. Billing Determinants'!$G$41*$D36,IF($E36="Distribution Rev.",VLOOKUP(H$4,'4. Billing Determinants'!$B$19:$R$41,8,0)/'4. Billing Determinants'!$I$41*$D36, VLOOKUP(H$4,'4. Billing Determinants'!$B$19:$R$41,3,0)/'4. Billing Determinants'!$D$41*$D36))))),0)</f>
        <v>0</v>
      </c>
      <c r="I36" s="40">
        <f>IFERROR(IF(I$4="",0,IF($E36="kWh",VLOOKUP(I$4,'4. Billing Determinants'!$B$19:$R$41,4,0)/'4. Billing Determinants'!$E$41*$D36,IF($E36="kW",VLOOKUP(I$4,'4. Billing Determinants'!$B$19:$R$41,5,0)/'4. Billing Determinants'!$F$41*$D36,IF($E36="Non-RPP kWh",VLOOKUP(I$4,'4. Billing Determinants'!$B$19:$R$41,6,0)/'4. Billing Determinants'!$G$41*$D36,IF($E36="Distribution Rev.",VLOOKUP(I$4,'4. Billing Determinants'!$B$19:$R$41,8,0)/'4. Billing Determinants'!$I$41*$D36, VLOOKUP(I$4,'4. Billing Determinants'!$B$19:$R$41,3,0)/'4. Billing Determinants'!$D$41*$D36))))),0)</f>
        <v>0</v>
      </c>
      <c r="J36" s="40">
        <f>IFERROR(IF(J$4="",0,IF($E36="kWh",VLOOKUP(J$4,'4. Billing Determinants'!$B$19:$R$41,4,0)/'4. Billing Determinants'!$E$41*$D36,IF($E36="kW",VLOOKUP(J$4,'4. Billing Determinants'!$B$19:$R$41,5,0)/'4. Billing Determinants'!$F$41*$D36,IF($E36="Non-RPP kWh",VLOOKUP(J$4,'4. Billing Determinants'!$B$19:$R$41,6,0)/'4. Billing Determinants'!$G$41*$D36,IF($E36="Distribution Rev.",VLOOKUP(J$4,'4. Billing Determinants'!$B$19:$R$41,8,0)/'4. Billing Determinants'!$I$41*$D36, VLOOKUP(J$4,'4. Billing Determinants'!$B$19:$R$41,3,0)/'4. Billing Determinants'!$D$41*$D36))))),0)</f>
        <v>0</v>
      </c>
      <c r="K36" s="40">
        <f>IFERROR(IF(K$4="",0,IF($E36="kWh",VLOOKUP(K$4,'4. Billing Determinants'!$B$19:$R$41,4,0)/'4. Billing Determinants'!$E$41*$D36,IF($E36="kW",VLOOKUP(K$4,'4. Billing Determinants'!$B$19:$R$41,5,0)/'4. Billing Determinants'!$F$41*$D36,IF($E36="Non-RPP kWh",VLOOKUP(K$4,'4. Billing Determinants'!$B$19:$R$41,6,0)/'4. Billing Determinants'!$G$41*$D36,IF($E36="Distribution Rev.",VLOOKUP(K$4,'4. Billing Determinants'!$B$19:$R$41,8,0)/'4. Billing Determinants'!$I$41*$D36, VLOOKUP(K$4,'4. Billing Determinants'!$B$19:$R$41,3,0)/'4. Billing Determinants'!$D$41*$D36))))),0)</f>
        <v>0</v>
      </c>
      <c r="L36" s="40">
        <f>IFERROR(IF(L$4="",0,IF($E36="kWh",VLOOKUP(L$4,'4. Billing Determinants'!$B$19:$R$41,4,0)/'4. Billing Determinants'!$E$41*$D36,IF($E36="kW",VLOOKUP(L$4,'4. Billing Determinants'!$B$19:$R$41,5,0)/'4. Billing Determinants'!$F$41*$D36,IF($E36="Non-RPP kWh",VLOOKUP(L$4,'4. Billing Determinants'!$B$19:$R$41,6,0)/'4. Billing Determinants'!$G$41*$D36,IF($E36="Distribution Rev.",VLOOKUP(L$4,'4. Billing Determinants'!$B$19:$R$41,8,0)/'4. Billing Determinants'!$I$41*$D36, VLOOKUP(L$4,'4. Billing Determinants'!$B$19:$R$41,3,0)/'4. Billing Determinants'!$D$41*$D36))))),0)</f>
        <v>0</v>
      </c>
      <c r="M36" s="40">
        <f>IFERROR(IF(M$4="",0,IF($E36="kWh",VLOOKUP(M$4,'4. Billing Determinants'!$B$19:$R$41,4,0)/'4. Billing Determinants'!$E$41*$D36,IF($E36="kW",VLOOKUP(M$4,'4. Billing Determinants'!$B$19:$R$41,5,0)/'4. Billing Determinants'!$F$41*$D36,IF($E36="Non-RPP kWh",VLOOKUP(M$4,'4. Billing Determinants'!$B$19:$R$41,6,0)/'4. Billing Determinants'!$G$41*$D36,IF($E36="Distribution Rev.",VLOOKUP(M$4,'4. Billing Determinants'!$B$19:$R$41,8,0)/'4. Billing Determinants'!$I$41*$D36, VLOOKUP(M$4,'4. Billing Determinants'!$B$19:$R$41,3,0)/'4. Billing Determinants'!$D$41*$D36))))),0)</f>
        <v>0</v>
      </c>
      <c r="N36" s="40">
        <f>IFERROR(IF(N$4="",0,IF($E36="kWh",VLOOKUP(N$4,'4. Billing Determinants'!$B$19:$R$41,4,0)/'4. Billing Determinants'!$E$41*$D36,IF($E36="kW",VLOOKUP(N$4,'4. Billing Determinants'!$B$19:$R$41,5,0)/'4. Billing Determinants'!$F$41*$D36,IF($E36="Non-RPP kWh",VLOOKUP(N$4,'4. Billing Determinants'!$B$19:$R$41,6,0)/'4. Billing Determinants'!$G$41*$D36,IF($E36="Distribution Rev.",VLOOKUP(N$4,'4. Billing Determinants'!$B$19:$R$41,8,0)/'4. Billing Determinants'!$I$41*$D36, VLOOKUP(N$4,'4. Billing Determinants'!$B$19:$R$41,3,0)/'4. Billing Determinants'!$D$41*$D36))))),0)</f>
        <v>0</v>
      </c>
      <c r="O36" s="40">
        <f>IFERROR(IF(O$4="",0,IF($E36="kWh",VLOOKUP(O$4,'4. Billing Determinants'!$B$19:$R$41,4,0)/'4. Billing Determinants'!$E$41*$D36,IF($E36="kW",VLOOKUP(O$4,'4. Billing Determinants'!$B$19:$R$41,5,0)/'4. Billing Determinants'!$F$41*$D36,IF($E36="Non-RPP kWh",VLOOKUP(O$4,'4. Billing Determinants'!$B$19:$R$41,6,0)/'4. Billing Determinants'!$G$41*$D36,IF($E36="Distribution Rev.",VLOOKUP(O$4,'4. Billing Determinants'!$B$19:$R$41,8,0)/'4. Billing Determinants'!$I$41*$D36, VLOOKUP(O$4,'4. Billing Determinants'!$B$19:$R$41,3,0)/'4. Billing Determinants'!$D$41*$D36))))),0)</f>
        <v>0</v>
      </c>
      <c r="P36" s="40">
        <f>IFERROR(IF(P$4="",0,IF($E36="kWh",VLOOKUP(P$4,'4. Billing Determinants'!$B$19:$R$41,4,0)/'4. Billing Determinants'!$E$41*$D36,IF($E36="kW",VLOOKUP(P$4,'4. Billing Determinants'!$B$19:$R$41,5,0)/'4. Billing Determinants'!$F$41*$D36,IF($E36="Non-RPP kWh",VLOOKUP(P$4,'4. Billing Determinants'!$B$19:$R$41,6,0)/'4. Billing Determinants'!$G$41*$D36,IF($E36="Distribution Rev.",VLOOKUP(P$4,'4. Billing Determinants'!$B$19:$R$41,8,0)/'4. Billing Determinants'!$I$41*$D36, VLOOKUP(P$4,'4. Billing Determinants'!$B$19:$R$41,3,0)/'4. Billing Determinants'!$D$41*$D36))))),0)</f>
        <v>0</v>
      </c>
      <c r="Q36" s="40">
        <f>IFERROR(IF(Q$4="",0,IF($E36="kWh",VLOOKUP(Q$4,'4. Billing Determinants'!$B$19:$R$41,4,0)/'4. Billing Determinants'!$E$41*$D36,IF($E36="kW",VLOOKUP(Q$4,'4. Billing Determinants'!$B$19:$R$41,5,0)/'4. Billing Determinants'!$F$41*$D36,IF($E36="Non-RPP kWh",VLOOKUP(Q$4,'4. Billing Determinants'!$B$19:$R$41,6,0)/'4. Billing Determinants'!$G$41*$D36,IF($E36="Distribution Rev.",VLOOKUP(Q$4,'4. Billing Determinants'!$B$19:$R$41,8,0)/'4. Billing Determinants'!$I$41*$D36, VLOOKUP(Q$4,'4. Billing Determinants'!$B$19:$R$41,3,0)/'4. Billing Determinants'!$D$41*$D36))))),0)</f>
        <v>0</v>
      </c>
      <c r="R36" s="40">
        <f>IFERROR(IF(R$4="",0,IF($E36="kWh",VLOOKUP(R$4,'4. Billing Determinants'!$B$19:$R$41,4,0)/'4. Billing Determinants'!$E$41*$D36,IF($E36="kW",VLOOKUP(R$4,'4. Billing Determinants'!$B$19:$R$41,5,0)/'4. Billing Determinants'!$F$41*$D36,IF($E36="Non-RPP kWh",VLOOKUP(R$4,'4. Billing Determinants'!$B$19:$R$41,6,0)/'4. Billing Determinants'!$G$41*$D36,IF($E36="Distribution Rev.",VLOOKUP(R$4,'4. Billing Determinants'!$B$19:$R$41,8,0)/'4. Billing Determinants'!$I$41*$D36, VLOOKUP(R$4,'4. Billing Determinants'!$B$19:$R$41,3,0)/'4. Billing Determinants'!$D$41*$D36))))),0)</f>
        <v>0</v>
      </c>
      <c r="S36" s="40">
        <f>IFERROR(IF(S$4="",0,IF($E36="kWh",VLOOKUP(S$4,'4. Billing Determinants'!$B$19:$R$41,4,0)/'4. Billing Determinants'!$E$41*$D36,IF($E36="kW",VLOOKUP(S$4,'4. Billing Determinants'!$B$19:$R$41,5,0)/'4. Billing Determinants'!$F$41*$D36,IF($E36="Non-RPP kWh",VLOOKUP(S$4,'4. Billing Determinants'!$B$19:$R$41,6,0)/'4. Billing Determinants'!$G$41*$D36,IF($E36="Distribution Rev.",VLOOKUP(S$4,'4. Billing Determinants'!$B$19:$R$41,8,0)/'4. Billing Determinants'!$I$41*$D36, VLOOKUP(S$4,'4. Billing Determinants'!$B$19:$R$41,3,0)/'4. Billing Determinants'!$D$41*$D36))))),0)</f>
        <v>0</v>
      </c>
      <c r="T36" s="40">
        <f>IFERROR(IF(T$4="",0,IF($E36="kWh",VLOOKUP(T$4,'4. Billing Determinants'!$B$19:$R$41,4,0)/'4. Billing Determinants'!$E$41*$D36,IF($E36="kW",VLOOKUP(T$4,'4. Billing Determinants'!$B$19:$R$41,5,0)/'4. Billing Determinants'!$F$41*$D36,IF($E36="Non-RPP kWh",VLOOKUP(T$4,'4. Billing Determinants'!$B$19:$R$41,6,0)/'4. Billing Determinants'!$G$41*$D36,IF($E36="Distribution Rev.",VLOOKUP(T$4,'4. Billing Determinants'!$B$19:$R$41,8,0)/'4. Billing Determinants'!$I$41*$D36, VLOOKUP(T$4,'4. Billing Determinants'!$B$19:$R$41,3,0)/'4. Billing Determinants'!$D$41*$D36))))),0)</f>
        <v>0</v>
      </c>
      <c r="U36" s="40">
        <f>IFERROR(IF(U$4="",0,IF($E36="kWh",VLOOKUP(U$4,'4. Billing Determinants'!$B$19:$R$41,4,0)/'4. Billing Determinants'!$E$41*$D36,IF($E36="kW",VLOOKUP(U$4,'4. Billing Determinants'!$B$19:$R$41,5,0)/'4. Billing Determinants'!$F$41*$D36,IF($E36="Non-RPP kWh",VLOOKUP(U$4,'4. Billing Determinants'!$B$19:$R$41,6,0)/'4. Billing Determinants'!$G$41*$D36,IF($E36="Distribution Rev.",VLOOKUP(U$4,'4. Billing Determinants'!$B$19:$R$41,8,0)/'4. Billing Determinants'!$I$41*$D36, VLOOKUP(U$4,'4. Billing Determinants'!$B$19:$R$41,3,0)/'4. Billing Determinants'!$D$41*$D36))))),0)</f>
        <v>0</v>
      </c>
      <c r="V36" s="40">
        <f>IFERROR(IF(V$4="",0,IF($E36="kWh",VLOOKUP(V$4,'4. Billing Determinants'!$B$19:$R$41,4,0)/'4. Billing Determinants'!$E$41*$D36,IF($E36="kW",VLOOKUP(V$4,'4. Billing Determinants'!$B$19:$R$41,5,0)/'4. Billing Determinants'!$F$41*$D36,IF($E36="Non-RPP kWh",VLOOKUP(V$4,'4. Billing Determinants'!$B$19:$R$41,6,0)/'4. Billing Determinants'!$G$41*$D36,IF($E36="Distribution Rev.",VLOOKUP(V$4,'4. Billing Determinants'!$B$19:$R$41,8,0)/'4. Billing Determinants'!$I$41*$D36, VLOOKUP(V$4,'4. Billing Determinants'!$B$19:$R$41,3,0)/'4. Billing Determinants'!$D$41*$D36))))),0)</f>
        <v>0</v>
      </c>
      <c r="W36" s="40">
        <f>IFERROR(IF(W$4="",0,IF($E36="kWh",VLOOKUP(W$4,'4. Billing Determinants'!$B$19:$R$41,4,0)/'4. Billing Determinants'!$E$41*$D36,IF($E36="kW",VLOOKUP(W$4,'4. Billing Determinants'!$B$19:$R$41,5,0)/'4. Billing Determinants'!$F$41*$D36,IF($E36="Non-RPP kWh",VLOOKUP(W$4,'4. Billing Determinants'!$B$19:$R$41,6,0)/'4. Billing Determinants'!$G$41*$D36,IF($E36="Distribution Rev.",VLOOKUP(W$4,'4. Billing Determinants'!$B$19:$R$41,8,0)/'4. Billing Determinants'!$I$41*$D36, VLOOKUP(W$4,'4. Billing Determinants'!$B$19:$R$41,3,0)/'4. Billing Determinants'!$D$41*$D36))))),0)</f>
        <v>0</v>
      </c>
      <c r="X36" s="40">
        <f>IFERROR(IF(X$4="",0,IF($E36="kWh",VLOOKUP(X$4,'4. Billing Determinants'!$B$19:$R$41,4,0)/'4. Billing Determinants'!$E$41*$D36,IF($E36="kW",VLOOKUP(X$4,'4. Billing Determinants'!$B$19:$R$41,5,0)/'4. Billing Determinants'!$F$41*$D36,IF($E36="Non-RPP kWh",VLOOKUP(X$4,'4. Billing Determinants'!$B$19:$R$41,6,0)/'4. Billing Determinants'!$G$41*$D36,IF($E36="Distribution Rev.",VLOOKUP(X$4,'4. Billing Determinants'!$B$19:$R$41,8,0)/'4. Billing Determinants'!$I$41*$D36, VLOOKUP(X$4,'4. Billing Determinants'!$B$19:$R$41,3,0)/'4. Billing Determinants'!$D$41*$D36))))),0)</f>
        <v>0</v>
      </c>
      <c r="Y36" s="40">
        <f>IFERROR(IF(Y$4="",0,IF($E36="kWh",VLOOKUP(Y$4,'4. Billing Determinants'!$B$19:$R$41,4,0)/'4. Billing Determinants'!$E$41*$D36,IF($E36="kW",VLOOKUP(Y$4,'4. Billing Determinants'!$B$19:$R$41,5,0)/'4. Billing Determinants'!$F$41*$D36,IF($E36="Non-RPP kWh",VLOOKUP(Y$4,'4. Billing Determinants'!$B$19:$R$41,6,0)/'4. Billing Determinants'!$G$41*$D36,IF($E36="Distribution Rev.",VLOOKUP(Y$4,'4. Billing Determinants'!$B$19:$R$41,8,0)/'4. Billing Determinants'!$I$41*$D36, VLOOKUP(Y$4,'4. Billing Determinants'!$B$19:$R$41,3,0)/'4. Billing Determinants'!$D$41*$D36))))),0)</f>
        <v>0</v>
      </c>
    </row>
    <row r="37" spans="1:25" x14ac:dyDescent="0.25">
      <c r="B37" s="345" t="str">
        <f>IF('2b. Continuity Schedule'!C63="","",'2b. Continuity Schedule'!C63)</f>
        <v/>
      </c>
      <c r="C37" s="39">
        <v>1508</v>
      </c>
      <c r="D37" s="40">
        <f>'2b. Continuity Schedule'!BT63</f>
        <v>0</v>
      </c>
      <c r="E37" s="61" t="s">
        <v>139</v>
      </c>
      <c r="F37" s="40">
        <f>IFERROR(IF(F$4="",0,IF($E37="kWh",VLOOKUP(F$4,'4. Billing Determinants'!$B$19:$R$41,4,0)/'4. Billing Determinants'!$E$41*$D37,IF($E37="kW",VLOOKUP(F$4,'4. Billing Determinants'!$B$19:$R$41,5,0)/'4. Billing Determinants'!$F$41*$D37,IF($E37="Non-RPP kWh",VLOOKUP(F$4,'4. Billing Determinants'!$B$19:$R$41,6,0)/'4. Billing Determinants'!$G$41*$D37,IF($E37="Distribution Rev.",VLOOKUP(F$4,'4. Billing Determinants'!$B$19:$R$41,8,0)/'4. Billing Determinants'!$I$41*$D37, VLOOKUP(F$4,'4. Billing Determinants'!$B$19:$R$41,3,0)/'4. Billing Determinants'!$D$41*$D37))))),0)</f>
        <v>0</v>
      </c>
      <c r="G37" s="40">
        <f>IFERROR(IF(G$4="",0,IF($E37="kWh",VLOOKUP(G$4,'4. Billing Determinants'!$B$19:$R$41,4,0)/'4. Billing Determinants'!$E$41*$D37,IF($E37="kW",VLOOKUP(G$4,'4. Billing Determinants'!$B$19:$R$41,5,0)/'4. Billing Determinants'!$F$41*$D37,IF($E37="Non-RPP kWh",VLOOKUP(G$4,'4. Billing Determinants'!$B$19:$R$41,6,0)/'4. Billing Determinants'!$G$41*$D37,IF($E37="Distribution Rev.",VLOOKUP(G$4,'4. Billing Determinants'!$B$19:$R$41,8,0)/'4. Billing Determinants'!$I$41*$D37, VLOOKUP(G$4,'4. Billing Determinants'!$B$19:$R$41,3,0)/'4. Billing Determinants'!$D$41*$D37))))),0)</f>
        <v>0</v>
      </c>
      <c r="H37" s="40">
        <f>IFERROR(IF(H$4="",0,IF($E37="kWh",VLOOKUP(H$4,'4. Billing Determinants'!$B$19:$R$41,4,0)/'4. Billing Determinants'!$E$41*$D37,IF($E37="kW",VLOOKUP(H$4,'4. Billing Determinants'!$B$19:$R$41,5,0)/'4. Billing Determinants'!$F$41*$D37,IF($E37="Non-RPP kWh",VLOOKUP(H$4,'4. Billing Determinants'!$B$19:$R$41,6,0)/'4. Billing Determinants'!$G$41*$D37,IF($E37="Distribution Rev.",VLOOKUP(H$4,'4. Billing Determinants'!$B$19:$R$41,8,0)/'4. Billing Determinants'!$I$41*$D37, VLOOKUP(H$4,'4. Billing Determinants'!$B$19:$R$41,3,0)/'4. Billing Determinants'!$D$41*$D37))))),0)</f>
        <v>0</v>
      </c>
      <c r="I37" s="40">
        <f>IFERROR(IF(I$4="",0,IF($E37="kWh",VLOOKUP(I$4,'4. Billing Determinants'!$B$19:$R$41,4,0)/'4. Billing Determinants'!$E$41*$D37,IF($E37="kW",VLOOKUP(I$4,'4. Billing Determinants'!$B$19:$R$41,5,0)/'4. Billing Determinants'!$F$41*$D37,IF($E37="Non-RPP kWh",VLOOKUP(I$4,'4. Billing Determinants'!$B$19:$R$41,6,0)/'4. Billing Determinants'!$G$41*$D37,IF($E37="Distribution Rev.",VLOOKUP(I$4,'4. Billing Determinants'!$B$19:$R$41,8,0)/'4. Billing Determinants'!$I$41*$D37, VLOOKUP(I$4,'4. Billing Determinants'!$B$19:$R$41,3,0)/'4. Billing Determinants'!$D$41*$D37))))),0)</f>
        <v>0</v>
      </c>
      <c r="J37" s="40">
        <f>IFERROR(IF(J$4="",0,IF($E37="kWh",VLOOKUP(J$4,'4. Billing Determinants'!$B$19:$R$41,4,0)/'4. Billing Determinants'!$E$41*$D37,IF($E37="kW",VLOOKUP(J$4,'4. Billing Determinants'!$B$19:$R$41,5,0)/'4. Billing Determinants'!$F$41*$D37,IF($E37="Non-RPP kWh",VLOOKUP(J$4,'4. Billing Determinants'!$B$19:$R$41,6,0)/'4. Billing Determinants'!$G$41*$D37,IF($E37="Distribution Rev.",VLOOKUP(J$4,'4. Billing Determinants'!$B$19:$R$41,8,0)/'4. Billing Determinants'!$I$41*$D37, VLOOKUP(J$4,'4. Billing Determinants'!$B$19:$R$41,3,0)/'4. Billing Determinants'!$D$41*$D37))))),0)</f>
        <v>0</v>
      </c>
      <c r="K37" s="40">
        <f>IFERROR(IF(K$4="",0,IF($E37="kWh",VLOOKUP(K$4,'4. Billing Determinants'!$B$19:$R$41,4,0)/'4. Billing Determinants'!$E$41*$D37,IF($E37="kW",VLOOKUP(K$4,'4. Billing Determinants'!$B$19:$R$41,5,0)/'4. Billing Determinants'!$F$41*$D37,IF($E37="Non-RPP kWh",VLOOKUP(K$4,'4. Billing Determinants'!$B$19:$R$41,6,0)/'4. Billing Determinants'!$G$41*$D37,IF($E37="Distribution Rev.",VLOOKUP(K$4,'4. Billing Determinants'!$B$19:$R$41,8,0)/'4. Billing Determinants'!$I$41*$D37, VLOOKUP(K$4,'4. Billing Determinants'!$B$19:$R$41,3,0)/'4. Billing Determinants'!$D$41*$D37))))),0)</f>
        <v>0</v>
      </c>
      <c r="L37" s="40">
        <f>IFERROR(IF(L$4="",0,IF($E37="kWh",VLOOKUP(L$4,'4. Billing Determinants'!$B$19:$R$41,4,0)/'4. Billing Determinants'!$E$41*$D37,IF($E37="kW",VLOOKUP(L$4,'4. Billing Determinants'!$B$19:$R$41,5,0)/'4. Billing Determinants'!$F$41*$D37,IF($E37="Non-RPP kWh",VLOOKUP(L$4,'4. Billing Determinants'!$B$19:$R$41,6,0)/'4. Billing Determinants'!$G$41*$D37,IF($E37="Distribution Rev.",VLOOKUP(L$4,'4. Billing Determinants'!$B$19:$R$41,8,0)/'4. Billing Determinants'!$I$41*$D37, VLOOKUP(L$4,'4. Billing Determinants'!$B$19:$R$41,3,0)/'4. Billing Determinants'!$D$41*$D37))))),0)</f>
        <v>0</v>
      </c>
      <c r="M37" s="40">
        <f>IFERROR(IF(M$4="",0,IF($E37="kWh",VLOOKUP(M$4,'4. Billing Determinants'!$B$19:$R$41,4,0)/'4. Billing Determinants'!$E$41*$D37,IF($E37="kW",VLOOKUP(M$4,'4. Billing Determinants'!$B$19:$R$41,5,0)/'4. Billing Determinants'!$F$41*$D37,IF($E37="Non-RPP kWh",VLOOKUP(M$4,'4. Billing Determinants'!$B$19:$R$41,6,0)/'4. Billing Determinants'!$G$41*$D37,IF($E37="Distribution Rev.",VLOOKUP(M$4,'4. Billing Determinants'!$B$19:$R$41,8,0)/'4. Billing Determinants'!$I$41*$D37, VLOOKUP(M$4,'4. Billing Determinants'!$B$19:$R$41,3,0)/'4. Billing Determinants'!$D$41*$D37))))),0)</f>
        <v>0</v>
      </c>
      <c r="N37" s="40">
        <f>IFERROR(IF(N$4="",0,IF($E37="kWh",VLOOKUP(N$4,'4. Billing Determinants'!$B$19:$R$41,4,0)/'4. Billing Determinants'!$E$41*$D37,IF($E37="kW",VLOOKUP(N$4,'4. Billing Determinants'!$B$19:$R$41,5,0)/'4. Billing Determinants'!$F$41*$D37,IF($E37="Non-RPP kWh",VLOOKUP(N$4,'4. Billing Determinants'!$B$19:$R$41,6,0)/'4. Billing Determinants'!$G$41*$D37,IF($E37="Distribution Rev.",VLOOKUP(N$4,'4. Billing Determinants'!$B$19:$R$41,8,0)/'4. Billing Determinants'!$I$41*$D37, VLOOKUP(N$4,'4. Billing Determinants'!$B$19:$R$41,3,0)/'4. Billing Determinants'!$D$41*$D37))))),0)</f>
        <v>0</v>
      </c>
      <c r="O37" s="40">
        <f>IFERROR(IF(O$4="",0,IF($E37="kWh",VLOOKUP(O$4,'4. Billing Determinants'!$B$19:$R$41,4,0)/'4. Billing Determinants'!$E$41*$D37,IF($E37="kW",VLOOKUP(O$4,'4. Billing Determinants'!$B$19:$R$41,5,0)/'4. Billing Determinants'!$F$41*$D37,IF($E37="Non-RPP kWh",VLOOKUP(O$4,'4. Billing Determinants'!$B$19:$R$41,6,0)/'4. Billing Determinants'!$G$41*$D37,IF($E37="Distribution Rev.",VLOOKUP(O$4,'4. Billing Determinants'!$B$19:$R$41,8,0)/'4. Billing Determinants'!$I$41*$D37, VLOOKUP(O$4,'4. Billing Determinants'!$B$19:$R$41,3,0)/'4. Billing Determinants'!$D$41*$D37))))),0)</f>
        <v>0</v>
      </c>
      <c r="P37" s="40">
        <f>IFERROR(IF(P$4="",0,IF($E37="kWh",VLOOKUP(P$4,'4. Billing Determinants'!$B$19:$R$41,4,0)/'4. Billing Determinants'!$E$41*$D37,IF($E37="kW",VLOOKUP(P$4,'4. Billing Determinants'!$B$19:$R$41,5,0)/'4. Billing Determinants'!$F$41*$D37,IF($E37="Non-RPP kWh",VLOOKUP(P$4,'4. Billing Determinants'!$B$19:$R$41,6,0)/'4. Billing Determinants'!$G$41*$D37,IF($E37="Distribution Rev.",VLOOKUP(P$4,'4. Billing Determinants'!$B$19:$R$41,8,0)/'4. Billing Determinants'!$I$41*$D37, VLOOKUP(P$4,'4. Billing Determinants'!$B$19:$R$41,3,0)/'4. Billing Determinants'!$D$41*$D37))))),0)</f>
        <v>0</v>
      </c>
      <c r="Q37" s="40">
        <f>IFERROR(IF(Q$4="",0,IF($E37="kWh",VLOOKUP(Q$4,'4. Billing Determinants'!$B$19:$R$41,4,0)/'4. Billing Determinants'!$E$41*$D37,IF($E37="kW",VLOOKUP(Q$4,'4. Billing Determinants'!$B$19:$R$41,5,0)/'4. Billing Determinants'!$F$41*$D37,IF($E37="Non-RPP kWh",VLOOKUP(Q$4,'4. Billing Determinants'!$B$19:$R$41,6,0)/'4. Billing Determinants'!$G$41*$D37,IF($E37="Distribution Rev.",VLOOKUP(Q$4,'4. Billing Determinants'!$B$19:$R$41,8,0)/'4. Billing Determinants'!$I$41*$D37, VLOOKUP(Q$4,'4. Billing Determinants'!$B$19:$R$41,3,0)/'4. Billing Determinants'!$D$41*$D37))))),0)</f>
        <v>0</v>
      </c>
      <c r="R37" s="40">
        <f>IFERROR(IF(R$4="",0,IF($E37="kWh",VLOOKUP(R$4,'4. Billing Determinants'!$B$19:$R$41,4,0)/'4. Billing Determinants'!$E$41*$D37,IF($E37="kW",VLOOKUP(R$4,'4. Billing Determinants'!$B$19:$R$41,5,0)/'4. Billing Determinants'!$F$41*$D37,IF($E37="Non-RPP kWh",VLOOKUP(R$4,'4. Billing Determinants'!$B$19:$R$41,6,0)/'4. Billing Determinants'!$G$41*$D37,IF($E37="Distribution Rev.",VLOOKUP(R$4,'4. Billing Determinants'!$B$19:$R$41,8,0)/'4. Billing Determinants'!$I$41*$D37, VLOOKUP(R$4,'4. Billing Determinants'!$B$19:$R$41,3,0)/'4. Billing Determinants'!$D$41*$D37))))),0)</f>
        <v>0</v>
      </c>
      <c r="S37" s="40">
        <f>IFERROR(IF(S$4="",0,IF($E37="kWh",VLOOKUP(S$4,'4. Billing Determinants'!$B$19:$R$41,4,0)/'4. Billing Determinants'!$E$41*$D37,IF($E37="kW",VLOOKUP(S$4,'4. Billing Determinants'!$B$19:$R$41,5,0)/'4. Billing Determinants'!$F$41*$D37,IF($E37="Non-RPP kWh",VLOOKUP(S$4,'4. Billing Determinants'!$B$19:$R$41,6,0)/'4. Billing Determinants'!$G$41*$D37,IF($E37="Distribution Rev.",VLOOKUP(S$4,'4. Billing Determinants'!$B$19:$R$41,8,0)/'4. Billing Determinants'!$I$41*$D37, VLOOKUP(S$4,'4. Billing Determinants'!$B$19:$R$41,3,0)/'4. Billing Determinants'!$D$41*$D37))))),0)</f>
        <v>0</v>
      </c>
      <c r="T37" s="40">
        <f>IFERROR(IF(T$4="",0,IF($E37="kWh",VLOOKUP(T$4,'4. Billing Determinants'!$B$19:$R$41,4,0)/'4. Billing Determinants'!$E$41*$D37,IF($E37="kW",VLOOKUP(T$4,'4. Billing Determinants'!$B$19:$R$41,5,0)/'4. Billing Determinants'!$F$41*$D37,IF($E37="Non-RPP kWh",VLOOKUP(T$4,'4. Billing Determinants'!$B$19:$R$41,6,0)/'4. Billing Determinants'!$G$41*$D37,IF($E37="Distribution Rev.",VLOOKUP(T$4,'4. Billing Determinants'!$B$19:$R$41,8,0)/'4. Billing Determinants'!$I$41*$D37, VLOOKUP(T$4,'4. Billing Determinants'!$B$19:$R$41,3,0)/'4. Billing Determinants'!$D$41*$D37))))),0)</f>
        <v>0</v>
      </c>
      <c r="U37" s="40">
        <f>IFERROR(IF(U$4="",0,IF($E37="kWh",VLOOKUP(U$4,'4. Billing Determinants'!$B$19:$R$41,4,0)/'4. Billing Determinants'!$E$41*$D37,IF($E37="kW",VLOOKUP(U$4,'4. Billing Determinants'!$B$19:$R$41,5,0)/'4. Billing Determinants'!$F$41*$D37,IF($E37="Non-RPP kWh",VLOOKUP(U$4,'4. Billing Determinants'!$B$19:$R$41,6,0)/'4. Billing Determinants'!$G$41*$D37,IF($E37="Distribution Rev.",VLOOKUP(U$4,'4. Billing Determinants'!$B$19:$R$41,8,0)/'4. Billing Determinants'!$I$41*$D37, VLOOKUP(U$4,'4. Billing Determinants'!$B$19:$R$41,3,0)/'4. Billing Determinants'!$D$41*$D37))))),0)</f>
        <v>0</v>
      </c>
      <c r="V37" s="40">
        <f>IFERROR(IF(V$4="",0,IF($E37="kWh",VLOOKUP(V$4,'4. Billing Determinants'!$B$19:$R$41,4,0)/'4. Billing Determinants'!$E$41*$D37,IF($E37="kW",VLOOKUP(V$4,'4. Billing Determinants'!$B$19:$R$41,5,0)/'4. Billing Determinants'!$F$41*$D37,IF($E37="Non-RPP kWh",VLOOKUP(V$4,'4. Billing Determinants'!$B$19:$R$41,6,0)/'4. Billing Determinants'!$G$41*$D37,IF($E37="Distribution Rev.",VLOOKUP(V$4,'4. Billing Determinants'!$B$19:$R$41,8,0)/'4. Billing Determinants'!$I$41*$D37, VLOOKUP(V$4,'4. Billing Determinants'!$B$19:$R$41,3,0)/'4. Billing Determinants'!$D$41*$D37))))),0)</f>
        <v>0</v>
      </c>
      <c r="W37" s="40">
        <f>IFERROR(IF(W$4="",0,IF($E37="kWh",VLOOKUP(W$4,'4. Billing Determinants'!$B$19:$R$41,4,0)/'4. Billing Determinants'!$E$41*$D37,IF($E37="kW",VLOOKUP(W$4,'4. Billing Determinants'!$B$19:$R$41,5,0)/'4. Billing Determinants'!$F$41*$D37,IF($E37="Non-RPP kWh",VLOOKUP(W$4,'4. Billing Determinants'!$B$19:$R$41,6,0)/'4. Billing Determinants'!$G$41*$D37,IF($E37="Distribution Rev.",VLOOKUP(W$4,'4. Billing Determinants'!$B$19:$R$41,8,0)/'4. Billing Determinants'!$I$41*$D37, VLOOKUP(W$4,'4. Billing Determinants'!$B$19:$R$41,3,0)/'4. Billing Determinants'!$D$41*$D37))))),0)</f>
        <v>0</v>
      </c>
      <c r="X37" s="40">
        <f>IFERROR(IF(X$4="",0,IF($E37="kWh",VLOOKUP(X$4,'4. Billing Determinants'!$B$19:$R$41,4,0)/'4. Billing Determinants'!$E$41*$D37,IF($E37="kW",VLOOKUP(X$4,'4. Billing Determinants'!$B$19:$R$41,5,0)/'4. Billing Determinants'!$F$41*$D37,IF($E37="Non-RPP kWh",VLOOKUP(X$4,'4. Billing Determinants'!$B$19:$R$41,6,0)/'4. Billing Determinants'!$G$41*$D37,IF($E37="Distribution Rev.",VLOOKUP(X$4,'4. Billing Determinants'!$B$19:$R$41,8,0)/'4. Billing Determinants'!$I$41*$D37, VLOOKUP(X$4,'4. Billing Determinants'!$B$19:$R$41,3,0)/'4. Billing Determinants'!$D$41*$D37))))),0)</f>
        <v>0</v>
      </c>
      <c r="Y37" s="40">
        <f>IFERROR(IF(Y$4="",0,IF($E37="kWh",VLOOKUP(Y$4,'4. Billing Determinants'!$B$19:$R$41,4,0)/'4. Billing Determinants'!$E$41*$D37,IF($E37="kW",VLOOKUP(Y$4,'4. Billing Determinants'!$B$19:$R$41,5,0)/'4. Billing Determinants'!$F$41*$D37,IF($E37="Non-RPP kWh",VLOOKUP(Y$4,'4. Billing Determinants'!$B$19:$R$41,6,0)/'4. Billing Determinants'!$G$41*$D37,IF($E37="Distribution Rev.",VLOOKUP(Y$4,'4. Billing Determinants'!$B$19:$R$41,8,0)/'4. Billing Determinants'!$I$41*$D37, VLOOKUP(Y$4,'4. Billing Determinants'!$B$19:$R$41,3,0)/'4. Billing Determinants'!$D$41*$D37))))),0)</f>
        <v>0</v>
      </c>
    </row>
    <row r="38" spans="1:25" x14ac:dyDescent="0.25">
      <c r="B38" s="345" t="str">
        <f>IF('2b. Continuity Schedule'!C64="","",'2b. Continuity Schedule'!C64)</f>
        <v/>
      </c>
      <c r="C38" s="39">
        <v>1508</v>
      </c>
      <c r="D38" s="40">
        <f>'2b. Continuity Schedule'!BT64</f>
        <v>0</v>
      </c>
      <c r="E38" s="61" t="s">
        <v>139</v>
      </c>
      <c r="F38" s="40">
        <f>IFERROR(IF(F$4="",0,IF($E38="kWh",VLOOKUP(F$4,'4. Billing Determinants'!$B$19:$R$41,4,0)/'4. Billing Determinants'!$E$41*$D38,IF($E38="kW",VLOOKUP(F$4,'4. Billing Determinants'!$B$19:$R$41,5,0)/'4. Billing Determinants'!$F$41*$D38,IF($E38="Non-RPP kWh",VLOOKUP(F$4,'4. Billing Determinants'!$B$19:$R$41,6,0)/'4. Billing Determinants'!$G$41*$D38,IF($E38="Distribution Rev.",VLOOKUP(F$4,'4. Billing Determinants'!$B$19:$R$41,8,0)/'4. Billing Determinants'!$I$41*$D38, VLOOKUP(F$4,'4. Billing Determinants'!$B$19:$R$41,3,0)/'4. Billing Determinants'!$D$41*$D38))))),0)</f>
        <v>0</v>
      </c>
      <c r="G38" s="40">
        <f>IFERROR(IF(G$4="",0,IF($E38="kWh",VLOOKUP(G$4,'4. Billing Determinants'!$B$19:$R$41,4,0)/'4. Billing Determinants'!$E$41*$D38,IF($E38="kW",VLOOKUP(G$4,'4. Billing Determinants'!$B$19:$R$41,5,0)/'4. Billing Determinants'!$F$41*$D38,IF($E38="Non-RPP kWh",VLOOKUP(G$4,'4. Billing Determinants'!$B$19:$R$41,6,0)/'4. Billing Determinants'!$G$41*$D38,IF($E38="Distribution Rev.",VLOOKUP(G$4,'4. Billing Determinants'!$B$19:$R$41,8,0)/'4. Billing Determinants'!$I$41*$D38, VLOOKUP(G$4,'4. Billing Determinants'!$B$19:$R$41,3,0)/'4. Billing Determinants'!$D$41*$D38))))),0)</f>
        <v>0</v>
      </c>
      <c r="H38" s="40">
        <f>IFERROR(IF(H$4="",0,IF($E38="kWh",VLOOKUP(H$4,'4. Billing Determinants'!$B$19:$R$41,4,0)/'4. Billing Determinants'!$E$41*$D38,IF($E38="kW",VLOOKUP(H$4,'4. Billing Determinants'!$B$19:$R$41,5,0)/'4. Billing Determinants'!$F$41*$D38,IF($E38="Non-RPP kWh",VLOOKUP(H$4,'4. Billing Determinants'!$B$19:$R$41,6,0)/'4. Billing Determinants'!$G$41*$D38,IF($E38="Distribution Rev.",VLOOKUP(H$4,'4. Billing Determinants'!$B$19:$R$41,8,0)/'4. Billing Determinants'!$I$41*$D38, VLOOKUP(H$4,'4. Billing Determinants'!$B$19:$R$41,3,0)/'4. Billing Determinants'!$D$41*$D38))))),0)</f>
        <v>0</v>
      </c>
      <c r="I38" s="40">
        <f>IFERROR(IF(I$4="",0,IF($E38="kWh",VLOOKUP(I$4,'4. Billing Determinants'!$B$19:$R$41,4,0)/'4. Billing Determinants'!$E$41*$D38,IF($E38="kW",VLOOKUP(I$4,'4. Billing Determinants'!$B$19:$R$41,5,0)/'4. Billing Determinants'!$F$41*$D38,IF($E38="Non-RPP kWh",VLOOKUP(I$4,'4. Billing Determinants'!$B$19:$R$41,6,0)/'4. Billing Determinants'!$G$41*$D38,IF($E38="Distribution Rev.",VLOOKUP(I$4,'4. Billing Determinants'!$B$19:$R$41,8,0)/'4. Billing Determinants'!$I$41*$D38, VLOOKUP(I$4,'4. Billing Determinants'!$B$19:$R$41,3,0)/'4. Billing Determinants'!$D$41*$D38))))),0)</f>
        <v>0</v>
      </c>
      <c r="J38" s="40">
        <f>IFERROR(IF(J$4="",0,IF($E38="kWh",VLOOKUP(J$4,'4. Billing Determinants'!$B$19:$R$41,4,0)/'4. Billing Determinants'!$E$41*$D38,IF($E38="kW",VLOOKUP(J$4,'4. Billing Determinants'!$B$19:$R$41,5,0)/'4. Billing Determinants'!$F$41*$D38,IF($E38="Non-RPP kWh",VLOOKUP(J$4,'4. Billing Determinants'!$B$19:$R$41,6,0)/'4. Billing Determinants'!$G$41*$D38,IF($E38="Distribution Rev.",VLOOKUP(J$4,'4. Billing Determinants'!$B$19:$R$41,8,0)/'4. Billing Determinants'!$I$41*$D38, VLOOKUP(J$4,'4. Billing Determinants'!$B$19:$R$41,3,0)/'4. Billing Determinants'!$D$41*$D38))))),0)</f>
        <v>0</v>
      </c>
      <c r="K38" s="40">
        <f>IFERROR(IF(K$4="",0,IF($E38="kWh",VLOOKUP(K$4,'4. Billing Determinants'!$B$19:$R$41,4,0)/'4. Billing Determinants'!$E$41*$D38,IF($E38="kW",VLOOKUP(K$4,'4. Billing Determinants'!$B$19:$R$41,5,0)/'4. Billing Determinants'!$F$41*$D38,IF($E38="Non-RPP kWh",VLOOKUP(K$4,'4. Billing Determinants'!$B$19:$R$41,6,0)/'4. Billing Determinants'!$G$41*$D38,IF($E38="Distribution Rev.",VLOOKUP(K$4,'4. Billing Determinants'!$B$19:$R$41,8,0)/'4. Billing Determinants'!$I$41*$D38, VLOOKUP(K$4,'4. Billing Determinants'!$B$19:$R$41,3,0)/'4. Billing Determinants'!$D$41*$D38))))),0)</f>
        <v>0</v>
      </c>
      <c r="L38" s="40">
        <f>IFERROR(IF(L$4="",0,IF($E38="kWh",VLOOKUP(L$4,'4. Billing Determinants'!$B$19:$R$41,4,0)/'4. Billing Determinants'!$E$41*$D38,IF($E38="kW",VLOOKUP(L$4,'4. Billing Determinants'!$B$19:$R$41,5,0)/'4. Billing Determinants'!$F$41*$D38,IF($E38="Non-RPP kWh",VLOOKUP(L$4,'4. Billing Determinants'!$B$19:$R$41,6,0)/'4. Billing Determinants'!$G$41*$D38,IF($E38="Distribution Rev.",VLOOKUP(L$4,'4. Billing Determinants'!$B$19:$R$41,8,0)/'4. Billing Determinants'!$I$41*$D38, VLOOKUP(L$4,'4. Billing Determinants'!$B$19:$R$41,3,0)/'4. Billing Determinants'!$D$41*$D38))))),0)</f>
        <v>0</v>
      </c>
      <c r="M38" s="40">
        <f>IFERROR(IF(M$4="",0,IF($E38="kWh",VLOOKUP(M$4,'4. Billing Determinants'!$B$19:$R$41,4,0)/'4. Billing Determinants'!$E$41*$D38,IF($E38="kW",VLOOKUP(M$4,'4. Billing Determinants'!$B$19:$R$41,5,0)/'4. Billing Determinants'!$F$41*$D38,IF($E38="Non-RPP kWh",VLOOKUP(M$4,'4. Billing Determinants'!$B$19:$R$41,6,0)/'4. Billing Determinants'!$G$41*$D38,IF($E38="Distribution Rev.",VLOOKUP(M$4,'4. Billing Determinants'!$B$19:$R$41,8,0)/'4. Billing Determinants'!$I$41*$D38, VLOOKUP(M$4,'4. Billing Determinants'!$B$19:$R$41,3,0)/'4. Billing Determinants'!$D$41*$D38))))),0)</f>
        <v>0</v>
      </c>
      <c r="N38" s="40">
        <f>IFERROR(IF(N$4="",0,IF($E38="kWh",VLOOKUP(N$4,'4. Billing Determinants'!$B$19:$R$41,4,0)/'4. Billing Determinants'!$E$41*$D38,IF($E38="kW",VLOOKUP(N$4,'4. Billing Determinants'!$B$19:$R$41,5,0)/'4. Billing Determinants'!$F$41*$D38,IF($E38="Non-RPP kWh",VLOOKUP(N$4,'4. Billing Determinants'!$B$19:$R$41,6,0)/'4. Billing Determinants'!$G$41*$D38,IF($E38="Distribution Rev.",VLOOKUP(N$4,'4. Billing Determinants'!$B$19:$R$41,8,0)/'4. Billing Determinants'!$I$41*$D38, VLOOKUP(N$4,'4. Billing Determinants'!$B$19:$R$41,3,0)/'4. Billing Determinants'!$D$41*$D38))))),0)</f>
        <v>0</v>
      </c>
      <c r="O38" s="40">
        <f>IFERROR(IF(O$4="",0,IF($E38="kWh",VLOOKUP(O$4,'4. Billing Determinants'!$B$19:$R$41,4,0)/'4. Billing Determinants'!$E$41*$D38,IF($E38="kW",VLOOKUP(O$4,'4. Billing Determinants'!$B$19:$R$41,5,0)/'4. Billing Determinants'!$F$41*$D38,IF($E38="Non-RPP kWh",VLOOKUP(O$4,'4. Billing Determinants'!$B$19:$R$41,6,0)/'4. Billing Determinants'!$G$41*$D38,IF($E38="Distribution Rev.",VLOOKUP(O$4,'4. Billing Determinants'!$B$19:$R$41,8,0)/'4. Billing Determinants'!$I$41*$D38, VLOOKUP(O$4,'4. Billing Determinants'!$B$19:$R$41,3,0)/'4. Billing Determinants'!$D$41*$D38))))),0)</f>
        <v>0</v>
      </c>
      <c r="P38" s="40">
        <f>IFERROR(IF(P$4="",0,IF($E38="kWh",VLOOKUP(P$4,'4. Billing Determinants'!$B$19:$R$41,4,0)/'4. Billing Determinants'!$E$41*$D38,IF($E38="kW",VLOOKUP(P$4,'4. Billing Determinants'!$B$19:$R$41,5,0)/'4. Billing Determinants'!$F$41*$D38,IF($E38="Non-RPP kWh",VLOOKUP(P$4,'4. Billing Determinants'!$B$19:$R$41,6,0)/'4. Billing Determinants'!$G$41*$D38,IF($E38="Distribution Rev.",VLOOKUP(P$4,'4. Billing Determinants'!$B$19:$R$41,8,0)/'4. Billing Determinants'!$I$41*$D38, VLOOKUP(P$4,'4. Billing Determinants'!$B$19:$R$41,3,0)/'4. Billing Determinants'!$D$41*$D38))))),0)</f>
        <v>0</v>
      </c>
      <c r="Q38" s="40">
        <f>IFERROR(IF(Q$4="",0,IF($E38="kWh",VLOOKUP(Q$4,'4. Billing Determinants'!$B$19:$R$41,4,0)/'4. Billing Determinants'!$E$41*$D38,IF($E38="kW",VLOOKUP(Q$4,'4. Billing Determinants'!$B$19:$R$41,5,0)/'4. Billing Determinants'!$F$41*$D38,IF($E38="Non-RPP kWh",VLOOKUP(Q$4,'4. Billing Determinants'!$B$19:$R$41,6,0)/'4. Billing Determinants'!$G$41*$D38,IF($E38="Distribution Rev.",VLOOKUP(Q$4,'4. Billing Determinants'!$B$19:$R$41,8,0)/'4. Billing Determinants'!$I$41*$D38, VLOOKUP(Q$4,'4. Billing Determinants'!$B$19:$R$41,3,0)/'4. Billing Determinants'!$D$41*$D38))))),0)</f>
        <v>0</v>
      </c>
      <c r="R38" s="40">
        <f>IFERROR(IF(R$4="",0,IF($E38="kWh",VLOOKUP(R$4,'4. Billing Determinants'!$B$19:$R$41,4,0)/'4. Billing Determinants'!$E$41*$D38,IF($E38="kW",VLOOKUP(R$4,'4. Billing Determinants'!$B$19:$R$41,5,0)/'4. Billing Determinants'!$F$41*$D38,IF($E38="Non-RPP kWh",VLOOKUP(R$4,'4. Billing Determinants'!$B$19:$R$41,6,0)/'4. Billing Determinants'!$G$41*$D38,IF($E38="Distribution Rev.",VLOOKUP(R$4,'4. Billing Determinants'!$B$19:$R$41,8,0)/'4. Billing Determinants'!$I$41*$D38, VLOOKUP(R$4,'4. Billing Determinants'!$B$19:$R$41,3,0)/'4. Billing Determinants'!$D$41*$D38))))),0)</f>
        <v>0</v>
      </c>
      <c r="S38" s="40">
        <f>IFERROR(IF(S$4="",0,IF($E38="kWh",VLOOKUP(S$4,'4. Billing Determinants'!$B$19:$R$41,4,0)/'4. Billing Determinants'!$E$41*$D38,IF($E38="kW",VLOOKUP(S$4,'4. Billing Determinants'!$B$19:$R$41,5,0)/'4. Billing Determinants'!$F$41*$D38,IF($E38="Non-RPP kWh",VLOOKUP(S$4,'4. Billing Determinants'!$B$19:$R$41,6,0)/'4. Billing Determinants'!$G$41*$D38,IF($E38="Distribution Rev.",VLOOKUP(S$4,'4. Billing Determinants'!$B$19:$R$41,8,0)/'4. Billing Determinants'!$I$41*$D38, VLOOKUP(S$4,'4. Billing Determinants'!$B$19:$R$41,3,0)/'4. Billing Determinants'!$D$41*$D38))))),0)</f>
        <v>0</v>
      </c>
      <c r="T38" s="40">
        <f>IFERROR(IF(T$4="",0,IF($E38="kWh",VLOOKUP(T$4,'4. Billing Determinants'!$B$19:$R$41,4,0)/'4. Billing Determinants'!$E$41*$D38,IF($E38="kW",VLOOKUP(T$4,'4. Billing Determinants'!$B$19:$R$41,5,0)/'4. Billing Determinants'!$F$41*$D38,IF($E38="Non-RPP kWh",VLOOKUP(T$4,'4. Billing Determinants'!$B$19:$R$41,6,0)/'4. Billing Determinants'!$G$41*$D38,IF($E38="Distribution Rev.",VLOOKUP(T$4,'4. Billing Determinants'!$B$19:$R$41,8,0)/'4. Billing Determinants'!$I$41*$D38, VLOOKUP(T$4,'4. Billing Determinants'!$B$19:$R$41,3,0)/'4. Billing Determinants'!$D$41*$D38))))),0)</f>
        <v>0</v>
      </c>
      <c r="U38" s="40">
        <f>IFERROR(IF(U$4="",0,IF($E38="kWh",VLOOKUP(U$4,'4. Billing Determinants'!$B$19:$R$41,4,0)/'4. Billing Determinants'!$E$41*$D38,IF($E38="kW",VLOOKUP(U$4,'4. Billing Determinants'!$B$19:$R$41,5,0)/'4. Billing Determinants'!$F$41*$D38,IF($E38="Non-RPP kWh",VLOOKUP(U$4,'4. Billing Determinants'!$B$19:$R$41,6,0)/'4. Billing Determinants'!$G$41*$D38,IF($E38="Distribution Rev.",VLOOKUP(U$4,'4. Billing Determinants'!$B$19:$R$41,8,0)/'4. Billing Determinants'!$I$41*$D38, VLOOKUP(U$4,'4. Billing Determinants'!$B$19:$R$41,3,0)/'4. Billing Determinants'!$D$41*$D38))))),0)</f>
        <v>0</v>
      </c>
      <c r="V38" s="40">
        <f>IFERROR(IF(V$4="",0,IF($E38="kWh",VLOOKUP(V$4,'4. Billing Determinants'!$B$19:$R$41,4,0)/'4. Billing Determinants'!$E$41*$D38,IF($E38="kW",VLOOKUP(V$4,'4. Billing Determinants'!$B$19:$R$41,5,0)/'4. Billing Determinants'!$F$41*$D38,IF($E38="Non-RPP kWh",VLOOKUP(V$4,'4. Billing Determinants'!$B$19:$R$41,6,0)/'4. Billing Determinants'!$G$41*$D38,IF($E38="Distribution Rev.",VLOOKUP(V$4,'4. Billing Determinants'!$B$19:$R$41,8,0)/'4. Billing Determinants'!$I$41*$D38, VLOOKUP(V$4,'4. Billing Determinants'!$B$19:$R$41,3,0)/'4. Billing Determinants'!$D$41*$D38))))),0)</f>
        <v>0</v>
      </c>
      <c r="W38" s="40">
        <f>IFERROR(IF(W$4="",0,IF($E38="kWh",VLOOKUP(W$4,'4. Billing Determinants'!$B$19:$R$41,4,0)/'4. Billing Determinants'!$E$41*$D38,IF($E38="kW",VLOOKUP(W$4,'4. Billing Determinants'!$B$19:$R$41,5,0)/'4. Billing Determinants'!$F$41*$D38,IF($E38="Non-RPP kWh",VLOOKUP(W$4,'4. Billing Determinants'!$B$19:$R$41,6,0)/'4. Billing Determinants'!$G$41*$D38,IF($E38="Distribution Rev.",VLOOKUP(W$4,'4. Billing Determinants'!$B$19:$R$41,8,0)/'4. Billing Determinants'!$I$41*$D38, VLOOKUP(W$4,'4. Billing Determinants'!$B$19:$R$41,3,0)/'4. Billing Determinants'!$D$41*$D38))))),0)</f>
        <v>0</v>
      </c>
      <c r="X38" s="40">
        <f>IFERROR(IF(X$4="",0,IF($E38="kWh",VLOOKUP(X$4,'4. Billing Determinants'!$B$19:$R$41,4,0)/'4. Billing Determinants'!$E$41*$D38,IF($E38="kW",VLOOKUP(X$4,'4. Billing Determinants'!$B$19:$R$41,5,0)/'4. Billing Determinants'!$F$41*$D38,IF($E38="Non-RPP kWh",VLOOKUP(X$4,'4. Billing Determinants'!$B$19:$R$41,6,0)/'4. Billing Determinants'!$G$41*$D38,IF($E38="Distribution Rev.",VLOOKUP(X$4,'4. Billing Determinants'!$B$19:$R$41,8,0)/'4. Billing Determinants'!$I$41*$D38, VLOOKUP(X$4,'4. Billing Determinants'!$B$19:$R$41,3,0)/'4. Billing Determinants'!$D$41*$D38))))),0)</f>
        <v>0</v>
      </c>
      <c r="Y38" s="40">
        <f>IFERROR(IF(Y$4="",0,IF($E38="kWh",VLOOKUP(Y$4,'4. Billing Determinants'!$B$19:$R$41,4,0)/'4. Billing Determinants'!$E$41*$D38,IF($E38="kW",VLOOKUP(Y$4,'4. Billing Determinants'!$B$19:$R$41,5,0)/'4. Billing Determinants'!$F$41*$D38,IF($E38="Non-RPP kWh",VLOOKUP(Y$4,'4. Billing Determinants'!$B$19:$R$41,6,0)/'4. Billing Determinants'!$G$41*$D38,IF($E38="Distribution Rev.",VLOOKUP(Y$4,'4. Billing Determinants'!$B$19:$R$41,8,0)/'4. Billing Determinants'!$I$41*$D38, VLOOKUP(Y$4,'4. Billing Determinants'!$B$19:$R$41,3,0)/'4. Billing Determinants'!$D$41*$D38))))),0)</f>
        <v>0</v>
      </c>
    </row>
    <row r="39" spans="1:25" x14ac:dyDescent="0.25">
      <c r="B39" s="345" t="str">
        <f>IF('2b. Continuity Schedule'!C65="","",'2b. Continuity Schedule'!C65)</f>
        <v/>
      </c>
      <c r="C39" s="39">
        <v>1508</v>
      </c>
      <c r="D39" s="40">
        <f>'2b. Continuity Schedule'!BT65</f>
        <v>0</v>
      </c>
      <c r="E39" s="61" t="s">
        <v>139</v>
      </c>
      <c r="F39" s="40">
        <f>IFERROR(IF(F$4="",0,IF($E39="kWh",VLOOKUP(F$4,'4. Billing Determinants'!$B$19:$R$41,4,0)/'4. Billing Determinants'!$E$41*$D39,IF($E39="kW",VLOOKUP(F$4,'4. Billing Determinants'!$B$19:$R$41,5,0)/'4. Billing Determinants'!$F$41*$D39,IF($E39="Non-RPP kWh",VLOOKUP(F$4,'4. Billing Determinants'!$B$19:$R$41,6,0)/'4. Billing Determinants'!$G$41*$D39,IF($E39="Distribution Rev.",VLOOKUP(F$4,'4. Billing Determinants'!$B$19:$R$41,8,0)/'4. Billing Determinants'!$I$41*$D39, VLOOKUP(F$4,'4. Billing Determinants'!$B$19:$R$41,3,0)/'4. Billing Determinants'!$D$41*$D39))))),0)</f>
        <v>0</v>
      </c>
      <c r="G39" s="40">
        <f>IFERROR(IF(G$4="",0,IF($E39="kWh",VLOOKUP(G$4,'4. Billing Determinants'!$B$19:$R$41,4,0)/'4. Billing Determinants'!$E$41*$D39,IF($E39="kW",VLOOKUP(G$4,'4. Billing Determinants'!$B$19:$R$41,5,0)/'4. Billing Determinants'!$F$41*$D39,IF($E39="Non-RPP kWh",VLOOKUP(G$4,'4. Billing Determinants'!$B$19:$R$41,6,0)/'4. Billing Determinants'!$G$41*$D39,IF($E39="Distribution Rev.",VLOOKUP(G$4,'4. Billing Determinants'!$B$19:$R$41,8,0)/'4. Billing Determinants'!$I$41*$D39, VLOOKUP(G$4,'4. Billing Determinants'!$B$19:$R$41,3,0)/'4. Billing Determinants'!$D$41*$D39))))),0)</f>
        <v>0</v>
      </c>
      <c r="H39" s="40">
        <f>IFERROR(IF(H$4="",0,IF($E39="kWh",VLOOKUP(H$4,'4. Billing Determinants'!$B$19:$R$41,4,0)/'4. Billing Determinants'!$E$41*$D39,IF($E39="kW",VLOOKUP(H$4,'4. Billing Determinants'!$B$19:$R$41,5,0)/'4. Billing Determinants'!$F$41*$D39,IF($E39="Non-RPP kWh",VLOOKUP(H$4,'4. Billing Determinants'!$B$19:$R$41,6,0)/'4. Billing Determinants'!$G$41*$D39,IF($E39="Distribution Rev.",VLOOKUP(H$4,'4. Billing Determinants'!$B$19:$R$41,8,0)/'4. Billing Determinants'!$I$41*$D39, VLOOKUP(H$4,'4. Billing Determinants'!$B$19:$R$41,3,0)/'4. Billing Determinants'!$D$41*$D39))))),0)</f>
        <v>0</v>
      </c>
      <c r="I39" s="40">
        <f>IFERROR(IF(I$4="",0,IF($E39="kWh",VLOOKUP(I$4,'4. Billing Determinants'!$B$19:$R$41,4,0)/'4. Billing Determinants'!$E$41*$D39,IF($E39="kW",VLOOKUP(I$4,'4. Billing Determinants'!$B$19:$R$41,5,0)/'4. Billing Determinants'!$F$41*$D39,IF($E39="Non-RPP kWh",VLOOKUP(I$4,'4. Billing Determinants'!$B$19:$R$41,6,0)/'4. Billing Determinants'!$G$41*$D39,IF($E39="Distribution Rev.",VLOOKUP(I$4,'4. Billing Determinants'!$B$19:$R$41,8,0)/'4. Billing Determinants'!$I$41*$D39, VLOOKUP(I$4,'4. Billing Determinants'!$B$19:$R$41,3,0)/'4. Billing Determinants'!$D$41*$D39))))),0)</f>
        <v>0</v>
      </c>
      <c r="J39" s="40">
        <f>IFERROR(IF(J$4="",0,IF($E39="kWh",VLOOKUP(J$4,'4. Billing Determinants'!$B$19:$R$41,4,0)/'4. Billing Determinants'!$E$41*$D39,IF($E39="kW",VLOOKUP(J$4,'4. Billing Determinants'!$B$19:$R$41,5,0)/'4. Billing Determinants'!$F$41*$D39,IF($E39="Non-RPP kWh",VLOOKUP(J$4,'4. Billing Determinants'!$B$19:$R$41,6,0)/'4. Billing Determinants'!$G$41*$D39,IF($E39="Distribution Rev.",VLOOKUP(J$4,'4. Billing Determinants'!$B$19:$R$41,8,0)/'4. Billing Determinants'!$I$41*$D39, VLOOKUP(J$4,'4. Billing Determinants'!$B$19:$R$41,3,0)/'4. Billing Determinants'!$D$41*$D39))))),0)</f>
        <v>0</v>
      </c>
      <c r="K39" s="40">
        <f>IFERROR(IF(K$4="",0,IF($E39="kWh",VLOOKUP(K$4,'4. Billing Determinants'!$B$19:$R$41,4,0)/'4. Billing Determinants'!$E$41*$D39,IF($E39="kW",VLOOKUP(K$4,'4. Billing Determinants'!$B$19:$R$41,5,0)/'4. Billing Determinants'!$F$41*$D39,IF($E39="Non-RPP kWh",VLOOKUP(K$4,'4. Billing Determinants'!$B$19:$R$41,6,0)/'4. Billing Determinants'!$G$41*$D39,IF($E39="Distribution Rev.",VLOOKUP(K$4,'4. Billing Determinants'!$B$19:$R$41,8,0)/'4. Billing Determinants'!$I$41*$D39, VLOOKUP(K$4,'4. Billing Determinants'!$B$19:$R$41,3,0)/'4. Billing Determinants'!$D$41*$D39))))),0)</f>
        <v>0</v>
      </c>
      <c r="L39" s="40">
        <f>IFERROR(IF(L$4="",0,IF($E39="kWh",VLOOKUP(L$4,'4. Billing Determinants'!$B$19:$R$41,4,0)/'4. Billing Determinants'!$E$41*$D39,IF($E39="kW",VLOOKUP(L$4,'4. Billing Determinants'!$B$19:$R$41,5,0)/'4. Billing Determinants'!$F$41*$D39,IF($E39="Non-RPP kWh",VLOOKUP(L$4,'4. Billing Determinants'!$B$19:$R$41,6,0)/'4. Billing Determinants'!$G$41*$D39,IF($E39="Distribution Rev.",VLOOKUP(L$4,'4. Billing Determinants'!$B$19:$R$41,8,0)/'4. Billing Determinants'!$I$41*$D39, VLOOKUP(L$4,'4. Billing Determinants'!$B$19:$R$41,3,0)/'4. Billing Determinants'!$D$41*$D39))))),0)</f>
        <v>0</v>
      </c>
      <c r="M39" s="40">
        <f>IFERROR(IF(M$4="",0,IF($E39="kWh",VLOOKUP(M$4,'4. Billing Determinants'!$B$19:$R$41,4,0)/'4. Billing Determinants'!$E$41*$D39,IF($E39="kW",VLOOKUP(M$4,'4. Billing Determinants'!$B$19:$R$41,5,0)/'4. Billing Determinants'!$F$41*$D39,IF($E39="Non-RPP kWh",VLOOKUP(M$4,'4. Billing Determinants'!$B$19:$R$41,6,0)/'4. Billing Determinants'!$G$41*$D39,IF($E39="Distribution Rev.",VLOOKUP(M$4,'4. Billing Determinants'!$B$19:$R$41,8,0)/'4. Billing Determinants'!$I$41*$D39, VLOOKUP(M$4,'4. Billing Determinants'!$B$19:$R$41,3,0)/'4. Billing Determinants'!$D$41*$D39))))),0)</f>
        <v>0</v>
      </c>
      <c r="N39" s="40">
        <f>IFERROR(IF(N$4="",0,IF($E39="kWh",VLOOKUP(N$4,'4. Billing Determinants'!$B$19:$R$41,4,0)/'4. Billing Determinants'!$E$41*$D39,IF($E39="kW",VLOOKUP(N$4,'4. Billing Determinants'!$B$19:$R$41,5,0)/'4. Billing Determinants'!$F$41*$D39,IF($E39="Non-RPP kWh",VLOOKUP(N$4,'4. Billing Determinants'!$B$19:$R$41,6,0)/'4. Billing Determinants'!$G$41*$D39,IF($E39="Distribution Rev.",VLOOKUP(N$4,'4. Billing Determinants'!$B$19:$R$41,8,0)/'4. Billing Determinants'!$I$41*$D39, VLOOKUP(N$4,'4. Billing Determinants'!$B$19:$R$41,3,0)/'4. Billing Determinants'!$D$41*$D39))))),0)</f>
        <v>0</v>
      </c>
      <c r="O39" s="40">
        <f>IFERROR(IF(O$4="",0,IF($E39="kWh",VLOOKUP(O$4,'4. Billing Determinants'!$B$19:$R$41,4,0)/'4. Billing Determinants'!$E$41*$D39,IF($E39="kW",VLOOKUP(O$4,'4. Billing Determinants'!$B$19:$R$41,5,0)/'4. Billing Determinants'!$F$41*$D39,IF($E39="Non-RPP kWh",VLOOKUP(O$4,'4. Billing Determinants'!$B$19:$R$41,6,0)/'4. Billing Determinants'!$G$41*$D39,IF($E39="Distribution Rev.",VLOOKUP(O$4,'4. Billing Determinants'!$B$19:$R$41,8,0)/'4. Billing Determinants'!$I$41*$D39, VLOOKUP(O$4,'4. Billing Determinants'!$B$19:$R$41,3,0)/'4. Billing Determinants'!$D$41*$D39))))),0)</f>
        <v>0</v>
      </c>
      <c r="P39" s="40">
        <f>IFERROR(IF(P$4="",0,IF($E39="kWh",VLOOKUP(P$4,'4. Billing Determinants'!$B$19:$R$41,4,0)/'4. Billing Determinants'!$E$41*$D39,IF($E39="kW",VLOOKUP(P$4,'4. Billing Determinants'!$B$19:$R$41,5,0)/'4. Billing Determinants'!$F$41*$D39,IF($E39="Non-RPP kWh",VLOOKUP(P$4,'4. Billing Determinants'!$B$19:$R$41,6,0)/'4. Billing Determinants'!$G$41*$D39,IF($E39="Distribution Rev.",VLOOKUP(P$4,'4. Billing Determinants'!$B$19:$R$41,8,0)/'4. Billing Determinants'!$I$41*$D39, VLOOKUP(P$4,'4. Billing Determinants'!$B$19:$R$41,3,0)/'4. Billing Determinants'!$D$41*$D39))))),0)</f>
        <v>0</v>
      </c>
      <c r="Q39" s="40">
        <f>IFERROR(IF(Q$4="",0,IF($E39="kWh",VLOOKUP(Q$4,'4. Billing Determinants'!$B$19:$R$41,4,0)/'4. Billing Determinants'!$E$41*$D39,IF($E39="kW",VLOOKUP(Q$4,'4. Billing Determinants'!$B$19:$R$41,5,0)/'4. Billing Determinants'!$F$41*$D39,IF($E39="Non-RPP kWh",VLOOKUP(Q$4,'4. Billing Determinants'!$B$19:$R$41,6,0)/'4. Billing Determinants'!$G$41*$D39,IF($E39="Distribution Rev.",VLOOKUP(Q$4,'4. Billing Determinants'!$B$19:$R$41,8,0)/'4. Billing Determinants'!$I$41*$D39, VLOOKUP(Q$4,'4. Billing Determinants'!$B$19:$R$41,3,0)/'4. Billing Determinants'!$D$41*$D39))))),0)</f>
        <v>0</v>
      </c>
      <c r="R39" s="40">
        <f>IFERROR(IF(R$4="",0,IF($E39="kWh",VLOOKUP(R$4,'4. Billing Determinants'!$B$19:$R$41,4,0)/'4. Billing Determinants'!$E$41*$D39,IF($E39="kW",VLOOKUP(R$4,'4. Billing Determinants'!$B$19:$R$41,5,0)/'4. Billing Determinants'!$F$41*$D39,IF($E39="Non-RPP kWh",VLOOKUP(R$4,'4. Billing Determinants'!$B$19:$R$41,6,0)/'4. Billing Determinants'!$G$41*$D39,IF($E39="Distribution Rev.",VLOOKUP(R$4,'4. Billing Determinants'!$B$19:$R$41,8,0)/'4. Billing Determinants'!$I$41*$D39, VLOOKUP(R$4,'4. Billing Determinants'!$B$19:$R$41,3,0)/'4. Billing Determinants'!$D$41*$D39))))),0)</f>
        <v>0</v>
      </c>
      <c r="S39" s="40">
        <f>IFERROR(IF(S$4="",0,IF($E39="kWh",VLOOKUP(S$4,'4. Billing Determinants'!$B$19:$R$41,4,0)/'4. Billing Determinants'!$E$41*$D39,IF($E39="kW",VLOOKUP(S$4,'4. Billing Determinants'!$B$19:$R$41,5,0)/'4. Billing Determinants'!$F$41*$D39,IF($E39="Non-RPP kWh",VLOOKUP(S$4,'4. Billing Determinants'!$B$19:$R$41,6,0)/'4. Billing Determinants'!$G$41*$D39,IF($E39="Distribution Rev.",VLOOKUP(S$4,'4. Billing Determinants'!$B$19:$R$41,8,0)/'4. Billing Determinants'!$I$41*$D39, VLOOKUP(S$4,'4. Billing Determinants'!$B$19:$R$41,3,0)/'4. Billing Determinants'!$D$41*$D39))))),0)</f>
        <v>0</v>
      </c>
      <c r="T39" s="40">
        <f>IFERROR(IF(T$4="",0,IF($E39="kWh",VLOOKUP(T$4,'4. Billing Determinants'!$B$19:$R$41,4,0)/'4. Billing Determinants'!$E$41*$D39,IF($E39="kW",VLOOKUP(T$4,'4. Billing Determinants'!$B$19:$R$41,5,0)/'4. Billing Determinants'!$F$41*$D39,IF($E39="Non-RPP kWh",VLOOKUP(T$4,'4. Billing Determinants'!$B$19:$R$41,6,0)/'4. Billing Determinants'!$G$41*$D39,IF($E39="Distribution Rev.",VLOOKUP(T$4,'4. Billing Determinants'!$B$19:$R$41,8,0)/'4. Billing Determinants'!$I$41*$D39, VLOOKUP(T$4,'4. Billing Determinants'!$B$19:$R$41,3,0)/'4. Billing Determinants'!$D$41*$D39))))),0)</f>
        <v>0</v>
      </c>
      <c r="U39" s="40">
        <f>IFERROR(IF(U$4="",0,IF($E39="kWh",VLOOKUP(U$4,'4. Billing Determinants'!$B$19:$R$41,4,0)/'4. Billing Determinants'!$E$41*$D39,IF($E39="kW",VLOOKUP(U$4,'4. Billing Determinants'!$B$19:$R$41,5,0)/'4. Billing Determinants'!$F$41*$D39,IF($E39="Non-RPP kWh",VLOOKUP(U$4,'4. Billing Determinants'!$B$19:$R$41,6,0)/'4. Billing Determinants'!$G$41*$D39,IF($E39="Distribution Rev.",VLOOKUP(U$4,'4. Billing Determinants'!$B$19:$R$41,8,0)/'4. Billing Determinants'!$I$41*$D39, VLOOKUP(U$4,'4. Billing Determinants'!$B$19:$R$41,3,0)/'4. Billing Determinants'!$D$41*$D39))))),0)</f>
        <v>0</v>
      </c>
      <c r="V39" s="40">
        <f>IFERROR(IF(V$4="",0,IF($E39="kWh",VLOOKUP(V$4,'4. Billing Determinants'!$B$19:$R$41,4,0)/'4. Billing Determinants'!$E$41*$D39,IF($E39="kW",VLOOKUP(V$4,'4. Billing Determinants'!$B$19:$R$41,5,0)/'4. Billing Determinants'!$F$41*$D39,IF($E39="Non-RPP kWh",VLOOKUP(V$4,'4. Billing Determinants'!$B$19:$R$41,6,0)/'4. Billing Determinants'!$G$41*$D39,IF($E39="Distribution Rev.",VLOOKUP(V$4,'4. Billing Determinants'!$B$19:$R$41,8,0)/'4. Billing Determinants'!$I$41*$D39, VLOOKUP(V$4,'4. Billing Determinants'!$B$19:$R$41,3,0)/'4. Billing Determinants'!$D$41*$D39))))),0)</f>
        <v>0</v>
      </c>
      <c r="W39" s="40">
        <f>IFERROR(IF(W$4="",0,IF($E39="kWh",VLOOKUP(W$4,'4. Billing Determinants'!$B$19:$R$41,4,0)/'4. Billing Determinants'!$E$41*$D39,IF($E39="kW",VLOOKUP(W$4,'4. Billing Determinants'!$B$19:$R$41,5,0)/'4. Billing Determinants'!$F$41*$D39,IF($E39="Non-RPP kWh",VLOOKUP(W$4,'4. Billing Determinants'!$B$19:$R$41,6,0)/'4. Billing Determinants'!$G$41*$D39,IF($E39="Distribution Rev.",VLOOKUP(W$4,'4. Billing Determinants'!$B$19:$R$41,8,0)/'4. Billing Determinants'!$I$41*$D39, VLOOKUP(W$4,'4. Billing Determinants'!$B$19:$R$41,3,0)/'4. Billing Determinants'!$D$41*$D39))))),0)</f>
        <v>0</v>
      </c>
      <c r="X39" s="40">
        <f>IFERROR(IF(X$4="",0,IF($E39="kWh",VLOOKUP(X$4,'4. Billing Determinants'!$B$19:$R$41,4,0)/'4. Billing Determinants'!$E$41*$D39,IF($E39="kW",VLOOKUP(X$4,'4. Billing Determinants'!$B$19:$R$41,5,0)/'4. Billing Determinants'!$F$41*$D39,IF($E39="Non-RPP kWh",VLOOKUP(X$4,'4. Billing Determinants'!$B$19:$R$41,6,0)/'4. Billing Determinants'!$G$41*$D39,IF($E39="Distribution Rev.",VLOOKUP(X$4,'4. Billing Determinants'!$B$19:$R$41,8,0)/'4. Billing Determinants'!$I$41*$D39, VLOOKUP(X$4,'4. Billing Determinants'!$B$19:$R$41,3,0)/'4. Billing Determinants'!$D$41*$D39))))),0)</f>
        <v>0</v>
      </c>
      <c r="Y39" s="40">
        <f>IFERROR(IF(Y$4="",0,IF($E39="kWh",VLOOKUP(Y$4,'4. Billing Determinants'!$B$19:$R$41,4,0)/'4. Billing Determinants'!$E$41*$D39,IF($E39="kW",VLOOKUP(Y$4,'4. Billing Determinants'!$B$19:$R$41,5,0)/'4. Billing Determinants'!$F$41*$D39,IF($E39="Non-RPP kWh",VLOOKUP(Y$4,'4. Billing Determinants'!$B$19:$R$41,6,0)/'4. Billing Determinants'!$G$41*$D39,IF($E39="Distribution Rev.",VLOOKUP(Y$4,'4. Billing Determinants'!$B$19:$R$41,8,0)/'4. Billing Determinants'!$I$41*$D39, VLOOKUP(Y$4,'4. Billing Determinants'!$B$19:$R$41,3,0)/'4. Billing Determinants'!$D$41*$D39))))),0)</f>
        <v>0</v>
      </c>
    </row>
    <row r="40" spans="1:25" x14ac:dyDescent="0.25">
      <c r="B40" s="345" t="str">
        <f>IF('2b. Continuity Schedule'!C66="","",'2b. Continuity Schedule'!C66)</f>
        <v/>
      </c>
      <c r="C40" s="39">
        <v>1508</v>
      </c>
      <c r="D40" s="40">
        <f>'2b. Continuity Schedule'!BT66</f>
        <v>0</v>
      </c>
      <c r="E40" s="61" t="s">
        <v>139</v>
      </c>
      <c r="F40" s="40">
        <f>IFERROR(IF(F$4="",0,IF($E40="kWh",VLOOKUP(F$4,'4. Billing Determinants'!$B$19:$R$41,4,0)/'4. Billing Determinants'!$E$41*$D40,IF($E40="kW",VLOOKUP(F$4,'4. Billing Determinants'!$B$19:$R$41,5,0)/'4. Billing Determinants'!$F$41*$D40,IF($E40="Non-RPP kWh",VLOOKUP(F$4,'4. Billing Determinants'!$B$19:$R$41,6,0)/'4. Billing Determinants'!$G$41*$D40,IF($E40="Distribution Rev.",VLOOKUP(F$4,'4. Billing Determinants'!$B$19:$R$41,8,0)/'4. Billing Determinants'!$I$41*$D40, VLOOKUP(F$4,'4. Billing Determinants'!$B$19:$R$41,3,0)/'4. Billing Determinants'!$D$41*$D40))))),0)</f>
        <v>0</v>
      </c>
      <c r="G40" s="40">
        <f>IFERROR(IF(G$4="",0,IF($E40="kWh",VLOOKUP(G$4,'4. Billing Determinants'!$B$19:$R$41,4,0)/'4. Billing Determinants'!$E$41*$D40,IF($E40="kW",VLOOKUP(G$4,'4. Billing Determinants'!$B$19:$R$41,5,0)/'4. Billing Determinants'!$F$41*$D40,IF($E40="Non-RPP kWh",VLOOKUP(G$4,'4. Billing Determinants'!$B$19:$R$41,6,0)/'4. Billing Determinants'!$G$41*$D40,IF($E40="Distribution Rev.",VLOOKUP(G$4,'4. Billing Determinants'!$B$19:$R$41,8,0)/'4. Billing Determinants'!$I$41*$D40, VLOOKUP(G$4,'4. Billing Determinants'!$B$19:$R$41,3,0)/'4. Billing Determinants'!$D$41*$D40))))),0)</f>
        <v>0</v>
      </c>
      <c r="H40" s="40">
        <f>IFERROR(IF(H$4="",0,IF($E40="kWh",VLOOKUP(H$4,'4. Billing Determinants'!$B$19:$R$41,4,0)/'4. Billing Determinants'!$E$41*$D40,IF($E40="kW",VLOOKUP(H$4,'4. Billing Determinants'!$B$19:$R$41,5,0)/'4. Billing Determinants'!$F$41*$D40,IF($E40="Non-RPP kWh",VLOOKUP(H$4,'4. Billing Determinants'!$B$19:$R$41,6,0)/'4. Billing Determinants'!$G$41*$D40,IF($E40="Distribution Rev.",VLOOKUP(H$4,'4. Billing Determinants'!$B$19:$R$41,8,0)/'4. Billing Determinants'!$I$41*$D40, VLOOKUP(H$4,'4. Billing Determinants'!$B$19:$R$41,3,0)/'4. Billing Determinants'!$D$41*$D40))))),0)</f>
        <v>0</v>
      </c>
      <c r="I40" s="40">
        <f>IFERROR(IF(I$4="",0,IF($E40="kWh",VLOOKUP(I$4,'4. Billing Determinants'!$B$19:$R$41,4,0)/'4. Billing Determinants'!$E$41*$D40,IF($E40="kW",VLOOKUP(I$4,'4. Billing Determinants'!$B$19:$R$41,5,0)/'4. Billing Determinants'!$F$41*$D40,IF($E40="Non-RPP kWh",VLOOKUP(I$4,'4. Billing Determinants'!$B$19:$R$41,6,0)/'4. Billing Determinants'!$G$41*$D40,IF($E40="Distribution Rev.",VLOOKUP(I$4,'4. Billing Determinants'!$B$19:$R$41,8,0)/'4. Billing Determinants'!$I$41*$D40, VLOOKUP(I$4,'4. Billing Determinants'!$B$19:$R$41,3,0)/'4. Billing Determinants'!$D$41*$D40))))),0)</f>
        <v>0</v>
      </c>
      <c r="J40" s="40">
        <f>IFERROR(IF(J$4="",0,IF($E40="kWh",VLOOKUP(J$4,'4. Billing Determinants'!$B$19:$R$41,4,0)/'4. Billing Determinants'!$E$41*$D40,IF($E40="kW",VLOOKUP(J$4,'4. Billing Determinants'!$B$19:$R$41,5,0)/'4. Billing Determinants'!$F$41*$D40,IF($E40="Non-RPP kWh",VLOOKUP(J$4,'4. Billing Determinants'!$B$19:$R$41,6,0)/'4. Billing Determinants'!$G$41*$D40,IF($E40="Distribution Rev.",VLOOKUP(J$4,'4. Billing Determinants'!$B$19:$R$41,8,0)/'4. Billing Determinants'!$I$41*$D40, VLOOKUP(J$4,'4. Billing Determinants'!$B$19:$R$41,3,0)/'4. Billing Determinants'!$D$41*$D40))))),0)</f>
        <v>0</v>
      </c>
      <c r="K40" s="40">
        <f>IFERROR(IF(K$4="",0,IF($E40="kWh",VLOOKUP(K$4,'4. Billing Determinants'!$B$19:$R$41,4,0)/'4. Billing Determinants'!$E$41*$D40,IF($E40="kW",VLOOKUP(K$4,'4. Billing Determinants'!$B$19:$R$41,5,0)/'4. Billing Determinants'!$F$41*$D40,IF($E40="Non-RPP kWh",VLOOKUP(K$4,'4. Billing Determinants'!$B$19:$R$41,6,0)/'4. Billing Determinants'!$G$41*$D40,IF($E40="Distribution Rev.",VLOOKUP(K$4,'4. Billing Determinants'!$B$19:$R$41,8,0)/'4. Billing Determinants'!$I$41*$D40, VLOOKUP(K$4,'4. Billing Determinants'!$B$19:$R$41,3,0)/'4. Billing Determinants'!$D$41*$D40))))),0)</f>
        <v>0</v>
      </c>
      <c r="L40" s="40">
        <f>IFERROR(IF(L$4="",0,IF($E40="kWh",VLOOKUP(L$4,'4. Billing Determinants'!$B$19:$R$41,4,0)/'4. Billing Determinants'!$E$41*$D40,IF($E40="kW",VLOOKUP(L$4,'4. Billing Determinants'!$B$19:$R$41,5,0)/'4. Billing Determinants'!$F$41*$D40,IF($E40="Non-RPP kWh",VLOOKUP(L$4,'4. Billing Determinants'!$B$19:$R$41,6,0)/'4. Billing Determinants'!$G$41*$D40,IF($E40="Distribution Rev.",VLOOKUP(L$4,'4. Billing Determinants'!$B$19:$R$41,8,0)/'4. Billing Determinants'!$I$41*$D40, VLOOKUP(L$4,'4. Billing Determinants'!$B$19:$R$41,3,0)/'4. Billing Determinants'!$D$41*$D40))))),0)</f>
        <v>0</v>
      </c>
      <c r="M40" s="40">
        <f>IFERROR(IF(M$4="",0,IF($E40="kWh",VLOOKUP(M$4,'4. Billing Determinants'!$B$19:$R$41,4,0)/'4. Billing Determinants'!$E$41*$D40,IF($E40="kW",VLOOKUP(M$4,'4. Billing Determinants'!$B$19:$R$41,5,0)/'4. Billing Determinants'!$F$41*$D40,IF($E40="Non-RPP kWh",VLOOKUP(M$4,'4. Billing Determinants'!$B$19:$R$41,6,0)/'4. Billing Determinants'!$G$41*$D40,IF($E40="Distribution Rev.",VLOOKUP(M$4,'4. Billing Determinants'!$B$19:$R$41,8,0)/'4. Billing Determinants'!$I$41*$D40, VLOOKUP(M$4,'4. Billing Determinants'!$B$19:$R$41,3,0)/'4. Billing Determinants'!$D$41*$D40))))),0)</f>
        <v>0</v>
      </c>
      <c r="N40" s="40">
        <f>IFERROR(IF(N$4="",0,IF($E40="kWh",VLOOKUP(N$4,'4. Billing Determinants'!$B$19:$R$41,4,0)/'4. Billing Determinants'!$E$41*$D40,IF($E40="kW",VLOOKUP(N$4,'4. Billing Determinants'!$B$19:$R$41,5,0)/'4. Billing Determinants'!$F$41*$D40,IF($E40="Non-RPP kWh",VLOOKUP(N$4,'4. Billing Determinants'!$B$19:$R$41,6,0)/'4. Billing Determinants'!$G$41*$D40,IF($E40="Distribution Rev.",VLOOKUP(N$4,'4. Billing Determinants'!$B$19:$R$41,8,0)/'4. Billing Determinants'!$I$41*$D40, VLOOKUP(N$4,'4. Billing Determinants'!$B$19:$R$41,3,0)/'4. Billing Determinants'!$D$41*$D40))))),0)</f>
        <v>0</v>
      </c>
      <c r="O40" s="40">
        <f>IFERROR(IF(O$4="",0,IF($E40="kWh",VLOOKUP(O$4,'4. Billing Determinants'!$B$19:$R$41,4,0)/'4. Billing Determinants'!$E$41*$D40,IF($E40="kW",VLOOKUP(O$4,'4. Billing Determinants'!$B$19:$R$41,5,0)/'4. Billing Determinants'!$F$41*$D40,IF($E40="Non-RPP kWh",VLOOKUP(O$4,'4. Billing Determinants'!$B$19:$R$41,6,0)/'4. Billing Determinants'!$G$41*$D40,IF($E40="Distribution Rev.",VLOOKUP(O$4,'4. Billing Determinants'!$B$19:$R$41,8,0)/'4. Billing Determinants'!$I$41*$D40, VLOOKUP(O$4,'4. Billing Determinants'!$B$19:$R$41,3,0)/'4. Billing Determinants'!$D$41*$D40))))),0)</f>
        <v>0</v>
      </c>
      <c r="P40" s="40">
        <f>IFERROR(IF(P$4="",0,IF($E40="kWh",VLOOKUP(P$4,'4. Billing Determinants'!$B$19:$R$41,4,0)/'4. Billing Determinants'!$E$41*$D40,IF($E40="kW",VLOOKUP(P$4,'4. Billing Determinants'!$B$19:$R$41,5,0)/'4. Billing Determinants'!$F$41*$D40,IF($E40="Non-RPP kWh",VLOOKUP(P$4,'4. Billing Determinants'!$B$19:$R$41,6,0)/'4. Billing Determinants'!$G$41*$D40,IF($E40="Distribution Rev.",VLOOKUP(P$4,'4. Billing Determinants'!$B$19:$R$41,8,0)/'4. Billing Determinants'!$I$41*$D40, VLOOKUP(P$4,'4. Billing Determinants'!$B$19:$R$41,3,0)/'4. Billing Determinants'!$D$41*$D40))))),0)</f>
        <v>0</v>
      </c>
      <c r="Q40" s="40">
        <f>IFERROR(IF(Q$4="",0,IF($E40="kWh",VLOOKUP(Q$4,'4. Billing Determinants'!$B$19:$R$41,4,0)/'4. Billing Determinants'!$E$41*$D40,IF($E40="kW",VLOOKUP(Q$4,'4. Billing Determinants'!$B$19:$R$41,5,0)/'4. Billing Determinants'!$F$41*$D40,IF($E40="Non-RPP kWh",VLOOKUP(Q$4,'4. Billing Determinants'!$B$19:$R$41,6,0)/'4. Billing Determinants'!$G$41*$D40,IF($E40="Distribution Rev.",VLOOKUP(Q$4,'4. Billing Determinants'!$B$19:$R$41,8,0)/'4. Billing Determinants'!$I$41*$D40, VLOOKUP(Q$4,'4. Billing Determinants'!$B$19:$R$41,3,0)/'4. Billing Determinants'!$D$41*$D40))))),0)</f>
        <v>0</v>
      </c>
      <c r="R40" s="40">
        <f>IFERROR(IF(R$4="",0,IF($E40="kWh",VLOOKUP(R$4,'4. Billing Determinants'!$B$19:$R$41,4,0)/'4. Billing Determinants'!$E$41*$D40,IF($E40="kW",VLOOKUP(R$4,'4. Billing Determinants'!$B$19:$R$41,5,0)/'4. Billing Determinants'!$F$41*$D40,IF($E40="Non-RPP kWh",VLOOKUP(R$4,'4. Billing Determinants'!$B$19:$R$41,6,0)/'4. Billing Determinants'!$G$41*$D40,IF($E40="Distribution Rev.",VLOOKUP(R$4,'4. Billing Determinants'!$B$19:$R$41,8,0)/'4. Billing Determinants'!$I$41*$D40, VLOOKUP(R$4,'4. Billing Determinants'!$B$19:$R$41,3,0)/'4. Billing Determinants'!$D$41*$D40))))),0)</f>
        <v>0</v>
      </c>
      <c r="S40" s="40">
        <f>IFERROR(IF(S$4="",0,IF($E40="kWh",VLOOKUP(S$4,'4. Billing Determinants'!$B$19:$R$41,4,0)/'4. Billing Determinants'!$E$41*$D40,IF($E40="kW",VLOOKUP(S$4,'4. Billing Determinants'!$B$19:$R$41,5,0)/'4. Billing Determinants'!$F$41*$D40,IF($E40="Non-RPP kWh",VLOOKUP(S$4,'4. Billing Determinants'!$B$19:$R$41,6,0)/'4. Billing Determinants'!$G$41*$D40,IF($E40="Distribution Rev.",VLOOKUP(S$4,'4. Billing Determinants'!$B$19:$R$41,8,0)/'4. Billing Determinants'!$I$41*$D40, VLOOKUP(S$4,'4. Billing Determinants'!$B$19:$R$41,3,0)/'4. Billing Determinants'!$D$41*$D40))))),0)</f>
        <v>0</v>
      </c>
      <c r="T40" s="40">
        <f>IFERROR(IF(T$4="",0,IF($E40="kWh",VLOOKUP(T$4,'4. Billing Determinants'!$B$19:$R$41,4,0)/'4. Billing Determinants'!$E$41*$D40,IF($E40="kW",VLOOKUP(T$4,'4. Billing Determinants'!$B$19:$R$41,5,0)/'4. Billing Determinants'!$F$41*$D40,IF($E40="Non-RPP kWh",VLOOKUP(T$4,'4. Billing Determinants'!$B$19:$R$41,6,0)/'4. Billing Determinants'!$G$41*$D40,IF($E40="Distribution Rev.",VLOOKUP(T$4,'4. Billing Determinants'!$B$19:$R$41,8,0)/'4. Billing Determinants'!$I$41*$D40, VLOOKUP(T$4,'4. Billing Determinants'!$B$19:$R$41,3,0)/'4. Billing Determinants'!$D$41*$D40))))),0)</f>
        <v>0</v>
      </c>
      <c r="U40" s="40">
        <f>IFERROR(IF(U$4="",0,IF($E40="kWh",VLOOKUP(U$4,'4. Billing Determinants'!$B$19:$R$41,4,0)/'4. Billing Determinants'!$E$41*$D40,IF($E40="kW",VLOOKUP(U$4,'4. Billing Determinants'!$B$19:$R$41,5,0)/'4. Billing Determinants'!$F$41*$D40,IF($E40="Non-RPP kWh",VLOOKUP(U$4,'4. Billing Determinants'!$B$19:$R$41,6,0)/'4. Billing Determinants'!$G$41*$D40,IF($E40="Distribution Rev.",VLOOKUP(U$4,'4. Billing Determinants'!$B$19:$R$41,8,0)/'4. Billing Determinants'!$I$41*$D40, VLOOKUP(U$4,'4. Billing Determinants'!$B$19:$R$41,3,0)/'4. Billing Determinants'!$D$41*$D40))))),0)</f>
        <v>0</v>
      </c>
      <c r="V40" s="40">
        <f>IFERROR(IF(V$4="",0,IF($E40="kWh",VLOOKUP(V$4,'4. Billing Determinants'!$B$19:$R$41,4,0)/'4. Billing Determinants'!$E$41*$D40,IF($E40="kW",VLOOKUP(V$4,'4. Billing Determinants'!$B$19:$R$41,5,0)/'4. Billing Determinants'!$F$41*$D40,IF($E40="Non-RPP kWh",VLOOKUP(V$4,'4. Billing Determinants'!$B$19:$R$41,6,0)/'4. Billing Determinants'!$G$41*$D40,IF($E40="Distribution Rev.",VLOOKUP(V$4,'4. Billing Determinants'!$B$19:$R$41,8,0)/'4. Billing Determinants'!$I$41*$D40, VLOOKUP(V$4,'4. Billing Determinants'!$B$19:$R$41,3,0)/'4. Billing Determinants'!$D$41*$D40))))),0)</f>
        <v>0</v>
      </c>
      <c r="W40" s="40">
        <f>IFERROR(IF(W$4="",0,IF($E40="kWh",VLOOKUP(W$4,'4. Billing Determinants'!$B$19:$R$41,4,0)/'4. Billing Determinants'!$E$41*$D40,IF($E40="kW",VLOOKUP(W$4,'4. Billing Determinants'!$B$19:$R$41,5,0)/'4. Billing Determinants'!$F$41*$D40,IF($E40="Non-RPP kWh",VLOOKUP(W$4,'4. Billing Determinants'!$B$19:$R$41,6,0)/'4. Billing Determinants'!$G$41*$D40,IF($E40="Distribution Rev.",VLOOKUP(W$4,'4. Billing Determinants'!$B$19:$R$41,8,0)/'4. Billing Determinants'!$I$41*$D40, VLOOKUP(W$4,'4. Billing Determinants'!$B$19:$R$41,3,0)/'4. Billing Determinants'!$D$41*$D40))))),0)</f>
        <v>0</v>
      </c>
      <c r="X40" s="40">
        <f>IFERROR(IF(X$4="",0,IF($E40="kWh",VLOOKUP(X$4,'4. Billing Determinants'!$B$19:$R$41,4,0)/'4. Billing Determinants'!$E$41*$D40,IF($E40="kW",VLOOKUP(X$4,'4. Billing Determinants'!$B$19:$R$41,5,0)/'4. Billing Determinants'!$F$41*$D40,IF($E40="Non-RPP kWh",VLOOKUP(X$4,'4. Billing Determinants'!$B$19:$R$41,6,0)/'4. Billing Determinants'!$G$41*$D40,IF($E40="Distribution Rev.",VLOOKUP(X$4,'4. Billing Determinants'!$B$19:$R$41,8,0)/'4. Billing Determinants'!$I$41*$D40, VLOOKUP(X$4,'4. Billing Determinants'!$B$19:$R$41,3,0)/'4. Billing Determinants'!$D$41*$D40))))),0)</f>
        <v>0</v>
      </c>
      <c r="Y40" s="40">
        <f>IFERROR(IF(Y$4="",0,IF($E40="kWh",VLOOKUP(Y$4,'4. Billing Determinants'!$B$19:$R$41,4,0)/'4. Billing Determinants'!$E$41*$D40,IF($E40="kW",VLOOKUP(Y$4,'4. Billing Determinants'!$B$19:$R$41,5,0)/'4. Billing Determinants'!$F$41*$D40,IF($E40="Non-RPP kWh",VLOOKUP(Y$4,'4. Billing Determinants'!$B$19:$R$41,6,0)/'4. Billing Determinants'!$G$41*$D40,IF($E40="Distribution Rev.",VLOOKUP(Y$4,'4. Billing Determinants'!$B$19:$R$41,8,0)/'4. Billing Determinants'!$I$41*$D40, VLOOKUP(Y$4,'4. Billing Determinants'!$B$19:$R$41,3,0)/'4. Billing Determinants'!$D$41*$D40))))),0)</f>
        <v>0</v>
      </c>
    </row>
    <row r="41" spans="1:25" x14ac:dyDescent="0.25">
      <c r="B41" s="345" t="str">
        <f>IF('2b. Continuity Schedule'!C67="","",'2b. Continuity Schedule'!C67)</f>
        <v/>
      </c>
      <c r="C41" s="39">
        <v>1508</v>
      </c>
      <c r="D41" s="40">
        <f>'2b. Continuity Schedule'!BT67</f>
        <v>0</v>
      </c>
      <c r="E41" s="61" t="s">
        <v>139</v>
      </c>
      <c r="F41" s="40">
        <f>IFERROR(IF(F$4="",0,IF($E41="kWh",VLOOKUP(F$4,'4. Billing Determinants'!$B$19:$R$41,4,0)/'4. Billing Determinants'!$E$41*$D41,IF($E41="kW",VLOOKUP(F$4,'4. Billing Determinants'!$B$19:$R$41,5,0)/'4. Billing Determinants'!$F$41*$D41,IF($E41="Non-RPP kWh",VLOOKUP(F$4,'4. Billing Determinants'!$B$19:$R$41,6,0)/'4. Billing Determinants'!$G$41*$D41,IF($E41="Distribution Rev.",VLOOKUP(F$4,'4. Billing Determinants'!$B$19:$R$41,8,0)/'4. Billing Determinants'!$I$41*$D41, VLOOKUP(F$4,'4. Billing Determinants'!$B$19:$R$41,3,0)/'4. Billing Determinants'!$D$41*$D41))))),0)</f>
        <v>0</v>
      </c>
      <c r="G41" s="40">
        <f>IFERROR(IF(G$4="",0,IF($E41="kWh",VLOOKUP(G$4,'4. Billing Determinants'!$B$19:$R$41,4,0)/'4. Billing Determinants'!$E$41*$D41,IF($E41="kW",VLOOKUP(G$4,'4. Billing Determinants'!$B$19:$R$41,5,0)/'4. Billing Determinants'!$F$41*$D41,IF($E41="Non-RPP kWh",VLOOKUP(G$4,'4. Billing Determinants'!$B$19:$R$41,6,0)/'4. Billing Determinants'!$G$41*$D41,IF($E41="Distribution Rev.",VLOOKUP(G$4,'4. Billing Determinants'!$B$19:$R$41,8,0)/'4. Billing Determinants'!$I$41*$D41, VLOOKUP(G$4,'4. Billing Determinants'!$B$19:$R$41,3,0)/'4. Billing Determinants'!$D$41*$D41))))),0)</f>
        <v>0</v>
      </c>
      <c r="H41" s="40">
        <f>IFERROR(IF(H$4="",0,IF($E41="kWh",VLOOKUP(H$4,'4. Billing Determinants'!$B$19:$R$41,4,0)/'4. Billing Determinants'!$E$41*$D41,IF($E41="kW",VLOOKUP(H$4,'4. Billing Determinants'!$B$19:$R$41,5,0)/'4. Billing Determinants'!$F$41*$D41,IF($E41="Non-RPP kWh",VLOOKUP(H$4,'4. Billing Determinants'!$B$19:$R$41,6,0)/'4. Billing Determinants'!$G$41*$D41,IF($E41="Distribution Rev.",VLOOKUP(H$4,'4. Billing Determinants'!$B$19:$R$41,8,0)/'4. Billing Determinants'!$I$41*$D41, VLOOKUP(H$4,'4. Billing Determinants'!$B$19:$R$41,3,0)/'4. Billing Determinants'!$D$41*$D41))))),0)</f>
        <v>0</v>
      </c>
      <c r="I41" s="40">
        <f>IFERROR(IF(I$4="",0,IF($E41="kWh",VLOOKUP(I$4,'4. Billing Determinants'!$B$19:$R$41,4,0)/'4. Billing Determinants'!$E$41*$D41,IF($E41="kW",VLOOKUP(I$4,'4. Billing Determinants'!$B$19:$R$41,5,0)/'4. Billing Determinants'!$F$41*$D41,IF($E41="Non-RPP kWh",VLOOKUP(I$4,'4. Billing Determinants'!$B$19:$R$41,6,0)/'4. Billing Determinants'!$G$41*$D41,IF($E41="Distribution Rev.",VLOOKUP(I$4,'4. Billing Determinants'!$B$19:$R$41,8,0)/'4. Billing Determinants'!$I$41*$D41, VLOOKUP(I$4,'4. Billing Determinants'!$B$19:$R$41,3,0)/'4. Billing Determinants'!$D$41*$D41))))),0)</f>
        <v>0</v>
      </c>
      <c r="J41" s="40">
        <f>IFERROR(IF(J$4="",0,IF($E41="kWh",VLOOKUP(J$4,'4. Billing Determinants'!$B$19:$R$41,4,0)/'4. Billing Determinants'!$E$41*$D41,IF($E41="kW",VLOOKUP(J$4,'4. Billing Determinants'!$B$19:$R$41,5,0)/'4. Billing Determinants'!$F$41*$D41,IF($E41="Non-RPP kWh",VLOOKUP(J$4,'4. Billing Determinants'!$B$19:$R$41,6,0)/'4. Billing Determinants'!$G$41*$D41,IF($E41="Distribution Rev.",VLOOKUP(J$4,'4. Billing Determinants'!$B$19:$R$41,8,0)/'4. Billing Determinants'!$I$41*$D41, VLOOKUP(J$4,'4. Billing Determinants'!$B$19:$R$41,3,0)/'4. Billing Determinants'!$D$41*$D41))))),0)</f>
        <v>0</v>
      </c>
      <c r="K41" s="40">
        <f>IFERROR(IF(K$4="",0,IF($E41="kWh",VLOOKUP(K$4,'4. Billing Determinants'!$B$19:$R$41,4,0)/'4. Billing Determinants'!$E$41*$D41,IF($E41="kW",VLOOKUP(K$4,'4. Billing Determinants'!$B$19:$R$41,5,0)/'4. Billing Determinants'!$F$41*$D41,IF($E41="Non-RPP kWh",VLOOKUP(K$4,'4. Billing Determinants'!$B$19:$R$41,6,0)/'4. Billing Determinants'!$G$41*$D41,IF($E41="Distribution Rev.",VLOOKUP(K$4,'4. Billing Determinants'!$B$19:$R$41,8,0)/'4. Billing Determinants'!$I$41*$D41, VLOOKUP(K$4,'4. Billing Determinants'!$B$19:$R$41,3,0)/'4. Billing Determinants'!$D$41*$D41))))),0)</f>
        <v>0</v>
      </c>
      <c r="L41" s="40">
        <f>IFERROR(IF(L$4="",0,IF($E41="kWh",VLOOKUP(L$4,'4. Billing Determinants'!$B$19:$R$41,4,0)/'4. Billing Determinants'!$E$41*$D41,IF($E41="kW",VLOOKUP(L$4,'4. Billing Determinants'!$B$19:$R$41,5,0)/'4. Billing Determinants'!$F$41*$D41,IF($E41="Non-RPP kWh",VLOOKUP(L$4,'4. Billing Determinants'!$B$19:$R$41,6,0)/'4. Billing Determinants'!$G$41*$D41,IF($E41="Distribution Rev.",VLOOKUP(L$4,'4. Billing Determinants'!$B$19:$R$41,8,0)/'4. Billing Determinants'!$I$41*$D41, VLOOKUP(L$4,'4. Billing Determinants'!$B$19:$R$41,3,0)/'4. Billing Determinants'!$D$41*$D41))))),0)</f>
        <v>0</v>
      </c>
      <c r="M41" s="40">
        <f>IFERROR(IF(M$4="",0,IF($E41="kWh",VLOOKUP(M$4,'4. Billing Determinants'!$B$19:$R$41,4,0)/'4. Billing Determinants'!$E$41*$D41,IF($E41="kW",VLOOKUP(M$4,'4. Billing Determinants'!$B$19:$R$41,5,0)/'4. Billing Determinants'!$F$41*$D41,IF($E41="Non-RPP kWh",VLOOKUP(M$4,'4. Billing Determinants'!$B$19:$R$41,6,0)/'4. Billing Determinants'!$G$41*$D41,IF($E41="Distribution Rev.",VLOOKUP(M$4,'4. Billing Determinants'!$B$19:$R$41,8,0)/'4. Billing Determinants'!$I$41*$D41, VLOOKUP(M$4,'4. Billing Determinants'!$B$19:$R$41,3,0)/'4. Billing Determinants'!$D$41*$D41))))),0)</f>
        <v>0</v>
      </c>
      <c r="N41" s="40">
        <f>IFERROR(IF(N$4="",0,IF($E41="kWh",VLOOKUP(N$4,'4. Billing Determinants'!$B$19:$R$41,4,0)/'4. Billing Determinants'!$E$41*$D41,IF($E41="kW",VLOOKUP(N$4,'4. Billing Determinants'!$B$19:$R$41,5,0)/'4. Billing Determinants'!$F$41*$D41,IF($E41="Non-RPP kWh",VLOOKUP(N$4,'4. Billing Determinants'!$B$19:$R$41,6,0)/'4. Billing Determinants'!$G$41*$D41,IF($E41="Distribution Rev.",VLOOKUP(N$4,'4. Billing Determinants'!$B$19:$R$41,8,0)/'4. Billing Determinants'!$I$41*$D41, VLOOKUP(N$4,'4. Billing Determinants'!$B$19:$R$41,3,0)/'4. Billing Determinants'!$D$41*$D41))))),0)</f>
        <v>0</v>
      </c>
      <c r="O41" s="40">
        <f>IFERROR(IF(O$4="",0,IF($E41="kWh",VLOOKUP(O$4,'4. Billing Determinants'!$B$19:$R$41,4,0)/'4. Billing Determinants'!$E$41*$D41,IF($E41="kW",VLOOKUP(O$4,'4. Billing Determinants'!$B$19:$R$41,5,0)/'4. Billing Determinants'!$F$41*$D41,IF($E41="Non-RPP kWh",VLOOKUP(O$4,'4. Billing Determinants'!$B$19:$R$41,6,0)/'4. Billing Determinants'!$G$41*$D41,IF($E41="Distribution Rev.",VLOOKUP(O$4,'4. Billing Determinants'!$B$19:$R$41,8,0)/'4. Billing Determinants'!$I$41*$D41, VLOOKUP(O$4,'4. Billing Determinants'!$B$19:$R$41,3,0)/'4. Billing Determinants'!$D$41*$D41))))),0)</f>
        <v>0</v>
      </c>
      <c r="P41" s="40">
        <f>IFERROR(IF(P$4="",0,IF($E41="kWh",VLOOKUP(P$4,'4. Billing Determinants'!$B$19:$R$41,4,0)/'4. Billing Determinants'!$E$41*$D41,IF($E41="kW",VLOOKUP(P$4,'4. Billing Determinants'!$B$19:$R$41,5,0)/'4. Billing Determinants'!$F$41*$D41,IF($E41="Non-RPP kWh",VLOOKUP(P$4,'4. Billing Determinants'!$B$19:$R$41,6,0)/'4. Billing Determinants'!$G$41*$D41,IF($E41="Distribution Rev.",VLOOKUP(P$4,'4. Billing Determinants'!$B$19:$R$41,8,0)/'4. Billing Determinants'!$I$41*$D41, VLOOKUP(P$4,'4. Billing Determinants'!$B$19:$R$41,3,0)/'4. Billing Determinants'!$D$41*$D41))))),0)</f>
        <v>0</v>
      </c>
      <c r="Q41" s="40">
        <f>IFERROR(IF(Q$4="",0,IF($E41="kWh",VLOOKUP(Q$4,'4. Billing Determinants'!$B$19:$R$41,4,0)/'4. Billing Determinants'!$E$41*$D41,IF($E41="kW",VLOOKUP(Q$4,'4. Billing Determinants'!$B$19:$R$41,5,0)/'4. Billing Determinants'!$F$41*$D41,IF($E41="Non-RPP kWh",VLOOKUP(Q$4,'4. Billing Determinants'!$B$19:$R$41,6,0)/'4. Billing Determinants'!$G$41*$D41,IF($E41="Distribution Rev.",VLOOKUP(Q$4,'4. Billing Determinants'!$B$19:$R$41,8,0)/'4. Billing Determinants'!$I$41*$D41, VLOOKUP(Q$4,'4. Billing Determinants'!$B$19:$R$41,3,0)/'4. Billing Determinants'!$D$41*$D41))))),0)</f>
        <v>0</v>
      </c>
      <c r="R41" s="40">
        <f>IFERROR(IF(R$4="",0,IF($E41="kWh",VLOOKUP(R$4,'4. Billing Determinants'!$B$19:$R$41,4,0)/'4. Billing Determinants'!$E$41*$D41,IF($E41="kW",VLOOKUP(R$4,'4. Billing Determinants'!$B$19:$R$41,5,0)/'4. Billing Determinants'!$F$41*$D41,IF($E41="Non-RPP kWh",VLOOKUP(R$4,'4. Billing Determinants'!$B$19:$R$41,6,0)/'4. Billing Determinants'!$G$41*$D41,IF($E41="Distribution Rev.",VLOOKUP(R$4,'4. Billing Determinants'!$B$19:$R$41,8,0)/'4. Billing Determinants'!$I$41*$D41, VLOOKUP(R$4,'4. Billing Determinants'!$B$19:$R$41,3,0)/'4. Billing Determinants'!$D$41*$D41))))),0)</f>
        <v>0</v>
      </c>
      <c r="S41" s="40">
        <f>IFERROR(IF(S$4="",0,IF($E41="kWh",VLOOKUP(S$4,'4. Billing Determinants'!$B$19:$R$41,4,0)/'4. Billing Determinants'!$E$41*$D41,IF($E41="kW",VLOOKUP(S$4,'4. Billing Determinants'!$B$19:$R$41,5,0)/'4. Billing Determinants'!$F$41*$D41,IF($E41="Non-RPP kWh",VLOOKUP(S$4,'4. Billing Determinants'!$B$19:$R$41,6,0)/'4. Billing Determinants'!$G$41*$D41,IF($E41="Distribution Rev.",VLOOKUP(S$4,'4. Billing Determinants'!$B$19:$R$41,8,0)/'4. Billing Determinants'!$I$41*$D41, VLOOKUP(S$4,'4. Billing Determinants'!$B$19:$R$41,3,0)/'4. Billing Determinants'!$D$41*$D41))))),0)</f>
        <v>0</v>
      </c>
      <c r="T41" s="40">
        <f>IFERROR(IF(T$4="",0,IF($E41="kWh",VLOOKUP(T$4,'4. Billing Determinants'!$B$19:$R$41,4,0)/'4. Billing Determinants'!$E$41*$D41,IF($E41="kW",VLOOKUP(T$4,'4. Billing Determinants'!$B$19:$R$41,5,0)/'4. Billing Determinants'!$F$41*$D41,IF($E41="Non-RPP kWh",VLOOKUP(T$4,'4. Billing Determinants'!$B$19:$R$41,6,0)/'4. Billing Determinants'!$G$41*$D41,IF($E41="Distribution Rev.",VLOOKUP(T$4,'4. Billing Determinants'!$B$19:$R$41,8,0)/'4. Billing Determinants'!$I$41*$D41, VLOOKUP(T$4,'4. Billing Determinants'!$B$19:$R$41,3,0)/'4. Billing Determinants'!$D$41*$D41))))),0)</f>
        <v>0</v>
      </c>
      <c r="U41" s="40">
        <f>IFERROR(IF(U$4="",0,IF($E41="kWh",VLOOKUP(U$4,'4. Billing Determinants'!$B$19:$R$41,4,0)/'4. Billing Determinants'!$E$41*$D41,IF($E41="kW",VLOOKUP(U$4,'4. Billing Determinants'!$B$19:$R$41,5,0)/'4. Billing Determinants'!$F$41*$D41,IF($E41="Non-RPP kWh",VLOOKUP(U$4,'4. Billing Determinants'!$B$19:$R$41,6,0)/'4. Billing Determinants'!$G$41*$D41,IF($E41="Distribution Rev.",VLOOKUP(U$4,'4. Billing Determinants'!$B$19:$R$41,8,0)/'4. Billing Determinants'!$I$41*$D41, VLOOKUP(U$4,'4. Billing Determinants'!$B$19:$R$41,3,0)/'4. Billing Determinants'!$D$41*$D41))))),0)</f>
        <v>0</v>
      </c>
      <c r="V41" s="40">
        <f>IFERROR(IF(V$4="",0,IF($E41="kWh",VLOOKUP(V$4,'4. Billing Determinants'!$B$19:$R$41,4,0)/'4. Billing Determinants'!$E$41*$D41,IF($E41="kW",VLOOKUP(V$4,'4. Billing Determinants'!$B$19:$R$41,5,0)/'4. Billing Determinants'!$F$41*$D41,IF($E41="Non-RPP kWh",VLOOKUP(V$4,'4. Billing Determinants'!$B$19:$R$41,6,0)/'4. Billing Determinants'!$G$41*$D41,IF($E41="Distribution Rev.",VLOOKUP(V$4,'4. Billing Determinants'!$B$19:$R$41,8,0)/'4. Billing Determinants'!$I$41*$D41, VLOOKUP(V$4,'4. Billing Determinants'!$B$19:$R$41,3,0)/'4. Billing Determinants'!$D$41*$D41))))),0)</f>
        <v>0</v>
      </c>
      <c r="W41" s="40">
        <f>IFERROR(IF(W$4="",0,IF($E41="kWh",VLOOKUP(W$4,'4. Billing Determinants'!$B$19:$R$41,4,0)/'4. Billing Determinants'!$E$41*$D41,IF($E41="kW",VLOOKUP(W$4,'4. Billing Determinants'!$B$19:$R$41,5,0)/'4. Billing Determinants'!$F$41*$D41,IF($E41="Non-RPP kWh",VLOOKUP(W$4,'4. Billing Determinants'!$B$19:$R$41,6,0)/'4. Billing Determinants'!$G$41*$D41,IF($E41="Distribution Rev.",VLOOKUP(W$4,'4. Billing Determinants'!$B$19:$R$41,8,0)/'4. Billing Determinants'!$I$41*$D41, VLOOKUP(W$4,'4. Billing Determinants'!$B$19:$R$41,3,0)/'4. Billing Determinants'!$D$41*$D41))))),0)</f>
        <v>0</v>
      </c>
      <c r="X41" s="40">
        <f>IFERROR(IF(X$4="",0,IF($E41="kWh",VLOOKUP(X$4,'4. Billing Determinants'!$B$19:$R$41,4,0)/'4. Billing Determinants'!$E$41*$D41,IF($E41="kW",VLOOKUP(X$4,'4. Billing Determinants'!$B$19:$R$41,5,0)/'4. Billing Determinants'!$F$41*$D41,IF($E41="Non-RPP kWh",VLOOKUP(X$4,'4. Billing Determinants'!$B$19:$R$41,6,0)/'4. Billing Determinants'!$G$41*$D41,IF($E41="Distribution Rev.",VLOOKUP(X$4,'4. Billing Determinants'!$B$19:$R$41,8,0)/'4. Billing Determinants'!$I$41*$D41, VLOOKUP(X$4,'4. Billing Determinants'!$B$19:$R$41,3,0)/'4. Billing Determinants'!$D$41*$D41))))),0)</f>
        <v>0</v>
      </c>
      <c r="Y41" s="40">
        <f>IFERROR(IF(Y$4="",0,IF($E41="kWh",VLOOKUP(Y$4,'4. Billing Determinants'!$B$19:$R$41,4,0)/'4. Billing Determinants'!$E$41*$D41,IF($E41="kW",VLOOKUP(Y$4,'4. Billing Determinants'!$B$19:$R$41,5,0)/'4. Billing Determinants'!$F$41*$D41,IF($E41="Non-RPP kWh",VLOOKUP(Y$4,'4. Billing Determinants'!$B$19:$R$41,6,0)/'4. Billing Determinants'!$G$41*$D41,IF($E41="Distribution Rev.",VLOOKUP(Y$4,'4. Billing Determinants'!$B$19:$R$41,8,0)/'4. Billing Determinants'!$I$41*$D41, VLOOKUP(Y$4,'4. Billing Determinants'!$B$19:$R$41,3,0)/'4. Billing Determinants'!$D$41*$D41))))),0)</f>
        <v>0</v>
      </c>
    </row>
    <row r="42" spans="1:25" x14ac:dyDescent="0.25">
      <c r="B42" s="345" t="str">
        <f>IF('2b. Continuity Schedule'!C68="","",'2b. Continuity Schedule'!C68)</f>
        <v/>
      </c>
      <c r="C42" s="39">
        <v>1508</v>
      </c>
      <c r="D42" s="40">
        <f>'2b. Continuity Schedule'!BT68</f>
        <v>0</v>
      </c>
      <c r="E42" s="61" t="s">
        <v>139</v>
      </c>
      <c r="F42" s="40">
        <f>IFERROR(IF(F$4="",0,IF($E42="kWh",VLOOKUP(F$4,'4. Billing Determinants'!$B$19:$R$41,4,0)/'4. Billing Determinants'!$E$41*$D42,IF($E42="kW",VLOOKUP(F$4,'4. Billing Determinants'!$B$19:$R$41,5,0)/'4. Billing Determinants'!$F$41*$D42,IF($E42="Non-RPP kWh",VLOOKUP(F$4,'4. Billing Determinants'!$B$19:$R$41,6,0)/'4. Billing Determinants'!$G$41*$D42,IF($E42="Distribution Rev.",VLOOKUP(F$4,'4. Billing Determinants'!$B$19:$R$41,8,0)/'4. Billing Determinants'!$I$41*$D42, VLOOKUP(F$4,'4. Billing Determinants'!$B$19:$R$41,3,0)/'4. Billing Determinants'!$D$41*$D42))))),0)</f>
        <v>0</v>
      </c>
      <c r="G42" s="40">
        <f>IFERROR(IF(G$4="",0,IF($E42="kWh",VLOOKUP(G$4,'4. Billing Determinants'!$B$19:$R$41,4,0)/'4. Billing Determinants'!$E$41*$D42,IF($E42="kW",VLOOKUP(G$4,'4. Billing Determinants'!$B$19:$R$41,5,0)/'4. Billing Determinants'!$F$41*$D42,IF($E42="Non-RPP kWh",VLOOKUP(G$4,'4. Billing Determinants'!$B$19:$R$41,6,0)/'4. Billing Determinants'!$G$41*$D42,IF($E42="Distribution Rev.",VLOOKUP(G$4,'4. Billing Determinants'!$B$19:$R$41,8,0)/'4. Billing Determinants'!$I$41*$D42, VLOOKUP(G$4,'4. Billing Determinants'!$B$19:$R$41,3,0)/'4. Billing Determinants'!$D$41*$D42))))),0)</f>
        <v>0</v>
      </c>
      <c r="H42" s="40">
        <f>IFERROR(IF(H$4="",0,IF($E42="kWh",VLOOKUP(H$4,'4. Billing Determinants'!$B$19:$R$41,4,0)/'4. Billing Determinants'!$E$41*$D42,IF($E42="kW",VLOOKUP(H$4,'4. Billing Determinants'!$B$19:$R$41,5,0)/'4. Billing Determinants'!$F$41*$D42,IF($E42="Non-RPP kWh",VLOOKUP(H$4,'4. Billing Determinants'!$B$19:$R$41,6,0)/'4. Billing Determinants'!$G$41*$D42,IF($E42="Distribution Rev.",VLOOKUP(H$4,'4. Billing Determinants'!$B$19:$R$41,8,0)/'4. Billing Determinants'!$I$41*$D42, VLOOKUP(H$4,'4. Billing Determinants'!$B$19:$R$41,3,0)/'4. Billing Determinants'!$D$41*$D42))))),0)</f>
        <v>0</v>
      </c>
      <c r="I42" s="40">
        <f>IFERROR(IF(I$4="",0,IF($E42="kWh",VLOOKUP(I$4,'4. Billing Determinants'!$B$19:$R$41,4,0)/'4. Billing Determinants'!$E$41*$D42,IF($E42="kW",VLOOKUP(I$4,'4. Billing Determinants'!$B$19:$R$41,5,0)/'4. Billing Determinants'!$F$41*$D42,IF($E42="Non-RPP kWh",VLOOKUP(I$4,'4. Billing Determinants'!$B$19:$R$41,6,0)/'4. Billing Determinants'!$G$41*$D42,IF($E42="Distribution Rev.",VLOOKUP(I$4,'4. Billing Determinants'!$B$19:$R$41,8,0)/'4. Billing Determinants'!$I$41*$D42, VLOOKUP(I$4,'4. Billing Determinants'!$B$19:$R$41,3,0)/'4. Billing Determinants'!$D$41*$D42))))),0)</f>
        <v>0</v>
      </c>
      <c r="J42" s="40">
        <f>IFERROR(IF(J$4="",0,IF($E42="kWh",VLOOKUP(J$4,'4. Billing Determinants'!$B$19:$R$41,4,0)/'4. Billing Determinants'!$E$41*$D42,IF($E42="kW",VLOOKUP(J$4,'4. Billing Determinants'!$B$19:$R$41,5,0)/'4. Billing Determinants'!$F$41*$D42,IF($E42="Non-RPP kWh",VLOOKUP(J$4,'4. Billing Determinants'!$B$19:$R$41,6,0)/'4. Billing Determinants'!$G$41*$D42,IF($E42="Distribution Rev.",VLOOKUP(J$4,'4. Billing Determinants'!$B$19:$R$41,8,0)/'4. Billing Determinants'!$I$41*$D42, VLOOKUP(J$4,'4. Billing Determinants'!$B$19:$R$41,3,0)/'4. Billing Determinants'!$D$41*$D42))))),0)</f>
        <v>0</v>
      </c>
      <c r="K42" s="40">
        <f>IFERROR(IF(K$4="",0,IF($E42="kWh",VLOOKUP(K$4,'4. Billing Determinants'!$B$19:$R$41,4,0)/'4. Billing Determinants'!$E$41*$D42,IF($E42="kW",VLOOKUP(K$4,'4. Billing Determinants'!$B$19:$R$41,5,0)/'4. Billing Determinants'!$F$41*$D42,IF($E42="Non-RPP kWh",VLOOKUP(K$4,'4. Billing Determinants'!$B$19:$R$41,6,0)/'4. Billing Determinants'!$G$41*$D42,IF($E42="Distribution Rev.",VLOOKUP(K$4,'4. Billing Determinants'!$B$19:$R$41,8,0)/'4. Billing Determinants'!$I$41*$D42, VLOOKUP(K$4,'4. Billing Determinants'!$B$19:$R$41,3,0)/'4. Billing Determinants'!$D$41*$D42))))),0)</f>
        <v>0</v>
      </c>
      <c r="L42" s="40">
        <f>IFERROR(IF(L$4="",0,IF($E42="kWh",VLOOKUP(L$4,'4. Billing Determinants'!$B$19:$R$41,4,0)/'4. Billing Determinants'!$E$41*$D42,IF($E42="kW",VLOOKUP(L$4,'4. Billing Determinants'!$B$19:$R$41,5,0)/'4. Billing Determinants'!$F$41*$D42,IF($E42="Non-RPP kWh",VLOOKUP(L$4,'4. Billing Determinants'!$B$19:$R$41,6,0)/'4. Billing Determinants'!$G$41*$D42,IF($E42="Distribution Rev.",VLOOKUP(L$4,'4. Billing Determinants'!$B$19:$R$41,8,0)/'4. Billing Determinants'!$I$41*$D42, VLOOKUP(L$4,'4. Billing Determinants'!$B$19:$R$41,3,0)/'4. Billing Determinants'!$D$41*$D42))))),0)</f>
        <v>0</v>
      </c>
      <c r="M42" s="40">
        <f>IFERROR(IF(M$4="",0,IF($E42="kWh",VLOOKUP(M$4,'4. Billing Determinants'!$B$19:$R$41,4,0)/'4. Billing Determinants'!$E$41*$D42,IF($E42="kW",VLOOKUP(M$4,'4. Billing Determinants'!$B$19:$R$41,5,0)/'4. Billing Determinants'!$F$41*$D42,IF($E42="Non-RPP kWh",VLOOKUP(M$4,'4. Billing Determinants'!$B$19:$R$41,6,0)/'4. Billing Determinants'!$G$41*$D42,IF($E42="Distribution Rev.",VLOOKUP(M$4,'4. Billing Determinants'!$B$19:$R$41,8,0)/'4. Billing Determinants'!$I$41*$D42, VLOOKUP(M$4,'4. Billing Determinants'!$B$19:$R$41,3,0)/'4. Billing Determinants'!$D$41*$D42))))),0)</f>
        <v>0</v>
      </c>
      <c r="N42" s="40">
        <f>IFERROR(IF(N$4="",0,IF($E42="kWh",VLOOKUP(N$4,'4. Billing Determinants'!$B$19:$R$41,4,0)/'4. Billing Determinants'!$E$41*$D42,IF($E42="kW",VLOOKUP(N$4,'4. Billing Determinants'!$B$19:$R$41,5,0)/'4. Billing Determinants'!$F$41*$D42,IF($E42="Non-RPP kWh",VLOOKUP(N$4,'4. Billing Determinants'!$B$19:$R$41,6,0)/'4. Billing Determinants'!$G$41*$D42,IF($E42="Distribution Rev.",VLOOKUP(N$4,'4. Billing Determinants'!$B$19:$R$41,8,0)/'4. Billing Determinants'!$I$41*$D42, VLOOKUP(N$4,'4. Billing Determinants'!$B$19:$R$41,3,0)/'4. Billing Determinants'!$D$41*$D42))))),0)</f>
        <v>0</v>
      </c>
      <c r="O42" s="40">
        <f>IFERROR(IF(O$4="",0,IF($E42="kWh",VLOOKUP(O$4,'4. Billing Determinants'!$B$19:$R$41,4,0)/'4. Billing Determinants'!$E$41*$D42,IF($E42="kW",VLOOKUP(O$4,'4. Billing Determinants'!$B$19:$R$41,5,0)/'4. Billing Determinants'!$F$41*$D42,IF($E42="Non-RPP kWh",VLOOKUP(O$4,'4. Billing Determinants'!$B$19:$R$41,6,0)/'4. Billing Determinants'!$G$41*$D42,IF($E42="Distribution Rev.",VLOOKUP(O$4,'4. Billing Determinants'!$B$19:$R$41,8,0)/'4. Billing Determinants'!$I$41*$D42, VLOOKUP(O$4,'4. Billing Determinants'!$B$19:$R$41,3,0)/'4. Billing Determinants'!$D$41*$D42))))),0)</f>
        <v>0</v>
      </c>
      <c r="P42" s="40">
        <f>IFERROR(IF(P$4="",0,IF($E42="kWh",VLOOKUP(P$4,'4. Billing Determinants'!$B$19:$R$41,4,0)/'4. Billing Determinants'!$E$41*$D42,IF($E42="kW",VLOOKUP(P$4,'4. Billing Determinants'!$B$19:$R$41,5,0)/'4. Billing Determinants'!$F$41*$D42,IF($E42="Non-RPP kWh",VLOOKUP(P$4,'4. Billing Determinants'!$B$19:$R$41,6,0)/'4. Billing Determinants'!$G$41*$D42,IF($E42="Distribution Rev.",VLOOKUP(P$4,'4. Billing Determinants'!$B$19:$R$41,8,0)/'4. Billing Determinants'!$I$41*$D42, VLOOKUP(P$4,'4. Billing Determinants'!$B$19:$R$41,3,0)/'4. Billing Determinants'!$D$41*$D42))))),0)</f>
        <v>0</v>
      </c>
      <c r="Q42" s="40">
        <f>IFERROR(IF(Q$4="",0,IF($E42="kWh",VLOOKUP(Q$4,'4. Billing Determinants'!$B$19:$R$41,4,0)/'4. Billing Determinants'!$E$41*$D42,IF($E42="kW",VLOOKUP(Q$4,'4. Billing Determinants'!$B$19:$R$41,5,0)/'4. Billing Determinants'!$F$41*$D42,IF($E42="Non-RPP kWh",VLOOKUP(Q$4,'4. Billing Determinants'!$B$19:$R$41,6,0)/'4. Billing Determinants'!$G$41*$D42,IF($E42="Distribution Rev.",VLOOKUP(Q$4,'4. Billing Determinants'!$B$19:$R$41,8,0)/'4. Billing Determinants'!$I$41*$D42, VLOOKUP(Q$4,'4. Billing Determinants'!$B$19:$R$41,3,0)/'4. Billing Determinants'!$D$41*$D42))))),0)</f>
        <v>0</v>
      </c>
      <c r="R42" s="40">
        <f>IFERROR(IF(R$4="",0,IF($E42="kWh",VLOOKUP(R$4,'4. Billing Determinants'!$B$19:$R$41,4,0)/'4. Billing Determinants'!$E$41*$D42,IF($E42="kW",VLOOKUP(R$4,'4. Billing Determinants'!$B$19:$R$41,5,0)/'4. Billing Determinants'!$F$41*$D42,IF($E42="Non-RPP kWh",VLOOKUP(R$4,'4. Billing Determinants'!$B$19:$R$41,6,0)/'4. Billing Determinants'!$G$41*$D42,IF($E42="Distribution Rev.",VLOOKUP(R$4,'4. Billing Determinants'!$B$19:$R$41,8,0)/'4. Billing Determinants'!$I$41*$D42, VLOOKUP(R$4,'4. Billing Determinants'!$B$19:$R$41,3,0)/'4. Billing Determinants'!$D$41*$D42))))),0)</f>
        <v>0</v>
      </c>
      <c r="S42" s="40">
        <f>IFERROR(IF(S$4="",0,IF($E42="kWh",VLOOKUP(S$4,'4. Billing Determinants'!$B$19:$R$41,4,0)/'4. Billing Determinants'!$E$41*$D42,IF($E42="kW",VLOOKUP(S$4,'4. Billing Determinants'!$B$19:$R$41,5,0)/'4. Billing Determinants'!$F$41*$D42,IF($E42="Non-RPP kWh",VLOOKUP(S$4,'4. Billing Determinants'!$B$19:$R$41,6,0)/'4. Billing Determinants'!$G$41*$D42,IF($E42="Distribution Rev.",VLOOKUP(S$4,'4. Billing Determinants'!$B$19:$R$41,8,0)/'4. Billing Determinants'!$I$41*$D42, VLOOKUP(S$4,'4. Billing Determinants'!$B$19:$R$41,3,0)/'4. Billing Determinants'!$D$41*$D42))))),0)</f>
        <v>0</v>
      </c>
      <c r="T42" s="40">
        <f>IFERROR(IF(T$4="",0,IF($E42="kWh",VLOOKUP(T$4,'4. Billing Determinants'!$B$19:$R$41,4,0)/'4. Billing Determinants'!$E$41*$D42,IF($E42="kW",VLOOKUP(T$4,'4. Billing Determinants'!$B$19:$R$41,5,0)/'4. Billing Determinants'!$F$41*$D42,IF($E42="Non-RPP kWh",VLOOKUP(T$4,'4. Billing Determinants'!$B$19:$R$41,6,0)/'4. Billing Determinants'!$G$41*$D42,IF($E42="Distribution Rev.",VLOOKUP(T$4,'4. Billing Determinants'!$B$19:$R$41,8,0)/'4. Billing Determinants'!$I$41*$D42, VLOOKUP(T$4,'4. Billing Determinants'!$B$19:$R$41,3,0)/'4. Billing Determinants'!$D$41*$D42))))),0)</f>
        <v>0</v>
      </c>
      <c r="U42" s="40">
        <f>IFERROR(IF(U$4="",0,IF($E42="kWh",VLOOKUP(U$4,'4. Billing Determinants'!$B$19:$R$41,4,0)/'4. Billing Determinants'!$E$41*$D42,IF($E42="kW",VLOOKUP(U$4,'4. Billing Determinants'!$B$19:$R$41,5,0)/'4. Billing Determinants'!$F$41*$D42,IF($E42="Non-RPP kWh",VLOOKUP(U$4,'4. Billing Determinants'!$B$19:$R$41,6,0)/'4. Billing Determinants'!$G$41*$D42,IF($E42="Distribution Rev.",VLOOKUP(U$4,'4. Billing Determinants'!$B$19:$R$41,8,0)/'4. Billing Determinants'!$I$41*$D42, VLOOKUP(U$4,'4. Billing Determinants'!$B$19:$R$41,3,0)/'4. Billing Determinants'!$D$41*$D42))))),0)</f>
        <v>0</v>
      </c>
      <c r="V42" s="40">
        <f>IFERROR(IF(V$4="",0,IF($E42="kWh",VLOOKUP(V$4,'4. Billing Determinants'!$B$19:$R$41,4,0)/'4. Billing Determinants'!$E$41*$D42,IF($E42="kW",VLOOKUP(V$4,'4. Billing Determinants'!$B$19:$R$41,5,0)/'4. Billing Determinants'!$F$41*$D42,IF($E42="Non-RPP kWh",VLOOKUP(V$4,'4. Billing Determinants'!$B$19:$R$41,6,0)/'4. Billing Determinants'!$G$41*$D42,IF($E42="Distribution Rev.",VLOOKUP(V$4,'4. Billing Determinants'!$B$19:$R$41,8,0)/'4. Billing Determinants'!$I$41*$D42, VLOOKUP(V$4,'4. Billing Determinants'!$B$19:$R$41,3,0)/'4. Billing Determinants'!$D$41*$D42))))),0)</f>
        <v>0</v>
      </c>
      <c r="W42" s="40">
        <f>IFERROR(IF(W$4="",0,IF($E42="kWh",VLOOKUP(W$4,'4. Billing Determinants'!$B$19:$R$41,4,0)/'4. Billing Determinants'!$E$41*$D42,IF($E42="kW",VLOOKUP(W$4,'4. Billing Determinants'!$B$19:$R$41,5,0)/'4. Billing Determinants'!$F$41*$D42,IF($E42="Non-RPP kWh",VLOOKUP(W$4,'4. Billing Determinants'!$B$19:$R$41,6,0)/'4. Billing Determinants'!$G$41*$D42,IF($E42="Distribution Rev.",VLOOKUP(W$4,'4. Billing Determinants'!$B$19:$R$41,8,0)/'4. Billing Determinants'!$I$41*$D42, VLOOKUP(W$4,'4. Billing Determinants'!$B$19:$R$41,3,0)/'4. Billing Determinants'!$D$41*$D42))))),0)</f>
        <v>0</v>
      </c>
      <c r="X42" s="40">
        <f>IFERROR(IF(X$4="",0,IF($E42="kWh",VLOOKUP(X$4,'4. Billing Determinants'!$B$19:$R$41,4,0)/'4. Billing Determinants'!$E$41*$D42,IF($E42="kW",VLOOKUP(X$4,'4. Billing Determinants'!$B$19:$R$41,5,0)/'4. Billing Determinants'!$F$41*$D42,IF($E42="Non-RPP kWh",VLOOKUP(X$4,'4. Billing Determinants'!$B$19:$R$41,6,0)/'4. Billing Determinants'!$G$41*$D42,IF($E42="Distribution Rev.",VLOOKUP(X$4,'4. Billing Determinants'!$B$19:$R$41,8,0)/'4. Billing Determinants'!$I$41*$D42, VLOOKUP(X$4,'4. Billing Determinants'!$B$19:$R$41,3,0)/'4. Billing Determinants'!$D$41*$D42))))),0)</f>
        <v>0</v>
      </c>
      <c r="Y42" s="40">
        <f>IFERROR(IF(Y$4="",0,IF($E42="kWh",VLOOKUP(Y$4,'4. Billing Determinants'!$B$19:$R$41,4,0)/'4. Billing Determinants'!$E$41*$D42,IF($E42="kW",VLOOKUP(Y$4,'4. Billing Determinants'!$B$19:$R$41,5,0)/'4. Billing Determinants'!$F$41*$D42,IF($E42="Non-RPP kWh",VLOOKUP(Y$4,'4. Billing Determinants'!$B$19:$R$41,6,0)/'4. Billing Determinants'!$G$41*$D42,IF($E42="Distribution Rev.",VLOOKUP(Y$4,'4. Billing Determinants'!$B$19:$R$41,8,0)/'4. Billing Determinants'!$I$41*$D42, VLOOKUP(Y$4,'4. Billing Determinants'!$B$19:$R$41,3,0)/'4. Billing Determinants'!$D$41*$D42))))),0)</f>
        <v>0</v>
      </c>
    </row>
    <row r="43" spans="1:25" x14ac:dyDescent="0.25">
      <c r="B43" s="345" t="str">
        <f>IF('2b. Continuity Schedule'!C69="","",'2b. Continuity Schedule'!C69)</f>
        <v/>
      </c>
      <c r="C43" s="39">
        <v>1508</v>
      </c>
      <c r="D43" s="40">
        <f>'2b. Continuity Schedule'!BT69</f>
        <v>0</v>
      </c>
      <c r="E43" s="61" t="s">
        <v>139</v>
      </c>
      <c r="F43" s="40">
        <f>IFERROR(IF(F$4="",0,IF($E43="kWh",VLOOKUP(F$4,'4. Billing Determinants'!$B$19:$R$41,4,0)/'4. Billing Determinants'!$E$41*$D43,IF($E43="kW",VLOOKUP(F$4,'4. Billing Determinants'!$B$19:$R$41,5,0)/'4. Billing Determinants'!$F$41*$D43,IF($E43="Non-RPP kWh",VLOOKUP(F$4,'4. Billing Determinants'!$B$19:$R$41,6,0)/'4. Billing Determinants'!$G$41*$D43,IF($E43="Distribution Rev.",VLOOKUP(F$4,'4. Billing Determinants'!$B$19:$R$41,8,0)/'4. Billing Determinants'!$I$41*$D43, VLOOKUP(F$4,'4. Billing Determinants'!$B$19:$R$41,3,0)/'4. Billing Determinants'!$D$41*$D43))))),0)</f>
        <v>0</v>
      </c>
      <c r="G43" s="40">
        <f>IFERROR(IF(G$4="",0,IF($E43="kWh",VLOOKUP(G$4,'4. Billing Determinants'!$B$19:$R$41,4,0)/'4. Billing Determinants'!$E$41*$D43,IF($E43="kW",VLOOKUP(G$4,'4. Billing Determinants'!$B$19:$R$41,5,0)/'4. Billing Determinants'!$F$41*$D43,IF($E43="Non-RPP kWh",VLOOKUP(G$4,'4. Billing Determinants'!$B$19:$R$41,6,0)/'4. Billing Determinants'!$G$41*$D43,IF($E43="Distribution Rev.",VLOOKUP(G$4,'4. Billing Determinants'!$B$19:$R$41,8,0)/'4. Billing Determinants'!$I$41*$D43, VLOOKUP(G$4,'4. Billing Determinants'!$B$19:$R$41,3,0)/'4. Billing Determinants'!$D$41*$D43))))),0)</f>
        <v>0</v>
      </c>
      <c r="H43" s="40">
        <f>IFERROR(IF(H$4="",0,IF($E43="kWh",VLOOKUP(H$4,'4. Billing Determinants'!$B$19:$R$41,4,0)/'4. Billing Determinants'!$E$41*$D43,IF($E43="kW",VLOOKUP(H$4,'4. Billing Determinants'!$B$19:$R$41,5,0)/'4. Billing Determinants'!$F$41*$D43,IF($E43="Non-RPP kWh",VLOOKUP(H$4,'4. Billing Determinants'!$B$19:$R$41,6,0)/'4. Billing Determinants'!$G$41*$D43,IF($E43="Distribution Rev.",VLOOKUP(H$4,'4. Billing Determinants'!$B$19:$R$41,8,0)/'4. Billing Determinants'!$I$41*$D43, VLOOKUP(H$4,'4. Billing Determinants'!$B$19:$R$41,3,0)/'4. Billing Determinants'!$D$41*$D43))))),0)</f>
        <v>0</v>
      </c>
      <c r="I43" s="40">
        <f>IFERROR(IF(I$4="",0,IF($E43="kWh",VLOOKUP(I$4,'4. Billing Determinants'!$B$19:$R$41,4,0)/'4. Billing Determinants'!$E$41*$D43,IF($E43="kW",VLOOKUP(I$4,'4. Billing Determinants'!$B$19:$R$41,5,0)/'4. Billing Determinants'!$F$41*$D43,IF($E43="Non-RPP kWh",VLOOKUP(I$4,'4. Billing Determinants'!$B$19:$R$41,6,0)/'4. Billing Determinants'!$G$41*$D43,IF($E43="Distribution Rev.",VLOOKUP(I$4,'4. Billing Determinants'!$B$19:$R$41,8,0)/'4. Billing Determinants'!$I$41*$D43, VLOOKUP(I$4,'4. Billing Determinants'!$B$19:$R$41,3,0)/'4. Billing Determinants'!$D$41*$D43))))),0)</f>
        <v>0</v>
      </c>
      <c r="J43" s="40">
        <f>IFERROR(IF(J$4="",0,IF($E43="kWh",VLOOKUP(J$4,'4. Billing Determinants'!$B$19:$R$41,4,0)/'4. Billing Determinants'!$E$41*$D43,IF($E43="kW",VLOOKUP(J$4,'4. Billing Determinants'!$B$19:$R$41,5,0)/'4. Billing Determinants'!$F$41*$D43,IF($E43="Non-RPP kWh",VLOOKUP(J$4,'4. Billing Determinants'!$B$19:$R$41,6,0)/'4. Billing Determinants'!$G$41*$D43,IF($E43="Distribution Rev.",VLOOKUP(J$4,'4. Billing Determinants'!$B$19:$R$41,8,0)/'4. Billing Determinants'!$I$41*$D43, VLOOKUP(J$4,'4. Billing Determinants'!$B$19:$R$41,3,0)/'4. Billing Determinants'!$D$41*$D43))))),0)</f>
        <v>0</v>
      </c>
      <c r="K43" s="40">
        <f>IFERROR(IF(K$4="",0,IF($E43="kWh",VLOOKUP(K$4,'4. Billing Determinants'!$B$19:$R$41,4,0)/'4. Billing Determinants'!$E$41*$D43,IF($E43="kW",VLOOKUP(K$4,'4. Billing Determinants'!$B$19:$R$41,5,0)/'4. Billing Determinants'!$F$41*$D43,IF($E43="Non-RPP kWh",VLOOKUP(K$4,'4. Billing Determinants'!$B$19:$R$41,6,0)/'4. Billing Determinants'!$G$41*$D43,IF($E43="Distribution Rev.",VLOOKUP(K$4,'4. Billing Determinants'!$B$19:$R$41,8,0)/'4. Billing Determinants'!$I$41*$D43, VLOOKUP(K$4,'4. Billing Determinants'!$B$19:$R$41,3,0)/'4. Billing Determinants'!$D$41*$D43))))),0)</f>
        <v>0</v>
      </c>
      <c r="L43" s="40">
        <f>IFERROR(IF(L$4="",0,IF($E43="kWh",VLOOKUP(L$4,'4. Billing Determinants'!$B$19:$R$41,4,0)/'4. Billing Determinants'!$E$41*$D43,IF($E43="kW",VLOOKUP(L$4,'4. Billing Determinants'!$B$19:$R$41,5,0)/'4. Billing Determinants'!$F$41*$D43,IF($E43="Non-RPP kWh",VLOOKUP(L$4,'4. Billing Determinants'!$B$19:$R$41,6,0)/'4. Billing Determinants'!$G$41*$D43,IF($E43="Distribution Rev.",VLOOKUP(L$4,'4. Billing Determinants'!$B$19:$R$41,8,0)/'4. Billing Determinants'!$I$41*$D43, VLOOKUP(L$4,'4. Billing Determinants'!$B$19:$R$41,3,0)/'4. Billing Determinants'!$D$41*$D43))))),0)</f>
        <v>0</v>
      </c>
      <c r="M43" s="40">
        <f>IFERROR(IF(M$4="",0,IF($E43="kWh",VLOOKUP(M$4,'4. Billing Determinants'!$B$19:$R$41,4,0)/'4. Billing Determinants'!$E$41*$D43,IF($E43="kW",VLOOKUP(M$4,'4. Billing Determinants'!$B$19:$R$41,5,0)/'4. Billing Determinants'!$F$41*$D43,IF($E43="Non-RPP kWh",VLOOKUP(M$4,'4. Billing Determinants'!$B$19:$R$41,6,0)/'4. Billing Determinants'!$G$41*$D43,IF($E43="Distribution Rev.",VLOOKUP(M$4,'4. Billing Determinants'!$B$19:$R$41,8,0)/'4. Billing Determinants'!$I$41*$D43, VLOOKUP(M$4,'4. Billing Determinants'!$B$19:$R$41,3,0)/'4. Billing Determinants'!$D$41*$D43))))),0)</f>
        <v>0</v>
      </c>
      <c r="N43" s="40">
        <f>IFERROR(IF(N$4="",0,IF($E43="kWh",VLOOKUP(N$4,'4. Billing Determinants'!$B$19:$R$41,4,0)/'4. Billing Determinants'!$E$41*$D43,IF($E43="kW",VLOOKUP(N$4,'4. Billing Determinants'!$B$19:$R$41,5,0)/'4. Billing Determinants'!$F$41*$D43,IF($E43="Non-RPP kWh",VLOOKUP(N$4,'4. Billing Determinants'!$B$19:$R$41,6,0)/'4. Billing Determinants'!$G$41*$D43,IF($E43="Distribution Rev.",VLOOKUP(N$4,'4. Billing Determinants'!$B$19:$R$41,8,0)/'4. Billing Determinants'!$I$41*$D43, VLOOKUP(N$4,'4. Billing Determinants'!$B$19:$R$41,3,0)/'4. Billing Determinants'!$D$41*$D43))))),0)</f>
        <v>0</v>
      </c>
      <c r="O43" s="40">
        <f>IFERROR(IF(O$4="",0,IF($E43="kWh",VLOOKUP(O$4,'4. Billing Determinants'!$B$19:$R$41,4,0)/'4. Billing Determinants'!$E$41*$D43,IF($E43="kW",VLOOKUP(O$4,'4. Billing Determinants'!$B$19:$R$41,5,0)/'4. Billing Determinants'!$F$41*$D43,IF($E43="Non-RPP kWh",VLOOKUP(O$4,'4. Billing Determinants'!$B$19:$R$41,6,0)/'4. Billing Determinants'!$G$41*$D43,IF($E43="Distribution Rev.",VLOOKUP(O$4,'4. Billing Determinants'!$B$19:$R$41,8,0)/'4. Billing Determinants'!$I$41*$D43, VLOOKUP(O$4,'4. Billing Determinants'!$B$19:$R$41,3,0)/'4. Billing Determinants'!$D$41*$D43))))),0)</f>
        <v>0</v>
      </c>
      <c r="P43" s="40">
        <f>IFERROR(IF(P$4="",0,IF($E43="kWh",VLOOKUP(P$4,'4. Billing Determinants'!$B$19:$R$41,4,0)/'4. Billing Determinants'!$E$41*$D43,IF($E43="kW",VLOOKUP(P$4,'4. Billing Determinants'!$B$19:$R$41,5,0)/'4. Billing Determinants'!$F$41*$D43,IF($E43="Non-RPP kWh",VLOOKUP(P$4,'4. Billing Determinants'!$B$19:$R$41,6,0)/'4. Billing Determinants'!$G$41*$D43,IF($E43="Distribution Rev.",VLOOKUP(P$4,'4. Billing Determinants'!$B$19:$R$41,8,0)/'4. Billing Determinants'!$I$41*$D43, VLOOKUP(P$4,'4. Billing Determinants'!$B$19:$R$41,3,0)/'4. Billing Determinants'!$D$41*$D43))))),0)</f>
        <v>0</v>
      </c>
      <c r="Q43" s="40">
        <f>IFERROR(IF(Q$4="",0,IF($E43="kWh",VLOOKUP(Q$4,'4. Billing Determinants'!$B$19:$R$41,4,0)/'4. Billing Determinants'!$E$41*$D43,IF($E43="kW",VLOOKUP(Q$4,'4. Billing Determinants'!$B$19:$R$41,5,0)/'4. Billing Determinants'!$F$41*$D43,IF($E43="Non-RPP kWh",VLOOKUP(Q$4,'4. Billing Determinants'!$B$19:$R$41,6,0)/'4. Billing Determinants'!$G$41*$D43,IF($E43="Distribution Rev.",VLOOKUP(Q$4,'4. Billing Determinants'!$B$19:$R$41,8,0)/'4. Billing Determinants'!$I$41*$D43, VLOOKUP(Q$4,'4. Billing Determinants'!$B$19:$R$41,3,0)/'4. Billing Determinants'!$D$41*$D43))))),0)</f>
        <v>0</v>
      </c>
      <c r="R43" s="40">
        <f>IFERROR(IF(R$4="",0,IF($E43="kWh",VLOOKUP(R$4,'4. Billing Determinants'!$B$19:$R$41,4,0)/'4. Billing Determinants'!$E$41*$D43,IF($E43="kW",VLOOKUP(R$4,'4. Billing Determinants'!$B$19:$R$41,5,0)/'4. Billing Determinants'!$F$41*$D43,IF($E43="Non-RPP kWh",VLOOKUP(R$4,'4. Billing Determinants'!$B$19:$R$41,6,0)/'4. Billing Determinants'!$G$41*$D43,IF($E43="Distribution Rev.",VLOOKUP(R$4,'4. Billing Determinants'!$B$19:$R$41,8,0)/'4. Billing Determinants'!$I$41*$D43, VLOOKUP(R$4,'4. Billing Determinants'!$B$19:$R$41,3,0)/'4. Billing Determinants'!$D$41*$D43))))),0)</f>
        <v>0</v>
      </c>
      <c r="S43" s="40">
        <f>IFERROR(IF(S$4="",0,IF($E43="kWh",VLOOKUP(S$4,'4. Billing Determinants'!$B$19:$R$41,4,0)/'4. Billing Determinants'!$E$41*$D43,IF($E43="kW",VLOOKUP(S$4,'4. Billing Determinants'!$B$19:$R$41,5,0)/'4. Billing Determinants'!$F$41*$D43,IF($E43="Non-RPP kWh",VLOOKUP(S$4,'4. Billing Determinants'!$B$19:$R$41,6,0)/'4. Billing Determinants'!$G$41*$D43,IF($E43="Distribution Rev.",VLOOKUP(S$4,'4. Billing Determinants'!$B$19:$R$41,8,0)/'4. Billing Determinants'!$I$41*$D43, VLOOKUP(S$4,'4. Billing Determinants'!$B$19:$R$41,3,0)/'4. Billing Determinants'!$D$41*$D43))))),0)</f>
        <v>0</v>
      </c>
      <c r="T43" s="40">
        <f>IFERROR(IF(T$4="",0,IF($E43="kWh",VLOOKUP(T$4,'4. Billing Determinants'!$B$19:$R$41,4,0)/'4. Billing Determinants'!$E$41*$D43,IF($E43="kW",VLOOKUP(T$4,'4. Billing Determinants'!$B$19:$R$41,5,0)/'4. Billing Determinants'!$F$41*$D43,IF($E43="Non-RPP kWh",VLOOKUP(T$4,'4. Billing Determinants'!$B$19:$R$41,6,0)/'4. Billing Determinants'!$G$41*$D43,IF($E43="Distribution Rev.",VLOOKUP(T$4,'4. Billing Determinants'!$B$19:$R$41,8,0)/'4. Billing Determinants'!$I$41*$D43, VLOOKUP(T$4,'4. Billing Determinants'!$B$19:$R$41,3,0)/'4. Billing Determinants'!$D$41*$D43))))),0)</f>
        <v>0</v>
      </c>
      <c r="U43" s="40">
        <f>IFERROR(IF(U$4="",0,IF($E43="kWh",VLOOKUP(U$4,'4. Billing Determinants'!$B$19:$R$41,4,0)/'4. Billing Determinants'!$E$41*$D43,IF($E43="kW",VLOOKUP(U$4,'4. Billing Determinants'!$B$19:$R$41,5,0)/'4. Billing Determinants'!$F$41*$D43,IF($E43="Non-RPP kWh",VLOOKUP(U$4,'4. Billing Determinants'!$B$19:$R$41,6,0)/'4. Billing Determinants'!$G$41*$D43,IF($E43="Distribution Rev.",VLOOKUP(U$4,'4. Billing Determinants'!$B$19:$R$41,8,0)/'4. Billing Determinants'!$I$41*$D43, VLOOKUP(U$4,'4. Billing Determinants'!$B$19:$R$41,3,0)/'4. Billing Determinants'!$D$41*$D43))))),0)</f>
        <v>0</v>
      </c>
      <c r="V43" s="40">
        <f>IFERROR(IF(V$4="",0,IF($E43="kWh",VLOOKUP(V$4,'4. Billing Determinants'!$B$19:$R$41,4,0)/'4. Billing Determinants'!$E$41*$D43,IF($E43="kW",VLOOKUP(V$4,'4. Billing Determinants'!$B$19:$R$41,5,0)/'4. Billing Determinants'!$F$41*$D43,IF($E43="Non-RPP kWh",VLOOKUP(V$4,'4. Billing Determinants'!$B$19:$R$41,6,0)/'4. Billing Determinants'!$G$41*$D43,IF($E43="Distribution Rev.",VLOOKUP(V$4,'4. Billing Determinants'!$B$19:$R$41,8,0)/'4. Billing Determinants'!$I$41*$D43, VLOOKUP(V$4,'4. Billing Determinants'!$B$19:$R$41,3,0)/'4. Billing Determinants'!$D$41*$D43))))),0)</f>
        <v>0</v>
      </c>
      <c r="W43" s="40">
        <f>IFERROR(IF(W$4="",0,IF($E43="kWh",VLOOKUP(W$4,'4. Billing Determinants'!$B$19:$R$41,4,0)/'4. Billing Determinants'!$E$41*$D43,IF($E43="kW",VLOOKUP(W$4,'4. Billing Determinants'!$B$19:$R$41,5,0)/'4. Billing Determinants'!$F$41*$D43,IF($E43="Non-RPP kWh",VLOOKUP(W$4,'4. Billing Determinants'!$B$19:$R$41,6,0)/'4. Billing Determinants'!$G$41*$D43,IF($E43="Distribution Rev.",VLOOKUP(W$4,'4. Billing Determinants'!$B$19:$R$41,8,0)/'4. Billing Determinants'!$I$41*$D43, VLOOKUP(W$4,'4. Billing Determinants'!$B$19:$R$41,3,0)/'4. Billing Determinants'!$D$41*$D43))))),0)</f>
        <v>0</v>
      </c>
      <c r="X43" s="40">
        <f>IFERROR(IF(X$4="",0,IF($E43="kWh",VLOOKUP(X$4,'4. Billing Determinants'!$B$19:$R$41,4,0)/'4. Billing Determinants'!$E$41*$D43,IF($E43="kW",VLOOKUP(X$4,'4. Billing Determinants'!$B$19:$R$41,5,0)/'4. Billing Determinants'!$F$41*$D43,IF($E43="Non-RPP kWh",VLOOKUP(X$4,'4. Billing Determinants'!$B$19:$R$41,6,0)/'4. Billing Determinants'!$G$41*$D43,IF($E43="Distribution Rev.",VLOOKUP(X$4,'4. Billing Determinants'!$B$19:$R$41,8,0)/'4. Billing Determinants'!$I$41*$D43, VLOOKUP(X$4,'4. Billing Determinants'!$B$19:$R$41,3,0)/'4. Billing Determinants'!$D$41*$D43))))),0)</f>
        <v>0</v>
      </c>
      <c r="Y43" s="40">
        <f>IFERROR(IF(Y$4="",0,IF($E43="kWh",VLOOKUP(Y$4,'4. Billing Determinants'!$B$19:$R$41,4,0)/'4. Billing Determinants'!$E$41*$D43,IF($E43="kW",VLOOKUP(Y$4,'4. Billing Determinants'!$B$19:$R$41,5,0)/'4. Billing Determinants'!$F$41*$D43,IF($E43="Non-RPP kWh",VLOOKUP(Y$4,'4. Billing Determinants'!$B$19:$R$41,6,0)/'4. Billing Determinants'!$G$41*$D43,IF($E43="Distribution Rev.",VLOOKUP(Y$4,'4. Billing Determinants'!$B$19:$R$41,8,0)/'4. Billing Determinants'!$I$41*$D43, VLOOKUP(Y$4,'4. Billing Determinants'!$B$19:$R$41,3,0)/'4. Billing Determinants'!$D$41*$D43))))),0)</f>
        <v>0</v>
      </c>
    </row>
    <row r="44" spans="1:25" x14ac:dyDescent="0.25">
      <c r="B44" s="345" t="str">
        <f>IF('2b. Continuity Schedule'!C70="","",'2b. Continuity Schedule'!C70)</f>
        <v/>
      </c>
      <c r="C44" s="39">
        <v>1508</v>
      </c>
      <c r="D44" s="40">
        <f>'2b. Continuity Schedule'!BT70</f>
        <v>0</v>
      </c>
      <c r="E44" s="61" t="s">
        <v>139</v>
      </c>
      <c r="F44" s="40">
        <f>IFERROR(IF(F$4="",0,IF($E44="kWh",VLOOKUP(F$4,'4. Billing Determinants'!$B$19:$R$41,4,0)/'4. Billing Determinants'!$E$41*$D44,IF($E44="kW",VLOOKUP(F$4,'4. Billing Determinants'!$B$19:$R$41,5,0)/'4. Billing Determinants'!$F$41*$D44,IF($E44="Non-RPP kWh",VLOOKUP(F$4,'4. Billing Determinants'!$B$19:$R$41,6,0)/'4. Billing Determinants'!$G$41*$D44,IF($E44="Distribution Rev.",VLOOKUP(F$4,'4. Billing Determinants'!$B$19:$R$41,8,0)/'4. Billing Determinants'!$I$41*$D44, VLOOKUP(F$4,'4. Billing Determinants'!$B$19:$R$41,3,0)/'4. Billing Determinants'!$D$41*$D44))))),0)</f>
        <v>0</v>
      </c>
      <c r="G44" s="40">
        <f>IFERROR(IF(G$4="",0,IF($E44="kWh",VLOOKUP(G$4,'4. Billing Determinants'!$B$19:$R$41,4,0)/'4. Billing Determinants'!$E$41*$D44,IF($E44="kW",VLOOKUP(G$4,'4. Billing Determinants'!$B$19:$R$41,5,0)/'4. Billing Determinants'!$F$41*$D44,IF($E44="Non-RPP kWh",VLOOKUP(G$4,'4. Billing Determinants'!$B$19:$R$41,6,0)/'4. Billing Determinants'!$G$41*$D44,IF($E44="Distribution Rev.",VLOOKUP(G$4,'4. Billing Determinants'!$B$19:$R$41,8,0)/'4. Billing Determinants'!$I$41*$D44, VLOOKUP(G$4,'4. Billing Determinants'!$B$19:$R$41,3,0)/'4. Billing Determinants'!$D$41*$D44))))),0)</f>
        <v>0</v>
      </c>
      <c r="H44" s="40">
        <f>IFERROR(IF(H$4="",0,IF($E44="kWh",VLOOKUP(H$4,'4. Billing Determinants'!$B$19:$R$41,4,0)/'4. Billing Determinants'!$E$41*$D44,IF($E44="kW",VLOOKUP(H$4,'4. Billing Determinants'!$B$19:$R$41,5,0)/'4. Billing Determinants'!$F$41*$D44,IF($E44="Non-RPP kWh",VLOOKUP(H$4,'4. Billing Determinants'!$B$19:$R$41,6,0)/'4. Billing Determinants'!$G$41*$D44,IF($E44="Distribution Rev.",VLOOKUP(H$4,'4. Billing Determinants'!$B$19:$R$41,8,0)/'4. Billing Determinants'!$I$41*$D44, VLOOKUP(H$4,'4. Billing Determinants'!$B$19:$R$41,3,0)/'4. Billing Determinants'!$D$41*$D44))))),0)</f>
        <v>0</v>
      </c>
      <c r="I44" s="40">
        <f>IFERROR(IF(I$4="",0,IF($E44="kWh",VLOOKUP(I$4,'4. Billing Determinants'!$B$19:$R$41,4,0)/'4. Billing Determinants'!$E$41*$D44,IF($E44="kW",VLOOKUP(I$4,'4. Billing Determinants'!$B$19:$R$41,5,0)/'4. Billing Determinants'!$F$41*$D44,IF($E44="Non-RPP kWh",VLOOKUP(I$4,'4. Billing Determinants'!$B$19:$R$41,6,0)/'4. Billing Determinants'!$G$41*$D44,IF($E44="Distribution Rev.",VLOOKUP(I$4,'4. Billing Determinants'!$B$19:$R$41,8,0)/'4. Billing Determinants'!$I$41*$D44, VLOOKUP(I$4,'4. Billing Determinants'!$B$19:$R$41,3,0)/'4. Billing Determinants'!$D$41*$D44))))),0)</f>
        <v>0</v>
      </c>
      <c r="J44" s="40">
        <f>IFERROR(IF(J$4="",0,IF($E44="kWh",VLOOKUP(J$4,'4. Billing Determinants'!$B$19:$R$41,4,0)/'4. Billing Determinants'!$E$41*$D44,IF($E44="kW",VLOOKUP(J$4,'4. Billing Determinants'!$B$19:$R$41,5,0)/'4. Billing Determinants'!$F$41*$D44,IF($E44="Non-RPP kWh",VLOOKUP(J$4,'4. Billing Determinants'!$B$19:$R$41,6,0)/'4. Billing Determinants'!$G$41*$D44,IF($E44="Distribution Rev.",VLOOKUP(J$4,'4. Billing Determinants'!$B$19:$R$41,8,0)/'4. Billing Determinants'!$I$41*$D44, VLOOKUP(J$4,'4. Billing Determinants'!$B$19:$R$41,3,0)/'4. Billing Determinants'!$D$41*$D44))))),0)</f>
        <v>0</v>
      </c>
      <c r="K44" s="40">
        <f>IFERROR(IF(K$4="",0,IF($E44="kWh",VLOOKUP(K$4,'4. Billing Determinants'!$B$19:$R$41,4,0)/'4. Billing Determinants'!$E$41*$D44,IF($E44="kW",VLOOKUP(K$4,'4. Billing Determinants'!$B$19:$R$41,5,0)/'4. Billing Determinants'!$F$41*$D44,IF($E44="Non-RPP kWh",VLOOKUP(K$4,'4. Billing Determinants'!$B$19:$R$41,6,0)/'4. Billing Determinants'!$G$41*$D44,IF($E44="Distribution Rev.",VLOOKUP(K$4,'4. Billing Determinants'!$B$19:$R$41,8,0)/'4. Billing Determinants'!$I$41*$D44, VLOOKUP(K$4,'4. Billing Determinants'!$B$19:$R$41,3,0)/'4. Billing Determinants'!$D$41*$D44))))),0)</f>
        <v>0</v>
      </c>
      <c r="L44" s="40">
        <f>IFERROR(IF(L$4="",0,IF($E44="kWh",VLOOKUP(L$4,'4. Billing Determinants'!$B$19:$R$41,4,0)/'4. Billing Determinants'!$E$41*$D44,IF($E44="kW",VLOOKUP(L$4,'4. Billing Determinants'!$B$19:$R$41,5,0)/'4. Billing Determinants'!$F$41*$D44,IF($E44="Non-RPP kWh",VLOOKUP(L$4,'4. Billing Determinants'!$B$19:$R$41,6,0)/'4. Billing Determinants'!$G$41*$D44,IF($E44="Distribution Rev.",VLOOKUP(L$4,'4. Billing Determinants'!$B$19:$R$41,8,0)/'4. Billing Determinants'!$I$41*$D44, VLOOKUP(L$4,'4. Billing Determinants'!$B$19:$R$41,3,0)/'4. Billing Determinants'!$D$41*$D44))))),0)</f>
        <v>0</v>
      </c>
      <c r="M44" s="40">
        <f>IFERROR(IF(M$4="",0,IF($E44="kWh",VLOOKUP(M$4,'4. Billing Determinants'!$B$19:$R$41,4,0)/'4. Billing Determinants'!$E$41*$D44,IF($E44="kW",VLOOKUP(M$4,'4. Billing Determinants'!$B$19:$R$41,5,0)/'4. Billing Determinants'!$F$41*$D44,IF($E44="Non-RPP kWh",VLOOKUP(M$4,'4. Billing Determinants'!$B$19:$R$41,6,0)/'4. Billing Determinants'!$G$41*$D44,IF($E44="Distribution Rev.",VLOOKUP(M$4,'4. Billing Determinants'!$B$19:$R$41,8,0)/'4. Billing Determinants'!$I$41*$D44, VLOOKUP(M$4,'4. Billing Determinants'!$B$19:$R$41,3,0)/'4. Billing Determinants'!$D$41*$D44))))),0)</f>
        <v>0</v>
      </c>
      <c r="N44" s="40">
        <f>IFERROR(IF(N$4="",0,IF($E44="kWh",VLOOKUP(N$4,'4. Billing Determinants'!$B$19:$R$41,4,0)/'4. Billing Determinants'!$E$41*$D44,IF($E44="kW",VLOOKUP(N$4,'4. Billing Determinants'!$B$19:$R$41,5,0)/'4. Billing Determinants'!$F$41*$D44,IF($E44="Non-RPP kWh",VLOOKUP(N$4,'4. Billing Determinants'!$B$19:$R$41,6,0)/'4. Billing Determinants'!$G$41*$D44,IF($E44="Distribution Rev.",VLOOKUP(N$4,'4. Billing Determinants'!$B$19:$R$41,8,0)/'4. Billing Determinants'!$I$41*$D44, VLOOKUP(N$4,'4. Billing Determinants'!$B$19:$R$41,3,0)/'4. Billing Determinants'!$D$41*$D44))))),0)</f>
        <v>0</v>
      </c>
      <c r="O44" s="40">
        <f>IFERROR(IF(O$4="",0,IF($E44="kWh",VLOOKUP(O$4,'4. Billing Determinants'!$B$19:$R$41,4,0)/'4. Billing Determinants'!$E$41*$D44,IF($E44="kW",VLOOKUP(O$4,'4. Billing Determinants'!$B$19:$R$41,5,0)/'4. Billing Determinants'!$F$41*$D44,IF($E44="Non-RPP kWh",VLOOKUP(O$4,'4. Billing Determinants'!$B$19:$R$41,6,0)/'4. Billing Determinants'!$G$41*$D44,IF($E44="Distribution Rev.",VLOOKUP(O$4,'4. Billing Determinants'!$B$19:$R$41,8,0)/'4. Billing Determinants'!$I$41*$D44, VLOOKUP(O$4,'4. Billing Determinants'!$B$19:$R$41,3,0)/'4. Billing Determinants'!$D$41*$D44))))),0)</f>
        <v>0</v>
      </c>
      <c r="P44" s="40">
        <f>IFERROR(IF(P$4="",0,IF($E44="kWh",VLOOKUP(P$4,'4. Billing Determinants'!$B$19:$R$41,4,0)/'4. Billing Determinants'!$E$41*$D44,IF($E44="kW",VLOOKUP(P$4,'4. Billing Determinants'!$B$19:$R$41,5,0)/'4. Billing Determinants'!$F$41*$D44,IF($E44="Non-RPP kWh",VLOOKUP(P$4,'4. Billing Determinants'!$B$19:$R$41,6,0)/'4. Billing Determinants'!$G$41*$D44,IF($E44="Distribution Rev.",VLOOKUP(P$4,'4. Billing Determinants'!$B$19:$R$41,8,0)/'4. Billing Determinants'!$I$41*$D44, VLOOKUP(P$4,'4. Billing Determinants'!$B$19:$R$41,3,0)/'4. Billing Determinants'!$D$41*$D44))))),0)</f>
        <v>0</v>
      </c>
      <c r="Q44" s="40">
        <f>IFERROR(IF(Q$4="",0,IF($E44="kWh",VLOOKUP(Q$4,'4. Billing Determinants'!$B$19:$R$41,4,0)/'4. Billing Determinants'!$E$41*$D44,IF($E44="kW",VLOOKUP(Q$4,'4. Billing Determinants'!$B$19:$R$41,5,0)/'4. Billing Determinants'!$F$41*$D44,IF($E44="Non-RPP kWh",VLOOKUP(Q$4,'4. Billing Determinants'!$B$19:$R$41,6,0)/'4. Billing Determinants'!$G$41*$D44,IF($E44="Distribution Rev.",VLOOKUP(Q$4,'4. Billing Determinants'!$B$19:$R$41,8,0)/'4. Billing Determinants'!$I$41*$D44, VLOOKUP(Q$4,'4. Billing Determinants'!$B$19:$R$41,3,0)/'4. Billing Determinants'!$D$41*$D44))))),0)</f>
        <v>0</v>
      </c>
      <c r="R44" s="40">
        <f>IFERROR(IF(R$4="",0,IF($E44="kWh",VLOOKUP(R$4,'4. Billing Determinants'!$B$19:$R$41,4,0)/'4. Billing Determinants'!$E$41*$D44,IF($E44="kW",VLOOKUP(R$4,'4. Billing Determinants'!$B$19:$R$41,5,0)/'4. Billing Determinants'!$F$41*$D44,IF($E44="Non-RPP kWh",VLOOKUP(R$4,'4. Billing Determinants'!$B$19:$R$41,6,0)/'4. Billing Determinants'!$G$41*$D44,IF($E44="Distribution Rev.",VLOOKUP(R$4,'4. Billing Determinants'!$B$19:$R$41,8,0)/'4. Billing Determinants'!$I$41*$D44, VLOOKUP(R$4,'4. Billing Determinants'!$B$19:$R$41,3,0)/'4. Billing Determinants'!$D$41*$D44))))),0)</f>
        <v>0</v>
      </c>
      <c r="S44" s="40">
        <f>IFERROR(IF(S$4="",0,IF($E44="kWh",VLOOKUP(S$4,'4. Billing Determinants'!$B$19:$R$41,4,0)/'4. Billing Determinants'!$E$41*$D44,IF($E44="kW",VLOOKUP(S$4,'4. Billing Determinants'!$B$19:$R$41,5,0)/'4. Billing Determinants'!$F$41*$D44,IF($E44="Non-RPP kWh",VLOOKUP(S$4,'4. Billing Determinants'!$B$19:$R$41,6,0)/'4. Billing Determinants'!$G$41*$D44,IF($E44="Distribution Rev.",VLOOKUP(S$4,'4. Billing Determinants'!$B$19:$R$41,8,0)/'4. Billing Determinants'!$I$41*$D44, VLOOKUP(S$4,'4. Billing Determinants'!$B$19:$R$41,3,0)/'4. Billing Determinants'!$D$41*$D44))))),0)</f>
        <v>0</v>
      </c>
      <c r="T44" s="40">
        <f>IFERROR(IF(T$4="",0,IF($E44="kWh",VLOOKUP(T$4,'4. Billing Determinants'!$B$19:$R$41,4,0)/'4. Billing Determinants'!$E$41*$D44,IF($E44="kW",VLOOKUP(T$4,'4. Billing Determinants'!$B$19:$R$41,5,0)/'4. Billing Determinants'!$F$41*$D44,IF($E44="Non-RPP kWh",VLOOKUP(T$4,'4. Billing Determinants'!$B$19:$R$41,6,0)/'4. Billing Determinants'!$G$41*$D44,IF($E44="Distribution Rev.",VLOOKUP(T$4,'4. Billing Determinants'!$B$19:$R$41,8,0)/'4. Billing Determinants'!$I$41*$D44, VLOOKUP(T$4,'4. Billing Determinants'!$B$19:$R$41,3,0)/'4. Billing Determinants'!$D$41*$D44))))),0)</f>
        <v>0</v>
      </c>
      <c r="U44" s="40">
        <f>IFERROR(IF(U$4="",0,IF($E44="kWh",VLOOKUP(U$4,'4. Billing Determinants'!$B$19:$R$41,4,0)/'4. Billing Determinants'!$E$41*$D44,IF($E44="kW",VLOOKUP(U$4,'4. Billing Determinants'!$B$19:$R$41,5,0)/'4. Billing Determinants'!$F$41*$D44,IF($E44="Non-RPP kWh",VLOOKUP(U$4,'4. Billing Determinants'!$B$19:$R$41,6,0)/'4. Billing Determinants'!$G$41*$D44,IF($E44="Distribution Rev.",VLOOKUP(U$4,'4. Billing Determinants'!$B$19:$R$41,8,0)/'4. Billing Determinants'!$I$41*$D44, VLOOKUP(U$4,'4. Billing Determinants'!$B$19:$R$41,3,0)/'4. Billing Determinants'!$D$41*$D44))))),0)</f>
        <v>0</v>
      </c>
      <c r="V44" s="40">
        <f>IFERROR(IF(V$4="",0,IF($E44="kWh",VLOOKUP(V$4,'4. Billing Determinants'!$B$19:$R$41,4,0)/'4. Billing Determinants'!$E$41*$D44,IF($E44="kW",VLOOKUP(V$4,'4. Billing Determinants'!$B$19:$R$41,5,0)/'4. Billing Determinants'!$F$41*$D44,IF($E44="Non-RPP kWh",VLOOKUP(V$4,'4. Billing Determinants'!$B$19:$R$41,6,0)/'4. Billing Determinants'!$G$41*$D44,IF($E44="Distribution Rev.",VLOOKUP(V$4,'4. Billing Determinants'!$B$19:$R$41,8,0)/'4. Billing Determinants'!$I$41*$D44, VLOOKUP(V$4,'4. Billing Determinants'!$B$19:$R$41,3,0)/'4. Billing Determinants'!$D$41*$D44))))),0)</f>
        <v>0</v>
      </c>
      <c r="W44" s="40">
        <f>IFERROR(IF(W$4="",0,IF($E44="kWh",VLOOKUP(W$4,'4. Billing Determinants'!$B$19:$R$41,4,0)/'4. Billing Determinants'!$E$41*$D44,IF($E44="kW",VLOOKUP(W$4,'4. Billing Determinants'!$B$19:$R$41,5,0)/'4. Billing Determinants'!$F$41*$D44,IF($E44="Non-RPP kWh",VLOOKUP(W$4,'4. Billing Determinants'!$B$19:$R$41,6,0)/'4. Billing Determinants'!$G$41*$D44,IF($E44="Distribution Rev.",VLOOKUP(W$4,'4. Billing Determinants'!$B$19:$R$41,8,0)/'4. Billing Determinants'!$I$41*$D44, VLOOKUP(W$4,'4. Billing Determinants'!$B$19:$R$41,3,0)/'4. Billing Determinants'!$D$41*$D44))))),0)</f>
        <v>0</v>
      </c>
      <c r="X44" s="40">
        <f>IFERROR(IF(X$4="",0,IF($E44="kWh",VLOOKUP(X$4,'4. Billing Determinants'!$B$19:$R$41,4,0)/'4. Billing Determinants'!$E$41*$D44,IF($E44="kW",VLOOKUP(X$4,'4. Billing Determinants'!$B$19:$R$41,5,0)/'4. Billing Determinants'!$F$41*$D44,IF($E44="Non-RPP kWh",VLOOKUP(X$4,'4. Billing Determinants'!$B$19:$R$41,6,0)/'4. Billing Determinants'!$G$41*$D44,IF($E44="Distribution Rev.",VLOOKUP(X$4,'4. Billing Determinants'!$B$19:$R$41,8,0)/'4. Billing Determinants'!$I$41*$D44, VLOOKUP(X$4,'4. Billing Determinants'!$B$19:$R$41,3,0)/'4. Billing Determinants'!$D$41*$D44))))),0)</f>
        <v>0</v>
      </c>
      <c r="Y44" s="40">
        <f>IFERROR(IF(Y$4="",0,IF($E44="kWh",VLOOKUP(Y$4,'4. Billing Determinants'!$B$19:$R$41,4,0)/'4. Billing Determinants'!$E$41*$D44,IF($E44="kW",VLOOKUP(Y$4,'4. Billing Determinants'!$B$19:$R$41,5,0)/'4. Billing Determinants'!$F$41*$D44,IF($E44="Non-RPP kWh",VLOOKUP(Y$4,'4. Billing Determinants'!$B$19:$R$41,6,0)/'4. Billing Determinants'!$G$41*$D44,IF($E44="Distribution Rev.",VLOOKUP(Y$4,'4. Billing Determinants'!$B$19:$R$41,8,0)/'4. Billing Determinants'!$I$41*$D44, VLOOKUP(Y$4,'4. Billing Determinants'!$B$19:$R$41,3,0)/'4. Billing Determinants'!$D$41*$D44))))),0)</f>
        <v>0</v>
      </c>
    </row>
    <row r="45" spans="1:25" x14ac:dyDescent="0.25">
      <c r="A45" s="122">
        <v>22</v>
      </c>
      <c r="B45" s="44" t="s">
        <v>4</v>
      </c>
      <c r="C45" s="39">
        <v>1518</v>
      </c>
      <c r="D45" s="40">
        <f>'2b. Continuity Schedule'!BT71</f>
        <v>0</v>
      </c>
      <c r="E45" s="61" t="s">
        <v>59</v>
      </c>
      <c r="F45" s="40">
        <f>IFERROR(IF(F$4="",0,IF($E45="kWh",VLOOKUP(F$4,'4. Billing Determinants'!$B$19:$R$41,4,0)/'4. Billing Determinants'!$E$41*$D45,IF($E45="kW",VLOOKUP(F$4,'4. Billing Determinants'!$B$19:$R$41,5,0)/'4. Billing Determinants'!$F$41*$D45,IF($E45="Non-RPP kWh",VLOOKUP(F$4,'4. Billing Determinants'!$B$19:$R$41,6,0)/'4. Billing Determinants'!$G$41*$D45,IF($E45="Distribution Rev.",VLOOKUP(F$4,'4. Billing Determinants'!$B$19:$R$41,8,0)/'4. Billing Determinants'!$I$41*$D45, VLOOKUP(F$4,'4. Billing Determinants'!$B$19:$R$41,3,0)/'4. Billing Determinants'!$D$41*$D45))))),0)</f>
        <v>0</v>
      </c>
      <c r="G45" s="40">
        <f>IFERROR(IF(G$4="",0,IF($E45="kWh",VLOOKUP(G$4,'4. Billing Determinants'!$B$19:$R$41,4,0)/'4. Billing Determinants'!$E$41*$D45,IF($E45="kW",VLOOKUP(G$4,'4. Billing Determinants'!$B$19:$R$41,5,0)/'4. Billing Determinants'!$F$41*$D45,IF($E45="Non-RPP kWh",VLOOKUP(G$4,'4. Billing Determinants'!$B$19:$R$41,6,0)/'4. Billing Determinants'!$G$41*$D45,IF($E45="Distribution Rev.",VLOOKUP(G$4,'4. Billing Determinants'!$B$19:$R$41,8,0)/'4. Billing Determinants'!$I$41*$D45, VLOOKUP(G$4,'4. Billing Determinants'!$B$19:$R$41,3,0)/'4. Billing Determinants'!$D$41*$D45))))),0)</f>
        <v>0</v>
      </c>
      <c r="H45" s="40">
        <f>IFERROR(IF(H$4="",0,IF($E45="kWh",VLOOKUP(H$4,'4. Billing Determinants'!$B$19:$R$41,4,0)/'4. Billing Determinants'!$E$41*$D45,IF($E45="kW",VLOOKUP(H$4,'4. Billing Determinants'!$B$19:$R$41,5,0)/'4. Billing Determinants'!$F$41*$D45,IF($E45="Non-RPP kWh",VLOOKUP(H$4,'4. Billing Determinants'!$B$19:$R$41,6,0)/'4. Billing Determinants'!$G$41*$D45,IF($E45="Distribution Rev.",VLOOKUP(H$4,'4. Billing Determinants'!$B$19:$R$41,8,0)/'4. Billing Determinants'!$I$41*$D45, VLOOKUP(H$4,'4. Billing Determinants'!$B$19:$R$41,3,0)/'4. Billing Determinants'!$D$41*$D45))))),0)</f>
        <v>0</v>
      </c>
      <c r="I45" s="40">
        <f>IFERROR(IF(I$4="",0,IF($E45="kWh",VLOOKUP(I$4,'4. Billing Determinants'!$B$19:$R$41,4,0)/'4. Billing Determinants'!$E$41*$D45,IF($E45="kW",VLOOKUP(I$4,'4. Billing Determinants'!$B$19:$R$41,5,0)/'4. Billing Determinants'!$F$41*$D45,IF($E45="Non-RPP kWh",VLOOKUP(I$4,'4. Billing Determinants'!$B$19:$R$41,6,0)/'4. Billing Determinants'!$G$41*$D45,IF($E45="Distribution Rev.",VLOOKUP(I$4,'4. Billing Determinants'!$B$19:$R$41,8,0)/'4. Billing Determinants'!$I$41*$D45, VLOOKUP(I$4,'4. Billing Determinants'!$B$19:$R$41,3,0)/'4. Billing Determinants'!$D$41*$D45))))),0)</f>
        <v>0</v>
      </c>
      <c r="J45" s="40">
        <f>IFERROR(IF(J$4="",0,IF($E45="kWh",VLOOKUP(J$4,'4. Billing Determinants'!$B$19:$R$41,4,0)/'4. Billing Determinants'!$E$41*$D45,IF($E45="kW",VLOOKUP(J$4,'4. Billing Determinants'!$B$19:$R$41,5,0)/'4. Billing Determinants'!$F$41*$D45,IF($E45="Non-RPP kWh",VLOOKUP(J$4,'4. Billing Determinants'!$B$19:$R$41,6,0)/'4. Billing Determinants'!$G$41*$D45,IF($E45="Distribution Rev.",VLOOKUP(J$4,'4. Billing Determinants'!$B$19:$R$41,8,0)/'4. Billing Determinants'!$I$41*$D45, VLOOKUP(J$4,'4. Billing Determinants'!$B$19:$R$41,3,0)/'4. Billing Determinants'!$D$41*$D45))))),0)</f>
        <v>0</v>
      </c>
      <c r="K45" s="40">
        <f>IFERROR(IF(K$4="",0,IF($E45="kWh",VLOOKUP(K$4,'4. Billing Determinants'!$B$19:$R$41,4,0)/'4. Billing Determinants'!$E$41*$D45,IF($E45="kW",VLOOKUP(K$4,'4. Billing Determinants'!$B$19:$R$41,5,0)/'4. Billing Determinants'!$F$41*$D45,IF($E45="Non-RPP kWh",VLOOKUP(K$4,'4. Billing Determinants'!$B$19:$R$41,6,0)/'4. Billing Determinants'!$G$41*$D45,IF($E45="Distribution Rev.",VLOOKUP(K$4,'4. Billing Determinants'!$B$19:$R$41,8,0)/'4. Billing Determinants'!$I$41*$D45, VLOOKUP(K$4,'4. Billing Determinants'!$B$19:$R$41,3,0)/'4. Billing Determinants'!$D$41*$D45))))),0)</f>
        <v>0</v>
      </c>
      <c r="L45" s="40">
        <f>IFERROR(IF(L$4="",0,IF($E45="kWh",VLOOKUP(L$4,'4. Billing Determinants'!$B$19:$R$41,4,0)/'4. Billing Determinants'!$E$41*$D45,IF($E45="kW",VLOOKUP(L$4,'4. Billing Determinants'!$B$19:$R$41,5,0)/'4. Billing Determinants'!$F$41*$D45,IF($E45="Non-RPP kWh",VLOOKUP(L$4,'4. Billing Determinants'!$B$19:$R$41,6,0)/'4. Billing Determinants'!$G$41*$D45,IF($E45="Distribution Rev.",VLOOKUP(L$4,'4. Billing Determinants'!$B$19:$R$41,8,0)/'4. Billing Determinants'!$I$41*$D45, VLOOKUP(L$4,'4. Billing Determinants'!$B$19:$R$41,3,0)/'4. Billing Determinants'!$D$41*$D45))))),0)</f>
        <v>0</v>
      </c>
      <c r="M45" s="40">
        <f>IFERROR(IF(M$4="",0,IF($E45="kWh",VLOOKUP(M$4,'4. Billing Determinants'!$B$19:$R$41,4,0)/'4. Billing Determinants'!$E$41*$D45,IF($E45="kW",VLOOKUP(M$4,'4. Billing Determinants'!$B$19:$R$41,5,0)/'4. Billing Determinants'!$F$41*$D45,IF($E45="Non-RPP kWh",VLOOKUP(M$4,'4. Billing Determinants'!$B$19:$R$41,6,0)/'4. Billing Determinants'!$G$41*$D45,IF($E45="Distribution Rev.",VLOOKUP(M$4,'4. Billing Determinants'!$B$19:$R$41,8,0)/'4. Billing Determinants'!$I$41*$D45, VLOOKUP(M$4,'4. Billing Determinants'!$B$19:$R$41,3,0)/'4. Billing Determinants'!$D$41*$D45))))),0)</f>
        <v>0</v>
      </c>
      <c r="N45" s="40">
        <f>IFERROR(IF(N$4="",0,IF($E45="kWh",VLOOKUP(N$4,'4. Billing Determinants'!$B$19:$R$41,4,0)/'4. Billing Determinants'!$E$41*$D45,IF($E45="kW",VLOOKUP(N$4,'4. Billing Determinants'!$B$19:$R$41,5,0)/'4. Billing Determinants'!$F$41*$D45,IF($E45="Non-RPP kWh",VLOOKUP(N$4,'4. Billing Determinants'!$B$19:$R$41,6,0)/'4. Billing Determinants'!$G$41*$D45,IF($E45="Distribution Rev.",VLOOKUP(N$4,'4. Billing Determinants'!$B$19:$R$41,8,0)/'4. Billing Determinants'!$I$41*$D45, VLOOKUP(N$4,'4. Billing Determinants'!$B$19:$R$41,3,0)/'4. Billing Determinants'!$D$41*$D45))))),0)</f>
        <v>0</v>
      </c>
      <c r="O45" s="40">
        <f>IFERROR(IF(O$4="",0,IF($E45="kWh",VLOOKUP(O$4,'4. Billing Determinants'!$B$19:$R$41,4,0)/'4. Billing Determinants'!$E$41*$D45,IF($E45="kW",VLOOKUP(O$4,'4. Billing Determinants'!$B$19:$R$41,5,0)/'4. Billing Determinants'!$F$41*$D45,IF($E45="Non-RPP kWh",VLOOKUP(O$4,'4. Billing Determinants'!$B$19:$R$41,6,0)/'4. Billing Determinants'!$G$41*$D45,IF($E45="Distribution Rev.",VLOOKUP(O$4,'4. Billing Determinants'!$B$19:$R$41,8,0)/'4. Billing Determinants'!$I$41*$D45, VLOOKUP(O$4,'4. Billing Determinants'!$B$19:$R$41,3,0)/'4. Billing Determinants'!$D$41*$D45))))),0)</f>
        <v>0</v>
      </c>
      <c r="P45" s="40">
        <f>IFERROR(IF(P$4="",0,IF($E45="kWh",VLOOKUP(P$4,'4. Billing Determinants'!$B$19:$R$41,4,0)/'4. Billing Determinants'!$E$41*$D45,IF($E45="kW",VLOOKUP(P$4,'4. Billing Determinants'!$B$19:$R$41,5,0)/'4. Billing Determinants'!$F$41*$D45,IF($E45="Non-RPP kWh",VLOOKUP(P$4,'4. Billing Determinants'!$B$19:$R$41,6,0)/'4. Billing Determinants'!$G$41*$D45,IF($E45="Distribution Rev.",VLOOKUP(P$4,'4. Billing Determinants'!$B$19:$R$41,8,0)/'4. Billing Determinants'!$I$41*$D45, VLOOKUP(P$4,'4. Billing Determinants'!$B$19:$R$41,3,0)/'4. Billing Determinants'!$D$41*$D45))))),0)</f>
        <v>0</v>
      </c>
      <c r="Q45" s="40">
        <f>IFERROR(IF(Q$4="",0,IF($E45="kWh",VLOOKUP(Q$4,'4. Billing Determinants'!$B$19:$R$41,4,0)/'4. Billing Determinants'!$E$41*$D45,IF($E45="kW",VLOOKUP(Q$4,'4. Billing Determinants'!$B$19:$R$41,5,0)/'4. Billing Determinants'!$F$41*$D45,IF($E45="Non-RPP kWh",VLOOKUP(Q$4,'4. Billing Determinants'!$B$19:$R$41,6,0)/'4. Billing Determinants'!$G$41*$D45,IF($E45="Distribution Rev.",VLOOKUP(Q$4,'4. Billing Determinants'!$B$19:$R$41,8,0)/'4. Billing Determinants'!$I$41*$D45, VLOOKUP(Q$4,'4. Billing Determinants'!$B$19:$R$41,3,0)/'4. Billing Determinants'!$D$41*$D45))))),0)</f>
        <v>0</v>
      </c>
      <c r="R45" s="40">
        <f>IFERROR(IF(R$4="",0,IF($E45="kWh",VLOOKUP(R$4,'4. Billing Determinants'!$B$19:$R$41,4,0)/'4. Billing Determinants'!$E$41*$D45,IF($E45="kW",VLOOKUP(R$4,'4. Billing Determinants'!$B$19:$R$41,5,0)/'4. Billing Determinants'!$F$41*$D45,IF($E45="Non-RPP kWh",VLOOKUP(R$4,'4. Billing Determinants'!$B$19:$R$41,6,0)/'4. Billing Determinants'!$G$41*$D45,IF($E45="Distribution Rev.",VLOOKUP(R$4,'4. Billing Determinants'!$B$19:$R$41,8,0)/'4. Billing Determinants'!$I$41*$D45, VLOOKUP(R$4,'4. Billing Determinants'!$B$19:$R$41,3,0)/'4. Billing Determinants'!$D$41*$D45))))),0)</f>
        <v>0</v>
      </c>
      <c r="S45" s="40">
        <f>IFERROR(IF(S$4="",0,IF($E45="kWh",VLOOKUP(S$4,'4. Billing Determinants'!$B$19:$R$41,4,0)/'4. Billing Determinants'!$E$41*$D45,IF($E45="kW",VLOOKUP(S$4,'4. Billing Determinants'!$B$19:$R$41,5,0)/'4. Billing Determinants'!$F$41*$D45,IF($E45="Non-RPP kWh",VLOOKUP(S$4,'4. Billing Determinants'!$B$19:$R$41,6,0)/'4. Billing Determinants'!$G$41*$D45,IF($E45="Distribution Rev.",VLOOKUP(S$4,'4. Billing Determinants'!$B$19:$R$41,8,0)/'4. Billing Determinants'!$I$41*$D45, VLOOKUP(S$4,'4. Billing Determinants'!$B$19:$R$41,3,0)/'4. Billing Determinants'!$D$41*$D45))))),0)</f>
        <v>0</v>
      </c>
      <c r="T45" s="40">
        <f>IFERROR(IF(T$4="",0,IF($E45="kWh",VLOOKUP(T$4,'4. Billing Determinants'!$B$19:$R$41,4,0)/'4. Billing Determinants'!$E$41*$D45,IF($E45="kW",VLOOKUP(T$4,'4. Billing Determinants'!$B$19:$R$41,5,0)/'4. Billing Determinants'!$F$41*$D45,IF($E45="Non-RPP kWh",VLOOKUP(T$4,'4. Billing Determinants'!$B$19:$R$41,6,0)/'4. Billing Determinants'!$G$41*$D45,IF($E45="Distribution Rev.",VLOOKUP(T$4,'4. Billing Determinants'!$B$19:$R$41,8,0)/'4. Billing Determinants'!$I$41*$D45, VLOOKUP(T$4,'4. Billing Determinants'!$B$19:$R$41,3,0)/'4. Billing Determinants'!$D$41*$D45))))),0)</f>
        <v>0</v>
      </c>
      <c r="U45" s="40">
        <f>IFERROR(IF(U$4="",0,IF($E45="kWh",VLOOKUP(U$4,'4. Billing Determinants'!$B$19:$R$41,4,0)/'4. Billing Determinants'!$E$41*$D45,IF($E45="kW",VLOOKUP(U$4,'4. Billing Determinants'!$B$19:$R$41,5,0)/'4. Billing Determinants'!$F$41*$D45,IF($E45="Non-RPP kWh",VLOOKUP(U$4,'4. Billing Determinants'!$B$19:$R$41,6,0)/'4. Billing Determinants'!$G$41*$D45,IF($E45="Distribution Rev.",VLOOKUP(U$4,'4. Billing Determinants'!$B$19:$R$41,8,0)/'4. Billing Determinants'!$I$41*$D45, VLOOKUP(U$4,'4. Billing Determinants'!$B$19:$R$41,3,0)/'4. Billing Determinants'!$D$41*$D45))))),0)</f>
        <v>0</v>
      </c>
      <c r="V45" s="40">
        <f>IFERROR(IF(V$4="",0,IF($E45="kWh",VLOOKUP(V$4,'4. Billing Determinants'!$B$19:$R$41,4,0)/'4. Billing Determinants'!$E$41*$D45,IF($E45="kW",VLOOKUP(V$4,'4. Billing Determinants'!$B$19:$R$41,5,0)/'4. Billing Determinants'!$F$41*$D45,IF($E45="Non-RPP kWh",VLOOKUP(V$4,'4. Billing Determinants'!$B$19:$R$41,6,0)/'4. Billing Determinants'!$G$41*$D45,IF($E45="Distribution Rev.",VLOOKUP(V$4,'4. Billing Determinants'!$B$19:$R$41,8,0)/'4. Billing Determinants'!$I$41*$D45, VLOOKUP(V$4,'4. Billing Determinants'!$B$19:$R$41,3,0)/'4. Billing Determinants'!$D$41*$D45))))),0)</f>
        <v>0</v>
      </c>
      <c r="W45" s="40">
        <f>IFERROR(IF(W$4="",0,IF($E45="kWh",VLOOKUP(W$4,'4. Billing Determinants'!$B$19:$R$41,4,0)/'4. Billing Determinants'!$E$41*$D45,IF($E45="kW",VLOOKUP(W$4,'4. Billing Determinants'!$B$19:$R$41,5,0)/'4. Billing Determinants'!$F$41*$D45,IF($E45="Non-RPP kWh",VLOOKUP(W$4,'4. Billing Determinants'!$B$19:$R$41,6,0)/'4. Billing Determinants'!$G$41*$D45,IF($E45="Distribution Rev.",VLOOKUP(W$4,'4. Billing Determinants'!$B$19:$R$41,8,0)/'4. Billing Determinants'!$I$41*$D45, VLOOKUP(W$4,'4. Billing Determinants'!$B$19:$R$41,3,0)/'4. Billing Determinants'!$D$41*$D45))))),0)</f>
        <v>0</v>
      </c>
      <c r="X45" s="40">
        <f>IFERROR(IF(X$4="",0,IF($E45="kWh",VLOOKUP(X$4,'4. Billing Determinants'!$B$19:$R$41,4,0)/'4. Billing Determinants'!$E$41*$D45,IF($E45="kW",VLOOKUP(X$4,'4. Billing Determinants'!$B$19:$R$41,5,0)/'4. Billing Determinants'!$F$41*$D45,IF($E45="Non-RPP kWh",VLOOKUP(X$4,'4. Billing Determinants'!$B$19:$R$41,6,0)/'4. Billing Determinants'!$G$41*$D45,IF($E45="Distribution Rev.",VLOOKUP(X$4,'4. Billing Determinants'!$B$19:$R$41,8,0)/'4. Billing Determinants'!$I$41*$D45, VLOOKUP(X$4,'4. Billing Determinants'!$B$19:$R$41,3,0)/'4. Billing Determinants'!$D$41*$D45))))),0)</f>
        <v>0</v>
      </c>
      <c r="Y45" s="40">
        <f>IFERROR(IF(Y$4="",0,IF($E45="kWh",VLOOKUP(Y$4,'4. Billing Determinants'!$B$19:$R$41,4,0)/'4. Billing Determinants'!$E$41*$D45,IF($E45="kW",VLOOKUP(Y$4,'4. Billing Determinants'!$B$19:$R$41,5,0)/'4. Billing Determinants'!$F$41*$D45,IF($E45="Non-RPP kWh",VLOOKUP(Y$4,'4. Billing Determinants'!$B$19:$R$41,6,0)/'4. Billing Determinants'!$G$41*$D45,IF($E45="Distribution Rev.",VLOOKUP(Y$4,'4. Billing Determinants'!$B$19:$R$41,8,0)/'4. Billing Determinants'!$I$41*$D45, VLOOKUP(Y$4,'4. Billing Determinants'!$B$19:$R$41,3,0)/'4. Billing Determinants'!$D$41*$D45))))),0)</f>
        <v>0</v>
      </c>
    </row>
    <row r="46" spans="1:25" ht="14.25" customHeight="1" x14ac:dyDescent="0.25">
      <c r="A46" s="122">
        <v>23</v>
      </c>
      <c r="B46" s="44" t="s">
        <v>444</v>
      </c>
      <c r="C46" s="39">
        <v>1522</v>
      </c>
      <c r="D46" s="40">
        <f>'2b. Continuity Schedule'!BT72</f>
        <v>0</v>
      </c>
      <c r="E46" s="61" t="s">
        <v>139</v>
      </c>
      <c r="F46" s="40">
        <f>IFERROR(IF(F$4="",0,IF($E46="kWh",VLOOKUP(F$4,'4. Billing Determinants'!$B$19:$R$41,4,0)/'4. Billing Determinants'!$E$41*$D46,IF($E46="kW",VLOOKUP(F$4,'4. Billing Determinants'!$B$19:$R$41,5,0)/'4. Billing Determinants'!$F$41*$D46,IF($E46="Non-RPP kWh",VLOOKUP(F$4,'4. Billing Determinants'!$B$19:$R$41,6,0)/'4. Billing Determinants'!$G$41*$D46,IF($E46="Distribution Rev.",VLOOKUP(F$4,'4. Billing Determinants'!$B$19:$R$41,8,0)/'4. Billing Determinants'!$I$41*$D46, VLOOKUP(F$4,'4. Billing Determinants'!$B$19:$R$41,3,0)/'4. Billing Determinants'!$D$41*$D46))))),0)</f>
        <v>0</v>
      </c>
      <c r="G46" s="40">
        <f>IFERROR(IF(G$4="",0,IF($E46="kWh",VLOOKUP(G$4,'4. Billing Determinants'!$B$19:$R$41,4,0)/'4. Billing Determinants'!$E$41*$D46,IF($E46="kW",VLOOKUP(G$4,'4. Billing Determinants'!$B$19:$R$41,5,0)/'4. Billing Determinants'!$F$41*$D46,IF($E46="Non-RPP kWh",VLOOKUP(G$4,'4. Billing Determinants'!$B$19:$R$41,6,0)/'4. Billing Determinants'!$G$41*$D46,IF($E46="Distribution Rev.",VLOOKUP(G$4,'4. Billing Determinants'!$B$19:$R$41,8,0)/'4. Billing Determinants'!$I$41*$D46, VLOOKUP(G$4,'4. Billing Determinants'!$B$19:$R$41,3,0)/'4. Billing Determinants'!$D$41*$D46))))),0)</f>
        <v>0</v>
      </c>
      <c r="H46" s="40">
        <f>IFERROR(IF(H$4="",0,IF($E46="kWh",VLOOKUP(H$4,'4. Billing Determinants'!$B$19:$R$41,4,0)/'4. Billing Determinants'!$E$41*$D46,IF($E46="kW",VLOOKUP(H$4,'4. Billing Determinants'!$B$19:$R$41,5,0)/'4. Billing Determinants'!$F$41*$D46,IF($E46="Non-RPP kWh",VLOOKUP(H$4,'4. Billing Determinants'!$B$19:$R$41,6,0)/'4. Billing Determinants'!$G$41*$D46,IF($E46="Distribution Rev.",VLOOKUP(H$4,'4. Billing Determinants'!$B$19:$R$41,8,0)/'4. Billing Determinants'!$I$41*$D46, VLOOKUP(H$4,'4. Billing Determinants'!$B$19:$R$41,3,0)/'4. Billing Determinants'!$D$41*$D46))))),0)</f>
        <v>0</v>
      </c>
      <c r="I46" s="40">
        <f>IFERROR(IF(I$4="",0,IF($E46="kWh",VLOOKUP(I$4,'4. Billing Determinants'!$B$19:$R$41,4,0)/'4. Billing Determinants'!$E$41*$D46,IF($E46="kW",VLOOKUP(I$4,'4. Billing Determinants'!$B$19:$R$41,5,0)/'4. Billing Determinants'!$F$41*$D46,IF($E46="Non-RPP kWh",VLOOKUP(I$4,'4. Billing Determinants'!$B$19:$R$41,6,0)/'4. Billing Determinants'!$G$41*$D46,IF($E46="Distribution Rev.",VLOOKUP(I$4,'4. Billing Determinants'!$B$19:$R$41,8,0)/'4. Billing Determinants'!$I$41*$D46, VLOOKUP(I$4,'4. Billing Determinants'!$B$19:$R$41,3,0)/'4. Billing Determinants'!$D$41*$D46))))),0)</f>
        <v>0</v>
      </c>
      <c r="J46" s="40">
        <f>IFERROR(IF(J$4="",0,IF($E46="kWh",VLOOKUP(J$4,'4. Billing Determinants'!$B$19:$R$41,4,0)/'4. Billing Determinants'!$E$41*$D46,IF($E46="kW",VLOOKUP(J$4,'4. Billing Determinants'!$B$19:$R$41,5,0)/'4. Billing Determinants'!$F$41*$D46,IF($E46="Non-RPP kWh",VLOOKUP(J$4,'4. Billing Determinants'!$B$19:$R$41,6,0)/'4. Billing Determinants'!$G$41*$D46,IF($E46="Distribution Rev.",VLOOKUP(J$4,'4. Billing Determinants'!$B$19:$R$41,8,0)/'4. Billing Determinants'!$I$41*$D46, VLOOKUP(J$4,'4. Billing Determinants'!$B$19:$R$41,3,0)/'4. Billing Determinants'!$D$41*$D46))))),0)</f>
        <v>0</v>
      </c>
      <c r="K46" s="40">
        <f>IFERROR(IF(K$4="",0,IF($E46="kWh",VLOOKUP(K$4,'4. Billing Determinants'!$B$19:$R$41,4,0)/'4. Billing Determinants'!$E$41*$D46,IF($E46="kW",VLOOKUP(K$4,'4. Billing Determinants'!$B$19:$R$41,5,0)/'4. Billing Determinants'!$F$41*$D46,IF($E46="Non-RPP kWh",VLOOKUP(K$4,'4. Billing Determinants'!$B$19:$R$41,6,0)/'4. Billing Determinants'!$G$41*$D46,IF($E46="Distribution Rev.",VLOOKUP(K$4,'4. Billing Determinants'!$B$19:$R$41,8,0)/'4. Billing Determinants'!$I$41*$D46, VLOOKUP(K$4,'4. Billing Determinants'!$B$19:$R$41,3,0)/'4. Billing Determinants'!$D$41*$D46))))),0)</f>
        <v>0</v>
      </c>
      <c r="L46" s="40">
        <f>IFERROR(IF(L$4="",0,IF($E46="kWh",VLOOKUP(L$4,'4. Billing Determinants'!$B$19:$R$41,4,0)/'4. Billing Determinants'!$E$41*$D46,IF($E46="kW",VLOOKUP(L$4,'4. Billing Determinants'!$B$19:$R$41,5,0)/'4. Billing Determinants'!$F$41*$D46,IF($E46="Non-RPP kWh",VLOOKUP(L$4,'4. Billing Determinants'!$B$19:$R$41,6,0)/'4. Billing Determinants'!$G$41*$D46,IF($E46="Distribution Rev.",VLOOKUP(L$4,'4. Billing Determinants'!$B$19:$R$41,8,0)/'4. Billing Determinants'!$I$41*$D46, VLOOKUP(L$4,'4. Billing Determinants'!$B$19:$R$41,3,0)/'4. Billing Determinants'!$D$41*$D46))))),0)</f>
        <v>0</v>
      </c>
      <c r="M46" s="40">
        <f>IFERROR(IF(M$4="",0,IF($E46="kWh",VLOOKUP(M$4,'4. Billing Determinants'!$B$19:$R$41,4,0)/'4. Billing Determinants'!$E$41*$D46,IF($E46="kW",VLOOKUP(M$4,'4. Billing Determinants'!$B$19:$R$41,5,0)/'4. Billing Determinants'!$F$41*$D46,IF($E46="Non-RPP kWh",VLOOKUP(M$4,'4. Billing Determinants'!$B$19:$R$41,6,0)/'4. Billing Determinants'!$G$41*$D46,IF($E46="Distribution Rev.",VLOOKUP(M$4,'4. Billing Determinants'!$B$19:$R$41,8,0)/'4. Billing Determinants'!$I$41*$D46, VLOOKUP(M$4,'4. Billing Determinants'!$B$19:$R$41,3,0)/'4. Billing Determinants'!$D$41*$D46))))),0)</f>
        <v>0</v>
      </c>
      <c r="N46" s="40">
        <f>IFERROR(IF(N$4="",0,IF($E46="kWh",VLOOKUP(N$4,'4. Billing Determinants'!$B$19:$R$41,4,0)/'4. Billing Determinants'!$E$41*$D46,IF($E46="kW",VLOOKUP(N$4,'4. Billing Determinants'!$B$19:$R$41,5,0)/'4. Billing Determinants'!$F$41*$D46,IF($E46="Non-RPP kWh",VLOOKUP(N$4,'4. Billing Determinants'!$B$19:$R$41,6,0)/'4. Billing Determinants'!$G$41*$D46,IF($E46="Distribution Rev.",VLOOKUP(N$4,'4. Billing Determinants'!$B$19:$R$41,8,0)/'4. Billing Determinants'!$I$41*$D46, VLOOKUP(N$4,'4. Billing Determinants'!$B$19:$R$41,3,0)/'4. Billing Determinants'!$D$41*$D46))))),0)</f>
        <v>0</v>
      </c>
      <c r="O46" s="40">
        <f>IFERROR(IF(O$4="",0,IF($E46="kWh",VLOOKUP(O$4,'4. Billing Determinants'!$B$19:$R$41,4,0)/'4. Billing Determinants'!$E$41*$D46,IF($E46="kW",VLOOKUP(O$4,'4. Billing Determinants'!$B$19:$R$41,5,0)/'4. Billing Determinants'!$F$41*$D46,IF($E46="Non-RPP kWh",VLOOKUP(O$4,'4. Billing Determinants'!$B$19:$R$41,6,0)/'4. Billing Determinants'!$G$41*$D46,IF($E46="Distribution Rev.",VLOOKUP(O$4,'4. Billing Determinants'!$B$19:$R$41,8,0)/'4. Billing Determinants'!$I$41*$D46, VLOOKUP(O$4,'4. Billing Determinants'!$B$19:$R$41,3,0)/'4. Billing Determinants'!$D$41*$D46))))),0)</f>
        <v>0</v>
      </c>
      <c r="P46" s="40">
        <f>IFERROR(IF(P$4="",0,IF($E46="kWh",VLOOKUP(P$4,'4. Billing Determinants'!$B$19:$R$41,4,0)/'4. Billing Determinants'!$E$41*$D46,IF($E46="kW",VLOOKUP(P$4,'4. Billing Determinants'!$B$19:$R$41,5,0)/'4. Billing Determinants'!$F$41*$D46,IF($E46="Non-RPP kWh",VLOOKUP(P$4,'4. Billing Determinants'!$B$19:$R$41,6,0)/'4. Billing Determinants'!$G$41*$D46,IF($E46="Distribution Rev.",VLOOKUP(P$4,'4. Billing Determinants'!$B$19:$R$41,8,0)/'4. Billing Determinants'!$I$41*$D46, VLOOKUP(P$4,'4. Billing Determinants'!$B$19:$R$41,3,0)/'4. Billing Determinants'!$D$41*$D46))))),0)</f>
        <v>0</v>
      </c>
      <c r="Q46" s="40">
        <f>IFERROR(IF(Q$4="",0,IF($E46="kWh",VLOOKUP(Q$4,'4. Billing Determinants'!$B$19:$R$41,4,0)/'4. Billing Determinants'!$E$41*$D46,IF($E46="kW",VLOOKUP(Q$4,'4. Billing Determinants'!$B$19:$R$41,5,0)/'4. Billing Determinants'!$F$41*$D46,IF($E46="Non-RPP kWh",VLOOKUP(Q$4,'4. Billing Determinants'!$B$19:$R$41,6,0)/'4. Billing Determinants'!$G$41*$D46,IF($E46="Distribution Rev.",VLOOKUP(Q$4,'4. Billing Determinants'!$B$19:$R$41,8,0)/'4. Billing Determinants'!$I$41*$D46, VLOOKUP(Q$4,'4. Billing Determinants'!$B$19:$R$41,3,0)/'4. Billing Determinants'!$D$41*$D46))))),0)</f>
        <v>0</v>
      </c>
      <c r="R46" s="40">
        <f>IFERROR(IF(R$4="",0,IF($E46="kWh",VLOOKUP(R$4,'4. Billing Determinants'!$B$19:$R$41,4,0)/'4. Billing Determinants'!$E$41*$D46,IF($E46="kW",VLOOKUP(R$4,'4. Billing Determinants'!$B$19:$R$41,5,0)/'4. Billing Determinants'!$F$41*$D46,IF($E46="Non-RPP kWh",VLOOKUP(R$4,'4. Billing Determinants'!$B$19:$R$41,6,0)/'4. Billing Determinants'!$G$41*$D46,IF($E46="Distribution Rev.",VLOOKUP(R$4,'4. Billing Determinants'!$B$19:$R$41,8,0)/'4. Billing Determinants'!$I$41*$D46, VLOOKUP(R$4,'4. Billing Determinants'!$B$19:$R$41,3,0)/'4. Billing Determinants'!$D$41*$D46))))),0)</f>
        <v>0</v>
      </c>
      <c r="S46" s="40">
        <f>IFERROR(IF(S$4="",0,IF($E46="kWh",VLOOKUP(S$4,'4. Billing Determinants'!$B$19:$R$41,4,0)/'4. Billing Determinants'!$E$41*$D46,IF($E46="kW",VLOOKUP(S$4,'4. Billing Determinants'!$B$19:$R$41,5,0)/'4. Billing Determinants'!$F$41*$D46,IF($E46="Non-RPP kWh",VLOOKUP(S$4,'4. Billing Determinants'!$B$19:$R$41,6,0)/'4. Billing Determinants'!$G$41*$D46,IF($E46="Distribution Rev.",VLOOKUP(S$4,'4. Billing Determinants'!$B$19:$R$41,8,0)/'4. Billing Determinants'!$I$41*$D46, VLOOKUP(S$4,'4. Billing Determinants'!$B$19:$R$41,3,0)/'4. Billing Determinants'!$D$41*$D46))))),0)</f>
        <v>0</v>
      </c>
      <c r="T46" s="40">
        <f>IFERROR(IF(T$4="",0,IF($E46="kWh",VLOOKUP(T$4,'4. Billing Determinants'!$B$19:$R$41,4,0)/'4. Billing Determinants'!$E$41*$D46,IF($E46="kW",VLOOKUP(T$4,'4. Billing Determinants'!$B$19:$R$41,5,0)/'4. Billing Determinants'!$F$41*$D46,IF($E46="Non-RPP kWh",VLOOKUP(T$4,'4. Billing Determinants'!$B$19:$R$41,6,0)/'4. Billing Determinants'!$G$41*$D46,IF($E46="Distribution Rev.",VLOOKUP(T$4,'4. Billing Determinants'!$B$19:$R$41,8,0)/'4. Billing Determinants'!$I$41*$D46, VLOOKUP(T$4,'4. Billing Determinants'!$B$19:$R$41,3,0)/'4. Billing Determinants'!$D$41*$D46))))),0)</f>
        <v>0</v>
      </c>
      <c r="U46" s="40">
        <f>IFERROR(IF(U$4="",0,IF($E46="kWh",VLOOKUP(U$4,'4. Billing Determinants'!$B$19:$R$41,4,0)/'4. Billing Determinants'!$E$41*$D46,IF($E46="kW",VLOOKUP(U$4,'4. Billing Determinants'!$B$19:$R$41,5,0)/'4. Billing Determinants'!$F$41*$D46,IF($E46="Non-RPP kWh",VLOOKUP(U$4,'4. Billing Determinants'!$B$19:$R$41,6,0)/'4. Billing Determinants'!$G$41*$D46,IF($E46="Distribution Rev.",VLOOKUP(U$4,'4. Billing Determinants'!$B$19:$R$41,8,0)/'4. Billing Determinants'!$I$41*$D46, VLOOKUP(U$4,'4. Billing Determinants'!$B$19:$R$41,3,0)/'4. Billing Determinants'!$D$41*$D46))))),0)</f>
        <v>0</v>
      </c>
      <c r="V46" s="40">
        <f>IFERROR(IF(V$4="",0,IF($E46="kWh",VLOOKUP(V$4,'4. Billing Determinants'!$B$19:$R$41,4,0)/'4. Billing Determinants'!$E$41*$D46,IF($E46="kW",VLOOKUP(V$4,'4. Billing Determinants'!$B$19:$R$41,5,0)/'4. Billing Determinants'!$F$41*$D46,IF($E46="Non-RPP kWh",VLOOKUP(V$4,'4. Billing Determinants'!$B$19:$R$41,6,0)/'4. Billing Determinants'!$G$41*$D46,IF($E46="Distribution Rev.",VLOOKUP(V$4,'4. Billing Determinants'!$B$19:$R$41,8,0)/'4. Billing Determinants'!$I$41*$D46, VLOOKUP(V$4,'4. Billing Determinants'!$B$19:$R$41,3,0)/'4. Billing Determinants'!$D$41*$D46))))),0)</f>
        <v>0</v>
      </c>
      <c r="W46" s="40">
        <f>IFERROR(IF(W$4="",0,IF($E46="kWh",VLOOKUP(W$4,'4. Billing Determinants'!$B$19:$R$41,4,0)/'4. Billing Determinants'!$E$41*$D46,IF($E46="kW",VLOOKUP(W$4,'4. Billing Determinants'!$B$19:$R$41,5,0)/'4. Billing Determinants'!$F$41*$D46,IF($E46="Non-RPP kWh",VLOOKUP(W$4,'4. Billing Determinants'!$B$19:$R$41,6,0)/'4. Billing Determinants'!$G$41*$D46,IF($E46="Distribution Rev.",VLOOKUP(W$4,'4. Billing Determinants'!$B$19:$R$41,8,0)/'4. Billing Determinants'!$I$41*$D46, VLOOKUP(W$4,'4. Billing Determinants'!$B$19:$R$41,3,0)/'4. Billing Determinants'!$D$41*$D46))))),0)</f>
        <v>0</v>
      </c>
      <c r="X46" s="40">
        <f>IFERROR(IF(X$4="",0,IF($E46="kWh",VLOOKUP(X$4,'4. Billing Determinants'!$B$19:$R$41,4,0)/'4. Billing Determinants'!$E$41*$D46,IF($E46="kW",VLOOKUP(X$4,'4. Billing Determinants'!$B$19:$R$41,5,0)/'4. Billing Determinants'!$F$41*$D46,IF($E46="Non-RPP kWh",VLOOKUP(X$4,'4. Billing Determinants'!$B$19:$R$41,6,0)/'4. Billing Determinants'!$G$41*$D46,IF($E46="Distribution Rev.",VLOOKUP(X$4,'4. Billing Determinants'!$B$19:$R$41,8,0)/'4. Billing Determinants'!$I$41*$D46, VLOOKUP(X$4,'4. Billing Determinants'!$B$19:$R$41,3,0)/'4. Billing Determinants'!$D$41*$D46))))),0)</f>
        <v>0</v>
      </c>
      <c r="Y46" s="40">
        <f>IFERROR(IF(Y$4="",0,IF($E46="kWh",VLOOKUP(Y$4,'4. Billing Determinants'!$B$19:$R$41,4,0)/'4. Billing Determinants'!$E$41*$D46,IF($E46="kW",VLOOKUP(Y$4,'4. Billing Determinants'!$B$19:$R$41,5,0)/'4. Billing Determinants'!$F$41*$D46,IF($E46="Non-RPP kWh",VLOOKUP(Y$4,'4. Billing Determinants'!$B$19:$R$41,6,0)/'4. Billing Determinants'!$G$41*$D46,IF($E46="Distribution Rev.",VLOOKUP(Y$4,'4. Billing Determinants'!$B$19:$R$41,8,0)/'4. Billing Determinants'!$I$41*$D46, VLOOKUP(Y$4,'4. Billing Determinants'!$B$19:$R$41,3,0)/'4. Billing Determinants'!$D$41*$D46))))),0)</f>
        <v>0</v>
      </c>
    </row>
    <row r="47" spans="1:25" x14ac:dyDescent="0.25">
      <c r="A47" s="278">
        <v>24</v>
      </c>
      <c r="B47" s="44" t="s">
        <v>9</v>
      </c>
      <c r="C47" s="39">
        <v>1525</v>
      </c>
      <c r="D47" s="40">
        <f>'2b. Continuity Schedule'!BT73</f>
        <v>0</v>
      </c>
      <c r="E47" s="61" t="s">
        <v>139</v>
      </c>
      <c r="F47" s="40">
        <f>IFERROR(IF(F$4="",0,IF($E47="kWh",VLOOKUP(F$4,'4. Billing Determinants'!$B$19:$R$41,4,0)/'4. Billing Determinants'!$E$41*$D47,IF($E47="kW",VLOOKUP(F$4,'4. Billing Determinants'!$B$19:$R$41,5,0)/'4. Billing Determinants'!$F$41*$D47,IF($E47="Non-RPP kWh",VLOOKUP(F$4,'4. Billing Determinants'!$B$19:$R$41,6,0)/'4. Billing Determinants'!$G$41*$D47,IF($E47="Distribution Rev.",VLOOKUP(F$4,'4. Billing Determinants'!$B$19:$R$41,8,0)/'4. Billing Determinants'!$I$41*$D47, VLOOKUP(F$4,'4. Billing Determinants'!$B$19:$R$41,3,0)/'4. Billing Determinants'!$D$41*$D47))))),0)</f>
        <v>0</v>
      </c>
      <c r="G47" s="40">
        <f>IFERROR(IF(G$4="",0,IF($E47="kWh",VLOOKUP(G$4,'4. Billing Determinants'!$B$19:$R$41,4,0)/'4. Billing Determinants'!$E$41*$D47,IF($E47="kW",VLOOKUP(G$4,'4. Billing Determinants'!$B$19:$R$41,5,0)/'4. Billing Determinants'!$F$41*$D47,IF($E47="Non-RPP kWh",VLOOKUP(G$4,'4. Billing Determinants'!$B$19:$R$41,6,0)/'4. Billing Determinants'!$G$41*$D47,IF($E47="Distribution Rev.",VLOOKUP(G$4,'4. Billing Determinants'!$B$19:$R$41,8,0)/'4. Billing Determinants'!$I$41*$D47, VLOOKUP(G$4,'4. Billing Determinants'!$B$19:$R$41,3,0)/'4. Billing Determinants'!$D$41*$D47))))),0)</f>
        <v>0</v>
      </c>
      <c r="H47" s="40">
        <f>IFERROR(IF(H$4="",0,IF($E47="kWh",VLOOKUP(H$4,'4. Billing Determinants'!$B$19:$R$41,4,0)/'4. Billing Determinants'!$E$41*$D47,IF($E47="kW",VLOOKUP(H$4,'4. Billing Determinants'!$B$19:$R$41,5,0)/'4. Billing Determinants'!$F$41*$D47,IF($E47="Non-RPP kWh",VLOOKUP(H$4,'4. Billing Determinants'!$B$19:$R$41,6,0)/'4. Billing Determinants'!$G$41*$D47,IF($E47="Distribution Rev.",VLOOKUP(H$4,'4. Billing Determinants'!$B$19:$R$41,8,0)/'4. Billing Determinants'!$I$41*$D47, VLOOKUP(H$4,'4. Billing Determinants'!$B$19:$R$41,3,0)/'4. Billing Determinants'!$D$41*$D47))))),0)</f>
        <v>0</v>
      </c>
      <c r="I47" s="40">
        <f>IFERROR(IF(I$4="",0,IF($E47="kWh",VLOOKUP(I$4,'4. Billing Determinants'!$B$19:$R$41,4,0)/'4. Billing Determinants'!$E$41*$D47,IF($E47="kW",VLOOKUP(I$4,'4. Billing Determinants'!$B$19:$R$41,5,0)/'4. Billing Determinants'!$F$41*$D47,IF($E47="Non-RPP kWh",VLOOKUP(I$4,'4. Billing Determinants'!$B$19:$R$41,6,0)/'4. Billing Determinants'!$G$41*$D47,IF($E47="Distribution Rev.",VLOOKUP(I$4,'4. Billing Determinants'!$B$19:$R$41,8,0)/'4. Billing Determinants'!$I$41*$D47, VLOOKUP(I$4,'4. Billing Determinants'!$B$19:$R$41,3,0)/'4. Billing Determinants'!$D$41*$D47))))),0)</f>
        <v>0</v>
      </c>
      <c r="J47" s="40">
        <f>IFERROR(IF(J$4="",0,IF($E47="kWh",VLOOKUP(J$4,'4. Billing Determinants'!$B$19:$R$41,4,0)/'4. Billing Determinants'!$E$41*$D47,IF($E47="kW",VLOOKUP(J$4,'4. Billing Determinants'!$B$19:$R$41,5,0)/'4. Billing Determinants'!$F$41*$D47,IF($E47="Non-RPP kWh",VLOOKUP(J$4,'4. Billing Determinants'!$B$19:$R$41,6,0)/'4. Billing Determinants'!$G$41*$D47,IF($E47="Distribution Rev.",VLOOKUP(J$4,'4. Billing Determinants'!$B$19:$R$41,8,0)/'4. Billing Determinants'!$I$41*$D47, VLOOKUP(J$4,'4. Billing Determinants'!$B$19:$R$41,3,0)/'4. Billing Determinants'!$D$41*$D47))))),0)</f>
        <v>0</v>
      </c>
      <c r="K47" s="40">
        <f>IFERROR(IF(K$4="",0,IF($E47="kWh",VLOOKUP(K$4,'4. Billing Determinants'!$B$19:$R$41,4,0)/'4. Billing Determinants'!$E$41*$D47,IF($E47="kW",VLOOKUP(K$4,'4. Billing Determinants'!$B$19:$R$41,5,0)/'4. Billing Determinants'!$F$41*$D47,IF($E47="Non-RPP kWh",VLOOKUP(K$4,'4. Billing Determinants'!$B$19:$R$41,6,0)/'4. Billing Determinants'!$G$41*$D47,IF($E47="Distribution Rev.",VLOOKUP(K$4,'4. Billing Determinants'!$B$19:$R$41,8,0)/'4. Billing Determinants'!$I$41*$D47, VLOOKUP(K$4,'4. Billing Determinants'!$B$19:$R$41,3,0)/'4. Billing Determinants'!$D$41*$D47))))),0)</f>
        <v>0</v>
      </c>
      <c r="L47" s="40">
        <f>IFERROR(IF(L$4="",0,IF($E47="kWh",VLOOKUP(L$4,'4. Billing Determinants'!$B$19:$R$41,4,0)/'4. Billing Determinants'!$E$41*$D47,IF($E47="kW",VLOOKUP(L$4,'4. Billing Determinants'!$B$19:$R$41,5,0)/'4. Billing Determinants'!$F$41*$D47,IF($E47="Non-RPP kWh",VLOOKUP(L$4,'4. Billing Determinants'!$B$19:$R$41,6,0)/'4. Billing Determinants'!$G$41*$D47,IF($E47="Distribution Rev.",VLOOKUP(L$4,'4. Billing Determinants'!$B$19:$R$41,8,0)/'4. Billing Determinants'!$I$41*$D47, VLOOKUP(L$4,'4. Billing Determinants'!$B$19:$R$41,3,0)/'4. Billing Determinants'!$D$41*$D47))))),0)</f>
        <v>0</v>
      </c>
      <c r="M47" s="40">
        <f>IFERROR(IF(M$4="",0,IF($E47="kWh",VLOOKUP(M$4,'4. Billing Determinants'!$B$19:$R$41,4,0)/'4. Billing Determinants'!$E$41*$D47,IF($E47="kW",VLOOKUP(M$4,'4. Billing Determinants'!$B$19:$R$41,5,0)/'4. Billing Determinants'!$F$41*$D47,IF($E47="Non-RPP kWh",VLOOKUP(M$4,'4. Billing Determinants'!$B$19:$R$41,6,0)/'4. Billing Determinants'!$G$41*$D47,IF($E47="Distribution Rev.",VLOOKUP(M$4,'4. Billing Determinants'!$B$19:$R$41,8,0)/'4. Billing Determinants'!$I$41*$D47, VLOOKUP(M$4,'4. Billing Determinants'!$B$19:$R$41,3,0)/'4. Billing Determinants'!$D$41*$D47))))),0)</f>
        <v>0</v>
      </c>
      <c r="N47" s="40">
        <f>IFERROR(IF(N$4="",0,IF($E47="kWh",VLOOKUP(N$4,'4. Billing Determinants'!$B$19:$R$41,4,0)/'4. Billing Determinants'!$E$41*$D47,IF($E47="kW",VLOOKUP(N$4,'4. Billing Determinants'!$B$19:$R$41,5,0)/'4. Billing Determinants'!$F$41*$D47,IF($E47="Non-RPP kWh",VLOOKUP(N$4,'4. Billing Determinants'!$B$19:$R$41,6,0)/'4. Billing Determinants'!$G$41*$D47,IF($E47="Distribution Rev.",VLOOKUP(N$4,'4. Billing Determinants'!$B$19:$R$41,8,0)/'4. Billing Determinants'!$I$41*$D47, VLOOKUP(N$4,'4. Billing Determinants'!$B$19:$R$41,3,0)/'4. Billing Determinants'!$D$41*$D47))))),0)</f>
        <v>0</v>
      </c>
      <c r="O47" s="40">
        <f>IFERROR(IF(O$4="",0,IF($E47="kWh",VLOOKUP(O$4,'4. Billing Determinants'!$B$19:$R$41,4,0)/'4. Billing Determinants'!$E$41*$D47,IF($E47="kW",VLOOKUP(O$4,'4. Billing Determinants'!$B$19:$R$41,5,0)/'4. Billing Determinants'!$F$41*$D47,IF($E47="Non-RPP kWh",VLOOKUP(O$4,'4. Billing Determinants'!$B$19:$R$41,6,0)/'4. Billing Determinants'!$G$41*$D47,IF($E47="Distribution Rev.",VLOOKUP(O$4,'4. Billing Determinants'!$B$19:$R$41,8,0)/'4. Billing Determinants'!$I$41*$D47, VLOOKUP(O$4,'4. Billing Determinants'!$B$19:$R$41,3,0)/'4. Billing Determinants'!$D$41*$D47))))),0)</f>
        <v>0</v>
      </c>
      <c r="P47" s="40">
        <f>IFERROR(IF(P$4="",0,IF($E47="kWh",VLOOKUP(P$4,'4. Billing Determinants'!$B$19:$R$41,4,0)/'4. Billing Determinants'!$E$41*$D47,IF($E47="kW",VLOOKUP(P$4,'4. Billing Determinants'!$B$19:$R$41,5,0)/'4. Billing Determinants'!$F$41*$D47,IF($E47="Non-RPP kWh",VLOOKUP(P$4,'4. Billing Determinants'!$B$19:$R$41,6,0)/'4. Billing Determinants'!$G$41*$D47,IF($E47="Distribution Rev.",VLOOKUP(P$4,'4. Billing Determinants'!$B$19:$R$41,8,0)/'4. Billing Determinants'!$I$41*$D47, VLOOKUP(P$4,'4. Billing Determinants'!$B$19:$R$41,3,0)/'4. Billing Determinants'!$D$41*$D47))))),0)</f>
        <v>0</v>
      </c>
      <c r="Q47" s="40">
        <f>IFERROR(IF(Q$4="",0,IF($E47="kWh",VLOOKUP(Q$4,'4. Billing Determinants'!$B$19:$R$41,4,0)/'4. Billing Determinants'!$E$41*$D47,IF($E47="kW",VLOOKUP(Q$4,'4. Billing Determinants'!$B$19:$R$41,5,0)/'4. Billing Determinants'!$F$41*$D47,IF($E47="Non-RPP kWh",VLOOKUP(Q$4,'4. Billing Determinants'!$B$19:$R$41,6,0)/'4. Billing Determinants'!$G$41*$D47,IF($E47="Distribution Rev.",VLOOKUP(Q$4,'4. Billing Determinants'!$B$19:$R$41,8,0)/'4. Billing Determinants'!$I$41*$D47, VLOOKUP(Q$4,'4. Billing Determinants'!$B$19:$R$41,3,0)/'4. Billing Determinants'!$D$41*$D47))))),0)</f>
        <v>0</v>
      </c>
      <c r="R47" s="40">
        <f>IFERROR(IF(R$4="",0,IF($E47="kWh",VLOOKUP(R$4,'4. Billing Determinants'!$B$19:$R$41,4,0)/'4. Billing Determinants'!$E$41*$D47,IF($E47="kW",VLOOKUP(R$4,'4. Billing Determinants'!$B$19:$R$41,5,0)/'4. Billing Determinants'!$F$41*$D47,IF($E47="Non-RPP kWh",VLOOKUP(R$4,'4. Billing Determinants'!$B$19:$R$41,6,0)/'4. Billing Determinants'!$G$41*$D47,IF($E47="Distribution Rev.",VLOOKUP(R$4,'4. Billing Determinants'!$B$19:$R$41,8,0)/'4. Billing Determinants'!$I$41*$D47, VLOOKUP(R$4,'4. Billing Determinants'!$B$19:$R$41,3,0)/'4. Billing Determinants'!$D$41*$D47))))),0)</f>
        <v>0</v>
      </c>
      <c r="S47" s="40">
        <f>IFERROR(IF(S$4="",0,IF($E47="kWh",VLOOKUP(S$4,'4. Billing Determinants'!$B$19:$R$41,4,0)/'4. Billing Determinants'!$E$41*$D47,IF($E47="kW",VLOOKUP(S$4,'4. Billing Determinants'!$B$19:$R$41,5,0)/'4. Billing Determinants'!$F$41*$D47,IF($E47="Non-RPP kWh",VLOOKUP(S$4,'4. Billing Determinants'!$B$19:$R$41,6,0)/'4. Billing Determinants'!$G$41*$D47,IF($E47="Distribution Rev.",VLOOKUP(S$4,'4. Billing Determinants'!$B$19:$R$41,8,0)/'4. Billing Determinants'!$I$41*$D47, VLOOKUP(S$4,'4. Billing Determinants'!$B$19:$R$41,3,0)/'4. Billing Determinants'!$D$41*$D47))))),0)</f>
        <v>0</v>
      </c>
      <c r="T47" s="40">
        <f>IFERROR(IF(T$4="",0,IF($E47="kWh",VLOOKUP(T$4,'4. Billing Determinants'!$B$19:$R$41,4,0)/'4. Billing Determinants'!$E$41*$D47,IF($E47="kW",VLOOKUP(T$4,'4. Billing Determinants'!$B$19:$R$41,5,0)/'4. Billing Determinants'!$F$41*$D47,IF($E47="Non-RPP kWh",VLOOKUP(T$4,'4. Billing Determinants'!$B$19:$R$41,6,0)/'4. Billing Determinants'!$G$41*$D47,IF($E47="Distribution Rev.",VLOOKUP(T$4,'4. Billing Determinants'!$B$19:$R$41,8,0)/'4. Billing Determinants'!$I$41*$D47, VLOOKUP(T$4,'4. Billing Determinants'!$B$19:$R$41,3,0)/'4. Billing Determinants'!$D$41*$D47))))),0)</f>
        <v>0</v>
      </c>
      <c r="U47" s="40">
        <f>IFERROR(IF(U$4="",0,IF($E47="kWh",VLOOKUP(U$4,'4. Billing Determinants'!$B$19:$R$41,4,0)/'4. Billing Determinants'!$E$41*$D47,IF($E47="kW",VLOOKUP(U$4,'4. Billing Determinants'!$B$19:$R$41,5,0)/'4. Billing Determinants'!$F$41*$D47,IF($E47="Non-RPP kWh",VLOOKUP(U$4,'4. Billing Determinants'!$B$19:$R$41,6,0)/'4. Billing Determinants'!$G$41*$D47,IF($E47="Distribution Rev.",VLOOKUP(U$4,'4. Billing Determinants'!$B$19:$R$41,8,0)/'4. Billing Determinants'!$I$41*$D47, VLOOKUP(U$4,'4. Billing Determinants'!$B$19:$R$41,3,0)/'4. Billing Determinants'!$D$41*$D47))))),0)</f>
        <v>0</v>
      </c>
      <c r="V47" s="40">
        <f>IFERROR(IF(V$4="",0,IF($E47="kWh",VLOOKUP(V$4,'4. Billing Determinants'!$B$19:$R$41,4,0)/'4. Billing Determinants'!$E$41*$D47,IF($E47="kW",VLOOKUP(V$4,'4. Billing Determinants'!$B$19:$R$41,5,0)/'4. Billing Determinants'!$F$41*$D47,IF($E47="Non-RPP kWh",VLOOKUP(V$4,'4. Billing Determinants'!$B$19:$R$41,6,0)/'4. Billing Determinants'!$G$41*$D47,IF($E47="Distribution Rev.",VLOOKUP(V$4,'4. Billing Determinants'!$B$19:$R$41,8,0)/'4. Billing Determinants'!$I$41*$D47, VLOOKUP(V$4,'4. Billing Determinants'!$B$19:$R$41,3,0)/'4. Billing Determinants'!$D$41*$D47))))),0)</f>
        <v>0</v>
      </c>
      <c r="W47" s="40">
        <f>IFERROR(IF(W$4="",0,IF($E47="kWh",VLOOKUP(W$4,'4. Billing Determinants'!$B$19:$R$41,4,0)/'4. Billing Determinants'!$E$41*$D47,IF($E47="kW",VLOOKUP(W$4,'4. Billing Determinants'!$B$19:$R$41,5,0)/'4. Billing Determinants'!$F$41*$D47,IF($E47="Non-RPP kWh",VLOOKUP(W$4,'4. Billing Determinants'!$B$19:$R$41,6,0)/'4. Billing Determinants'!$G$41*$D47,IF($E47="Distribution Rev.",VLOOKUP(W$4,'4. Billing Determinants'!$B$19:$R$41,8,0)/'4. Billing Determinants'!$I$41*$D47, VLOOKUP(W$4,'4. Billing Determinants'!$B$19:$R$41,3,0)/'4. Billing Determinants'!$D$41*$D47))))),0)</f>
        <v>0</v>
      </c>
      <c r="X47" s="40">
        <f>IFERROR(IF(X$4="",0,IF($E47="kWh",VLOOKUP(X$4,'4. Billing Determinants'!$B$19:$R$41,4,0)/'4. Billing Determinants'!$E$41*$D47,IF($E47="kW",VLOOKUP(X$4,'4. Billing Determinants'!$B$19:$R$41,5,0)/'4. Billing Determinants'!$F$41*$D47,IF($E47="Non-RPP kWh",VLOOKUP(X$4,'4. Billing Determinants'!$B$19:$R$41,6,0)/'4. Billing Determinants'!$G$41*$D47,IF($E47="Distribution Rev.",VLOOKUP(X$4,'4. Billing Determinants'!$B$19:$R$41,8,0)/'4. Billing Determinants'!$I$41*$D47, VLOOKUP(X$4,'4. Billing Determinants'!$B$19:$R$41,3,0)/'4. Billing Determinants'!$D$41*$D47))))),0)</f>
        <v>0</v>
      </c>
      <c r="Y47" s="40">
        <f>IFERROR(IF(Y$4="",0,IF($E47="kWh",VLOOKUP(Y$4,'4. Billing Determinants'!$B$19:$R$41,4,0)/'4. Billing Determinants'!$E$41*$D47,IF($E47="kW",VLOOKUP(Y$4,'4. Billing Determinants'!$B$19:$R$41,5,0)/'4. Billing Determinants'!$F$41*$D47,IF($E47="Non-RPP kWh",VLOOKUP(Y$4,'4. Billing Determinants'!$B$19:$R$41,6,0)/'4. Billing Determinants'!$G$41*$D47,IF($E47="Distribution Rev.",VLOOKUP(Y$4,'4. Billing Determinants'!$B$19:$R$41,8,0)/'4. Billing Determinants'!$I$41*$D47, VLOOKUP(Y$4,'4. Billing Determinants'!$B$19:$R$41,3,0)/'4. Billing Determinants'!$D$41*$D47))))),0)</f>
        <v>0</v>
      </c>
    </row>
    <row r="48" spans="1:25" x14ac:dyDescent="0.25">
      <c r="A48" s="122">
        <v>25</v>
      </c>
      <c r="B48" s="44" t="s">
        <v>5</v>
      </c>
      <c r="C48" s="39">
        <v>1548</v>
      </c>
      <c r="D48" s="40">
        <f>'2b. Continuity Schedule'!BT74</f>
        <v>0</v>
      </c>
      <c r="E48" s="61" t="s">
        <v>59</v>
      </c>
      <c r="F48" s="40">
        <f>IFERROR(IF(F$4="",0,IF($E48="kWh",VLOOKUP(F$4,'4. Billing Determinants'!$B$19:$R$41,4,0)/'4. Billing Determinants'!$E$41*$D48,IF($E48="kW",VLOOKUP(F$4,'4. Billing Determinants'!$B$19:$R$41,5,0)/'4. Billing Determinants'!$F$41*$D48,IF($E48="Non-RPP kWh",VLOOKUP(F$4,'4. Billing Determinants'!$B$19:$R$41,6,0)/'4. Billing Determinants'!$G$41*$D48,IF($E48="Distribution Rev.",VLOOKUP(F$4,'4. Billing Determinants'!$B$19:$R$41,8,0)/'4. Billing Determinants'!$I$41*$D48, VLOOKUP(F$4,'4. Billing Determinants'!$B$19:$R$41,3,0)/'4. Billing Determinants'!$D$41*$D48))))),0)</f>
        <v>0</v>
      </c>
      <c r="G48" s="40">
        <f>IFERROR(IF(G$4="",0,IF($E48="kWh",VLOOKUP(G$4,'4. Billing Determinants'!$B$19:$R$41,4,0)/'4. Billing Determinants'!$E$41*$D48,IF($E48="kW",VLOOKUP(G$4,'4. Billing Determinants'!$B$19:$R$41,5,0)/'4. Billing Determinants'!$F$41*$D48,IF($E48="Non-RPP kWh",VLOOKUP(G$4,'4. Billing Determinants'!$B$19:$R$41,6,0)/'4. Billing Determinants'!$G$41*$D48,IF($E48="Distribution Rev.",VLOOKUP(G$4,'4. Billing Determinants'!$B$19:$R$41,8,0)/'4. Billing Determinants'!$I$41*$D48, VLOOKUP(G$4,'4. Billing Determinants'!$B$19:$R$41,3,0)/'4. Billing Determinants'!$D$41*$D48))))),0)</f>
        <v>0</v>
      </c>
      <c r="H48" s="40">
        <f>IFERROR(IF(H$4="",0,IF($E48="kWh",VLOOKUP(H$4,'4. Billing Determinants'!$B$19:$R$41,4,0)/'4. Billing Determinants'!$E$41*$D48,IF($E48="kW",VLOOKUP(H$4,'4. Billing Determinants'!$B$19:$R$41,5,0)/'4. Billing Determinants'!$F$41*$D48,IF($E48="Non-RPP kWh",VLOOKUP(H$4,'4. Billing Determinants'!$B$19:$R$41,6,0)/'4. Billing Determinants'!$G$41*$D48,IF($E48="Distribution Rev.",VLOOKUP(H$4,'4. Billing Determinants'!$B$19:$R$41,8,0)/'4. Billing Determinants'!$I$41*$D48, VLOOKUP(H$4,'4. Billing Determinants'!$B$19:$R$41,3,0)/'4. Billing Determinants'!$D$41*$D48))))),0)</f>
        <v>0</v>
      </c>
      <c r="I48" s="40">
        <f>IFERROR(IF(I$4="",0,IF($E48="kWh",VLOOKUP(I$4,'4. Billing Determinants'!$B$19:$R$41,4,0)/'4. Billing Determinants'!$E$41*$D48,IF($E48="kW",VLOOKUP(I$4,'4. Billing Determinants'!$B$19:$R$41,5,0)/'4. Billing Determinants'!$F$41*$D48,IF($E48="Non-RPP kWh",VLOOKUP(I$4,'4. Billing Determinants'!$B$19:$R$41,6,0)/'4. Billing Determinants'!$G$41*$D48,IF($E48="Distribution Rev.",VLOOKUP(I$4,'4. Billing Determinants'!$B$19:$R$41,8,0)/'4. Billing Determinants'!$I$41*$D48, VLOOKUP(I$4,'4. Billing Determinants'!$B$19:$R$41,3,0)/'4. Billing Determinants'!$D$41*$D48))))),0)</f>
        <v>0</v>
      </c>
      <c r="J48" s="40">
        <f>IFERROR(IF(J$4="",0,IF($E48="kWh",VLOOKUP(J$4,'4. Billing Determinants'!$B$19:$R$41,4,0)/'4. Billing Determinants'!$E$41*$D48,IF($E48="kW",VLOOKUP(J$4,'4. Billing Determinants'!$B$19:$R$41,5,0)/'4. Billing Determinants'!$F$41*$D48,IF($E48="Non-RPP kWh",VLOOKUP(J$4,'4. Billing Determinants'!$B$19:$R$41,6,0)/'4. Billing Determinants'!$G$41*$D48,IF($E48="Distribution Rev.",VLOOKUP(J$4,'4. Billing Determinants'!$B$19:$R$41,8,0)/'4. Billing Determinants'!$I$41*$D48, VLOOKUP(J$4,'4. Billing Determinants'!$B$19:$R$41,3,0)/'4. Billing Determinants'!$D$41*$D48))))),0)</f>
        <v>0</v>
      </c>
      <c r="K48" s="40">
        <f>IFERROR(IF(K$4="",0,IF($E48="kWh",VLOOKUP(K$4,'4. Billing Determinants'!$B$19:$R$41,4,0)/'4. Billing Determinants'!$E$41*$D48,IF($E48="kW",VLOOKUP(K$4,'4. Billing Determinants'!$B$19:$R$41,5,0)/'4. Billing Determinants'!$F$41*$D48,IF($E48="Non-RPP kWh",VLOOKUP(K$4,'4. Billing Determinants'!$B$19:$R$41,6,0)/'4. Billing Determinants'!$G$41*$D48,IF($E48="Distribution Rev.",VLOOKUP(K$4,'4. Billing Determinants'!$B$19:$R$41,8,0)/'4. Billing Determinants'!$I$41*$D48, VLOOKUP(K$4,'4. Billing Determinants'!$B$19:$R$41,3,0)/'4. Billing Determinants'!$D$41*$D48))))),0)</f>
        <v>0</v>
      </c>
      <c r="L48" s="40">
        <f>IFERROR(IF(L$4="",0,IF($E48="kWh",VLOOKUP(L$4,'4. Billing Determinants'!$B$19:$R$41,4,0)/'4. Billing Determinants'!$E$41*$D48,IF($E48="kW",VLOOKUP(L$4,'4. Billing Determinants'!$B$19:$R$41,5,0)/'4. Billing Determinants'!$F$41*$D48,IF($E48="Non-RPP kWh",VLOOKUP(L$4,'4. Billing Determinants'!$B$19:$R$41,6,0)/'4. Billing Determinants'!$G$41*$D48,IF($E48="Distribution Rev.",VLOOKUP(L$4,'4. Billing Determinants'!$B$19:$R$41,8,0)/'4. Billing Determinants'!$I$41*$D48, VLOOKUP(L$4,'4. Billing Determinants'!$B$19:$R$41,3,0)/'4. Billing Determinants'!$D$41*$D48))))),0)</f>
        <v>0</v>
      </c>
      <c r="M48" s="40">
        <f>IFERROR(IF(M$4="",0,IF($E48="kWh",VLOOKUP(M$4,'4. Billing Determinants'!$B$19:$R$41,4,0)/'4. Billing Determinants'!$E$41*$D48,IF($E48="kW",VLOOKUP(M$4,'4. Billing Determinants'!$B$19:$R$41,5,0)/'4. Billing Determinants'!$F$41*$D48,IF($E48="Non-RPP kWh",VLOOKUP(M$4,'4. Billing Determinants'!$B$19:$R$41,6,0)/'4. Billing Determinants'!$G$41*$D48,IF($E48="Distribution Rev.",VLOOKUP(M$4,'4. Billing Determinants'!$B$19:$R$41,8,0)/'4. Billing Determinants'!$I$41*$D48, VLOOKUP(M$4,'4. Billing Determinants'!$B$19:$R$41,3,0)/'4. Billing Determinants'!$D$41*$D48))))),0)</f>
        <v>0</v>
      </c>
      <c r="N48" s="40">
        <f>IFERROR(IF(N$4="",0,IF($E48="kWh",VLOOKUP(N$4,'4. Billing Determinants'!$B$19:$R$41,4,0)/'4. Billing Determinants'!$E$41*$D48,IF($E48="kW",VLOOKUP(N$4,'4. Billing Determinants'!$B$19:$R$41,5,0)/'4. Billing Determinants'!$F$41*$D48,IF($E48="Non-RPP kWh",VLOOKUP(N$4,'4. Billing Determinants'!$B$19:$R$41,6,0)/'4. Billing Determinants'!$G$41*$D48,IF($E48="Distribution Rev.",VLOOKUP(N$4,'4. Billing Determinants'!$B$19:$R$41,8,0)/'4. Billing Determinants'!$I$41*$D48, VLOOKUP(N$4,'4. Billing Determinants'!$B$19:$R$41,3,0)/'4. Billing Determinants'!$D$41*$D48))))),0)</f>
        <v>0</v>
      </c>
      <c r="O48" s="40">
        <f>IFERROR(IF(O$4="",0,IF($E48="kWh",VLOOKUP(O$4,'4. Billing Determinants'!$B$19:$R$41,4,0)/'4. Billing Determinants'!$E$41*$D48,IF($E48="kW",VLOOKUP(O$4,'4. Billing Determinants'!$B$19:$R$41,5,0)/'4. Billing Determinants'!$F$41*$D48,IF($E48="Non-RPP kWh",VLOOKUP(O$4,'4. Billing Determinants'!$B$19:$R$41,6,0)/'4. Billing Determinants'!$G$41*$D48,IF($E48="Distribution Rev.",VLOOKUP(O$4,'4. Billing Determinants'!$B$19:$R$41,8,0)/'4. Billing Determinants'!$I$41*$D48, VLOOKUP(O$4,'4. Billing Determinants'!$B$19:$R$41,3,0)/'4. Billing Determinants'!$D$41*$D48))))),0)</f>
        <v>0</v>
      </c>
      <c r="P48" s="40">
        <f>IFERROR(IF(P$4="",0,IF($E48="kWh",VLOOKUP(P$4,'4. Billing Determinants'!$B$19:$R$41,4,0)/'4. Billing Determinants'!$E$41*$D48,IF($E48="kW",VLOOKUP(P$4,'4. Billing Determinants'!$B$19:$R$41,5,0)/'4. Billing Determinants'!$F$41*$D48,IF($E48="Non-RPP kWh",VLOOKUP(P$4,'4. Billing Determinants'!$B$19:$R$41,6,0)/'4. Billing Determinants'!$G$41*$D48,IF($E48="Distribution Rev.",VLOOKUP(P$4,'4. Billing Determinants'!$B$19:$R$41,8,0)/'4. Billing Determinants'!$I$41*$D48, VLOOKUP(P$4,'4. Billing Determinants'!$B$19:$R$41,3,0)/'4. Billing Determinants'!$D$41*$D48))))),0)</f>
        <v>0</v>
      </c>
      <c r="Q48" s="40">
        <f>IFERROR(IF(Q$4="",0,IF($E48="kWh",VLOOKUP(Q$4,'4. Billing Determinants'!$B$19:$R$41,4,0)/'4. Billing Determinants'!$E$41*$D48,IF($E48="kW",VLOOKUP(Q$4,'4. Billing Determinants'!$B$19:$R$41,5,0)/'4. Billing Determinants'!$F$41*$D48,IF($E48="Non-RPP kWh",VLOOKUP(Q$4,'4. Billing Determinants'!$B$19:$R$41,6,0)/'4. Billing Determinants'!$G$41*$D48,IF($E48="Distribution Rev.",VLOOKUP(Q$4,'4. Billing Determinants'!$B$19:$R$41,8,0)/'4. Billing Determinants'!$I$41*$D48, VLOOKUP(Q$4,'4. Billing Determinants'!$B$19:$R$41,3,0)/'4. Billing Determinants'!$D$41*$D48))))),0)</f>
        <v>0</v>
      </c>
      <c r="R48" s="40">
        <f>IFERROR(IF(R$4="",0,IF($E48="kWh",VLOOKUP(R$4,'4. Billing Determinants'!$B$19:$R$41,4,0)/'4. Billing Determinants'!$E$41*$D48,IF($E48="kW",VLOOKUP(R$4,'4. Billing Determinants'!$B$19:$R$41,5,0)/'4. Billing Determinants'!$F$41*$D48,IF($E48="Non-RPP kWh",VLOOKUP(R$4,'4. Billing Determinants'!$B$19:$R$41,6,0)/'4. Billing Determinants'!$G$41*$D48,IF($E48="Distribution Rev.",VLOOKUP(R$4,'4. Billing Determinants'!$B$19:$R$41,8,0)/'4. Billing Determinants'!$I$41*$D48, VLOOKUP(R$4,'4. Billing Determinants'!$B$19:$R$41,3,0)/'4. Billing Determinants'!$D$41*$D48))))),0)</f>
        <v>0</v>
      </c>
      <c r="S48" s="40">
        <f>IFERROR(IF(S$4="",0,IF($E48="kWh",VLOOKUP(S$4,'4. Billing Determinants'!$B$19:$R$41,4,0)/'4. Billing Determinants'!$E$41*$D48,IF($E48="kW",VLOOKUP(S$4,'4. Billing Determinants'!$B$19:$R$41,5,0)/'4. Billing Determinants'!$F$41*$D48,IF($E48="Non-RPP kWh",VLOOKUP(S$4,'4. Billing Determinants'!$B$19:$R$41,6,0)/'4. Billing Determinants'!$G$41*$D48,IF($E48="Distribution Rev.",VLOOKUP(S$4,'4. Billing Determinants'!$B$19:$R$41,8,0)/'4. Billing Determinants'!$I$41*$D48, VLOOKUP(S$4,'4. Billing Determinants'!$B$19:$R$41,3,0)/'4. Billing Determinants'!$D$41*$D48))))),0)</f>
        <v>0</v>
      </c>
      <c r="T48" s="40">
        <f>IFERROR(IF(T$4="",0,IF($E48="kWh",VLOOKUP(T$4,'4. Billing Determinants'!$B$19:$R$41,4,0)/'4. Billing Determinants'!$E$41*$D48,IF($E48="kW",VLOOKUP(T$4,'4. Billing Determinants'!$B$19:$R$41,5,0)/'4. Billing Determinants'!$F$41*$D48,IF($E48="Non-RPP kWh",VLOOKUP(T$4,'4. Billing Determinants'!$B$19:$R$41,6,0)/'4. Billing Determinants'!$G$41*$D48,IF($E48="Distribution Rev.",VLOOKUP(T$4,'4. Billing Determinants'!$B$19:$R$41,8,0)/'4. Billing Determinants'!$I$41*$D48, VLOOKUP(T$4,'4. Billing Determinants'!$B$19:$R$41,3,0)/'4. Billing Determinants'!$D$41*$D48))))),0)</f>
        <v>0</v>
      </c>
      <c r="U48" s="40">
        <f>IFERROR(IF(U$4="",0,IF($E48="kWh",VLOOKUP(U$4,'4. Billing Determinants'!$B$19:$R$41,4,0)/'4. Billing Determinants'!$E$41*$D48,IF($E48="kW",VLOOKUP(U$4,'4. Billing Determinants'!$B$19:$R$41,5,0)/'4. Billing Determinants'!$F$41*$D48,IF($E48="Non-RPP kWh",VLOOKUP(U$4,'4. Billing Determinants'!$B$19:$R$41,6,0)/'4. Billing Determinants'!$G$41*$D48,IF($E48="Distribution Rev.",VLOOKUP(U$4,'4. Billing Determinants'!$B$19:$R$41,8,0)/'4. Billing Determinants'!$I$41*$D48, VLOOKUP(U$4,'4. Billing Determinants'!$B$19:$R$41,3,0)/'4. Billing Determinants'!$D$41*$D48))))),0)</f>
        <v>0</v>
      </c>
      <c r="V48" s="40">
        <f>IFERROR(IF(V$4="",0,IF($E48="kWh",VLOOKUP(V$4,'4. Billing Determinants'!$B$19:$R$41,4,0)/'4. Billing Determinants'!$E$41*$D48,IF($E48="kW",VLOOKUP(V$4,'4. Billing Determinants'!$B$19:$R$41,5,0)/'4. Billing Determinants'!$F$41*$D48,IF($E48="Non-RPP kWh",VLOOKUP(V$4,'4. Billing Determinants'!$B$19:$R$41,6,0)/'4. Billing Determinants'!$G$41*$D48,IF($E48="Distribution Rev.",VLOOKUP(V$4,'4. Billing Determinants'!$B$19:$R$41,8,0)/'4. Billing Determinants'!$I$41*$D48, VLOOKUP(V$4,'4. Billing Determinants'!$B$19:$R$41,3,0)/'4. Billing Determinants'!$D$41*$D48))))),0)</f>
        <v>0</v>
      </c>
      <c r="W48" s="40">
        <f>IFERROR(IF(W$4="",0,IF($E48="kWh",VLOOKUP(W$4,'4. Billing Determinants'!$B$19:$R$41,4,0)/'4. Billing Determinants'!$E$41*$D48,IF($E48="kW",VLOOKUP(W$4,'4. Billing Determinants'!$B$19:$R$41,5,0)/'4. Billing Determinants'!$F$41*$D48,IF($E48="Non-RPP kWh",VLOOKUP(W$4,'4. Billing Determinants'!$B$19:$R$41,6,0)/'4. Billing Determinants'!$G$41*$D48,IF($E48="Distribution Rev.",VLOOKUP(W$4,'4. Billing Determinants'!$B$19:$R$41,8,0)/'4. Billing Determinants'!$I$41*$D48, VLOOKUP(W$4,'4. Billing Determinants'!$B$19:$R$41,3,0)/'4. Billing Determinants'!$D$41*$D48))))),0)</f>
        <v>0</v>
      </c>
      <c r="X48" s="40">
        <f>IFERROR(IF(X$4="",0,IF($E48="kWh",VLOOKUP(X$4,'4. Billing Determinants'!$B$19:$R$41,4,0)/'4. Billing Determinants'!$E$41*$D48,IF($E48="kW",VLOOKUP(X$4,'4. Billing Determinants'!$B$19:$R$41,5,0)/'4. Billing Determinants'!$F$41*$D48,IF($E48="Non-RPP kWh",VLOOKUP(X$4,'4. Billing Determinants'!$B$19:$R$41,6,0)/'4. Billing Determinants'!$G$41*$D48,IF($E48="Distribution Rev.",VLOOKUP(X$4,'4. Billing Determinants'!$B$19:$R$41,8,0)/'4. Billing Determinants'!$I$41*$D48, VLOOKUP(X$4,'4. Billing Determinants'!$B$19:$R$41,3,0)/'4. Billing Determinants'!$D$41*$D48))))),0)</f>
        <v>0</v>
      </c>
      <c r="Y48" s="40">
        <f>IFERROR(IF(Y$4="",0,IF($E48="kWh",VLOOKUP(Y$4,'4. Billing Determinants'!$B$19:$R$41,4,0)/'4. Billing Determinants'!$E$41*$D48,IF($E48="kW",VLOOKUP(Y$4,'4. Billing Determinants'!$B$19:$R$41,5,0)/'4. Billing Determinants'!$F$41*$D48,IF($E48="Non-RPP kWh",VLOOKUP(Y$4,'4. Billing Determinants'!$B$19:$R$41,6,0)/'4. Billing Determinants'!$G$41*$D48,IF($E48="Distribution Rev.",VLOOKUP(Y$4,'4. Billing Determinants'!$B$19:$R$41,8,0)/'4. Billing Determinants'!$I$41*$D48, VLOOKUP(Y$4,'4. Billing Determinants'!$B$19:$R$41,3,0)/'4. Billing Determinants'!$D$41*$D48))))),0)</f>
        <v>0</v>
      </c>
    </row>
    <row r="49" spans="1:25" x14ac:dyDescent="0.25">
      <c r="A49" s="122">
        <v>26</v>
      </c>
      <c r="B49" s="44" t="s">
        <v>10</v>
      </c>
      <c r="C49" s="39">
        <v>1572</v>
      </c>
      <c r="D49" s="40">
        <f>'2b. Continuity Schedule'!BT75</f>
        <v>0</v>
      </c>
      <c r="E49" s="61" t="s">
        <v>139</v>
      </c>
      <c r="F49" s="40">
        <f>IFERROR(IF(F$4="",0,IF($E49="kWh",VLOOKUP(F$4,'4. Billing Determinants'!$B$19:$R$41,4,0)/'4. Billing Determinants'!$E$41*$D49,IF($E49="kW",VLOOKUP(F$4,'4. Billing Determinants'!$B$19:$R$41,5,0)/'4. Billing Determinants'!$F$41*$D49,IF($E49="Non-RPP kWh",VLOOKUP(F$4,'4. Billing Determinants'!$B$19:$R$41,6,0)/'4. Billing Determinants'!$G$41*$D49,IF($E49="Distribution Rev.",VLOOKUP(F$4,'4. Billing Determinants'!$B$19:$R$41,8,0)/'4. Billing Determinants'!$I$41*$D49, VLOOKUP(F$4,'4. Billing Determinants'!$B$19:$R$41,3,0)/'4. Billing Determinants'!$D$41*$D49))))),0)</f>
        <v>0</v>
      </c>
      <c r="G49" s="40">
        <f>IFERROR(IF(G$4="",0,IF($E49="kWh",VLOOKUP(G$4,'4. Billing Determinants'!$B$19:$R$41,4,0)/'4. Billing Determinants'!$E$41*$D49,IF($E49="kW",VLOOKUP(G$4,'4. Billing Determinants'!$B$19:$R$41,5,0)/'4. Billing Determinants'!$F$41*$D49,IF($E49="Non-RPP kWh",VLOOKUP(G$4,'4. Billing Determinants'!$B$19:$R$41,6,0)/'4. Billing Determinants'!$G$41*$D49,IF($E49="Distribution Rev.",VLOOKUP(G$4,'4. Billing Determinants'!$B$19:$R$41,8,0)/'4. Billing Determinants'!$I$41*$D49, VLOOKUP(G$4,'4. Billing Determinants'!$B$19:$R$41,3,0)/'4. Billing Determinants'!$D$41*$D49))))),0)</f>
        <v>0</v>
      </c>
      <c r="H49" s="40">
        <f>IFERROR(IF(H$4="",0,IF($E49="kWh",VLOOKUP(H$4,'4. Billing Determinants'!$B$19:$R$41,4,0)/'4. Billing Determinants'!$E$41*$D49,IF($E49="kW",VLOOKUP(H$4,'4. Billing Determinants'!$B$19:$R$41,5,0)/'4. Billing Determinants'!$F$41*$D49,IF($E49="Non-RPP kWh",VLOOKUP(H$4,'4. Billing Determinants'!$B$19:$R$41,6,0)/'4. Billing Determinants'!$G$41*$D49,IF($E49="Distribution Rev.",VLOOKUP(H$4,'4. Billing Determinants'!$B$19:$R$41,8,0)/'4. Billing Determinants'!$I$41*$D49, VLOOKUP(H$4,'4. Billing Determinants'!$B$19:$R$41,3,0)/'4. Billing Determinants'!$D$41*$D49))))),0)</f>
        <v>0</v>
      </c>
      <c r="I49" s="40">
        <f>IFERROR(IF(I$4="",0,IF($E49="kWh",VLOOKUP(I$4,'4. Billing Determinants'!$B$19:$R$41,4,0)/'4. Billing Determinants'!$E$41*$D49,IF($E49="kW",VLOOKUP(I$4,'4. Billing Determinants'!$B$19:$R$41,5,0)/'4. Billing Determinants'!$F$41*$D49,IF($E49="Non-RPP kWh",VLOOKUP(I$4,'4. Billing Determinants'!$B$19:$R$41,6,0)/'4. Billing Determinants'!$G$41*$D49,IF($E49="Distribution Rev.",VLOOKUP(I$4,'4. Billing Determinants'!$B$19:$R$41,8,0)/'4. Billing Determinants'!$I$41*$D49, VLOOKUP(I$4,'4. Billing Determinants'!$B$19:$R$41,3,0)/'4. Billing Determinants'!$D$41*$D49))))),0)</f>
        <v>0</v>
      </c>
      <c r="J49" s="40">
        <f>IFERROR(IF(J$4="",0,IF($E49="kWh",VLOOKUP(J$4,'4. Billing Determinants'!$B$19:$R$41,4,0)/'4. Billing Determinants'!$E$41*$D49,IF($E49="kW",VLOOKUP(J$4,'4. Billing Determinants'!$B$19:$R$41,5,0)/'4. Billing Determinants'!$F$41*$D49,IF($E49="Non-RPP kWh",VLOOKUP(J$4,'4. Billing Determinants'!$B$19:$R$41,6,0)/'4. Billing Determinants'!$G$41*$D49,IF($E49="Distribution Rev.",VLOOKUP(J$4,'4. Billing Determinants'!$B$19:$R$41,8,0)/'4. Billing Determinants'!$I$41*$D49, VLOOKUP(J$4,'4. Billing Determinants'!$B$19:$R$41,3,0)/'4. Billing Determinants'!$D$41*$D49))))),0)</f>
        <v>0</v>
      </c>
      <c r="K49" s="40">
        <f>IFERROR(IF(K$4="",0,IF($E49="kWh",VLOOKUP(K$4,'4. Billing Determinants'!$B$19:$R$41,4,0)/'4. Billing Determinants'!$E$41*$D49,IF($E49="kW",VLOOKUP(K$4,'4. Billing Determinants'!$B$19:$R$41,5,0)/'4. Billing Determinants'!$F$41*$D49,IF($E49="Non-RPP kWh",VLOOKUP(K$4,'4. Billing Determinants'!$B$19:$R$41,6,0)/'4. Billing Determinants'!$G$41*$D49,IF($E49="Distribution Rev.",VLOOKUP(K$4,'4. Billing Determinants'!$B$19:$R$41,8,0)/'4. Billing Determinants'!$I$41*$D49, VLOOKUP(K$4,'4. Billing Determinants'!$B$19:$R$41,3,0)/'4. Billing Determinants'!$D$41*$D49))))),0)</f>
        <v>0</v>
      </c>
      <c r="L49" s="40">
        <f>IFERROR(IF(L$4="",0,IF($E49="kWh",VLOOKUP(L$4,'4. Billing Determinants'!$B$19:$R$41,4,0)/'4. Billing Determinants'!$E$41*$D49,IF($E49="kW",VLOOKUP(L$4,'4. Billing Determinants'!$B$19:$R$41,5,0)/'4. Billing Determinants'!$F$41*$D49,IF($E49="Non-RPP kWh",VLOOKUP(L$4,'4. Billing Determinants'!$B$19:$R$41,6,0)/'4. Billing Determinants'!$G$41*$D49,IF($E49="Distribution Rev.",VLOOKUP(L$4,'4. Billing Determinants'!$B$19:$R$41,8,0)/'4. Billing Determinants'!$I$41*$D49, VLOOKUP(L$4,'4. Billing Determinants'!$B$19:$R$41,3,0)/'4. Billing Determinants'!$D$41*$D49))))),0)</f>
        <v>0</v>
      </c>
      <c r="M49" s="40">
        <f>IFERROR(IF(M$4="",0,IF($E49="kWh",VLOOKUP(M$4,'4. Billing Determinants'!$B$19:$R$41,4,0)/'4. Billing Determinants'!$E$41*$D49,IF($E49="kW",VLOOKUP(M$4,'4. Billing Determinants'!$B$19:$R$41,5,0)/'4. Billing Determinants'!$F$41*$D49,IF($E49="Non-RPP kWh",VLOOKUP(M$4,'4. Billing Determinants'!$B$19:$R$41,6,0)/'4. Billing Determinants'!$G$41*$D49,IF($E49="Distribution Rev.",VLOOKUP(M$4,'4. Billing Determinants'!$B$19:$R$41,8,0)/'4. Billing Determinants'!$I$41*$D49, VLOOKUP(M$4,'4. Billing Determinants'!$B$19:$R$41,3,0)/'4. Billing Determinants'!$D$41*$D49))))),0)</f>
        <v>0</v>
      </c>
      <c r="N49" s="40">
        <f>IFERROR(IF(N$4="",0,IF($E49="kWh",VLOOKUP(N$4,'4. Billing Determinants'!$B$19:$R$41,4,0)/'4. Billing Determinants'!$E$41*$D49,IF($E49="kW",VLOOKUP(N$4,'4. Billing Determinants'!$B$19:$R$41,5,0)/'4. Billing Determinants'!$F$41*$D49,IF($E49="Non-RPP kWh",VLOOKUP(N$4,'4. Billing Determinants'!$B$19:$R$41,6,0)/'4. Billing Determinants'!$G$41*$D49,IF($E49="Distribution Rev.",VLOOKUP(N$4,'4. Billing Determinants'!$B$19:$R$41,8,0)/'4. Billing Determinants'!$I$41*$D49, VLOOKUP(N$4,'4. Billing Determinants'!$B$19:$R$41,3,0)/'4. Billing Determinants'!$D$41*$D49))))),0)</f>
        <v>0</v>
      </c>
      <c r="O49" s="40">
        <f>IFERROR(IF(O$4="",0,IF($E49="kWh",VLOOKUP(O$4,'4. Billing Determinants'!$B$19:$R$41,4,0)/'4. Billing Determinants'!$E$41*$D49,IF($E49="kW",VLOOKUP(O$4,'4. Billing Determinants'!$B$19:$R$41,5,0)/'4. Billing Determinants'!$F$41*$D49,IF($E49="Non-RPP kWh",VLOOKUP(O$4,'4. Billing Determinants'!$B$19:$R$41,6,0)/'4. Billing Determinants'!$G$41*$D49,IF($E49="Distribution Rev.",VLOOKUP(O$4,'4. Billing Determinants'!$B$19:$R$41,8,0)/'4. Billing Determinants'!$I$41*$D49, VLOOKUP(O$4,'4. Billing Determinants'!$B$19:$R$41,3,0)/'4. Billing Determinants'!$D$41*$D49))))),0)</f>
        <v>0</v>
      </c>
      <c r="P49" s="40">
        <f>IFERROR(IF(P$4="",0,IF($E49="kWh",VLOOKUP(P$4,'4. Billing Determinants'!$B$19:$R$41,4,0)/'4. Billing Determinants'!$E$41*$D49,IF($E49="kW",VLOOKUP(P$4,'4. Billing Determinants'!$B$19:$R$41,5,0)/'4. Billing Determinants'!$F$41*$D49,IF($E49="Non-RPP kWh",VLOOKUP(P$4,'4. Billing Determinants'!$B$19:$R$41,6,0)/'4. Billing Determinants'!$G$41*$D49,IF($E49="Distribution Rev.",VLOOKUP(P$4,'4. Billing Determinants'!$B$19:$R$41,8,0)/'4. Billing Determinants'!$I$41*$D49, VLOOKUP(P$4,'4. Billing Determinants'!$B$19:$R$41,3,0)/'4. Billing Determinants'!$D$41*$D49))))),0)</f>
        <v>0</v>
      </c>
      <c r="Q49" s="40">
        <f>IFERROR(IF(Q$4="",0,IF($E49="kWh",VLOOKUP(Q$4,'4. Billing Determinants'!$B$19:$R$41,4,0)/'4. Billing Determinants'!$E$41*$D49,IF($E49="kW",VLOOKUP(Q$4,'4. Billing Determinants'!$B$19:$R$41,5,0)/'4. Billing Determinants'!$F$41*$D49,IF($E49="Non-RPP kWh",VLOOKUP(Q$4,'4. Billing Determinants'!$B$19:$R$41,6,0)/'4. Billing Determinants'!$G$41*$D49,IF($E49="Distribution Rev.",VLOOKUP(Q$4,'4. Billing Determinants'!$B$19:$R$41,8,0)/'4. Billing Determinants'!$I$41*$D49, VLOOKUP(Q$4,'4. Billing Determinants'!$B$19:$R$41,3,0)/'4. Billing Determinants'!$D$41*$D49))))),0)</f>
        <v>0</v>
      </c>
      <c r="R49" s="40">
        <f>IFERROR(IF(R$4="",0,IF($E49="kWh",VLOOKUP(R$4,'4. Billing Determinants'!$B$19:$R$41,4,0)/'4. Billing Determinants'!$E$41*$D49,IF($E49="kW",VLOOKUP(R$4,'4. Billing Determinants'!$B$19:$R$41,5,0)/'4. Billing Determinants'!$F$41*$D49,IF($E49="Non-RPP kWh",VLOOKUP(R$4,'4. Billing Determinants'!$B$19:$R$41,6,0)/'4. Billing Determinants'!$G$41*$D49,IF($E49="Distribution Rev.",VLOOKUP(R$4,'4. Billing Determinants'!$B$19:$R$41,8,0)/'4. Billing Determinants'!$I$41*$D49, VLOOKUP(R$4,'4. Billing Determinants'!$B$19:$R$41,3,0)/'4. Billing Determinants'!$D$41*$D49))))),0)</f>
        <v>0</v>
      </c>
      <c r="S49" s="40">
        <f>IFERROR(IF(S$4="",0,IF($E49="kWh",VLOOKUP(S$4,'4. Billing Determinants'!$B$19:$R$41,4,0)/'4. Billing Determinants'!$E$41*$D49,IF($E49="kW",VLOOKUP(S$4,'4. Billing Determinants'!$B$19:$R$41,5,0)/'4. Billing Determinants'!$F$41*$D49,IF($E49="Non-RPP kWh",VLOOKUP(S$4,'4. Billing Determinants'!$B$19:$R$41,6,0)/'4. Billing Determinants'!$G$41*$D49,IF($E49="Distribution Rev.",VLOOKUP(S$4,'4. Billing Determinants'!$B$19:$R$41,8,0)/'4. Billing Determinants'!$I$41*$D49, VLOOKUP(S$4,'4. Billing Determinants'!$B$19:$R$41,3,0)/'4. Billing Determinants'!$D$41*$D49))))),0)</f>
        <v>0</v>
      </c>
      <c r="T49" s="40">
        <f>IFERROR(IF(T$4="",0,IF($E49="kWh",VLOOKUP(T$4,'4. Billing Determinants'!$B$19:$R$41,4,0)/'4. Billing Determinants'!$E$41*$D49,IF($E49="kW",VLOOKUP(T$4,'4. Billing Determinants'!$B$19:$R$41,5,0)/'4. Billing Determinants'!$F$41*$D49,IF($E49="Non-RPP kWh",VLOOKUP(T$4,'4. Billing Determinants'!$B$19:$R$41,6,0)/'4. Billing Determinants'!$G$41*$D49,IF($E49="Distribution Rev.",VLOOKUP(T$4,'4. Billing Determinants'!$B$19:$R$41,8,0)/'4. Billing Determinants'!$I$41*$D49, VLOOKUP(T$4,'4. Billing Determinants'!$B$19:$R$41,3,0)/'4. Billing Determinants'!$D$41*$D49))))),0)</f>
        <v>0</v>
      </c>
      <c r="U49" s="40">
        <f>IFERROR(IF(U$4="",0,IF($E49="kWh",VLOOKUP(U$4,'4. Billing Determinants'!$B$19:$R$41,4,0)/'4. Billing Determinants'!$E$41*$D49,IF($E49="kW",VLOOKUP(U$4,'4. Billing Determinants'!$B$19:$R$41,5,0)/'4. Billing Determinants'!$F$41*$D49,IF($E49="Non-RPP kWh",VLOOKUP(U$4,'4. Billing Determinants'!$B$19:$R$41,6,0)/'4. Billing Determinants'!$G$41*$D49,IF($E49="Distribution Rev.",VLOOKUP(U$4,'4. Billing Determinants'!$B$19:$R$41,8,0)/'4. Billing Determinants'!$I$41*$D49, VLOOKUP(U$4,'4. Billing Determinants'!$B$19:$R$41,3,0)/'4. Billing Determinants'!$D$41*$D49))))),0)</f>
        <v>0</v>
      </c>
      <c r="V49" s="40">
        <f>IFERROR(IF(V$4="",0,IF($E49="kWh",VLOOKUP(V$4,'4. Billing Determinants'!$B$19:$R$41,4,0)/'4. Billing Determinants'!$E$41*$D49,IF($E49="kW",VLOOKUP(V$4,'4. Billing Determinants'!$B$19:$R$41,5,0)/'4. Billing Determinants'!$F$41*$D49,IF($E49="Non-RPP kWh",VLOOKUP(V$4,'4. Billing Determinants'!$B$19:$R$41,6,0)/'4. Billing Determinants'!$G$41*$D49,IF($E49="Distribution Rev.",VLOOKUP(V$4,'4. Billing Determinants'!$B$19:$R$41,8,0)/'4. Billing Determinants'!$I$41*$D49, VLOOKUP(V$4,'4. Billing Determinants'!$B$19:$R$41,3,0)/'4. Billing Determinants'!$D$41*$D49))))),0)</f>
        <v>0</v>
      </c>
      <c r="W49" s="40">
        <f>IFERROR(IF(W$4="",0,IF($E49="kWh",VLOOKUP(W$4,'4. Billing Determinants'!$B$19:$R$41,4,0)/'4. Billing Determinants'!$E$41*$D49,IF($E49="kW",VLOOKUP(W$4,'4. Billing Determinants'!$B$19:$R$41,5,0)/'4. Billing Determinants'!$F$41*$D49,IF($E49="Non-RPP kWh",VLOOKUP(W$4,'4. Billing Determinants'!$B$19:$R$41,6,0)/'4. Billing Determinants'!$G$41*$D49,IF($E49="Distribution Rev.",VLOOKUP(W$4,'4. Billing Determinants'!$B$19:$R$41,8,0)/'4. Billing Determinants'!$I$41*$D49, VLOOKUP(W$4,'4. Billing Determinants'!$B$19:$R$41,3,0)/'4. Billing Determinants'!$D$41*$D49))))),0)</f>
        <v>0</v>
      </c>
      <c r="X49" s="40">
        <f>IFERROR(IF(X$4="",0,IF($E49="kWh",VLOOKUP(X$4,'4. Billing Determinants'!$B$19:$R$41,4,0)/'4. Billing Determinants'!$E$41*$D49,IF($E49="kW",VLOOKUP(X$4,'4. Billing Determinants'!$B$19:$R$41,5,0)/'4. Billing Determinants'!$F$41*$D49,IF($E49="Non-RPP kWh",VLOOKUP(X$4,'4. Billing Determinants'!$B$19:$R$41,6,0)/'4. Billing Determinants'!$G$41*$D49,IF($E49="Distribution Rev.",VLOOKUP(X$4,'4. Billing Determinants'!$B$19:$R$41,8,0)/'4. Billing Determinants'!$I$41*$D49, VLOOKUP(X$4,'4. Billing Determinants'!$B$19:$R$41,3,0)/'4. Billing Determinants'!$D$41*$D49))))),0)</f>
        <v>0</v>
      </c>
      <c r="Y49" s="40">
        <f>IFERROR(IF(Y$4="",0,IF($E49="kWh",VLOOKUP(Y$4,'4. Billing Determinants'!$B$19:$R$41,4,0)/'4. Billing Determinants'!$E$41*$D49,IF($E49="kW",VLOOKUP(Y$4,'4. Billing Determinants'!$B$19:$R$41,5,0)/'4. Billing Determinants'!$F$41*$D49,IF($E49="Non-RPP kWh",VLOOKUP(Y$4,'4. Billing Determinants'!$B$19:$R$41,6,0)/'4. Billing Determinants'!$G$41*$D49,IF($E49="Distribution Rev.",VLOOKUP(Y$4,'4. Billing Determinants'!$B$19:$R$41,8,0)/'4. Billing Determinants'!$I$41*$D49, VLOOKUP(Y$4,'4. Billing Determinants'!$B$19:$R$41,3,0)/'4. Billing Determinants'!$D$41*$D49))))),0)</f>
        <v>0</v>
      </c>
    </row>
    <row r="50" spans="1:25" x14ac:dyDescent="0.25">
      <c r="A50" s="122">
        <v>27</v>
      </c>
      <c r="B50" s="44" t="s">
        <v>6</v>
      </c>
      <c r="C50" s="39">
        <v>1574</v>
      </c>
      <c r="D50" s="40">
        <f>'2b. Continuity Schedule'!BT76</f>
        <v>0</v>
      </c>
      <c r="E50" s="61" t="s">
        <v>139</v>
      </c>
      <c r="F50" s="40">
        <f>IFERROR(IF(F$4="",0,IF($E50="kWh",VLOOKUP(F$4,'4. Billing Determinants'!$B$19:$R$41,4,0)/'4. Billing Determinants'!$E$41*$D50,IF($E50="kW",VLOOKUP(F$4,'4. Billing Determinants'!$B$19:$R$41,5,0)/'4. Billing Determinants'!$F$41*$D50,IF($E50="Non-RPP kWh",VLOOKUP(F$4,'4. Billing Determinants'!$B$19:$R$41,6,0)/'4. Billing Determinants'!$G$41*$D50,IF($E50="Distribution Rev.",VLOOKUP(F$4,'4. Billing Determinants'!$B$19:$R$41,8,0)/'4. Billing Determinants'!$I$41*$D50, VLOOKUP(F$4,'4. Billing Determinants'!$B$19:$R$41,3,0)/'4. Billing Determinants'!$D$41*$D50))))),0)</f>
        <v>0</v>
      </c>
      <c r="G50" s="40">
        <f>IFERROR(IF(G$4="",0,IF($E50="kWh",VLOOKUP(G$4,'4. Billing Determinants'!$B$19:$R$41,4,0)/'4. Billing Determinants'!$E$41*$D50,IF($E50="kW",VLOOKUP(G$4,'4. Billing Determinants'!$B$19:$R$41,5,0)/'4. Billing Determinants'!$F$41*$D50,IF($E50="Non-RPP kWh",VLOOKUP(G$4,'4. Billing Determinants'!$B$19:$R$41,6,0)/'4. Billing Determinants'!$G$41*$D50,IF($E50="Distribution Rev.",VLOOKUP(G$4,'4. Billing Determinants'!$B$19:$R$41,8,0)/'4. Billing Determinants'!$I$41*$D50, VLOOKUP(G$4,'4. Billing Determinants'!$B$19:$R$41,3,0)/'4. Billing Determinants'!$D$41*$D50))))),0)</f>
        <v>0</v>
      </c>
      <c r="H50" s="40">
        <f>IFERROR(IF(H$4="",0,IF($E50="kWh",VLOOKUP(H$4,'4. Billing Determinants'!$B$19:$R$41,4,0)/'4. Billing Determinants'!$E$41*$D50,IF($E50="kW",VLOOKUP(H$4,'4. Billing Determinants'!$B$19:$R$41,5,0)/'4. Billing Determinants'!$F$41*$D50,IF($E50="Non-RPP kWh",VLOOKUP(H$4,'4. Billing Determinants'!$B$19:$R$41,6,0)/'4. Billing Determinants'!$G$41*$D50,IF($E50="Distribution Rev.",VLOOKUP(H$4,'4. Billing Determinants'!$B$19:$R$41,8,0)/'4. Billing Determinants'!$I$41*$D50, VLOOKUP(H$4,'4. Billing Determinants'!$B$19:$R$41,3,0)/'4. Billing Determinants'!$D$41*$D50))))),0)</f>
        <v>0</v>
      </c>
      <c r="I50" s="40">
        <f>IFERROR(IF(I$4="",0,IF($E50="kWh",VLOOKUP(I$4,'4. Billing Determinants'!$B$19:$R$41,4,0)/'4. Billing Determinants'!$E$41*$D50,IF($E50="kW",VLOOKUP(I$4,'4. Billing Determinants'!$B$19:$R$41,5,0)/'4. Billing Determinants'!$F$41*$D50,IF($E50="Non-RPP kWh",VLOOKUP(I$4,'4. Billing Determinants'!$B$19:$R$41,6,0)/'4. Billing Determinants'!$G$41*$D50,IF($E50="Distribution Rev.",VLOOKUP(I$4,'4. Billing Determinants'!$B$19:$R$41,8,0)/'4. Billing Determinants'!$I$41*$D50, VLOOKUP(I$4,'4. Billing Determinants'!$B$19:$R$41,3,0)/'4. Billing Determinants'!$D$41*$D50))))),0)</f>
        <v>0</v>
      </c>
      <c r="J50" s="40">
        <f>IFERROR(IF(J$4="",0,IF($E50="kWh",VLOOKUP(J$4,'4. Billing Determinants'!$B$19:$R$41,4,0)/'4. Billing Determinants'!$E$41*$D50,IF($E50="kW",VLOOKUP(J$4,'4. Billing Determinants'!$B$19:$R$41,5,0)/'4. Billing Determinants'!$F$41*$D50,IF($E50="Non-RPP kWh",VLOOKUP(J$4,'4. Billing Determinants'!$B$19:$R$41,6,0)/'4. Billing Determinants'!$G$41*$D50,IF($E50="Distribution Rev.",VLOOKUP(J$4,'4. Billing Determinants'!$B$19:$R$41,8,0)/'4. Billing Determinants'!$I$41*$D50, VLOOKUP(J$4,'4. Billing Determinants'!$B$19:$R$41,3,0)/'4. Billing Determinants'!$D$41*$D50))))),0)</f>
        <v>0</v>
      </c>
      <c r="K50" s="40">
        <f>IFERROR(IF(K$4="",0,IF($E50="kWh",VLOOKUP(K$4,'4. Billing Determinants'!$B$19:$R$41,4,0)/'4. Billing Determinants'!$E$41*$D50,IF($E50="kW",VLOOKUP(K$4,'4. Billing Determinants'!$B$19:$R$41,5,0)/'4. Billing Determinants'!$F$41*$D50,IF($E50="Non-RPP kWh",VLOOKUP(K$4,'4. Billing Determinants'!$B$19:$R$41,6,0)/'4. Billing Determinants'!$G$41*$D50,IF($E50="Distribution Rev.",VLOOKUP(K$4,'4. Billing Determinants'!$B$19:$R$41,8,0)/'4. Billing Determinants'!$I$41*$D50, VLOOKUP(K$4,'4. Billing Determinants'!$B$19:$R$41,3,0)/'4. Billing Determinants'!$D$41*$D50))))),0)</f>
        <v>0</v>
      </c>
      <c r="L50" s="40">
        <f>IFERROR(IF(L$4="",0,IF($E50="kWh",VLOOKUP(L$4,'4. Billing Determinants'!$B$19:$R$41,4,0)/'4. Billing Determinants'!$E$41*$D50,IF($E50="kW",VLOOKUP(L$4,'4. Billing Determinants'!$B$19:$R$41,5,0)/'4. Billing Determinants'!$F$41*$D50,IF($E50="Non-RPP kWh",VLOOKUP(L$4,'4. Billing Determinants'!$B$19:$R$41,6,0)/'4. Billing Determinants'!$G$41*$D50,IF($E50="Distribution Rev.",VLOOKUP(L$4,'4. Billing Determinants'!$B$19:$R$41,8,0)/'4. Billing Determinants'!$I$41*$D50, VLOOKUP(L$4,'4. Billing Determinants'!$B$19:$R$41,3,0)/'4. Billing Determinants'!$D$41*$D50))))),0)</f>
        <v>0</v>
      </c>
      <c r="M50" s="40">
        <f>IFERROR(IF(M$4="",0,IF($E50="kWh",VLOOKUP(M$4,'4. Billing Determinants'!$B$19:$R$41,4,0)/'4. Billing Determinants'!$E$41*$D50,IF($E50="kW",VLOOKUP(M$4,'4. Billing Determinants'!$B$19:$R$41,5,0)/'4. Billing Determinants'!$F$41*$D50,IF($E50="Non-RPP kWh",VLOOKUP(M$4,'4. Billing Determinants'!$B$19:$R$41,6,0)/'4. Billing Determinants'!$G$41*$D50,IF($E50="Distribution Rev.",VLOOKUP(M$4,'4. Billing Determinants'!$B$19:$R$41,8,0)/'4. Billing Determinants'!$I$41*$D50, VLOOKUP(M$4,'4. Billing Determinants'!$B$19:$R$41,3,0)/'4. Billing Determinants'!$D$41*$D50))))),0)</f>
        <v>0</v>
      </c>
      <c r="N50" s="40">
        <f>IFERROR(IF(N$4="",0,IF($E50="kWh",VLOOKUP(N$4,'4. Billing Determinants'!$B$19:$R$41,4,0)/'4. Billing Determinants'!$E$41*$D50,IF($E50="kW",VLOOKUP(N$4,'4. Billing Determinants'!$B$19:$R$41,5,0)/'4. Billing Determinants'!$F$41*$D50,IF($E50="Non-RPP kWh",VLOOKUP(N$4,'4. Billing Determinants'!$B$19:$R$41,6,0)/'4. Billing Determinants'!$G$41*$D50,IF($E50="Distribution Rev.",VLOOKUP(N$4,'4. Billing Determinants'!$B$19:$R$41,8,0)/'4. Billing Determinants'!$I$41*$D50, VLOOKUP(N$4,'4. Billing Determinants'!$B$19:$R$41,3,0)/'4. Billing Determinants'!$D$41*$D50))))),0)</f>
        <v>0</v>
      </c>
      <c r="O50" s="40">
        <f>IFERROR(IF(O$4="",0,IF($E50="kWh",VLOOKUP(O$4,'4. Billing Determinants'!$B$19:$R$41,4,0)/'4. Billing Determinants'!$E$41*$D50,IF($E50="kW",VLOOKUP(O$4,'4. Billing Determinants'!$B$19:$R$41,5,0)/'4. Billing Determinants'!$F$41*$D50,IF($E50="Non-RPP kWh",VLOOKUP(O$4,'4. Billing Determinants'!$B$19:$R$41,6,0)/'4. Billing Determinants'!$G$41*$D50,IF($E50="Distribution Rev.",VLOOKUP(O$4,'4. Billing Determinants'!$B$19:$R$41,8,0)/'4. Billing Determinants'!$I$41*$D50, VLOOKUP(O$4,'4. Billing Determinants'!$B$19:$R$41,3,0)/'4. Billing Determinants'!$D$41*$D50))))),0)</f>
        <v>0</v>
      </c>
      <c r="P50" s="40">
        <f>IFERROR(IF(P$4="",0,IF($E50="kWh",VLOOKUP(P$4,'4. Billing Determinants'!$B$19:$R$41,4,0)/'4. Billing Determinants'!$E$41*$D50,IF($E50="kW",VLOOKUP(P$4,'4. Billing Determinants'!$B$19:$R$41,5,0)/'4. Billing Determinants'!$F$41*$D50,IF($E50="Non-RPP kWh",VLOOKUP(P$4,'4. Billing Determinants'!$B$19:$R$41,6,0)/'4. Billing Determinants'!$G$41*$D50,IF($E50="Distribution Rev.",VLOOKUP(P$4,'4. Billing Determinants'!$B$19:$R$41,8,0)/'4. Billing Determinants'!$I$41*$D50, VLOOKUP(P$4,'4. Billing Determinants'!$B$19:$R$41,3,0)/'4. Billing Determinants'!$D$41*$D50))))),0)</f>
        <v>0</v>
      </c>
      <c r="Q50" s="40">
        <f>IFERROR(IF(Q$4="",0,IF($E50="kWh",VLOOKUP(Q$4,'4. Billing Determinants'!$B$19:$R$41,4,0)/'4. Billing Determinants'!$E$41*$D50,IF($E50="kW",VLOOKUP(Q$4,'4. Billing Determinants'!$B$19:$R$41,5,0)/'4. Billing Determinants'!$F$41*$D50,IF($E50="Non-RPP kWh",VLOOKUP(Q$4,'4. Billing Determinants'!$B$19:$R$41,6,0)/'4. Billing Determinants'!$G$41*$D50,IF($E50="Distribution Rev.",VLOOKUP(Q$4,'4. Billing Determinants'!$B$19:$R$41,8,0)/'4. Billing Determinants'!$I$41*$D50, VLOOKUP(Q$4,'4. Billing Determinants'!$B$19:$R$41,3,0)/'4. Billing Determinants'!$D$41*$D50))))),0)</f>
        <v>0</v>
      </c>
      <c r="R50" s="40">
        <f>IFERROR(IF(R$4="",0,IF($E50="kWh",VLOOKUP(R$4,'4. Billing Determinants'!$B$19:$R$41,4,0)/'4. Billing Determinants'!$E$41*$D50,IF($E50="kW",VLOOKUP(R$4,'4. Billing Determinants'!$B$19:$R$41,5,0)/'4. Billing Determinants'!$F$41*$D50,IF($E50="Non-RPP kWh",VLOOKUP(R$4,'4. Billing Determinants'!$B$19:$R$41,6,0)/'4. Billing Determinants'!$G$41*$D50,IF($E50="Distribution Rev.",VLOOKUP(R$4,'4. Billing Determinants'!$B$19:$R$41,8,0)/'4. Billing Determinants'!$I$41*$D50, VLOOKUP(R$4,'4. Billing Determinants'!$B$19:$R$41,3,0)/'4. Billing Determinants'!$D$41*$D50))))),0)</f>
        <v>0</v>
      </c>
      <c r="S50" s="40">
        <f>IFERROR(IF(S$4="",0,IF($E50="kWh",VLOOKUP(S$4,'4. Billing Determinants'!$B$19:$R$41,4,0)/'4. Billing Determinants'!$E$41*$D50,IF($E50="kW",VLOOKUP(S$4,'4. Billing Determinants'!$B$19:$R$41,5,0)/'4. Billing Determinants'!$F$41*$D50,IF($E50="Non-RPP kWh",VLOOKUP(S$4,'4. Billing Determinants'!$B$19:$R$41,6,0)/'4. Billing Determinants'!$G$41*$D50,IF($E50="Distribution Rev.",VLOOKUP(S$4,'4. Billing Determinants'!$B$19:$R$41,8,0)/'4. Billing Determinants'!$I$41*$D50, VLOOKUP(S$4,'4. Billing Determinants'!$B$19:$R$41,3,0)/'4. Billing Determinants'!$D$41*$D50))))),0)</f>
        <v>0</v>
      </c>
      <c r="T50" s="40">
        <f>IFERROR(IF(T$4="",0,IF($E50="kWh",VLOOKUP(T$4,'4. Billing Determinants'!$B$19:$R$41,4,0)/'4. Billing Determinants'!$E$41*$D50,IF($E50="kW",VLOOKUP(T$4,'4. Billing Determinants'!$B$19:$R$41,5,0)/'4. Billing Determinants'!$F$41*$D50,IF($E50="Non-RPP kWh",VLOOKUP(T$4,'4. Billing Determinants'!$B$19:$R$41,6,0)/'4. Billing Determinants'!$G$41*$D50,IF($E50="Distribution Rev.",VLOOKUP(T$4,'4. Billing Determinants'!$B$19:$R$41,8,0)/'4. Billing Determinants'!$I$41*$D50, VLOOKUP(T$4,'4. Billing Determinants'!$B$19:$R$41,3,0)/'4. Billing Determinants'!$D$41*$D50))))),0)</f>
        <v>0</v>
      </c>
      <c r="U50" s="40">
        <f>IFERROR(IF(U$4="",0,IF($E50="kWh",VLOOKUP(U$4,'4. Billing Determinants'!$B$19:$R$41,4,0)/'4. Billing Determinants'!$E$41*$D50,IF($E50="kW",VLOOKUP(U$4,'4. Billing Determinants'!$B$19:$R$41,5,0)/'4. Billing Determinants'!$F$41*$D50,IF($E50="Non-RPP kWh",VLOOKUP(U$4,'4. Billing Determinants'!$B$19:$R$41,6,0)/'4. Billing Determinants'!$G$41*$D50,IF($E50="Distribution Rev.",VLOOKUP(U$4,'4. Billing Determinants'!$B$19:$R$41,8,0)/'4. Billing Determinants'!$I$41*$D50, VLOOKUP(U$4,'4. Billing Determinants'!$B$19:$R$41,3,0)/'4. Billing Determinants'!$D$41*$D50))))),0)</f>
        <v>0</v>
      </c>
      <c r="V50" s="40">
        <f>IFERROR(IF(V$4="",0,IF($E50="kWh",VLOOKUP(V$4,'4. Billing Determinants'!$B$19:$R$41,4,0)/'4. Billing Determinants'!$E$41*$D50,IF($E50="kW",VLOOKUP(V$4,'4. Billing Determinants'!$B$19:$R$41,5,0)/'4. Billing Determinants'!$F$41*$D50,IF($E50="Non-RPP kWh",VLOOKUP(V$4,'4. Billing Determinants'!$B$19:$R$41,6,0)/'4. Billing Determinants'!$G$41*$D50,IF($E50="Distribution Rev.",VLOOKUP(V$4,'4. Billing Determinants'!$B$19:$R$41,8,0)/'4. Billing Determinants'!$I$41*$D50, VLOOKUP(V$4,'4. Billing Determinants'!$B$19:$R$41,3,0)/'4. Billing Determinants'!$D$41*$D50))))),0)</f>
        <v>0</v>
      </c>
      <c r="W50" s="40">
        <f>IFERROR(IF(W$4="",0,IF($E50="kWh",VLOOKUP(W$4,'4. Billing Determinants'!$B$19:$R$41,4,0)/'4. Billing Determinants'!$E$41*$D50,IF($E50="kW",VLOOKUP(W$4,'4. Billing Determinants'!$B$19:$R$41,5,0)/'4. Billing Determinants'!$F$41*$D50,IF($E50="Non-RPP kWh",VLOOKUP(W$4,'4. Billing Determinants'!$B$19:$R$41,6,0)/'4. Billing Determinants'!$G$41*$D50,IF($E50="Distribution Rev.",VLOOKUP(W$4,'4. Billing Determinants'!$B$19:$R$41,8,0)/'4. Billing Determinants'!$I$41*$D50, VLOOKUP(W$4,'4. Billing Determinants'!$B$19:$R$41,3,0)/'4. Billing Determinants'!$D$41*$D50))))),0)</f>
        <v>0</v>
      </c>
      <c r="X50" s="40">
        <f>IFERROR(IF(X$4="",0,IF($E50="kWh",VLOOKUP(X$4,'4. Billing Determinants'!$B$19:$R$41,4,0)/'4. Billing Determinants'!$E$41*$D50,IF($E50="kW",VLOOKUP(X$4,'4. Billing Determinants'!$B$19:$R$41,5,0)/'4. Billing Determinants'!$F$41*$D50,IF($E50="Non-RPP kWh",VLOOKUP(X$4,'4. Billing Determinants'!$B$19:$R$41,6,0)/'4. Billing Determinants'!$G$41*$D50,IF($E50="Distribution Rev.",VLOOKUP(X$4,'4. Billing Determinants'!$B$19:$R$41,8,0)/'4. Billing Determinants'!$I$41*$D50, VLOOKUP(X$4,'4. Billing Determinants'!$B$19:$R$41,3,0)/'4. Billing Determinants'!$D$41*$D50))))),0)</f>
        <v>0</v>
      </c>
      <c r="Y50" s="40">
        <f>IFERROR(IF(Y$4="",0,IF($E50="kWh",VLOOKUP(Y$4,'4. Billing Determinants'!$B$19:$R$41,4,0)/'4. Billing Determinants'!$E$41*$D50,IF($E50="kW",VLOOKUP(Y$4,'4. Billing Determinants'!$B$19:$R$41,5,0)/'4. Billing Determinants'!$F$41*$D50,IF($E50="Non-RPP kWh",VLOOKUP(Y$4,'4. Billing Determinants'!$B$19:$R$41,6,0)/'4. Billing Determinants'!$G$41*$D50,IF($E50="Distribution Rev.",VLOOKUP(Y$4,'4. Billing Determinants'!$B$19:$R$41,8,0)/'4. Billing Determinants'!$I$41*$D50, VLOOKUP(Y$4,'4. Billing Determinants'!$B$19:$R$41,3,0)/'4. Billing Determinants'!$D$41*$D50))))),0)</f>
        <v>0</v>
      </c>
    </row>
    <row r="51" spans="1:25" x14ac:dyDescent="0.25">
      <c r="A51" s="278">
        <v>28</v>
      </c>
      <c r="B51" s="38" t="s">
        <v>24</v>
      </c>
      <c r="C51" s="39">
        <v>1582</v>
      </c>
      <c r="D51" s="40">
        <f>'2b. Continuity Schedule'!BT77</f>
        <v>0</v>
      </c>
      <c r="E51" s="61" t="s">
        <v>139</v>
      </c>
      <c r="F51" s="40">
        <f>IFERROR(IF(F$4="",0,IF($E51="kWh",VLOOKUP(F$4,'4. Billing Determinants'!$B$19:$R$41,4,0)/'4. Billing Determinants'!$E$41*$D51,IF($E51="kW",VLOOKUP(F$4,'4. Billing Determinants'!$B$19:$R$41,5,0)/'4. Billing Determinants'!$F$41*$D51,IF($E51="Non-RPP kWh",VLOOKUP(F$4,'4. Billing Determinants'!$B$19:$R$41,6,0)/'4. Billing Determinants'!$G$41*$D51,IF($E51="Distribution Rev.",VLOOKUP(F$4,'4. Billing Determinants'!$B$19:$R$41,8,0)/'4. Billing Determinants'!$I$41*$D51, VLOOKUP(F$4,'4. Billing Determinants'!$B$19:$R$41,3,0)/'4. Billing Determinants'!$D$41*$D51))))),0)</f>
        <v>0</v>
      </c>
      <c r="G51" s="40">
        <f>IFERROR(IF(G$4="",0,IF($E51="kWh",VLOOKUP(G$4,'4. Billing Determinants'!$B$19:$R$41,4,0)/'4. Billing Determinants'!$E$41*$D51,IF($E51="kW",VLOOKUP(G$4,'4. Billing Determinants'!$B$19:$R$41,5,0)/'4. Billing Determinants'!$F$41*$D51,IF($E51="Non-RPP kWh",VLOOKUP(G$4,'4. Billing Determinants'!$B$19:$R$41,6,0)/'4. Billing Determinants'!$G$41*$D51,IF($E51="Distribution Rev.",VLOOKUP(G$4,'4. Billing Determinants'!$B$19:$R$41,8,0)/'4. Billing Determinants'!$I$41*$D51, VLOOKUP(G$4,'4. Billing Determinants'!$B$19:$R$41,3,0)/'4. Billing Determinants'!$D$41*$D51))))),0)</f>
        <v>0</v>
      </c>
      <c r="H51" s="40">
        <f>IFERROR(IF(H$4="",0,IF($E51="kWh",VLOOKUP(H$4,'4. Billing Determinants'!$B$19:$R$41,4,0)/'4. Billing Determinants'!$E$41*$D51,IF($E51="kW",VLOOKUP(H$4,'4. Billing Determinants'!$B$19:$R$41,5,0)/'4. Billing Determinants'!$F$41*$D51,IF($E51="Non-RPP kWh",VLOOKUP(H$4,'4. Billing Determinants'!$B$19:$R$41,6,0)/'4. Billing Determinants'!$G$41*$D51,IF($E51="Distribution Rev.",VLOOKUP(H$4,'4. Billing Determinants'!$B$19:$R$41,8,0)/'4. Billing Determinants'!$I$41*$D51, VLOOKUP(H$4,'4. Billing Determinants'!$B$19:$R$41,3,0)/'4. Billing Determinants'!$D$41*$D51))))),0)</f>
        <v>0</v>
      </c>
      <c r="I51" s="40">
        <f>IFERROR(IF(I$4="",0,IF($E51="kWh",VLOOKUP(I$4,'4. Billing Determinants'!$B$19:$R$41,4,0)/'4. Billing Determinants'!$E$41*$D51,IF($E51="kW",VLOOKUP(I$4,'4. Billing Determinants'!$B$19:$R$41,5,0)/'4. Billing Determinants'!$F$41*$D51,IF($E51="Non-RPP kWh",VLOOKUP(I$4,'4. Billing Determinants'!$B$19:$R$41,6,0)/'4. Billing Determinants'!$G$41*$D51,IF($E51="Distribution Rev.",VLOOKUP(I$4,'4. Billing Determinants'!$B$19:$R$41,8,0)/'4. Billing Determinants'!$I$41*$D51, VLOOKUP(I$4,'4. Billing Determinants'!$B$19:$R$41,3,0)/'4. Billing Determinants'!$D$41*$D51))))),0)</f>
        <v>0</v>
      </c>
      <c r="J51" s="40">
        <f>IFERROR(IF(J$4="",0,IF($E51="kWh",VLOOKUP(J$4,'4. Billing Determinants'!$B$19:$R$41,4,0)/'4. Billing Determinants'!$E$41*$D51,IF($E51="kW",VLOOKUP(J$4,'4. Billing Determinants'!$B$19:$R$41,5,0)/'4. Billing Determinants'!$F$41*$D51,IF($E51="Non-RPP kWh",VLOOKUP(J$4,'4. Billing Determinants'!$B$19:$R$41,6,0)/'4. Billing Determinants'!$G$41*$D51,IF($E51="Distribution Rev.",VLOOKUP(J$4,'4. Billing Determinants'!$B$19:$R$41,8,0)/'4. Billing Determinants'!$I$41*$D51, VLOOKUP(J$4,'4. Billing Determinants'!$B$19:$R$41,3,0)/'4. Billing Determinants'!$D$41*$D51))))),0)</f>
        <v>0</v>
      </c>
      <c r="K51" s="40">
        <f>IFERROR(IF(K$4="",0,IF($E51="kWh",VLOOKUP(K$4,'4. Billing Determinants'!$B$19:$R$41,4,0)/'4. Billing Determinants'!$E$41*$D51,IF($E51="kW",VLOOKUP(K$4,'4. Billing Determinants'!$B$19:$R$41,5,0)/'4. Billing Determinants'!$F$41*$D51,IF($E51="Non-RPP kWh",VLOOKUP(K$4,'4. Billing Determinants'!$B$19:$R$41,6,0)/'4. Billing Determinants'!$G$41*$D51,IF($E51="Distribution Rev.",VLOOKUP(K$4,'4. Billing Determinants'!$B$19:$R$41,8,0)/'4. Billing Determinants'!$I$41*$D51, VLOOKUP(K$4,'4. Billing Determinants'!$B$19:$R$41,3,0)/'4. Billing Determinants'!$D$41*$D51))))),0)</f>
        <v>0</v>
      </c>
      <c r="L51" s="40">
        <f>IFERROR(IF(L$4="",0,IF($E51="kWh",VLOOKUP(L$4,'4. Billing Determinants'!$B$19:$R$41,4,0)/'4. Billing Determinants'!$E$41*$D51,IF($E51="kW",VLOOKUP(L$4,'4. Billing Determinants'!$B$19:$R$41,5,0)/'4. Billing Determinants'!$F$41*$D51,IF($E51="Non-RPP kWh",VLOOKUP(L$4,'4. Billing Determinants'!$B$19:$R$41,6,0)/'4. Billing Determinants'!$G$41*$D51,IF($E51="Distribution Rev.",VLOOKUP(L$4,'4. Billing Determinants'!$B$19:$R$41,8,0)/'4. Billing Determinants'!$I$41*$D51, VLOOKUP(L$4,'4. Billing Determinants'!$B$19:$R$41,3,0)/'4. Billing Determinants'!$D$41*$D51))))),0)</f>
        <v>0</v>
      </c>
      <c r="M51" s="40">
        <f>IFERROR(IF(M$4="",0,IF($E51="kWh",VLOOKUP(M$4,'4. Billing Determinants'!$B$19:$R$41,4,0)/'4. Billing Determinants'!$E$41*$D51,IF($E51="kW",VLOOKUP(M$4,'4. Billing Determinants'!$B$19:$R$41,5,0)/'4. Billing Determinants'!$F$41*$D51,IF($E51="Non-RPP kWh",VLOOKUP(M$4,'4. Billing Determinants'!$B$19:$R$41,6,0)/'4. Billing Determinants'!$G$41*$D51,IF($E51="Distribution Rev.",VLOOKUP(M$4,'4. Billing Determinants'!$B$19:$R$41,8,0)/'4. Billing Determinants'!$I$41*$D51, VLOOKUP(M$4,'4. Billing Determinants'!$B$19:$R$41,3,0)/'4. Billing Determinants'!$D$41*$D51))))),0)</f>
        <v>0</v>
      </c>
      <c r="N51" s="40">
        <f>IFERROR(IF(N$4="",0,IF($E51="kWh",VLOOKUP(N$4,'4. Billing Determinants'!$B$19:$R$41,4,0)/'4. Billing Determinants'!$E$41*$D51,IF($E51="kW",VLOOKUP(N$4,'4. Billing Determinants'!$B$19:$R$41,5,0)/'4. Billing Determinants'!$F$41*$D51,IF($E51="Non-RPP kWh",VLOOKUP(N$4,'4. Billing Determinants'!$B$19:$R$41,6,0)/'4. Billing Determinants'!$G$41*$D51,IF($E51="Distribution Rev.",VLOOKUP(N$4,'4. Billing Determinants'!$B$19:$R$41,8,0)/'4. Billing Determinants'!$I$41*$D51, VLOOKUP(N$4,'4. Billing Determinants'!$B$19:$R$41,3,0)/'4. Billing Determinants'!$D$41*$D51))))),0)</f>
        <v>0</v>
      </c>
      <c r="O51" s="40">
        <f>IFERROR(IF(O$4="",0,IF($E51="kWh",VLOOKUP(O$4,'4. Billing Determinants'!$B$19:$R$41,4,0)/'4. Billing Determinants'!$E$41*$D51,IF($E51="kW",VLOOKUP(O$4,'4. Billing Determinants'!$B$19:$R$41,5,0)/'4. Billing Determinants'!$F$41*$D51,IF($E51="Non-RPP kWh",VLOOKUP(O$4,'4. Billing Determinants'!$B$19:$R$41,6,0)/'4. Billing Determinants'!$G$41*$D51,IF($E51="Distribution Rev.",VLOOKUP(O$4,'4. Billing Determinants'!$B$19:$R$41,8,0)/'4. Billing Determinants'!$I$41*$D51, VLOOKUP(O$4,'4. Billing Determinants'!$B$19:$R$41,3,0)/'4. Billing Determinants'!$D$41*$D51))))),0)</f>
        <v>0</v>
      </c>
      <c r="P51" s="40">
        <f>IFERROR(IF(P$4="",0,IF($E51="kWh",VLOOKUP(P$4,'4. Billing Determinants'!$B$19:$R$41,4,0)/'4. Billing Determinants'!$E$41*$D51,IF($E51="kW",VLOOKUP(P$4,'4. Billing Determinants'!$B$19:$R$41,5,0)/'4. Billing Determinants'!$F$41*$D51,IF($E51="Non-RPP kWh",VLOOKUP(P$4,'4. Billing Determinants'!$B$19:$R$41,6,0)/'4. Billing Determinants'!$G$41*$D51,IF($E51="Distribution Rev.",VLOOKUP(P$4,'4. Billing Determinants'!$B$19:$R$41,8,0)/'4. Billing Determinants'!$I$41*$D51, VLOOKUP(P$4,'4. Billing Determinants'!$B$19:$R$41,3,0)/'4. Billing Determinants'!$D$41*$D51))))),0)</f>
        <v>0</v>
      </c>
      <c r="Q51" s="40">
        <f>IFERROR(IF(Q$4="",0,IF($E51="kWh",VLOOKUP(Q$4,'4. Billing Determinants'!$B$19:$R$41,4,0)/'4. Billing Determinants'!$E$41*$D51,IF($E51="kW",VLOOKUP(Q$4,'4. Billing Determinants'!$B$19:$R$41,5,0)/'4. Billing Determinants'!$F$41*$D51,IF($E51="Non-RPP kWh",VLOOKUP(Q$4,'4. Billing Determinants'!$B$19:$R$41,6,0)/'4. Billing Determinants'!$G$41*$D51,IF($E51="Distribution Rev.",VLOOKUP(Q$4,'4. Billing Determinants'!$B$19:$R$41,8,0)/'4. Billing Determinants'!$I$41*$D51, VLOOKUP(Q$4,'4. Billing Determinants'!$B$19:$R$41,3,0)/'4. Billing Determinants'!$D$41*$D51))))),0)</f>
        <v>0</v>
      </c>
      <c r="R51" s="40">
        <f>IFERROR(IF(R$4="",0,IF($E51="kWh",VLOOKUP(R$4,'4. Billing Determinants'!$B$19:$R$41,4,0)/'4. Billing Determinants'!$E$41*$D51,IF($E51="kW",VLOOKUP(R$4,'4. Billing Determinants'!$B$19:$R$41,5,0)/'4. Billing Determinants'!$F$41*$D51,IF($E51="Non-RPP kWh",VLOOKUP(R$4,'4. Billing Determinants'!$B$19:$R$41,6,0)/'4. Billing Determinants'!$G$41*$D51,IF($E51="Distribution Rev.",VLOOKUP(R$4,'4. Billing Determinants'!$B$19:$R$41,8,0)/'4. Billing Determinants'!$I$41*$D51, VLOOKUP(R$4,'4. Billing Determinants'!$B$19:$R$41,3,0)/'4. Billing Determinants'!$D$41*$D51))))),0)</f>
        <v>0</v>
      </c>
      <c r="S51" s="40">
        <f>IFERROR(IF(S$4="",0,IF($E51="kWh",VLOOKUP(S$4,'4. Billing Determinants'!$B$19:$R$41,4,0)/'4. Billing Determinants'!$E$41*$D51,IF($E51="kW",VLOOKUP(S$4,'4. Billing Determinants'!$B$19:$R$41,5,0)/'4. Billing Determinants'!$F$41*$D51,IF($E51="Non-RPP kWh",VLOOKUP(S$4,'4. Billing Determinants'!$B$19:$R$41,6,0)/'4. Billing Determinants'!$G$41*$D51,IF($E51="Distribution Rev.",VLOOKUP(S$4,'4. Billing Determinants'!$B$19:$R$41,8,0)/'4. Billing Determinants'!$I$41*$D51, VLOOKUP(S$4,'4. Billing Determinants'!$B$19:$R$41,3,0)/'4. Billing Determinants'!$D$41*$D51))))),0)</f>
        <v>0</v>
      </c>
      <c r="T51" s="40">
        <f>IFERROR(IF(T$4="",0,IF($E51="kWh",VLOOKUP(T$4,'4. Billing Determinants'!$B$19:$R$41,4,0)/'4. Billing Determinants'!$E$41*$D51,IF($E51="kW",VLOOKUP(T$4,'4. Billing Determinants'!$B$19:$R$41,5,0)/'4. Billing Determinants'!$F$41*$D51,IF($E51="Non-RPP kWh",VLOOKUP(T$4,'4. Billing Determinants'!$B$19:$R$41,6,0)/'4. Billing Determinants'!$G$41*$D51,IF($E51="Distribution Rev.",VLOOKUP(T$4,'4. Billing Determinants'!$B$19:$R$41,8,0)/'4. Billing Determinants'!$I$41*$D51, VLOOKUP(T$4,'4. Billing Determinants'!$B$19:$R$41,3,0)/'4. Billing Determinants'!$D$41*$D51))))),0)</f>
        <v>0</v>
      </c>
      <c r="U51" s="40">
        <f>IFERROR(IF(U$4="",0,IF($E51="kWh",VLOOKUP(U$4,'4. Billing Determinants'!$B$19:$R$41,4,0)/'4. Billing Determinants'!$E$41*$D51,IF($E51="kW",VLOOKUP(U$4,'4. Billing Determinants'!$B$19:$R$41,5,0)/'4. Billing Determinants'!$F$41*$D51,IF($E51="Non-RPP kWh",VLOOKUP(U$4,'4. Billing Determinants'!$B$19:$R$41,6,0)/'4. Billing Determinants'!$G$41*$D51,IF($E51="Distribution Rev.",VLOOKUP(U$4,'4. Billing Determinants'!$B$19:$R$41,8,0)/'4. Billing Determinants'!$I$41*$D51, VLOOKUP(U$4,'4. Billing Determinants'!$B$19:$R$41,3,0)/'4. Billing Determinants'!$D$41*$D51))))),0)</f>
        <v>0</v>
      </c>
      <c r="V51" s="40">
        <f>IFERROR(IF(V$4="",0,IF($E51="kWh",VLOOKUP(V$4,'4. Billing Determinants'!$B$19:$R$41,4,0)/'4. Billing Determinants'!$E$41*$D51,IF($E51="kW",VLOOKUP(V$4,'4. Billing Determinants'!$B$19:$R$41,5,0)/'4. Billing Determinants'!$F$41*$D51,IF($E51="Non-RPP kWh",VLOOKUP(V$4,'4. Billing Determinants'!$B$19:$R$41,6,0)/'4. Billing Determinants'!$G$41*$D51,IF($E51="Distribution Rev.",VLOOKUP(V$4,'4. Billing Determinants'!$B$19:$R$41,8,0)/'4. Billing Determinants'!$I$41*$D51, VLOOKUP(V$4,'4. Billing Determinants'!$B$19:$R$41,3,0)/'4. Billing Determinants'!$D$41*$D51))))),0)</f>
        <v>0</v>
      </c>
      <c r="W51" s="40">
        <f>IFERROR(IF(W$4="",0,IF($E51="kWh",VLOOKUP(W$4,'4. Billing Determinants'!$B$19:$R$41,4,0)/'4. Billing Determinants'!$E$41*$D51,IF($E51="kW",VLOOKUP(W$4,'4. Billing Determinants'!$B$19:$R$41,5,0)/'4. Billing Determinants'!$F$41*$D51,IF($E51="Non-RPP kWh",VLOOKUP(W$4,'4. Billing Determinants'!$B$19:$R$41,6,0)/'4. Billing Determinants'!$G$41*$D51,IF($E51="Distribution Rev.",VLOOKUP(W$4,'4. Billing Determinants'!$B$19:$R$41,8,0)/'4. Billing Determinants'!$I$41*$D51, VLOOKUP(W$4,'4. Billing Determinants'!$B$19:$R$41,3,0)/'4. Billing Determinants'!$D$41*$D51))))),0)</f>
        <v>0</v>
      </c>
      <c r="X51" s="40">
        <f>IFERROR(IF(X$4="",0,IF($E51="kWh",VLOOKUP(X$4,'4. Billing Determinants'!$B$19:$R$41,4,0)/'4. Billing Determinants'!$E$41*$D51,IF($E51="kW",VLOOKUP(X$4,'4. Billing Determinants'!$B$19:$R$41,5,0)/'4. Billing Determinants'!$F$41*$D51,IF($E51="Non-RPP kWh",VLOOKUP(X$4,'4. Billing Determinants'!$B$19:$R$41,6,0)/'4. Billing Determinants'!$G$41*$D51,IF($E51="Distribution Rev.",VLOOKUP(X$4,'4. Billing Determinants'!$B$19:$R$41,8,0)/'4. Billing Determinants'!$I$41*$D51, VLOOKUP(X$4,'4. Billing Determinants'!$B$19:$R$41,3,0)/'4. Billing Determinants'!$D$41*$D51))))),0)</f>
        <v>0</v>
      </c>
      <c r="Y51" s="40">
        <f>IFERROR(IF(Y$4="",0,IF($E51="kWh",VLOOKUP(Y$4,'4. Billing Determinants'!$B$19:$R$41,4,0)/'4. Billing Determinants'!$E$41*$D51,IF($E51="kW",VLOOKUP(Y$4,'4. Billing Determinants'!$B$19:$R$41,5,0)/'4. Billing Determinants'!$F$41*$D51,IF($E51="Non-RPP kWh",VLOOKUP(Y$4,'4. Billing Determinants'!$B$19:$R$41,6,0)/'4. Billing Determinants'!$G$41*$D51,IF($E51="Distribution Rev.",VLOOKUP(Y$4,'4. Billing Determinants'!$B$19:$R$41,8,0)/'4. Billing Determinants'!$I$41*$D51, VLOOKUP(Y$4,'4. Billing Determinants'!$B$19:$R$41,3,0)/'4. Billing Determinants'!$D$41*$D51))))),0)</f>
        <v>0</v>
      </c>
    </row>
    <row r="52" spans="1:25" x14ac:dyDescent="0.25">
      <c r="A52" s="122">
        <v>29</v>
      </c>
      <c r="B52" s="41" t="s">
        <v>7</v>
      </c>
      <c r="C52" s="39">
        <v>2425</v>
      </c>
      <c r="D52" s="40">
        <f>'2b. Continuity Schedule'!BT78</f>
        <v>0</v>
      </c>
      <c r="E52" s="61" t="s">
        <v>139</v>
      </c>
      <c r="F52" s="40">
        <f>IFERROR(IF(F$4="",0,IF($E52="kWh",VLOOKUP(F$4,'4. Billing Determinants'!$B$19:$R$41,4,0)/'4. Billing Determinants'!$E$41*$D52,IF($E52="kW",VLOOKUP(F$4,'4. Billing Determinants'!$B$19:$R$41,5,0)/'4. Billing Determinants'!$F$41*$D52,IF($E52="Non-RPP kWh",VLOOKUP(F$4,'4. Billing Determinants'!$B$19:$R$41,6,0)/'4. Billing Determinants'!$G$41*$D52,IF($E52="Distribution Rev.",VLOOKUP(F$4,'4. Billing Determinants'!$B$19:$R$41,8,0)/'4. Billing Determinants'!$I$41*$D52, VLOOKUP(F$4,'4. Billing Determinants'!$B$19:$R$41,3,0)/'4. Billing Determinants'!$D$41*$D52))))),0)</f>
        <v>0</v>
      </c>
      <c r="G52" s="40">
        <f>IFERROR(IF(G$4="",0,IF($E52="kWh",VLOOKUP(G$4,'4. Billing Determinants'!$B$19:$R$41,4,0)/'4. Billing Determinants'!$E$41*$D52,IF($E52="kW",VLOOKUP(G$4,'4. Billing Determinants'!$B$19:$R$41,5,0)/'4. Billing Determinants'!$F$41*$D52,IF($E52="Non-RPP kWh",VLOOKUP(G$4,'4. Billing Determinants'!$B$19:$R$41,6,0)/'4. Billing Determinants'!$G$41*$D52,IF($E52="Distribution Rev.",VLOOKUP(G$4,'4. Billing Determinants'!$B$19:$R$41,8,0)/'4. Billing Determinants'!$I$41*$D52, VLOOKUP(G$4,'4. Billing Determinants'!$B$19:$R$41,3,0)/'4. Billing Determinants'!$D$41*$D52))))),0)</f>
        <v>0</v>
      </c>
      <c r="H52" s="40">
        <f>IFERROR(IF(H$4="",0,IF($E52="kWh",VLOOKUP(H$4,'4. Billing Determinants'!$B$19:$R$41,4,0)/'4. Billing Determinants'!$E$41*$D52,IF($E52="kW",VLOOKUP(H$4,'4. Billing Determinants'!$B$19:$R$41,5,0)/'4. Billing Determinants'!$F$41*$D52,IF($E52="Non-RPP kWh",VLOOKUP(H$4,'4. Billing Determinants'!$B$19:$R$41,6,0)/'4. Billing Determinants'!$G$41*$D52,IF($E52="Distribution Rev.",VLOOKUP(H$4,'4. Billing Determinants'!$B$19:$R$41,8,0)/'4. Billing Determinants'!$I$41*$D52, VLOOKUP(H$4,'4. Billing Determinants'!$B$19:$R$41,3,0)/'4. Billing Determinants'!$D$41*$D52))))),0)</f>
        <v>0</v>
      </c>
      <c r="I52" s="40">
        <f>IFERROR(IF(I$4="",0,IF($E52="kWh",VLOOKUP(I$4,'4. Billing Determinants'!$B$19:$R$41,4,0)/'4. Billing Determinants'!$E$41*$D52,IF($E52="kW",VLOOKUP(I$4,'4. Billing Determinants'!$B$19:$R$41,5,0)/'4. Billing Determinants'!$F$41*$D52,IF($E52="Non-RPP kWh",VLOOKUP(I$4,'4. Billing Determinants'!$B$19:$R$41,6,0)/'4. Billing Determinants'!$G$41*$D52,IF($E52="Distribution Rev.",VLOOKUP(I$4,'4. Billing Determinants'!$B$19:$R$41,8,0)/'4. Billing Determinants'!$I$41*$D52, VLOOKUP(I$4,'4. Billing Determinants'!$B$19:$R$41,3,0)/'4. Billing Determinants'!$D$41*$D52))))),0)</f>
        <v>0</v>
      </c>
      <c r="J52" s="40">
        <f>IFERROR(IF(J$4="",0,IF($E52="kWh",VLOOKUP(J$4,'4. Billing Determinants'!$B$19:$R$41,4,0)/'4. Billing Determinants'!$E$41*$D52,IF($E52="kW",VLOOKUP(J$4,'4. Billing Determinants'!$B$19:$R$41,5,0)/'4. Billing Determinants'!$F$41*$D52,IF($E52="Non-RPP kWh",VLOOKUP(J$4,'4. Billing Determinants'!$B$19:$R$41,6,0)/'4. Billing Determinants'!$G$41*$D52,IF($E52="Distribution Rev.",VLOOKUP(J$4,'4. Billing Determinants'!$B$19:$R$41,8,0)/'4. Billing Determinants'!$I$41*$D52, VLOOKUP(J$4,'4. Billing Determinants'!$B$19:$R$41,3,0)/'4. Billing Determinants'!$D$41*$D52))))),0)</f>
        <v>0</v>
      </c>
      <c r="K52" s="40">
        <f>IFERROR(IF(K$4="",0,IF($E52="kWh",VLOOKUP(K$4,'4. Billing Determinants'!$B$19:$R$41,4,0)/'4. Billing Determinants'!$E$41*$D52,IF($E52="kW",VLOOKUP(K$4,'4. Billing Determinants'!$B$19:$R$41,5,0)/'4. Billing Determinants'!$F$41*$D52,IF($E52="Non-RPP kWh",VLOOKUP(K$4,'4. Billing Determinants'!$B$19:$R$41,6,0)/'4. Billing Determinants'!$G$41*$D52,IF($E52="Distribution Rev.",VLOOKUP(K$4,'4. Billing Determinants'!$B$19:$R$41,8,0)/'4. Billing Determinants'!$I$41*$D52, VLOOKUP(K$4,'4. Billing Determinants'!$B$19:$R$41,3,0)/'4. Billing Determinants'!$D$41*$D52))))),0)</f>
        <v>0</v>
      </c>
      <c r="L52" s="40">
        <f>IFERROR(IF(L$4="",0,IF($E52="kWh",VLOOKUP(L$4,'4. Billing Determinants'!$B$19:$R$41,4,0)/'4. Billing Determinants'!$E$41*$D52,IF($E52="kW",VLOOKUP(L$4,'4. Billing Determinants'!$B$19:$R$41,5,0)/'4. Billing Determinants'!$F$41*$D52,IF($E52="Non-RPP kWh",VLOOKUP(L$4,'4. Billing Determinants'!$B$19:$R$41,6,0)/'4. Billing Determinants'!$G$41*$D52,IF($E52="Distribution Rev.",VLOOKUP(L$4,'4. Billing Determinants'!$B$19:$R$41,8,0)/'4. Billing Determinants'!$I$41*$D52, VLOOKUP(L$4,'4. Billing Determinants'!$B$19:$R$41,3,0)/'4. Billing Determinants'!$D$41*$D52))))),0)</f>
        <v>0</v>
      </c>
      <c r="M52" s="40">
        <f>IFERROR(IF(M$4="",0,IF($E52="kWh",VLOOKUP(M$4,'4. Billing Determinants'!$B$19:$R$41,4,0)/'4. Billing Determinants'!$E$41*$D52,IF($E52="kW",VLOOKUP(M$4,'4. Billing Determinants'!$B$19:$R$41,5,0)/'4. Billing Determinants'!$F$41*$D52,IF($E52="Non-RPP kWh",VLOOKUP(M$4,'4. Billing Determinants'!$B$19:$R$41,6,0)/'4. Billing Determinants'!$G$41*$D52,IF($E52="Distribution Rev.",VLOOKUP(M$4,'4. Billing Determinants'!$B$19:$R$41,8,0)/'4. Billing Determinants'!$I$41*$D52, VLOOKUP(M$4,'4. Billing Determinants'!$B$19:$R$41,3,0)/'4. Billing Determinants'!$D$41*$D52))))),0)</f>
        <v>0</v>
      </c>
      <c r="N52" s="40">
        <f>IFERROR(IF(N$4="",0,IF($E52="kWh",VLOOKUP(N$4,'4. Billing Determinants'!$B$19:$R$41,4,0)/'4. Billing Determinants'!$E$41*$D52,IF($E52="kW",VLOOKUP(N$4,'4. Billing Determinants'!$B$19:$R$41,5,0)/'4. Billing Determinants'!$F$41*$D52,IF($E52="Non-RPP kWh",VLOOKUP(N$4,'4. Billing Determinants'!$B$19:$R$41,6,0)/'4. Billing Determinants'!$G$41*$D52,IF($E52="Distribution Rev.",VLOOKUP(N$4,'4. Billing Determinants'!$B$19:$R$41,8,0)/'4. Billing Determinants'!$I$41*$D52, VLOOKUP(N$4,'4. Billing Determinants'!$B$19:$R$41,3,0)/'4. Billing Determinants'!$D$41*$D52))))),0)</f>
        <v>0</v>
      </c>
      <c r="O52" s="40">
        <f>IFERROR(IF(O$4="",0,IF($E52="kWh",VLOOKUP(O$4,'4. Billing Determinants'!$B$19:$R$41,4,0)/'4. Billing Determinants'!$E$41*$D52,IF($E52="kW",VLOOKUP(O$4,'4. Billing Determinants'!$B$19:$R$41,5,0)/'4. Billing Determinants'!$F$41*$D52,IF($E52="Non-RPP kWh",VLOOKUP(O$4,'4. Billing Determinants'!$B$19:$R$41,6,0)/'4. Billing Determinants'!$G$41*$D52,IF($E52="Distribution Rev.",VLOOKUP(O$4,'4. Billing Determinants'!$B$19:$R$41,8,0)/'4. Billing Determinants'!$I$41*$D52, VLOOKUP(O$4,'4. Billing Determinants'!$B$19:$R$41,3,0)/'4. Billing Determinants'!$D$41*$D52))))),0)</f>
        <v>0</v>
      </c>
      <c r="P52" s="40">
        <f>IFERROR(IF(P$4="",0,IF($E52="kWh",VLOOKUP(P$4,'4. Billing Determinants'!$B$19:$R$41,4,0)/'4. Billing Determinants'!$E$41*$D52,IF($E52="kW",VLOOKUP(P$4,'4. Billing Determinants'!$B$19:$R$41,5,0)/'4. Billing Determinants'!$F$41*$D52,IF($E52="Non-RPP kWh",VLOOKUP(P$4,'4. Billing Determinants'!$B$19:$R$41,6,0)/'4. Billing Determinants'!$G$41*$D52,IF($E52="Distribution Rev.",VLOOKUP(P$4,'4. Billing Determinants'!$B$19:$R$41,8,0)/'4. Billing Determinants'!$I$41*$D52, VLOOKUP(P$4,'4. Billing Determinants'!$B$19:$R$41,3,0)/'4. Billing Determinants'!$D$41*$D52))))),0)</f>
        <v>0</v>
      </c>
      <c r="Q52" s="40">
        <f>IFERROR(IF(Q$4="",0,IF($E52="kWh",VLOOKUP(Q$4,'4. Billing Determinants'!$B$19:$R$41,4,0)/'4. Billing Determinants'!$E$41*$D52,IF($E52="kW",VLOOKUP(Q$4,'4. Billing Determinants'!$B$19:$R$41,5,0)/'4. Billing Determinants'!$F$41*$D52,IF($E52="Non-RPP kWh",VLOOKUP(Q$4,'4. Billing Determinants'!$B$19:$R$41,6,0)/'4. Billing Determinants'!$G$41*$D52,IF($E52="Distribution Rev.",VLOOKUP(Q$4,'4. Billing Determinants'!$B$19:$R$41,8,0)/'4. Billing Determinants'!$I$41*$D52, VLOOKUP(Q$4,'4. Billing Determinants'!$B$19:$R$41,3,0)/'4. Billing Determinants'!$D$41*$D52))))),0)</f>
        <v>0</v>
      </c>
      <c r="R52" s="40">
        <f>IFERROR(IF(R$4="",0,IF($E52="kWh",VLOOKUP(R$4,'4. Billing Determinants'!$B$19:$R$41,4,0)/'4. Billing Determinants'!$E$41*$D52,IF($E52="kW",VLOOKUP(R$4,'4. Billing Determinants'!$B$19:$R$41,5,0)/'4. Billing Determinants'!$F$41*$D52,IF($E52="Non-RPP kWh",VLOOKUP(R$4,'4. Billing Determinants'!$B$19:$R$41,6,0)/'4. Billing Determinants'!$G$41*$D52,IF($E52="Distribution Rev.",VLOOKUP(R$4,'4. Billing Determinants'!$B$19:$R$41,8,0)/'4. Billing Determinants'!$I$41*$D52, VLOOKUP(R$4,'4. Billing Determinants'!$B$19:$R$41,3,0)/'4. Billing Determinants'!$D$41*$D52))))),0)</f>
        <v>0</v>
      </c>
      <c r="S52" s="40">
        <f>IFERROR(IF(S$4="",0,IF($E52="kWh",VLOOKUP(S$4,'4. Billing Determinants'!$B$19:$R$41,4,0)/'4. Billing Determinants'!$E$41*$D52,IF($E52="kW",VLOOKUP(S$4,'4. Billing Determinants'!$B$19:$R$41,5,0)/'4. Billing Determinants'!$F$41*$D52,IF($E52="Non-RPP kWh",VLOOKUP(S$4,'4. Billing Determinants'!$B$19:$R$41,6,0)/'4. Billing Determinants'!$G$41*$D52,IF($E52="Distribution Rev.",VLOOKUP(S$4,'4. Billing Determinants'!$B$19:$R$41,8,0)/'4. Billing Determinants'!$I$41*$D52, VLOOKUP(S$4,'4. Billing Determinants'!$B$19:$R$41,3,0)/'4. Billing Determinants'!$D$41*$D52))))),0)</f>
        <v>0</v>
      </c>
      <c r="T52" s="40">
        <f>IFERROR(IF(T$4="",0,IF($E52="kWh",VLOOKUP(T$4,'4. Billing Determinants'!$B$19:$R$41,4,0)/'4. Billing Determinants'!$E$41*$D52,IF($E52="kW",VLOOKUP(T$4,'4. Billing Determinants'!$B$19:$R$41,5,0)/'4. Billing Determinants'!$F$41*$D52,IF($E52="Non-RPP kWh",VLOOKUP(T$4,'4. Billing Determinants'!$B$19:$R$41,6,0)/'4. Billing Determinants'!$G$41*$D52,IF($E52="Distribution Rev.",VLOOKUP(T$4,'4. Billing Determinants'!$B$19:$R$41,8,0)/'4. Billing Determinants'!$I$41*$D52, VLOOKUP(T$4,'4. Billing Determinants'!$B$19:$R$41,3,0)/'4. Billing Determinants'!$D$41*$D52))))),0)</f>
        <v>0</v>
      </c>
      <c r="U52" s="40">
        <f>IFERROR(IF(U$4="",0,IF($E52="kWh",VLOOKUP(U$4,'4. Billing Determinants'!$B$19:$R$41,4,0)/'4. Billing Determinants'!$E$41*$D52,IF($E52="kW",VLOOKUP(U$4,'4. Billing Determinants'!$B$19:$R$41,5,0)/'4. Billing Determinants'!$F$41*$D52,IF($E52="Non-RPP kWh",VLOOKUP(U$4,'4. Billing Determinants'!$B$19:$R$41,6,0)/'4. Billing Determinants'!$G$41*$D52,IF($E52="Distribution Rev.",VLOOKUP(U$4,'4. Billing Determinants'!$B$19:$R$41,8,0)/'4. Billing Determinants'!$I$41*$D52, VLOOKUP(U$4,'4. Billing Determinants'!$B$19:$R$41,3,0)/'4. Billing Determinants'!$D$41*$D52))))),0)</f>
        <v>0</v>
      </c>
      <c r="V52" s="40">
        <f>IFERROR(IF(V$4="",0,IF($E52="kWh",VLOOKUP(V$4,'4. Billing Determinants'!$B$19:$R$41,4,0)/'4. Billing Determinants'!$E$41*$D52,IF($E52="kW",VLOOKUP(V$4,'4. Billing Determinants'!$B$19:$R$41,5,0)/'4. Billing Determinants'!$F$41*$D52,IF($E52="Non-RPP kWh",VLOOKUP(V$4,'4. Billing Determinants'!$B$19:$R$41,6,0)/'4. Billing Determinants'!$G$41*$D52,IF($E52="Distribution Rev.",VLOOKUP(V$4,'4. Billing Determinants'!$B$19:$R$41,8,0)/'4. Billing Determinants'!$I$41*$D52, VLOOKUP(V$4,'4. Billing Determinants'!$B$19:$R$41,3,0)/'4. Billing Determinants'!$D$41*$D52))))),0)</f>
        <v>0</v>
      </c>
      <c r="W52" s="40">
        <f>IFERROR(IF(W$4="",0,IF($E52="kWh",VLOOKUP(W$4,'4. Billing Determinants'!$B$19:$R$41,4,0)/'4. Billing Determinants'!$E$41*$D52,IF($E52="kW",VLOOKUP(W$4,'4. Billing Determinants'!$B$19:$R$41,5,0)/'4. Billing Determinants'!$F$41*$D52,IF($E52="Non-RPP kWh",VLOOKUP(W$4,'4. Billing Determinants'!$B$19:$R$41,6,0)/'4. Billing Determinants'!$G$41*$D52,IF($E52="Distribution Rev.",VLOOKUP(W$4,'4. Billing Determinants'!$B$19:$R$41,8,0)/'4. Billing Determinants'!$I$41*$D52, VLOOKUP(W$4,'4. Billing Determinants'!$B$19:$R$41,3,0)/'4. Billing Determinants'!$D$41*$D52))))),0)</f>
        <v>0</v>
      </c>
      <c r="X52" s="40">
        <f>IFERROR(IF(X$4="",0,IF($E52="kWh",VLOOKUP(X$4,'4. Billing Determinants'!$B$19:$R$41,4,0)/'4. Billing Determinants'!$E$41*$D52,IF($E52="kW",VLOOKUP(X$4,'4. Billing Determinants'!$B$19:$R$41,5,0)/'4. Billing Determinants'!$F$41*$D52,IF($E52="Non-RPP kWh",VLOOKUP(X$4,'4. Billing Determinants'!$B$19:$R$41,6,0)/'4. Billing Determinants'!$G$41*$D52,IF($E52="Distribution Rev.",VLOOKUP(X$4,'4. Billing Determinants'!$B$19:$R$41,8,0)/'4. Billing Determinants'!$I$41*$D52, VLOOKUP(X$4,'4. Billing Determinants'!$B$19:$R$41,3,0)/'4. Billing Determinants'!$D$41*$D52))))),0)</f>
        <v>0</v>
      </c>
      <c r="Y52" s="40">
        <f>IFERROR(IF(Y$4="",0,IF($E52="kWh",VLOOKUP(Y$4,'4. Billing Determinants'!$B$19:$R$41,4,0)/'4. Billing Determinants'!$E$41*$D52,IF($E52="kW",VLOOKUP(Y$4,'4. Billing Determinants'!$B$19:$R$41,5,0)/'4. Billing Determinants'!$F$41*$D52,IF($E52="Non-RPP kWh",VLOOKUP(Y$4,'4. Billing Determinants'!$B$19:$R$41,6,0)/'4. Billing Determinants'!$G$41*$D52,IF($E52="Distribution Rev.",VLOOKUP(Y$4,'4. Billing Determinants'!$B$19:$R$41,8,0)/'4. Billing Determinants'!$I$41*$D52, VLOOKUP(Y$4,'4. Billing Determinants'!$B$19:$R$41,3,0)/'4. Billing Determinants'!$D$41*$D52))))),0)</f>
        <v>0</v>
      </c>
    </row>
    <row r="53" spans="1:25" s="2" customFormat="1" ht="13" hidden="1" x14ac:dyDescent="0.3">
      <c r="A53" s="122">
        <v>30</v>
      </c>
      <c r="B53" s="375" t="s">
        <v>58</v>
      </c>
      <c r="C53" s="148"/>
      <c r="D53" s="376">
        <f>SUM(D22:D52)</f>
        <v>0</v>
      </c>
      <c r="E53" s="148"/>
      <c r="F53" s="376">
        <f t="shared" ref="F53:Y53" si="1">SUM(F22:F52)</f>
        <v>0</v>
      </c>
      <c r="G53" s="376">
        <f t="shared" si="1"/>
        <v>0</v>
      </c>
      <c r="H53" s="376">
        <f t="shared" si="1"/>
        <v>0</v>
      </c>
      <c r="I53" s="376">
        <f t="shared" si="1"/>
        <v>0</v>
      </c>
      <c r="J53" s="376">
        <f t="shared" si="1"/>
        <v>0</v>
      </c>
      <c r="K53" s="376">
        <f t="shared" si="1"/>
        <v>0</v>
      </c>
      <c r="L53" s="376">
        <f t="shared" si="1"/>
        <v>0</v>
      </c>
      <c r="M53" s="376">
        <f t="shared" si="1"/>
        <v>0</v>
      </c>
      <c r="N53" s="376">
        <f t="shared" si="1"/>
        <v>0</v>
      </c>
      <c r="O53" s="376">
        <f t="shared" si="1"/>
        <v>0</v>
      </c>
      <c r="P53" s="376">
        <f t="shared" si="1"/>
        <v>0</v>
      </c>
      <c r="Q53" s="376">
        <f t="shared" si="1"/>
        <v>0</v>
      </c>
      <c r="R53" s="376">
        <f t="shared" si="1"/>
        <v>0</v>
      </c>
      <c r="S53" s="376">
        <f t="shared" si="1"/>
        <v>0</v>
      </c>
      <c r="T53" s="376">
        <f t="shared" si="1"/>
        <v>0</v>
      </c>
      <c r="U53" s="376">
        <f t="shared" si="1"/>
        <v>0</v>
      </c>
      <c r="V53" s="376">
        <f t="shared" si="1"/>
        <v>0</v>
      </c>
      <c r="W53" s="376">
        <f t="shared" si="1"/>
        <v>0</v>
      </c>
      <c r="X53" s="376">
        <f t="shared" si="1"/>
        <v>0</v>
      </c>
      <c r="Y53" s="376">
        <f t="shared" si="1"/>
        <v>0</v>
      </c>
    </row>
    <row r="54" spans="1:25" s="48" customFormat="1" ht="13" hidden="1" x14ac:dyDescent="0.3">
      <c r="A54" s="122">
        <v>31</v>
      </c>
      <c r="B54" s="45"/>
      <c r="C54" s="46"/>
      <c r="D54" s="47"/>
      <c r="E54" s="149"/>
      <c r="F54" s="47"/>
      <c r="G54" s="47"/>
      <c r="H54" s="47"/>
      <c r="I54" s="47"/>
      <c r="J54" s="47"/>
      <c r="K54" s="47"/>
      <c r="L54" s="47"/>
      <c r="M54" s="47"/>
      <c r="N54" s="47"/>
      <c r="O54" s="47"/>
      <c r="P54" s="47"/>
      <c r="Q54" s="47"/>
      <c r="R54" s="47"/>
      <c r="S54" s="47"/>
      <c r="T54" s="47"/>
      <c r="U54" s="47"/>
      <c r="V54" s="47"/>
      <c r="W54" s="47"/>
      <c r="X54" s="47"/>
      <c r="Y54" s="47"/>
    </row>
    <row r="55" spans="1:25" ht="25" x14ac:dyDescent="0.25">
      <c r="A55" s="278">
        <v>32</v>
      </c>
      <c r="B55" s="50" t="s">
        <v>61</v>
      </c>
      <c r="C55" s="49">
        <v>1592</v>
      </c>
      <c r="D55" s="40">
        <f>'2b. Continuity Schedule'!BT82</f>
        <v>0</v>
      </c>
      <c r="E55" s="61" t="s">
        <v>139</v>
      </c>
      <c r="F55" s="40">
        <f>IFERROR(IF(F$4="",0,IF($E55="kWh",VLOOKUP(F$4,'4. Billing Determinants'!$B$19:$R$41,4,0)/'4. Billing Determinants'!$E$41*$D55,IF($E55="kW",VLOOKUP(F$4,'4. Billing Determinants'!$B$19:$R$41,5,0)/'4. Billing Determinants'!$F$41*$D55,IF($E55="Non-RPP kWh",VLOOKUP(F$4,'4. Billing Determinants'!$B$19:$R$41,6,0)/'4. Billing Determinants'!$G$41*$D55,IF($E55="Distribution Rev.",VLOOKUP(F$4,'4. Billing Determinants'!$B$19:$R$41,8,0)/'4. Billing Determinants'!$I$41*$D55, VLOOKUP(F$4,'4. Billing Determinants'!$B$19:$R$41,3,0)/'4. Billing Determinants'!$D$41*$D55))))),0)</f>
        <v>0</v>
      </c>
      <c r="G55" s="40">
        <f>IFERROR(IF(G$4="",0,IF($E55="kWh",VLOOKUP(G$4,'4. Billing Determinants'!$B$19:$R$41,4,0)/'4. Billing Determinants'!$E$41*$D55,IF($E55="kW",VLOOKUP(G$4,'4. Billing Determinants'!$B$19:$R$41,5,0)/'4. Billing Determinants'!$F$41*$D55,IF($E55="Non-RPP kWh",VLOOKUP(G$4,'4. Billing Determinants'!$B$19:$R$41,6,0)/'4. Billing Determinants'!$G$41*$D55,IF($E55="Distribution Rev.",VLOOKUP(G$4,'4. Billing Determinants'!$B$19:$R$41,8,0)/'4. Billing Determinants'!$I$41*$D55, VLOOKUP(G$4,'4. Billing Determinants'!$B$19:$R$41,3,0)/'4. Billing Determinants'!$D$41*$D55))))),0)</f>
        <v>0</v>
      </c>
      <c r="H55" s="40">
        <f>IFERROR(IF(H$4="",0,IF($E55="kWh",VLOOKUP(H$4,'4. Billing Determinants'!$B$19:$R$41,4,0)/'4. Billing Determinants'!$E$41*$D55,IF($E55="kW",VLOOKUP(H$4,'4. Billing Determinants'!$B$19:$R$41,5,0)/'4. Billing Determinants'!$F$41*$D55,IF($E55="Non-RPP kWh",VLOOKUP(H$4,'4. Billing Determinants'!$B$19:$R$41,6,0)/'4. Billing Determinants'!$G$41*$D55,IF($E55="Distribution Rev.",VLOOKUP(H$4,'4. Billing Determinants'!$B$19:$R$41,8,0)/'4. Billing Determinants'!$I$41*$D55, VLOOKUP(H$4,'4. Billing Determinants'!$B$19:$R$41,3,0)/'4. Billing Determinants'!$D$41*$D55))))),0)</f>
        <v>0</v>
      </c>
      <c r="I55" s="40">
        <f>IFERROR(IF(I$4="",0,IF($E55="kWh",VLOOKUP(I$4,'4. Billing Determinants'!$B$19:$R$41,4,0)/'4. Billing Determinants'!$E$41*$D55,IF($E55="kW",VLOOKUP(I$4,'4. Billing Determinants'!$B$19:$R$41,5,0)/'4. Billing Determinants'!$F$41*$D55,IF($E55="Non-RPP kWh",VLOOKUP(I$4,'4. Billing Determinants'!$B$19:$R$41,6,0)/'4. Billing Determinants'!$G$41*$D55,IF($E55="Distribution Rev.",VLOOKUP(I$4,'4. Billing Determinants'!$B$19:$R$41,8,0)/'4. Billing Determinants'!$I$41*$D55, VLOOKUP(I$4,'4. Billing Determinants'!$B$19:$R$41,3,0)/'4. Billing Determinants'!$D$41*$D55))))),0)</f>
        <v>0</v>
      </c>
      <c r="J55" s="40">
        <f>IFERROR(IF(J$4="",0,IF($E55="kWh",VLOOKUP(J$4,'4. Billing Determinants'!$B$19:$R$41,4,0)/'4. Billing Determinants'!$E$41*$D55,IF($E55="kW",VLOOKUP(J$4,'4. Billing Determinants'!$B$19:$R$41,5,0)/'4. Billing Determinants'!$F$41*$D55,IF($E55="Non-RPP kWh",VLOOKUP(J$4,'4. Billing Determinants'!$B$19:$R$41,6,0)/'4. Billing Determinants'!$G$41*$D55,IF($E55="Distribution Rev.",VLOOKUP(J$4,'4. Billing Determinants'!$B$19:$R$41,8,0)/'4. Billing Determinants'!$I$41*$D55, VLOOKUP(J$4,'4. Billing Determinants'!$B$19:$R$41,3,0)/'4. Billing Determinants'!$D$41*$D55))))),0)</f>
        <v>0</v>
      </c>
      <c r="K55" s="40">
        <f>IFERROR(IF(K$4="",0,IF($E55="kWh",VLOOKUP(K$4,'4. Billing Determinants'!$B$19:$R$41,4,0)/'4. Billing Determinants'!$E$41*$D55,IF($E55="kW",VLOOKUP(K$4,'4. Billing Determinants'!$B$19:$R$41,5,0)/'4. Billing Determinants'!$F$41*$D55,IF($E55="Non-RPP kWh",VLOOKUP(K$4,'4. Billing Determinants'!$B$19:$R$41,6,0)/'4. Billing Determinants'!$G$41*$D55,IF($E55="Distribution Rev.",VLOOKUP(K$4,'4. Billing Determinants'!$B$19:$R$41,8,0)/'4. Billing Determinants'!$I$41*$D55, VLOOKUP(K$4,'4. Billing Determinants'!$B$19:$R$41,3,0)/'4. Billing Determinants'!$D$41*$D55))))),0)</f>
        <v>0</v>
      </c>
      <c r="L55" s="40">
        <f>IFERROR(IF(L$4="",0,IF($E55="kWh",VLOOKUP(L$4,'4. Billing Determinants'!$B$19:$R$41,4,0)/'4. Billing Determinants'!$E$41*$D55,IF($E55="kW",VLOOKUP(L$4,'4. Billing Determinants'!$B$19:$R$41,5,0)/'4. Billing Determinants'!$F$41*$D55,IF($E55="Non-RPP kWh",VLOOKUP(L$4,'4. Billing Determinants'!$B$19:$R$41,6,0)/'4. Billing Determinants'!$G$41*$D55,IF($E55="Distribution Rev.",VLOOKUP(L$4,'4. Billing Determinants'!$B$19:$R$41,8,0)/'4. Billing Determinants'!$I$41*$D55, VLOOKUP(L$4,'4. Billing Determinants'!$B$19:$R$41,3,0)/'4. Billing Determinants'!$D$41*$D55))))),0)</f>
        <v>0</v>
      </c>
      <c r="M55" s="40">
        <f>IFERROR(IF(M$4="",0,IF($E55="kWh",VLOOKUP(M$4,'4. Billing Determinants'!$B$19:$R$41,4,0)/'4. Billing Determinants'!$E$41*$D55,IF($E55="kW",VLOOKUP(M$4,'4. Billing Determinants'!$B$19:$R$41,5,0)/'4. Billing Determinants'!$F$41*$D55,IF($E55="Non-RPP kWh",VLOOKUP(M$4,'4. Billing Determinants'!$B$19:$R$41,6,0)/'4. Billing Determinants'!$G$41*$D55,IF($E55="Distribution Rev.",VLOOKUP(M$4,'4. Billing Determinants'!$B$19:$R$41,8,0)/'4. Billing Determinants'!$I$41*$D55, VLOOKUP(M$4,'4. Billing Determinants'!$B$19:$R$41,3,0)/'4. Billing Determinants'!$D$41*$D55))))),0)</f>
        <v>0</v>
      </c>
      <c r="N55" s="40">
        <f>IFERROR(IF(N$4="",0,IF($E55="kWh",VLOOKUP(N$4,'4. Billing Determinants'!$B$19:$R$41,4,0)/'4. Billing Determinants'!$E$41*$D55,IF($E55="kW",VLOOKUP(N$4,'4. Billing Determinants'!$B$19:$R$41,5,0)/'4. Billing Determinants'!$F$41*$D55,IF($E55="Non-RPP kWh",VLOOKUP(N$4,'4. Billing Determinants'!$B$19:$R$41,6,0)/'4. Billing Determinants'!$G$41*$D55,IF($E55="Distribution Rev.",VLOOKUP(N$4,'4. Billing Determinants'!$B$19:$R$41,8,0)/'4. Billing Determinants'!$I$41*$D55, VLOOKUP(N$4,'4. Billing Determinants'!$B$19:$R$41,3,0)/'4. Billing Determinants'!$D$41*$D55))))),0)</f>
        <v>0</v>
      </c>
      <c r="O55" s="40">
        <f>IFERROR(IF(O$4="",0,IF($E55="kWh",VLOOKUP(O$4,'4. Billing Determinants'!$B$19:$R$41,4,0)/'4. Billing Determinants'!$E$41*$D55,IF($E55="kW",VLOOKUP(O$4,'4. Billing Determinants'!$B$19:$R$41,5,0)/'4. Billing Determinants'!$F$41*$D55,IF($E55="Non-RPP kWh",VLOOKUP(O$4,'4. Billing Determinants'!$B$19:$R$41,6,0)/'4. Billing Determinants'!$G$41*$D55,IF($E55="Distribution Rev.",VLOOKUP(O$4,'4. Billing Determinants'!$B$19:$R$41,8,0)/'4. Billing Determinants'!$I$41*$D55, VLOOKUP(O$4,'4. Billing Determinants'!$B$19:$R$41,3,0)/'4. Billing Determinants'!$D$41*$D55))))),0)</f>
        <v>0</v>
      </c>
      <c r="P55" s="40">
        <f>IFERROR(IF(P$4="",0,IF($E55="kWh",VLOOKUP(P$4,'4. Billing Determinants'!$B$19:$R$41,4,0)/'4. Billing Determinants'!$E$41*$D55,IF($E55="kW",VLOOKUP(P$4,'4. Billing Determinants'!$B$19:$R$41,5,0)/'4. Billing Determinants'!$F$41*$D55,IF($E55="Non-RPP kWh",VLOOKUP(P$4,'4. Billing Determinants'!$B$19:$R$41,6,0)/'4. Billing Determinants'!$G$41*$D55,IF($E55="Distribution Rev.",VLOOKUP(P$4,'4. Billing Determinants'!$B$19:$R$41,8,0)/'4. Billing Determinants'!$I$41*$D55, VLOOKUP(P$4,'4. Billing Determinants'!$B$19:$R$41,3,0)/'4. Billing Determinants'!$D$41*$D55))))),0)</f>
        <v>0</v>
      </c>
      <c r="Q55" s="40">
        <f>IFERROR(IF(Q$4="",0,IF($E55="kWh",VLOOKUP(Q$4,'4. Billing Determinants'!$B$19:$R$41,4,0)/'4. Billing Determinants'!$E$41*$D55,IF($E55="kW",VLOOKUP(Q$4,'4. Billing Determinants'!$B$19:$R$41,5,0)/'4. Billing Determinants'!$F$41*$D55,IF($E55="Non-RPP kWh",VLOOKUP(Q$4,'4. Billing Determinants'!$B$19:$R$41,6,0)/'4. Billing Determinants'!$G$41*$D55,IF($E55="Distribution Rev.",VLOOKUP(Q$4,'4. Billing Determinants'!$B$19:$R$41,8,0)/'4. Billing Determinants'!$I$41*$D55, VLOOKUP(Q$4,'4. Billing Determinants'!$B$19:$R$41,3,0)/'4. Billing Determinants'!$D$41*$D55))))),0)</f>
        <v>0</v>
      </c>
      <c r="R55" s="40">
        <f>IFERROR(IF(R$4="",0,IF($E55="kWh",VLOOKUP(R$4,'4. Billing Determinants'!$B$19:$R$41,4,0)/'4. Billing Determinants'!$E$41*$D55,IF($E55="kW",VLOOKUP(R$4,'4. Billing Determinants'!$B$19:$R$41,5,0)/'4. Billing Determinants'!$F$41*$D55,IF($E55="Non-RPP kWh",VLOOKUP(R$4,'4. Billing Determinants'!$B$19:$R$41,6,0)/'4. Billing Determinants'!$G$41*$D55,IF($E55="Distribution Rev.",VLOOKUP(R$4,'4. Billing Determinants'!$B$19:$R$41,8,0)/'4. Billing Determinants'!$I$41*$D55, VLOOKUP(R$4,'4. Billing Determinants'!$B$19:$R$41,3,0)/'4. Billing Determinants'!$D$41*$D55))))),0)</f>
        <v>0</v>
      </c>
      <c r="S55" s="40">
        <f>IFERROR(IF(S$4="",0,IF($E55="kWh",VLOOKUP(S$4,'4. Billing Determinants'!$B$19:$R$41,4,0)/'4. Billing Determinants'!$E$41*$D55,IF($E55="kW",VLOOKUP(S$4,'4. Billing Determinants'!$B$19:$R$41,5,0)/'4. Billing Determinants'!$F$41*$D55,IF($E55="Non-RPP kWh",VLOOKUP(S$4,'4. Billing Determinants'!$B$19:$R$41,6,0)/'4. Billing Determinants'!$G$41*$D55,IF($E55="Distribution Rev.",VLOOKUP(S$4,'4. Billing Determinants'!$B$19:$R$41,8,0)/'4. Billing Determinants'!$I$41*$D55, VLOOKUP(S$4,'4. Billing Determinants'!$B$19:$R$41,3,0)/'4. Billing Determinants'!$D$41*$D55))))),0)</f>
        <v>0</v>
      </c>
      <c r="T55" s="40">
        <f>IFERROR(IF(T$4="",0,IF($E55="kWh",VLOOKUP(T$4,'4. Billing Determinants'!$B$19:$R$41,4,0)/'4. Billing Determinants'!$E$41*$D55,IF($E55="kW",VLOOKUP(T$4,'4. Billing Determinants'!$B$19:$R$41,5,0)/'4. Billing Determinants'!$F$41*$D55,IF($E55="Non-RPP kWh",VLOOKUP(T$4,'4. Billing Determinants'!$B$19:$R$41,6,0)/'4. Billing Determinants'!$G$41*$D55,IF($E55="Distribution Rev.",VLOOKUP(T$4,'4. Billing Determinants'!$B$19:$R$41,8,0)/'4. Billing Determinants'!$I$41*$D55, VLOOKUP(T$4,'4. Billing Determinants'!$B$19:$R$41,3,0)/'4. Billing Determinants'!$D$41*$D55))))),0)</f>
        <v>0</v>
      </c>
      <c r="U55" s="40">
        <f>IFERROR(IF(U$4="",0,IF($E55="kWh",VLOOKUP(U$4,'4. Billing Determinants'!$B$19:$R$41,4,0)/'4. Billing Determinants'!$E$41*$D55,IF($E55="kW",VLOOKUP(U$4,'4. Billing Determinants'!$B$19:$R$41,5,0)/'4. Billing Determinants'!$F$41*$D55,IF($E55="Non-RPP kWh",VLOOKUP(U$4,'4. Billing Determinants'!$B$19:$R$41,6,0)/'4. Billing Determinants'!$G$41*$D55,IF($E55="Distribution Rev.",VLOOKUP(U$4,'4. Billing Determinants'!$B$19:$R$41,8,0)/'4. Billing Determinants'!$I$41*$D55, VLOOKUP(U$4,'4. Billing Determinants'!$B$19:$R$41,3,0)/'4. Billing Determinants'!$D$41*$D55))))),0)</f>
        <v>0</v>
      </c>
      <c r="V55" s="40">
        <f>IFERROR(IF(V$4="",0,IF($E55="kWh",VLOOKUP(V$4,'4. Billing Determinants'!$B$19:$R$41,4,0)/'4. Billing Determinants'!$E$41*$D55,IF($E55="kW",VLOOKUP(V$4,'4. Billing Determinants'!$B$19:$R$41,5,0)/'4. Billing Determinants'!$F$41*$D55,IF($E55="Non-RPP kWh",VLOOKUP(V$4,'4. Billing Determinants'!$B$19:$R$41,6,0)/'4. Billing Determinants'!$G$41*$D55,IF($E55="Distribution Rev.",VLOOKUP(V$4,'4. Billing Determinants'!$B$19:$R$41,8,0)/'4. Billing Determinants'!$I$41*$D55, VLOOKUP(V$4,'4. Billing Determinants'!$B$19:$R$41,3,0)/'4. Billing Determinants'!$D$41*$D55))))),0)</f>
        <v>0</v>
      </c>
      <c r="W55" s="40">
        <f>IFERROR(IF(W$4="",0,IF($E55="kWh",VLOOKUP(W$4,'4. Billing Determinants'!$B$19:$R$41,4,0)/'4. Billing Determinants'!$E$41*$D55,IF($E55="kW",VLOOKUP(W$4,'4. Billing Determinants'!$B$19:$R$41,5,0)/'4. Billing Determinants'!$F$41*$D55,IF($E55="Non-RPP kWh",VLOOKUP(W$4,'4. Billing Determinants'!$B$19:$R$41,6,0)/'4. Billing Determinants'!$G$41*$D55,IF($E55="Distribution Rev.",VLOOKUP(W$4,'4. Billing Determinants'!$B$19:$R$41,8,0)/'4. Billing Determinants'!$I$41*$D55, VLOOKUP(W$4,'4. Billing Determinants'!$B$19:$R$41,3,0)/'4. Billing Determinants'!$D$41*$D55))))),0)</f>
        <v>0</v>
      </c>
      <c r="X55" s="40">
        <f>IFERROR(IF(X$4="",0,IF($E55="kWh",VLOOKUP(X$4,'4. Billing Determinants'!$B$19:$R$41,4,0)/'4. Billing Determinants'!$E$41*$D55,IF($E55="kW",VLOOKUP(X$4,'4. Billing Determinants'!$B$19:$R$41,5,0)/'4. Billing Determinants'!$F$41*$D55,IF($E55="Non-RPP kWh",VLOOKUP(X$4,'4. Billing Determinants'!$B$19:$R$41,6,0)/'4. Billing Determinants'!$G$41*$D55,IF($E55="Distribution Rev.",VLOOKUP(X$4,'4. Billing Determinants'!$B$19:$R$41,8,0)/'4. Billing Determinants'!$I$41*$D55, VLOOKUP(X$4,'4. Billing Determinants'!$B$19:$R$41,3,0)/'4. Billing Determinants'!$D$41*$D55))))),0)</f>
        <v>0</v>
      </c>
      <c r="Y55" s="40">
        <f>IFERROR(IF(Y$4="",0,IF($E55="kWh",VLOOKUP(Y$4,'4. Billing Determinants'!$B$19:$R$41,4,0)/'4. Billing Determinants'!$E$41*$D55,IF($E55="kW",VLOOKUP(Y$4,'4. Billing Determinants'!$B$19:$R$41,5,0)/'4. Billing Determinants'!$F$41*$D55,IF($E55="Non-RPP kWh",VLOOKUP(Y$4,'4. Billing Determinants'!$B$19:$R$41,6,0)/'4. Billing Determinants'!$G$41*$D55,IF($E55="Distribution Rev.",VLOOKUP(Y$4,'4. Billing Determinants'!$B$19:$R$41,8,0)/'4. Billing Determinants'!$I$41*$D55, VLOOKUP(Y$4,'4. Billing Determinants'!$B$19:$R$41,3,0)/'4. Billing Determinants'!$D$41*$D55))))),0)</f>
        <v>0</v>
      </c>
    </row>
    <row r="56" spans="1:25" x14ac:dyDescent="0.25">
      <c r="A56" s="122">
        <v>33</v>
      </c>
      <c r="B56" s="50" t="s">
        <v>3017</v>
      </c>
      <c r="C56" s="49">
        <v>1592</v>
      </c>
      <c r="D56" s="40">
        <f>'2b. Continuity Schedule'!BT83</f>
        <v>0</v>
      </c>
      <c r="E56" s="61" t="s">
        <v>139</v>
      </c>
      <c r="F56" s="40">
        <f>IFERROR(IF(F$4="",0,IF($E56="kWh",VLOOKUP(F$4,'4. Billing Determinants'!$B$19:$R$41,4,0)/'4. Billing Determinants'!$E$41*$D56,IF($E56="kW",VLOOKUP(F$4,'4. Billing Determinants'!$B$19:$R$41,5,0)/'4. Billing Determinants'!$F$41*$D56,IF($E56="Non-RPP kWh",VLOOKUP(F$4,'4. Billing Determinants'!$B$19:$R$41,6,0)/'4. Billing Determinants'!$G$41*$D56,IF($E56="Distribution Rev.",VLOOKUP(F$4,'4. Billing Determinants'!$B$19:$R$41,8,0)/'4. Billing Determinants'!$I$41*$D56, VLOOKUP(F$4,'4. Billing Determinants'!$B$19:$R$41,3,0)/'4. Billing Determinants'!$D$41*$D56))))),0)</f>
        <v>0</v>
      </c>
      <c r="G56" s="40">
        <f>IFERROR(IF(G$4="",0,IF($E56="kWh",VLOOKUP(G$4,'4. Billing Determinants'!$B$19:$R$41,4,0)/'4. Billing Determinants'!$E$41*$D56,IF($E56="kW",VLOOKUP(G$4,'4. Billing Determinants'!$B$19:$R$41,5,0)/'4. Billing Determinants'!$F$41*$D56,IF($E56="Non-RPP kWh",VLOOKUP(G$4,'4. Billing Determinants'!$B$19:$R$41,6,0)/'4. Billing Determinants'!$G$41*$D56,IF($E56="Distribution Rev.",VLOOKUP(G$4,'4. Billing Determinants'!$B$19:$R$41,8,0)/'4. Billing Determinants'!$I$41*$D56, VLOOKUP(G$4,'4. Billing Determinants'!$B$19:$R$41,3,0)/'4. Billing Determinants'!$D$41*$D56))))),0)</f>
        <v>0</v>
      </c>
      <c r="H56" s="40">
        <f>IFERROR(IF(H$4="",0,IF($E56="kWh",VLOOKUP(H$4,'4. Billing Determinants'!$B$19:$R$41,4,0)/'4. Billing Determinants'!$E$41*$D56,IF($E56="kW",VLOOKUP(H$4,'4. Billing Determinants'!$B$19:$R$41,5,0)/'4. Billing Determinants'!$F$41*$D56,IF($E56="Non-RPP kWh",VLOOKUP(H$4,'4. Billing Determinants'!$B$19:$R$41,6,0)/'4. Billing Determinants'!$G$41*$D56,IF($E56="Distribution Rev.",VLOOKUP(H$4,'4. Billing Determinants'!$B$19:$R$41,8,0)/'4. Billing Determinants'!$I$41*$D56, VLOOKUP(H$4,'4. Billing Determinants'!$B$19:$R$41,3,0)/'4. Billing Determinants'!$D$41*$D56))))),0)</f>
        <v>0</v>
      </c>
      <c r="I56" s="40">
        <f>IFERROR(IF(I$4="",0,IF($E56="kWh",VLOOKUP(I$4,'4. Billing Determinants'!$B$19:$R$41,4,0)/'4. Billing Determinants'!$E$41*$D56,IF($E56="kW",VLOOKUP(I$4,'4. Billing Determinants'!$B$19:$R$41,5,0)/'4. Billing Determinants'!$F$41*$D56,IF($E56="Non-RPP kWh",VLOOKUP(I$4,'4. Billing Determinants'!$B$19:$R$41,6,0)/'4. Billing Determinants'!$G$41*$D56,IF($E56="Distribution Rev.",VLOOKUP(I$4,'4. Billing Determinants'!$B$19:$R$41,8,0)/'4. Billing Determinants'!$I$41*$D56, VLOOKUP(I$4,'4. Billing Determinants'!$B$19:$R$41,3,0)/'4. Billing Determinants'!$D$41*$D56))))),0)</f>
        <v>0</v>
      </c>
      <c r="J56" s="40">
        <f>IFERROR(IF(J$4="",0,IF($E56="kWh",VLOOKUP(J$4,'4. Billing Determinants'!$B$19:$R$41,4,0)/'4. Billing Determinants'!$E$41*$D56,IF($E56="kW",VLOOKUP(J$4,'4. Billing Determinants'!$B$19:$R$41,5,0)/'4. Billing Determinants'!$F$41*$D56,IF($E56="Non-RPP kWh",VLOOKUP(J$4,'4. Billing Determinants'!$B$19:$R$41,6,0)/'4. Billing Determinants'!$G$41*$D56,IF($E56="Distribution Rev.",VLOOKUP(J$4,'4. Billing Determinants'!$B$19:$R$41,8,0)/'4. Billing Determinants'!$I$41*$D56, VLOOKUP(J$4,'4. Billing Determinants'!$B$19:$R$41,3,0)/'4. Billing Determinants'!$D$41*$D56))))),0)</f>
        <v>0</v>
      </c>
      <c r="K56" s="40">
        <f>IFERROR(IF(K$4="",0,IF($E56="kWh",VLOOKUP(K$4,'4. Billing Determinants'!$B$19:$R$41,4,0)/'4. Billing Determinants'!$E$41*$D56,IF($E56="kW",VLOOKUP(K$4,'4. Billing Determinants'!$B$19:$R$41,5,0)/'4. Billing Determinants'!$F$41*$D56,IF($E56="Non-RPP kWh",VLOOKUP(K$4,'4. Billing Determinants'!$B$19:$R$41,6,0)/'4. Billing Determinants'!$G$41*$D56,IF($E56="Distribution Rev.",VLOOKUP(K$4,'4. Billing Determinants'!$B$19:$R$41,8,0)/'4. Billing Determinants'!$I$41*$D56, VLOOKUP(K$4,'4. Billing Determinants'!$B$19:$R$41,3,0)/'4. Billing Determinants'!$D$41*$D56))))),0)</f>
        <v>0</v>
      </c>
      <c r="L56" s="40">
        <f>IFERROR(IF(L$4="",0,IF($E56="kWh",VLOOKUP(L$4,'4. Billing Determinants'!$B$19:$R$41,4,0)/'4. Billing Determinants'!$E$41*$D56,IF($E56="kW",VLOOKUP(L$4,'4. Billing Determinants'!$B$19:$R$41,5,0)/'4. Billing Determinants'!$F$41*$D56,IF($E56="Non-RPP kWh",VLOOKUP(L$4,'4. Billing Determinants'!$B$19:$R$41,6,0)/'4. Billing Determinants'!$G$41*$D56,IF($E56="Distribution Rev.",VLOOKUP(L$4,'4. Billing Determinants'!$B$19:$R$41,8,0)/'4. Billing Determinants'!$I$41*$D56, VLOOKUP(L$4,'4. Billing Determinants'!$B$19:$R$41,3,0)/'4. Billing Determinants'!$D$41*$D56))))),0)</f>
        <v>0</v>
      </c>
      <c r="M56" s="40">
        <f>IFERROR(IF(M$4="",0,IF($E56="kWh",VLOOKUP(M$4,'4. Billing Determinants'!$B$19:$R$41,4,0)/'4. Billing Determinants'!$E$41*$D56,IF($E56="kW",VLOOKUP(M$4,'4. Billing Determinants'!$B$19:$R$41,5,0)/'4. Billing Determinants'!$F$41*$D56,IF($E56="Non-RPP kWh",VLOOKUP(M$4,'4. Billing Determinants'!$B$19:$R$41,6,0)/'4. Billing Determinants'!$G$41*$D56,IF($E56="Distribution Rev.",VLOOKUP(M$4,'4. Billing Determinants'!$B$19:$R$41,8,0)/'4. Billing Determinants'!$I$41*$D56, VLOOKUP(M$4,'4. Billing Determinants'!$B$19:$R$41,3,0)/'4. Billing Determinants'!$D$41*$D56))))),0)</f>
        <v>0</v>
      </c>
      <c r="N56" s="40">
        <f>IFERROR(IF(N$4="",0,IF($E56="kWh",VLOOKUP(N$4,'4. Billing Determinants'!$B$19:$R$41,4,0)/'4. Billing Determinants'!$E$41*$D56,IF($E56="kW",VLOOKUP(N$4,'4. Billing Determinants'!$B$19:$R$41,5,0)/'4. Billing Determinants'!$F$41*$D56,IF($E56="Non-RPP kWh",VLOOKUP(N$4,'4. Billing Determinants'!$B$19:$R$41,6,0)/'4. Billing Determinants'!$G$41*$D56,IF($E56="Distribution Rev.",VLOOKUP(N$4,'4. Billing Determinants'!$B$19:$R$41,8,0)/'4. Billing Determinants'!$I$41*$D56, VLOOKUP(N$4,'4. Billing Determinants'!$B$19:$R$41,3,0)/'4. Billing Determinants'!$D$41*$D56))))),0)</f>
        <v>0</v>
      </c>
      <c r="O56" s="40">
        <f>IFERROR(IF(O$4="",0,IF($E56="kWh",VLOOKUP(O$4,'4. Billing Determinants'!$B$19:$R$41,4,0)/'4. Billing Determinants'!$E$41*$D56,IF($E56="kW",VLOOKUP(O$4,'4. Billing Determinants'!$B$19:$R$41,5,0)/'4. Billing Determinants'!$F$41*$D56,IF($E56="Non-RPP kWh",VLOOKUP(O$4,'4. Billing Determinants'!$B$19:$R$41,6,0)/'4. Billing Determinants'!$G$41*$D56,IF($E56="Distribution Rev.",VLOOKUP(O$4,'4. Billing Determinants'!$B$19:$R$41,8,0)/'4. Billing Determinants'!$I$41*$D56, VLOOKUP(O$4,'4. Billing Determinants'!$B$19:$R$41,3,0)/'4. Billing Determinants'!$D$41*$D56))))),0)</f>
        <v>0</v>
      </c>
      <c r="P56" s="40">
        <f>IFERROR(IF(P$4="",0,IF($E56="kWh",VLOOKUP(P$4,'4. Billing Determinants'!$B$19:$R$41,4,0)/'4. Billing Determinants'!$E$41*$D56,IF($E56="kW",VLOOKUP(P$4,'4. Billing Determinants'!$B$19:$R$41,5,0)/'4. Billing Determinants'!$F$41*$D56,IF($E56="Non-RPP kWh",VLOOKUP(P$4,'4. Billing Determinants'!$B$19:$R$41,6,0)/'4. Billing Determinants'!$G$41*$D56,IF($E56="Distribution Rev.",VLOOKUP(P$4,'4. Billing Determinants'!$B$19:$R$41,8,0)/'4. Billing Determinants'!$I$41*$D56, VLOOKUP(P$4,'4. Billing Determinants'!$B$19:$R$41,3,0)/'4. Billing Determinants'!$D$41*$D56))))),0)</f>
        <v>0</v>
      </c>
      <c r="Q56" s="40">
        <f>IFERROR(IF(Q$4="",0,IF($E56="kWh",VLOOKUP(Q$4,'4. Billing Determinants'!$B$19:$R$41,4,0)/'4. Billing Determinants'!$E$41*$D56,IF($E56="kW",VLOOKUP(Q$4,'4. Billing Determinants'!$B$19:$R$41,5,0)/'4. Billing Determinants'!$F$41*$D56,IF($E56="Non-RPP kWh",VLOOKUP(Q$4,'4. Billing Determinants'!$B$19:$R$41,6,0)/'4. Billing Determinants'!$G$41*$D56,IF($E56="Distribution Rev.",VLOOKUP(Q$4,'4. Billing Determinants'!$B$19:$R$41,8,0)/'4. Billing Determinants'!$I$41*$D56, VLOOKUP(Q$4,'4. Billing Determinants'!$B$19:$R$41,3,0)/'4. Billing Determinants'!$D$41*$D56))))),0)</f>
        <v>0</v>
      </c>
      <c r="R56" s="40">
        <f>IFERROR(IF(R$4="",0,IF($E56="kWh",VLOOKUP(R$4,'4. Billing Determinants'!$B$19:$R$41,4,0)/'4. Billing Determinants'!$E$41*$D56,IF($E56="kW",VLOOKUP(R$4,'4. Billing Determinants'!$B$19:$R$41,5,0)/'4. Billing Determinants'!$F$41*$D56,IF($E56="Non-RPP kWh",VLOOKUP(R$4,'4. Billing Determinants'!$B$19:$R$41,6,0)/'4. Billing Determinants'!$G$41*$D56,IF($E56="Distribution Rev.",VLOOKUP(R$4,'4. Billing Determinants'!$B$19:$R$41,8,0)/'4. Billing Determinants'!$I$41*$D56, VLOOKUP(R$4,'4. Billing Determinants'!$B$19:$R$41,3,0)/'4. Billing Determinants'!$D$41*$D56))))),0)</f>
        <v>0</v>
      </c>
      <c r="S56" s="40">
        <f>IFERROR(IF(S$4="",0,IF($E56="kWh",VLOOKUP(S$4,'4. Billing Determinants'!$B$19:$R$41,4,0)/'4. Billing Determinants'!$E$41*$D56,IF($E56="kW",VLOOKUP(S$4,'4. Billing Determinants'!$B$19:$R$41,5,0)/'4. Billing Determinants'!$F$41*$D56,IF($E56="Non-RPP kWh",VLOOKUP(S$4,'4. Billing Determinants'!$B$19:$R$41,6,0)/'4. Billing Determinants'!$G$41*$D56,IF($E56="Distribution Rev.",VLOOKUP(S$4,'4. Billing Determinants'!$B$19:$R$41,8,0)/'4. Billing Determinants'!$I$41*$D56, VLOOKUP(S$4,'4. Billing Determinants'!$B$19:$R$41,3,0)/'4. Billing Determinants'!$D$41*$D56))))),0)</f>
        <v>0</v>
      </c>
      <c r="T56" s="40">
        <f>IFERROR(IF(T$4="",0,IF($E56="kWh",VLOOKUP(T$4,'4. Billing Determinants'!$B$19:$R$41,4,0)/'4. Billing Determinants'!$E$41*$D56,IF($E56="kW",VLOOKUP(T$4,'4. Billing Determinants'!$B$19:$R$41,5,0)/'4. Billing Determinants'!$F$41*$D56,IF($E56="Non-RPP kWh",VLOOKUP(T$4,'4. Billing Determinants'!$B$19:$R$41,6,0)/'4. Billing Determinants'!$G$41*$D56,IF($E56="Distribution Rev.",VLOOKUP(T$4,'4. Billing Determinants'!$B$19:$R$41,8,0)/'4. Billing Determinants'!$I$41*$D56, VLOOKUP(T$4,'4. Billing Determinants'!$B$19:$R$41,3,0)/'4. Billing Determinants'!$D$41*$D56))))),0)</f>
        <v>0</v>
      </c>
      <c r="U56" s="40">
        <f>IFERROR(IF(U$4="",0,IF($E56="kWh",VLOOKUP(U$4,'4. Billing Determinants'!$B$19:$R$41,4,0)/'4. Billing Determinants'!$E$41*$D56,IF($E56="kW",VLOOKUP(U$4,'4. Billing Determinants'!$B$19:$R$41,5,0)/'4. Billing Determinants'!$F$41*$D56,IF($E56="Non-RPP kWh",VLOOKUP(U$4,'4. Billing Determinants'!$B$19:$R$41,6,0)/'4. Billing Determinants'!$G$41*$D56,IF($E56="Distribution Rev.",VLOOKUP(U$4,'4. Billing Determinants'!$B$19:$R$41,8,0)/'4. Billing Determinants'!$I$41*$D56, VLOOKUP(U$4,'4. Billing Determinants'!$B$19:$R$41,3,0)/'4. Billing Determinants'!$D$41*$D56))))),0)</f>
        <v>0</v>
      </c>
      <c r="V56" s="40">
        <f>IFERROR(IF(V$4="",0,IF($E56="kWh",VLOOKUP(V$4,'4. Billing Determinants'!$B$19:$R$41,4,0)/'4. Billing Determinants'!$E$41*$D56,IF($E56="kW",VLOOKUP(V$4,'4. Billing Determinants'!$B$19:$R$41,5,0)/'4. Billing Determinants'!$F$41*$D56,IF($E56="Non-RPP kWh",VLOOKUP(V$4,'4. Billing Determinants'!$B$19:$R$41,6,0)/'4. Billing Determinants'!$G$41*$D56,IF($E56="Distribution Rev.",VLOOKUP(V$4,'4. Billing Determinants'!$B$19:$R$41,8,0)/'4. Billing Determinants'!$I$41*$D56, VLOOKUP(V$4,'4. Billing Determinants'!$B$19:$R$41,3,0)/'4. Billing Determinants'!$D$41*$D56))))),0)</f>
        <v>0</v>
      </c>
      <c r="W56" s="40">
        <f>IFERROR(IF(W$4="",0,IF($E56="kWh",VLOOKUP(W$4,'4. Billing Determinants'!$B$19:$R$41,4,0)/'4. Billing Determinants'!$E$41*$D56,IF($E56="kW",VLOOKUP(W$4,'4. Billing Determinants'!$B$19:$R$41,5,0)/'4. Billing Determinants'!$F$41*$D56,IF($E56="Non-RPP kWh",VLOOKUP(W$4,'4. Billing Determinants'!$B$19:$R$41,6,0)/'4. Billing Determinants'!$G$41*$D56,IF($E56="Distribution Rev.",VLOOKUP(W$4,'4. Billing Determinants'!$B$19:$R$41,8,0)/'4. Billing Determinants'!$I$41*$D56, VLOOKUP(W$4,'4. Billing Determinants'!$B$19:$R$41,3,0)/'4. Billing Determinants'!$D$41*$D56))))),0)</f>
        <v>0</v>
      </c>
      <c r="X56" s="40">
        <f>IFERROR(IF(X$4="",0,IF($E56="kWh",VLOOKUP(X$4,'4. Billing Determinants'!$B$19:$R$41,4,0)/'4. Billing Determinants'!$E$41*$D56,IF($E56="kW",VLOOKUP(X$4,'4. Billing Determinants'!$B$19:$R$41,5,0)/'4. Billing Determinants'!$F$41*$D56,IF($E56="Non-RPP kWh",VLOOKUP(X$4,'4. Billing Determinants'!$B$19:$R$41,6,0)/'4. Billing Determinants'!$G$41*$D56,IF($E56="Distribution Rev.",VLOOKUP(X$4,'4. Billing Determinants'!$B$19:$R$41,8,0)/'4. Billing Determinants'!$I$41*$D56, VLOOKUP(X$4,'4. Billing Determinants'!$B$19:$R$41,3,0)/'4. Billing Determinants'!$D$41*$D56))))),0)</f>
        <v>0</v>
      </c>
      <c r="Y56" s="40">
        <f>IFERROR(IF(Y$4="",0,IF($E56="kWh",VLOOKUP(Y$4,'4. Billing Determinants'!$B$19:$R$41,4,0)/'4. Billing Determinants'!$E$41*$D56,IF($E56="kW",VLOOKUP(Y$4,'4. Billing Determinants'!$B$19:$R$41,5,0)/'4. Billing Determinants'!$F$41*$D56,IF($E56="Non-RPP kWh",VLOOKUP(Y$4,'4. Billing Determinants'!$B$19:$R$41,6,0)/'4. Billing Determinants'!$G$41*$D56,IF($E56="Distribution Rev.",VLOOKUP(Y$4,'4. Billing Determinants'!$B$19:$R$41,8,0)/'4. Billing Determinants'!$I$41*$D56, VLOOKUP(Y$4,'4. Billing Determinants'!$B$19:$R$41,3,0)/'4. Billing Determinants'!$D$41*$D56))))),0)</f>
        <v>0</v>
      </c>
    </row>
    <row r="57" spans="1:25" s="2" customFormat="1" ht="13" hidden="1" x14ac:dyDescent="0.3">
      <c r="A57" s="122">
        <v>34</v>
      </c>
      <c r="B57" s="375" t="s">
        <v>181</v>
      </c>
      <c r="C57" s="148"/>
      <c r="D57" s="376">
        <f>SUM(D55:D56)</f>
        <v>0</v>
      </c>
      <c r="E57" s="148"/>
      <c r="F57" s="376">
        <f t="shared" ref="F57:Y57" si="2">SUM(F55:F56)</f>
        <v>0</v>
      </c>
      <c r="G57" s="376">
        <f t="shared" si="2"/>
        <v>0</v>
      </c>
      <c r="H57" s="376">
        <f t="shared" si="2"/>
        <v>0</v>
      </c>
      <c r="I57" s="376">
        <f t="shared" si="2"/>
        <v>0</v>
      </c>
      <c r="J57" s="376">
        <f t="shared" si="2"/>
        <v>0</v>
      </c>
      <c r="K57" s="376">
        <f t="shared" si="2"/>
        <v>0</v>
      </c>
      <c r="L57" s="376">
        <f t="shared" si="2"/>
        <v>0</v>
      </c>
      <c r="M57" s="376">
        <f t="shared" si="2"/>
        <v>0</v>
      </c>
      <c r="N57" s="376">
        <f t="shared" si="2"/>
        <v>0</v>
      </c>
      <c r="O57" s="376">
        <f t="shared" si="2"/>
        <v>0</v>
      </c>
      <c r="P57" s="376">
        <f t="shared" si="2"/>
        <v>0</v>
      </c>
      <c r="Q57" s="376">
        <f t="shared" si="2"/>
        <v>0</v>
      </c>
      <c r="R57" s="376">
        <f t="shared" si="2"/>
        <v>0</v>
      </c>
      <c r="S57" s="376">
        <f t="shared" si="2"/>
        <v>0</v>
      </c>
      <c r="T57" s="376">
        <f t="shared" si="2"/>
        <v>0</v>
      </c>
      <c r="U57" s="376">
        <f t="shared" si="2"/>
        <v>0</v>
      </c>
      <c r="V57" s="376">
        <f t="shared" si="2"/>
        <v>0</v>
      </c>
      <c r="W57" s="376">
        <f t="shared" si="2"/>
        <v>0</v>
      </c>
      <c r="X57" s="376">
        <f t="shared" si="2"/>
        <v>0</v>
      </c>
      <c r="Y57" s="376">
        <f t="shared" si="2"/>
        <v>0</v>
      </c>
    </row>
    <row r="58" spans="1:25" ht="13" x14ac:dyDescent="0.3">
      <c r="A58" s="122">
        <v>35</v>
      </c>
      <c r="B58" s="45"/>
      <c r="C58" s="48"/>
      <c r="D58" s="548"/>
      <c r="E58" s="46"/>
    </row>
    <row r="59" spans="1:25" s="554" customFormat="1" ht="13" hidden="1" x14ac:dyDescent="0.3">
      <c r="A59" s="550">
        <v>36</v>
      </c>
      <c r="B59" s="551" t="s">
        <v>50</v>
      </c>
      <c r="C59" s="552">
        <v>1568</v>
      </c>
      <c r="D59" s="553">
        <f>'2b. Continuity Schedule'!BT88</f>
        <v>0</v>
      </c>
      <c r="E59" s="552"/>
      <c r="F59" s="553">
        <f>'4. Billing Determinants'!AC21</f>
        <v>0</v>
      </c>
      <c r="G59" s="553">
        <f>'4. Billing Determinants'!AC22</f>
        <v>0</v>
      </c>
      <c r="H59" s="553">
        <f>'4. Billing Determinants'!AC23</f>
        <v>0</v>
      </c>
      <c r="I59" s="553">
        <f>'4. Billing Determinants'!AC24</f>
        <v>0</v>
      </c>
      <c r="J59" s="553">
        <f>'4. Billing Determinants'!AC25</f>
        <v>0</v>
      </c>
      <c r="K59" s="553">
        <f>'4. Billing Determinants'!AC26</f>
        <v>0</v>
      </c>
      <c r="L59" s="553">
        <f>'4. Billing Determinants'!AC27</f>
        <v>0</v>
      </c>
      <c r="M59" s="553">
        <f>'4. Billing Determinants'!AC28</f>
        <v>0</v>
      </c>
      <c r="N59" s="553">
        <f>'4. Billing Determinants'!AC29</f>
        <v>0</v>
      </c>
      <c r="O59" s="553">
        <f>'4. Billing Determinants'!AC30</f>
        <v>0</v>
      </c>
      <c r="P59" s="553">
        <f>'4. Billing Determinants'!AC31</f>
        <v>0</v>
      </c>
      <c r="Q59" s="553">
        <f>'4. Billing Determinants'!AC32</f>
        <v>0</v>
      </c>
      <c r="R59" s="553">
        <f>'4. Billing Determinants'!AC33</f>
        <v>0</v>
      </c>
      <c r="S59" s="553">
        <f>'4. Billing Determinants'!AC34</f>
        <v>0</v>
      </c>
      <c r="T59" s="553">
        <f>'4. Billing Determinants'!AC35</f>
        <v>0</v>
      </c>
      <c r="U59" s="553">
        <f>'4. Billing Determinants'!AC36</f>
        <v>0</v>
      </c>
      <c r="V59" s="553">
        <f>'4. Billing Determinants'!AC37</f>
        <v>0</v>
      </c>
      <c r="W59" s="553">
        <f>'4. Billing Determinants'!AC38</f>
        <v>0</v>
      </c>
      <c r="X59" s="553">
        <f>'4. Billing Determinants'!AC39</f>
        <v>0</v>
      </c>
      <c r="Y59" s="553">
        <f>'4. Billing Determinants'!AC40</f>
        <v>0</v>
      </c>
    </row>
    <row r="60" spans="1:25" s="48" customFormat="1" hidden="1" x14ac:dyDescent="0.25">
      <c r="A60" s="122">
        <v>37</v>
      </c>
      <c r="B60" s="1197" t="s">
        <v>63</v>
      </c>
      <c r="C60" s="1197"/>
      <c r="D60" s="143">
        <f>SUM(F59:Y59)</f>
        <v>0</v>
      </c>
      <c r="E60" s="46"/>
      <c r="F60" s="46"/>
      <c r="G60" s="46"/>
      <c r="H60" s="46"/>
      <c r="I60" s="46"/>
      <c r="J60" s="46"/>
      <c r="K60" s="46"/>
      <c r="L60" s="46"/>
      <c r="M60" s="46"/>
      <c r="N60" s="46"/>
      <c r="O60" s="46"/>
      <c r="P60" s="46"/>
      <c r="Q60" s="46"/>
      <c r="R60" s="46"/>
      <c r="S60" s="46"/>
      <c r="T60" s="46"/>
      <c r="U60" s="46"/>
      <c r="V60" s="46"/>
      <c r="W60" s="46"/>
      <c r="X60" s="46"/>
      <c r="Y60" s="46"/>
    </row>
    <row r="61" spans="1:25" s="48" customFormat="1" ht="13" hidden="1" x14ac:dyDescent="0.25">
      <c r="A61" s="122">
        <v>38</v>
      </c>
      <c r="B61" s="1198" t="s">
        <v>54</v>
      </c>
      <c r="C61" s="1198"/>
      <c r="D61" s="110">
        <f>D59-D60</f>
        <v>0</v>
      </c>
      <c r="E61" s="51"/>
      <c r="F61" s="46"/>
      <c r="G61" s="46"/>
      <c r="H61" s="46"/>
      <c r="I61" s="46"/>
      <c r="J61" s="46"/>
      <c r="K61" s="46"/>
      <c r="L61" s="46"/>
      <c r="M61" s="46"/>
      <c r="N61" s="46"/>
      <c r="O61" s="46"/>
      <c r="P61" s="46"/>
      <c r="Q61" s="46"/>
      <c r="R61" s="46"/>
      <c r="S61" s="46"/>
      <c r="T61" s="46"/>
      <c r="U61" s="46"/>
      <c r="V61" s="46"/>
      <c r="W61" s="46"/>
      <c r="X61" s="46"/>
      <c r="Y61" s="46"/>
    </row>
    <row r="62" spans="1:25" s="48" customFormat="1" ht="13" hidden="1" x14ac:dyDescent="0.25">
      <c r="A62" s="122">
        <v>39</v>
      </c>
      <c r="B62" s="275"/>
      <c r="C62" s="275"/>
      <c r="D62" s="276"/>
      <c r="E62" s="51"/>
      <c r="F62" s="46"/>
      <c r="G62" s="46"/>
      <c r="H62" s="46"/>
      <c r="I62" s="46"/>
      <c r="J62" s="46"/>
      <c r="K62" s="46"/>
      <c r="L62" s="46"/>
      <c r="M62" s="46"/>
      <c r="N62" s="46"/>
      <c r="O62" s="46"/>
      <c r="P62" s="46"/>
      <c r="Q62" s="46"/>
      <c r="R62" s="46"/>
      <c r="S62" s="46"/>
      <c r="T62" s="46"/>
      <c r="U62" s="46"/>
      <c r="V62" s="46"/>
      <c r="W62" s="46"/>
      <c r="X62" s="46"/>
      <c r="Y62" s="46"/>
    </row>
    <row r="63" spans="1:25" s="48" customFormat="1" x14ac:dyDescent="0.25">
      <c r="A63" s="278">
        <v>40</v>
      </c>
      <c r="B63" s="277" t="s">
        <v>26</v>
      </c>
      <c r="C63" s="634">
        <v>1532</v>
      </c>
      <c r="D63" s="40">
        <f>'2b. Continuity Schedule'!BT96</f>
        <v>0</v>
      </c>
      <c r="E63" s="61" t="s">
        <v>139</v>
      </c>
      <c r="F63" s="40">
        <f>IFERROR(IF(F$4="",0,IF($E63="kWh",VLOOKUP(F$4,'4. Billing Determinants'!$B$19:$R$41,4,0)/'4. Billing Determinants'!$E$41*$D63,IF($E63="kW",VLOOKUP(F$4,'4. Billing Determinants'!$B$19:$R$41,5,0)/'4. Billing Determinants'!$F$41*$D63,IF($E63="Non-RPP kWh",VLOOKUP(F$4,'4. Billing Determinants'!$B$19:$R$41,6,0)/'4. Billing Determinants'!$G$41*$D63,IF($E63="Distribution Rev.",VLOOKUP(F$4,'4. Billing Determinants'!$B$19:$R$41,8,0)/'4. Billing Determinants'!$I$41*$D63, VLOOKUP(F$4,'4. Billing Determinants'!$B$19:$R$41,3,0)/'4. Billing Determinants'!$D$41*$D63))))),0)</f>
        <v>0</v>
      </c>
      <c r="G63" s="40">
        <f>IFERROR(IF(G$4="",0,IF($E63="kWh",VLOOKUP(G$4,'4. Billing Determinants'!$B$19:$R$41,4,0)/'4. Billing Determinants'!$E$41*$D63,IF($E63="kW",VLOOKUP(G$4,'4. Billing Determinants'!$B$19:$R$41,5,0)/'4. Billing Determinants'!$F$41*$D63,IF($E63="Non-RPP kWh",VLOOKUP(G$4,'4. Billing Determinants'!$B$19:$R$41,6,0)/'4. Billing Determinants'!$G$41*$D63,IF($E63="Distribution Rev.",VLOOKUP(G$4,'4. Billing Determinants'!$B$19:$R$41,8,0)/'4. Billing Determinants'!$I$41*$D63, VLOOKUP(G$4,'4. Billing Determinants'!$B$19:$R$41,3,0)/'4. Billing Determinants'!$D$41*$D63))))),0)</f>
        <v>0</v>
      </c>
      <c r="H63" s="40">
        <f>IFERROR(IF(H$4="",0,IF($E63="kWh",VLOOKUP(H$4,'4. Billing Determinants'!$B$19:$R$41,4,0)/'4. Billing Determinants'!$E$41*$D63,IF($E63="kW",VLOOKUP(H$4,'4. Billing Determinants'!$B$19:$R$41,5,0)/'4. Billing Determinants'!$F$41*$D63,IF($E63="Non-RPP kWh",VLOOKUP(H$4,'4. Billing Determinants'!$B$19:$R$41,6,0)/'4. Billing Determinants'!$G$41*$D63,IF($E63="Distribution Rev.",VLOOKUP(H$4,'4. Billing Determinants'!$B$19:$R$41,8,0)/'4. Billing Determinants'!$I$41*$D63, VLOOKUP(H$4,'4. Billing Determinants'!$B$19:$R$41,3,0)/'4. Billing Determinants'!$D$41*$D63))))),0)</f>
        <v>0</v>
      </c>
      <c r="I63" s="40">
        <f>IFERROR(IF(I$4="",0,IF($E63="kWh",VLOOKUP(I$4,'4. Billing Determinants'!$B$19:$R$41,4,0)/'4. Billing Determinants'!$E$41*$D63,IF($E63="kW",VLOOKUP(I$4,'4. Billing Determinants'!$B$19:$R$41,5,0)/'4. Billing Determinants'!$F$41*$D63,IF($E63="Non-RPP kWh",VLOOKUP(I$4,'4. Billing Determinants'!$B$19:$R$41,6,0)/'4. Billing Determinants'!$G$41*$D63,IF($E63="Distribution Rev.",VLOOKUP(I$4,'4. Billing Determinants'!$B$19:$R$41,8,0)/'4. Billing Determinants'!$I$41*$D63, VLOOKUP(I$4,'4. Billing Determinants'!$B$19:$R$41,3,0)/'4. Billing Determinants'!$D$41*$D63))))),0)</f>
        <v>0</v>
      </c>
      <c r="J63" s="40">
        <f>IFERROR(IF(J$4="",0,IF($E63="kWh",VLOOKUP(J$4,'4. Billing Determinants'!$B$19:$R$41,4,0)/'4. Billing Determinants'!$E$41*$D63,IF($E63="kW",VLOOKUP(J$4,'4. Billing Determinants'!$B$19:$R$41,5,0)/'4. Billing Determinants'!$F$41*$D63,IF($E63="Non-RPP kWh",VLOOKUP(J$4,'4. Billing Determinants'!$B$19:$R$41,6,0)/'4. Billing Determinants'!$G$41*$D63,IF($E63="Distribution Rev.",VLOOKUP(J$4,'4. Billing Determinants'!$B$19:$R$41,8,0)/'4. Billing Determinants'!$I$41*$D63, VLOOKUP(J$4,'4. Billing Determinants'!$B$19:$R$41,3,0)/'4. Billing Determinants'!$D$41*$D63))))),0)</f>
        <v>0</v>
      </c>
      <c r="K63" s="40">
        <f>IFERROR(IF(K$4="",0,IF($E63="kWh",VLOOKUP(K$4,'4. Billing Determinants'!$B$19:$R$41,4,0)/'4. Billing Determinants'!$E$41*$D63,IF($E63="kW",VLOOKUP(K$4,'4. Billing Determinants'!$B$19:$R$41,5,0)/'4. Billing Determinants'!$F$41*$D63,IF($E63="Non-RPP kWh",VLOOKUP(K$4,'4. Billing Determinants'!$B$19:$R$41,6,0)/'4. Billing Determinants'!$G$41*$D63,IF($E63="Distribution Rev.",VLOOKUP(K$4,'4. Billing Determinants'!$B$19:$R$41,8,0)/'4. Billing Determinants'!$I$41*$D63, VLOOKUP(K$4,'4. Billing Determinants'!$B$19:$R$41,3,0)/'4. Billing Determinants'!$D$41*$D63))))),0)</f>
        <v>0</v>
      </c>
      <c r="L63" s="40">
        <f>IFERROR(IF(L$4="",0,IF($E63="kWh",VLOOKUP(L$4,'4. Billing Determinants'!$B$19:$R$41,4,0)/'4. Billing Determinants'!$E$41*$D63,IF($E63="kW",VLOOKUP(L$4,'4. Billing Determinants'!$B$19:$R$41,5,0)/'4. Billing Determinants'!$F$41*$D63,IF($E63="Non-RPP kWh",VLOOKUP(L$4,'4. Billing Determinants'!$B$19:$R$41,6,0)/'4. Billing Determinants'!$G$41*$D63,IF($E63="Distribution Rev.",VLOOKUP(L$4,'4. Billing Determinants'!$B$19:$R$41,8,0)/'4. Billing Determinants'!$I$41*$D63, VLOOKUP(L$4,'4. Billing Determinants'!$B$19:$R$41,3,0)/'4. Billing Determinants'!$D$41*$D63))))),0)</f>
        <v>0</v>
      </c>
      <c r="M63" s="40">
        <f>IFERROR(IF(M$4="",0,IF($E63="kWh",VLOOKUP(M$4,'4. Billing Determinants'!$B$19:$R$41,4,0)/'4. Billing Determinants'!$E$41*$D63,IF($E63="kW",VLOOKUP(M$4,'4. Billing Determinants'!$B$19:$R$41,5,0)/'4. Billing Determinants'!$F$41*$D63,IF($E63="Non-RPP kWh",VLOOKUP(M$4,'4. Billing Determinants'!$B$19:$R$41,6,0)/'4. Billing Determinants'!$G$41*$D63,IF($E63="Distribution Rev.",VLOOKUP(M$4,'4. Billing Determinants'!$B$19:$R$41,8,0)/'4. Billing Determinants'!$I$41*$D63, VLOOKUP(M$4,'4. Billing Determinants'!$B$19:$R$41,3,0)/'4. Billing Determinants'!$D$41*$D63))))),0)</f>
        <v>0</v>
      </c>
      <c r="N63" s="40">
        <f>IFERROR(IF(N$4="",0,IF($E63="kWh",VLOOKUP(N$4,'4. Billing Determinants'!$B$19:$R$41,4,0)/'4. Billing Determinants'!$E$41*$D63,IF($E63="kW",VLOOKUP(N$4,'4. Billing Determinants'!$B$19:$R$41,5,0)/'4. Billing Determinants'!$F$41*$D63,IF($E63="Non-RPP kWh",VLOOKUP(N$4,'4. Billing Determinants'!$B$19:$R$41,6,0)/'4. Billing Determinants'!$G$41*$D63,IF($E63="Distribution Rev.",VLOOKUP(N$4,'4. Billing Determinants'!$B$19:$R$41,8,0)/'4. Billing Determinants'!$I$41*$D63, VLOOKUP(N$4,'4. Billing Determinants'!$B$19:$R$41,3,0)/'4. Billing Determinants'!$D$41*$D63))))),0)</f>
        <v>0</v>
      </c>
      <c r="O63" s="40">
        <f>IFERROR(IF(O$4="",0,IF($E63="kWh",VLOOKUP(O$4,'4. Billing Determinants'!$B$19:$R$41,4,0)/'4. Billing Determinants'!$E$41*$D63,IF($E63="kW",VLOOKUP(O$4,'4. Billing Determinants'!$B$19:$R$41,5,0)/'4. Billing Determinants'!$F$41*$D63,IF($E63="Non-RPP kWh",VLOOKUP(O$4,'4. Billing Determinants'!$B$19:$R$41,6,0)/'4. Billing Determinants'!$G$41*$D63,IF($E63="Distribution Rev.",VLOOKUP(O$4,'4. Billing Determinants'!$B$19:$R$41,8,0)/'4. Billing Determinants'!$I$41*$D63, VLOOKUP(O$4,'4. Billing Determinants'!$B$19:$R$41,3,0)/'4. Billing Determinants'!$D$41*$D63))))),0)</f>
        <v>0</v>
      </c>
      <c r="P63" s="40">
        <f>IFERROR(IF(P$4="",0,IF($E63="kWh",VLOOKUP(P$4,'4. Billing Determinants'!$B$19:$R$41,4,0)/'4. Billing Determinants'!$E$41*$D63,IF($E63="kW",VLOOKUP(P$4,'4. Billing Determinants'!$B$19:$R$41,5,0)/'4. Billing Determinants'!$F$41*$D63,IF($E63="Non-RPP kWh",VLOOKUP(P$4,'4. Billing Determinants'!$B$19:$R$41,6,0)/'4. Billing Determinants'!$G$41*$D63,IF($E63="Distribution Rev.",VLOOKUP(P$4,'4. Billing Determinants'!$B$19:$R$41,8,0)/'4. Billing Determinants'!$I$41*$D63, VLOOKUP(P$4,'4. Billing Determinants'!$B$19:$R$41,3,0)/'4. Billing Determinants'!$D$41*$D63))))),0)</f>
        <v>0</v>
      </c>
      <c r="Q63" s="40">
        <f>IFERROR(IF(Q$4="",0,IF($E63="kWh",VLOOKUP(Q$4,'4. Billing Determinants'!$B$19:$R$41,4,0)/'4. Billing Determinants'!$E$41*$D63,IF($E63="kW",VLOOKUP(Q$4,'4. Billing Determinants'!$B$19:$R$41,5,0)/'4. Billing Determinants'!$F$41*$D63,IF($E63="Non-RPP kWh",VLOOKUP(Q$4,'4. Billing Determinants'!$B$19:$R$41,6,0)/'4. Billing Determinants'!$G$41*$D63,IF($E63="Distribution Rev.",VLOOKUP(Q$4,'4. Billing Determinants'!$B$19:$R$41,8,0)/'4. Billing Determinants'!$I$41*$D63, VLOOKUP(Q$4,'4. Billing Determinants'!$B$19:$R$41,3,0)/'4. Billing Determinants'!$D$41*$D63))))),0)</f>
        <v>0</v>
      </c>
      <c r="R63" s="40">
        <f>IFERROR(IF(R$4="",0,IF($E63="kWh",VLOOKUP(R$4,'4. Billing Determinants'!$B$19:$R$41,4,0)/'4. Billing Determinants'!$E$41*$D63,IF($E63="kW",VLOOKUP(R$4,'4. Billing Determinants'!$B$19:$R$41,5,0)/'4. Billing Determinants'!$F$41*$D63,IF($E63="Non-RPP kWh",VLOOKUP(R$4,'4. Billing Determinants'!$B$19:$R$41,6,0)/'4. Billing Determinants'!$G$41*$D63,IF($E63="Distribution Rev.",VLOOKUP(R$4,'4. Billing Determinants'!$B$19:$R$41,8,0)/'4. Billing Determinants'!$I$41*$D63, VLOOKUP(R$4,'4. Billing Determinants'!$B$19:$R$41,3,0)/'4. Billing Determinants'!$D$41*$D63))))),0)</f>
        <v>0</v>
      </c>
      <c r="S63" s="40">
        <f>IFERROR(IF(S$4="",0,IF($E63="kWh",VLOOKUP(S$4,'4. Billing Determinants'!$B$19:$R$41,4,0)/'4. Billing Determinants'!$E$41*$D63,IF($E63="kW",VLOOKUP(S$4,'4. Billing Determinants'!$B$19:$R$41,5,0)/'4. Billing Determinants'!$F$41*$D63,IF($E63="Non-RPP kWh",VLOOKUP(S$4,'4. Billing Determinants'!$B$19:$R$41,6,0)/'4. Billing Determinants'!$G$41*$D63,IF($E63="Distribution Rev.",VLOOKUP(S$4,'4. Billing Determinants'!$B$19:$R$41,8,0)/'4. Billing Determinants'!$I$41*$D63, VLOOKUP(S$4,'4. Billing Determinants'!$B$19:$R$41,3,0)/'4. Billing Determinants'!$D$41*$D63))))),0)</f>
        <v>0</v>
      </c>
      <c r="T63" s="40">
        <f>IFERROR(IF(T$4="",0,IF($E63="kWh",VLOOKUP(T$4,'4. Billing Determinants'!$B$19:$R$41,4,0)/'4. Billing Determinants'!$E$41*$D63,IF($E63="kW",VLOOKUP(T$4,'4. Billing Determinants'!$B$19:$R$41,5,0)/'4. Billing Determinants'!$F$41*$D63,IF($E63="Non-RPP kWh",VLOOKUP(T$4,'4. Billing Determinants'!$B$19:$R$41,6,0)/'4. Billing Determinants'!$G$41*$D63,IF($E63="Distribution Rev.",VLOOKUP(T$4,'4. Billing Determinants'!$B$19:$R$41,8,0)/'4. Billing Determinants'!$I$41*$D63, VLOOKUP(T$4,'4. Billing Determinants'!$B$19:$R$41,3,0)/'4. Billing Determinants'!$D$41*$D63))))),0)</f>
        <v>0</v>
      </c>
      <c r="U63" s="40">
        <f>IFERROR(IF(U$4="",0,IF($E63="kWh",VLOOKUP(U$4,'4. Billing Determinants'!$B$19:$R$41,4,0)/'4. Billing Determinants'!$E$41*$D63,IF($E63="kW",VLOOKUP(U$4,'4. Billing Determinants'!$B$19:$R$41,5,0)/'4. Billing Determinants'!$F$41*$D63,IF($E63="Non-RPP kWh",VLOOKUP(U$4,'4. Billing Determinants'!$B$19:$R$41,6,0)/'4. Billing Determinants'!$G$41*$D63,IF($E63="Distribution Rev.",VLOOKUP(U$4,'4. Billing Determinants'!$B$19:$R$41,8,0)/'4. Billing Determinants'!$I$41*$D63, VLOOKUP(U$4,'4. Billing Determinants'!$B$19:$R$41,3,0)/'4. Billing Determinants'!$D$41*$D63))))),0)</f>
        <v>0</v>
      </c>
      <c r="V63" s="40">
        <f>IFERROR(IF(V$4="",0,IF($E63="kWh",VLOOKUP(V$4,'4. Billing Determinants'!$B$19:$R$41,4,0)/'4. Billing Determinants'!$E$41*$D63,IF($E63="kW",VLOOKUP(V$4,'4. Billing Determinants'!$B$19:$R$41,5,0)/'4. Billing Determinants'!$F$41*$D63,IF($E63="Non-RPP kWh",VLOOKUP(V$4,'4. Billing Determinants'!$B$19:$R$41,6,0)/'4. Billing Determinants'!$G$41*$D63,IF($E63="Distribution Rev.",VLOOKUP(V$4,'4. Billing Determinants'!$B$19:$R$41,8,0)/'4. Billing Determinants'!$I$41*$D63, VLOOKUP(V$4,'4. Billing Determinants'!$B$19:$R$41,3,0)/'4. Billing Determinants'!$D$41*$D63))))),0)</f>
        <v>0</v>
      </c>
      <c r="W63" s="40">
        <f>IFERROR(IF(W$4="",0,IF($E63="kWh",VLOOKUP(W$4,'4. Billing Determinants'!$B$19:$R$41,4,0)/'4. Billing Determinants'!$E$41*$D63,IF($E63="kW",VLOOKUP(W$4,'4. Billing Determinants'!$B$19:$R$41,5,0)/'4. Billing Determinants'!$F$41*$D63,IF($E63="Non-RPP kWh",VLOOKUP(W$4,'4. Billing Determinants'!$B$19:$R$41,6,0)/'4. Billing Determinants'!$G$41*$D63,IF($E63="Distribution Rev.",VLOOKUP(W$4,'4. Billing Determinants'!$B$19:$R$41,8,0)/'4. Billing Determinants'!$I$41*$D63, VLOOKUP(W$4,'4. Billing Determinants'!$B$19:$R$41,3,0)/'4. Billing Determinants'!$D$41*$D63))))),0)</f>
        <v>0</v>
      </c>
      <c r="X63" s="40">
        <f>IFERROR(IF(X$4="",0,IF($E63="kWh",VLOOKUP(X$4,'4. Billing Determinants'!$B$19:$R$41,4,0)/'4. Billing Determinants'!$E$41*$D63,IF($E63="kW",VLOOKUP(X$4,'4. Billing Determinants'!$B$19:$R$41,5,0)/'4. Billing Determinants'!$F$41*$D63,IF($E63="Non-RPP kWh",VLOOKUP(X$4,'4. Billing Determinants'!$B$19:$R$41,6,0)/'4. Billing Determinants'!$G$41*$D63,IF($E63="Distribution Rev.",VLOOKUP(X$4,'4. Billing Determinants'!$B$19:$R$41,8,0)/'4. Billing Determinants'!$I$41*$D63, VLOOKUP(X$4,'4. Billing Determinants'!$B$19:$R$41,3,0)/'4. Billing Determinants'!$D$41*$D63))))),0)</f>
        <v>0</v>
      </c>
      <c r="Y63" s="40">
        <f>IFERROR(IF(Y$4="",0,IF($E63="kWh",VLOOKUP(Y$4,'4. Billing Determinants'!$B$19:$R$41,4,0)/'4. Billing Determinants'!$E$41*$D63,IF($E63="kW",VLOOKUP(Y$4,'4. Billing Determinants'!$B$19:$R$41,5,0)/'4. Billing Determinants'!$F$41*$D63,IF($E63="Non-RPP kWh",VLOOKUP(Y$4,'4. Billing Determinants'!$B$19:$R$41,6,0)/'4. Billing Determinants'!$G$41*$D63,IF($E63="Distribution Rev.",VLOOKUP(Y$4,'4. Billing Determinants'!$B$19:$R$41,8,0)/'4. Billing Determinants'!$I$41*$D63, VLOOKUP(Y$4,'4. Billing Determinants'!$B$19:$R$41,3,0)/'4. Billing Determinants'!$D$41*$D63))))),0)</f>
        <v>0</v>
      </c>
    </row>
    <row r="64" spans="1:25" s="48" customFormat="1" ht="37.5" customHeight="1" x14ac:dyDescent="0.25">
      <c r="A64" s="278"/>
      <c r="B64" s="676" t="s">
        <v>451</v>
      </c>
      <c r="C64" s="677">
        <v>1555</v>
      </c>
      <c r="D64" s="678">
        <f>'2b. Continuity Schedule'!BT103</f>
        <v>0</v>
      </c>
      <c r="E64" s="679" t="s">
        <v>139</v>
      </c>
      <c r="F64" s="678">
        <f>IFERROR(IF(F$4="",0,IF($E64="kWh",VLOOKUP(F$4,'4. Billing Determinants'!$B$19:$R$41,4,0)/'4. Billing Determinants'!$E$41*$D64,IF($E64="kW",VLOOKUP(F$4,'4. Billing Determinants'!$B$19:$R$41,5,0)/'4. Billing Determinants'!$F$41*$D64,IF($E64="Non-RPP kWh",VLOOKUP(F$4,'4. Billing Determinants'!$B$19:$R$41,6,0)/'4. Billing Determinants'!$G$41*$D64,IF($E64="Distribution Rev.",VLOOKUP(F$4,'4. Billing Determinants'!$B$19:$R$41,8,0)/'4. Billing Determinants'!$I$41*$D64, VLOOKUP(F$4,'4. Billing Determinants'!$B$19:$R$41,3,0)/'4. Billing Determinants'!$D$41*$D64))))),0)</f>
        <v>0</v>
      </c>
      <c r="G64" s="678">
        <f>IFERROR(IF(G$4="",0,IF($E64="kWh",VLOOKUP(G$4,'4. Billing Determinants'!$B$19:$R$41,4,0)/'4. Billing Determinants'!$E$41*$D64,IF($E64="kW",VLOOKUP(G$4,'4. Billing Determinants'!$B$19:$R$41,5,0)/'4. Billing Determinants'!$F$41*$D64,IF($E64="Non-RPP kWh",VLOOKUP(G$4,'4. Billing Determinants'!$B$19:$R$41,6,0)/'4. Billing Determinants'!$G$41*$D64,IF($E64="Distribution Rev.",VLOOKUP(G$4,'4. Billing Determinants'!$B$19:$R$41,8,0)/'4. Billing Determinants'!$I$41*$D64, VLOOKUP(G$4,'4. Billing Determinants'!$B$19:$R$41,3,0)/'4. Billing Determinants'!$D$41*$D64))))),0)</f>
        <v>0</v>
      </c>
      <c r="H64" s="678">
        <f>IFERROR(IF(H$4="",0,IF($E64="kWh",VLOOKUP(H$4,'4. Billing Determinants'!$B$19:$R$41,4,0)/'4. Billing Determinants'!$E$41*$D64,IF($E64="kW",VLOOKUP(H$4,'4. Billing Determinants'!$B$19:$R$41,5,0)/'4. Billing Determinants'!$F$41*$D64,IF($E64="Non-RPP kWh",VLOOKUP(H$4,'4. Billing Determinants'!$B$19:$R$41,6,0)/'4. Billing Determinants'!$G$41*$D64,IF($E64="Distribution Rev.",VLOOKUP(H$4,'4. Billing Determinants'!$B$19:$R$41,8,0)/'4. Billing Determinants'!$I$41*$D64, VLOOKUP(H$4,'4. Billing Determinants'!$B$19:$R$41,3,0)/'4. Billing Determinants'!$D$41*$D64))))),0)</f>
        <v>0</v>
      </c>
      <c r="I64" s="678">
        <f>IFERROR(IF(I$4="",0,IF($E64="kWh",VLOOKUP(I$4,'4. Billing Determinants'!$B$19:$R$41,4,0)/'4. Billing Determinants'!$E$41*$D64,IF($E64="kW",VLOOKUP(I$4,'4. Billing Determinants'!$B$19:$R$41,5,0)/'4. Billing Determinants'!$F$41*$D64,IF($E64="Non-RPP kWh",VLOOKUP(I$4,'4. Billing Determinants'!$B$19:$R$41,6,0)/'4. Billing Determinants'!$G$41*$D64,IF($E64="Distribution Rev.",VLOOKUP(I$4,'4. Billing Determinants'!$B$19:$R$41,8,0)/'4. Billing Determinants'!$I$41*$D64, VLOOKUP(I$4,'4. Billing Determinants'!$B$19:$R$41,3,0)/'4. Billing Determinants'!$D$41*$D64))))),0)</f>
        <v>0</v>
      </c>
      <c r="J64" s="678">
        <f>IFERROR(IF(J$4="",0,IF($E64="kWh",VLOOKUP(J$4,'4. Billing Determinants'!$B$19:$R$41,4,0)/'4. Billing Determinants'!$E$41*$D64,IF($E64="kW",VLOOKUP(J$4,'4. Billing Determinants'!$B$19:$R$41,5,0)/'4. Billing Determinants'!$F$41*$D64,IF($E64="Non-RPP kWh",VLOOKUP(J$4,'4. Billing Determinants'!$B$19:$R$41,6,0)/'4. Billing Determinants'!$G$41*$D64,IF($E64="Distribution Rev.",VLOOKUP(J$4,'4. Billing Determinants'!$B$19:$R$41,8,0)/'4. Billing Determinants'!$I$41*$D64, VLOOKUP(J$4,'4. Billing Determinants'!$B$19:$R$41,3,0)/'4. Billing Determinants'!$D$41*$D64))))),0)</f>
        <v>0</v>
      </c>
      <c r="K64" s="678">
        <f>IFERROR(IF(K$4="",0,IF($E64="kWh",VLOOKUP(K$4,'4. Billing Determinants'!$B$19:$R$41,4,0)/'4. Billing Determinants'!$E$41*$D64,IF($E64="kW",VLOOKUP(K$4,'4. Billing Determinants'!$B$19:$R$41,5,0)/'4. Billing Determinants'!$F$41*$D64,IF($E64="Non-RPP kWh",VLOOKUP(K$4,'4. Billing Determinants'!$B$19:$R$41,6,0)/'4. Billing Determinants'!$G$41*$D64,IF($E64="Distribution Rev.",VLOOKUP(K$4,'4. Billing Determinants'!$B$19:$R$41,8,0)/'4. Billing Determinants'!$I$41*$D64, VLOOKUP(K$4,'4. Billing Determinants'!$B$19:$R$41,3,0)/'4. Billing Determinants'!$D$41*$D64))))),0)</f>
        <v>0</v>
      </c>
      <c r="L64" s="678">
        <f>IFERROR(IF(L$4="",0,IF($E64="kWh",VLOOKUP(L$4,'4. Billing Determinants'!$B$19:$R$41,4,0)/'4. Billing Determinants'!$E$41*$D64,IF($E64="kW",VLOOKUP(L$4,'4. Billing Determinants'!$B$19:$R$41,5,0)/'4. Billing Determinants'!$F$41*$D64,IF($E64="Non-RPP kWh",VLOOKUP(L$4,'4. Billing Determinants'!$B$19:$R$41,6,0)/'4. Billing Determinants'!$G$41*$D64,IF($E64="Distribution Rev.",VLOOKUP(L$4,'4. Billing Determinants'!$B$19:$R$41,8,0)/'4. Billing Determinants'!$I$41*$D64, VLOOKUP(L$4,'4. Billing Determinants'!$B$19:$R$41,3,0)/'4. Billing Determinants'!$D$41*$D64))))),0)</f>
        <v>0</v>
      </c>
      <c r="M64" s="678">
        <f>IFERROR(IF(M$4="",0,IF($E64="kWh",VLOOKUP(M$4,'4. Billing Determinants'!$B$19:$R$41,4,0)/'4. Billing Determinants'!$E$41*$D64,IF($E64="kW",VLOOKUP(M$4,'4. Billing Determinants'!$B$19:$R$41,5,0)/'4. Billing Determinants'!$F$41*$D64,IF($E64="Non-RPP kWh",VLOOKUP(M$4,'4. Billing Determinants'!$B$19:$R$41,6,0)/'4. Billing Determinants'!$G$41*$D64,IF($E64="Distribution Rev.",VLOOKUP(M$4,'4. Billing Determinants'!$B$19:$R$41,8,0)/'4. Billing Determinants'!$I$41*$D64, VLOOKUP(M$4,'4. Billing Determinants'!$B$19:$R$41,3,0)/'4. Billing Determinants'!$D$41*$D64))))),0)</f>
        <v>0</v>
      </c>
      <c r="N64" s="678">
        <f>IFERROR(IF(N$4="",0,IF($E64="kWh",VLOOKUP(N$4,'4. Billing Determinants'!$B$19:$R$41,4,0)/'4. Billing Determinants'!$E$41*$D64,IF($E64="kW",VLOOKUP(N$4,'4. Billing Determinants'!$B$19:$R$41,5,0)/'4. Billing Determinants'!$F$41*$D64,IF($E64="Non-RPP kWh",VLOOKUP(N$4,'4. Billing Determinants'!$B$19:$R$41,6,0)/'4. Billing Determinants'!$G$41*$D64,IF($E64="Distribution Rev.",VLOOKUP(N$4,'4. Billing Determinants'!$B$19:$R$41,8,0)/'4. Billing Determinants'!$I$41*$D64, VLOOKUP(N$4,'4. Billing Determinants'!$B$19:$R$41,3,0)/'4. Billing Determinants'!$D$41*$D64))))),0)</f>
        <v>0</v>
      </c>
      <c r="O64" s="678">
        <f>IFERROR(IF(O$4="",0,IF($E64="kWh",VLOOKUP(O$4,'4. Billing Determinants'!$B$19:$R$41,4,0)/'4. Billing Determinants'!$E$41*$D64,IF($E64="kW",VLOOKUP(O$4,'4. Billing Determinants'!$B$19:$R$41,5,0)/'4. Billing Determinants'!$F$41*$D64,IF($E64="Non-RPP kWh",VLOOKUP(O$4,'4. Billing Determinants'!$B$19:$R$41,6,0)/'4. Billing Determinants'!$G$41*$D64,IF($E64="Distribution Rev.",VLOOKUP(O$4,'4. Billing Determinants'!$B$19:$R$41,8,0)/'4. Billing Determinants'!$I$41*$D64, VLOOKUP(O$4,'4. Billing Determinants'!$B$19:$R$41,3,0)/'4. Billing Determinants'!$D$41*$D64))))),0)</f>
        <v>0</v>
      </c>
      <c r="P64" s="678">
        <f>IFERROR(IF(P$4="",0,IF($E64="kWh",VLOOKUP(P$4,'4. Billing Determinants'!$B$19:$R$41,4,0)/'4. Billing Determinants'!$E$41*$D64,IF($E64="kW",VLOOKUP(P$4,'4. Billing Determinants'!$B$19:$R$41,5,0)/'4. Billing Determinants'!$F$41*$D64,IF($E64="Non-RPP kWh",VLOOKUP(P$4,'4. Billing Determinants'!$B$19:$R$41,6,0)/'4. Billing Determinants'!$G$41*$D64,IF($E64="Distribution Rev.",VLOOKUP(P$4,'4. Billing Determinants'!$B$19:$R$41,8,0)/'4. Billing Determinants'!$I$41*$D64, VLOOKUP(P$4,'4. Billing Determinants'!$B$19:$R$41,3,0)/'4. Billing Determinants'!$D$41*$D64))))),0)</f>
        <v>0</v>
      </c>
      <c r="Q64" s="40">
        <f>IFERROR(IF(Q$4="",0,IF($E64="kWh",VLOOKUP(Q$4,'4. Billing Determinants'!$B$19:$R$41,4,0)/'4. Billing Determinants'!$E$41*$D64,IF($E64="kW",VLOOKUP(Q$4,'4. Billing Determinants'!$B$19:$R$41,5,0)/'4. Billing Determinants'!$F$41*$D64,IF($E64="Non-RPP kWh",VLOOKUP(Q$4,'4. Billing Determinants'!$B$19:$R$41,6,0)/'4. Billing Determinants'!$G$41*$D64,IF($E64="Distribution Rev.",VLOOKUP(Q$4,'4. Billing Determinants'!$B$19:$R$41,8,0)/'4. Billing Determinants'!$I$41*$D64, VLOOKUP(Q$4,'4. Billing Determinants'!$B$19:$R$41,3,0)/'4. Billing Determinants'!$D$41*$D64))))),0)</f>
        <v>0</v>
      </c>
      <c r="R64" s="40">
        <f>IFERROR(IF(R$4="",0,IF($E64="kWh",VLOOKUP(R$4,'4. Billing Determinants'!$B$19:$R$41,4,0)/'4. Billing Determinants'!$E$41*$D64,IF($E64="kW",VLOOKUP(R$4,'4. Billing Determinants'!$B$19:$R$41,5,0)/'4. Billing Determinants'!$F$41*$D64,IF($E64="Non-RPP kWh",VLOOKUP(R$4,'4. Billing Determinants'!$B$19:$R$41,6,0)/'4. Billing Determinants'!$G$41*$D64,IF($E64="Distribution Rev.",VLOOKUP(R$4,'4. Billing Determinants'!$B$19:$R$41,8,0)/'4. Billing Determinants'!$I$41*$D64, VLOOKUP(R$4,'4. Billing Determinants'!$B$19:$R$41,3,0)/'4. Billing Determinants'!$D$41*$D64))))),0)</f>
        <v>0</v>
      </c>
      <c r="S64" s="40">
        <f>IFERROR(IF(S$4="",0,IF($E64="kWh",VLOOKUP(S$4,'4. Billing Determinants'!$B$19:$R$41,4,0)/'4. Billing Determinants'!$E$41*$D64,IF($E64="kW",VLOOKUP(S$4,'4. Billing Determinants'!$B$19:$R$41,5,0)/'4. Billing Determinants'!$F$41*$D64,IF($E64="Non-RPP kWh",VLOOKUP(S$4,'4. Billing Determinants'!$B$19:$R$41,6,0)/'4. Billing Determinants'!$G$41*$D64,IF($E64="Distribution Rev.",VLOOKUP(S$4,'4. Billing Determinants'!$B$19:$R$41,8,0)/'4. Billing Determinants'!$I$41*$D64, VLOOKUP(S$4,'4. Billing Determinants'!$B$19:$R$41,3,0)/'4. Billing Determinants'!$D$41*$D64))))),0)</f>
        <v>0</v>
      </c>
      <c r="T64" s="40">
        <f>IFERROR(IF(T$4="",0,IF($E64="kWh",VLOOKUP(T$4,'4. Billing Determinants'!$B$19:$R$41,4,0)/'4. Billing Determinants'!$E$41*$D64,IF($E64="kW",VLOOKUP(T$4,'4. Billing Determinants'!$B$19:$R$41,5,0)/'4. Billing Determinants'!$F$41*$D64,IF($E64="Non-RPP kWh",VLOOKUP(T$4,'4. Billing Determinants'!$B$19:$R$41,6,0)/'4. Billing Determinants'!$G$41*$D64,IF($E64="Distribution Rev.",VLOOKUP(T$4,'4. Billing Determinants'!$B$19:$R$41,8,0)/'4. Billing Determinants'!$I$41*$D64, VLOOKUP(T$4,'4. Billing Determinants'!$B$19:$R$41,3,0)/'4. Billing Determinants'!$D$41*$D64))))),0)</f>
        <v>0</v>
      </c>
      <c r="U64" s="40">
        <f>IFERROR(IF(U$4="",0,IF($E64="kWh",VLOOKUP(U$4,'4. Billing Determinants'!$B$19:$R$41,4,0)/'4. Billing Determinants'!$E$41*$D64,IF($E64="kW",VLOOKUP(U$4,'4. Billing Determinants'!$B$19:$R$41,5,0)/'4. Billing Determinants'!$F$41*$D64,IF($E64="Non-RPP kWh",VLOOKUP(U$4,'4. Billing Determinants'!$B$19:$R$41,6,0)/'4. Billing Determinants'!$G$41*$D64,IF($E64="Distribution Rev.",VLOOKUP(U$4,'4. Billing Determinants'!$B$19:$R$41,8,0)/'4. Billing Determinants'!$I$41*$D64, VLOOKUP(U$4,'4. Billing Determinants'!$B$19:$R$41,3,0)/'4. Billing Determinants'!$D$41*$D64))))),0)</f>
        <v>0</v>
      </c>
      <c r="V64" s="40">
        <f>IFERROR(IF(V$4="",0,IF($E64="kWh",VLOOKUP(V$4,'4. Billing Determinants'!$B$19:$R$41,4,0)/'4. Billing Determinants'!$E$41*$D64,IF($E64="kW",VLOOKUP(V$4,'4. Billing Determinants'!$B$19:$R$41,5,0)/'4. Billing Determinants'!$F$41*$D64,IF($E64="Non-RPP kWh",VLOOKUP(V$4,'4. Billing Determinants'!$B$19:$R$41,6,0)/'4. Billing Determinants'!$G$41*$D64,IF($E64="Distribution Rev.",VLOOKUP(V$4,'4. Billing Determinants'!$B$19:$R$41,8,0)/'4. Billing Determinants'!$I$41*$D64, VLOOKUP(V$4,'4. Billing Determinants'!$B$19:$R$41,3,0)/'4. Billing Determinants'!$D$41*$D64))))),0)</f>
        <v>0</v>
      </c>
      <c r="W64" s="40">
        <f>IFERROR(IF(W$4="",0,IF($E64="kWh",VLOOKUP(W$4,'4. Billing Determinants'!$B$19:$R$41,4,0)/'4. Billing Determinants'!$E$41*$D64,IF($E64="kW",VLOOKUP(W$4,'4. Billing Determinants'!$B$19:$R$41,5,0)/'4. Billing Determinants'!$F$41*$D64,IF($E64="Non-RPP kWh",VLOOKUP(W$4,'4. Billing Determinants'!$B$19:$R$41,6,0)/'4. Billing Determinants'!$G$41*$D64,IF($E64="Distribution Rev.",VLOOKUP(W$4,'4. Billing Determinants'!$B$19:$R$41,8,0)/'4. Billing Determinants'!$I$41*$D64, VLOOKUP(W$4,'4. Billing Determinants'!$B$19:$R$41,3,0)/'4. Billing Determinants'!$D$41*$D64))))),0)</f>
        <v>0</v>
      </c>
      <c r="X64" s="40">
        <f>IFERROR(IF(X$4="",0,IF($E64="kWh",VLOOKUP(X$4,'4. Billing Determinants'!$B$19:$R$41,4,0)/'4. Billing Determinants'!$E$41*$D64,IF($E64="kW",VLOOKUP(X$4,'4. Billing Determinants'!$B$19:$R$41,5,0)/'4. Billing Determinants'!$F$41*$D64,IF($E64="Non-RPP kWh",VLOOKUP(X$4,'4. Billing Determinants'!$B$19:$R$41,6,0)/'4. Billing Determinants'!$G$41*$D64,IF($E64="Distribution Rev.",VLOOKUP(X$4,'4. Billing Determinants'!$B$19:$R$41,8,0)/'4. Billing Determinants'!$I$41*$D64, VLOOKUP(X$4,'4. Billing Determinants'!$B$19:$R$41,3,0)/'4. Billing Determinants'!$D$41*$D64))))),0)</f>
        <v>0</v>
      </c>
      <c r="Y64" s="40">
        <f>IFERROR(IF(Y$4="",0,IF($E64="kWh",VLOOKUP(Y$4,'4. Billing Determinants'!$B$19:$R$41,4,0)/'4. Billing Determinants'!$E$41*$D64,IF($E64="kW",VLOOKUP(Y$4,'4. Billing Determinants'!$B$19:$R$41,5,0)/'4. Billing Determinants'!$F$41*$D64,IF($E64="Non-RPP kWh",VLOOKUP(Y$4,'4. Billing Determinants'!$B$19:$R$41,6,0)/'4. Billing Determinants'!$G$41*$D64,IF($E64="Distribution Rev.",VLOOKUP(Y$4,'4. Billing Determinants'!$B$19:$R$41,8,0)/'4. Billing Determinants'!$I$41*$D64, VLOOKUP(Y$4,'4. Billing Determinants'!$B$19:$R$41,3,0)/'4. Billing Determinants'!$D$41*$D64))))),0)</f>
        <v>0</v>
      </c>
    </row>
    <row r="65" spans="1:25" s="712" customFormat="1" ht="12" customHeight="1" x14ac:dyDescent="0.3">
      <c r="A65" s="712">
        <v>41</v>
      </c>
      <c r="B65" s="713" t="s">
        <v>450</v>
      </c>
      <c r="C65" s="714">
        <v>1580</v>
      </c>
      <c r="D65" s="715">
        <f>IF('1. Information Sheet'!L61="Yes",'6.2a CBR B_Allocation'!C29,0)</f>
        <v>3039929.7146033761</v>
      </c>
      <c r="E65" s="716" t="s">
        <v>139</v>
      </c>
      <c r="F65" s="715">
        <f>IFERROR(VLOOKUP(F$4,'6.2 CBR B'!$A$17:$K$36,11,FALSE)*'6.2a CBR B_Allocation'!$C$29,0)</f>
        <v>855915.24098585907</v>
      </c>
      <c r="G65" s="715">
        <f>IFERROR(VLOOKUP(G$4,'6.2 CBR B'!$A$17:$K$36,11,FALSE)*'6.2a CBR B_Allocation'!$C$29,0)</f>
        <v>60275.990107010017</v>
      </c>
      <c r="H65" s="715">
        <f>IFERROR(VLOOKUP(H$4,'6.2 CBR B'!$A$17:$K$36,11,FALSE)*'6.2a CBR B_Allocation'!$C$29,0)</f>
        <v>416310.46530162031</v>
      </c>
      <c r="I65" s="715">
        <f>IFERROR(VLOOKUP(I$4,'6.2 CBR B'!$A$17:$K$36,11,FALSE)*'6.2a CBR B_Allocation'!$C$29,0)</f>
        <v>1043908.3145099716</v>
      </c>
      <c r="J65" s="715">
        <f>IFERROR(VLOOKUP(J$4,'6.2 CBR B'!$A$17:$K$36,11,FALSE)*'6.2a CBR B_Allocation'!$C$29,0)</f>
        <v>584872.36116409057</v>
      </c>
      <c r="K65" s="715">
        <f>IFERROR(VLOOKUP(K$4,'6.2 CBR B'!$A$17:$K$36,11,FALSE)*'6.2a CBR B_Allocation'!$C$29,0)</f>
        <v>50382.826917044171</v>
      </c>
      <c r="L65" s="715">
        <f>IFERROR(VLOOKUP(L$4,'6.2 CBR B'!$A$17:$K$36,11,FALSE)*'6.2a CBR B_Allocation'!$C$29,0)</f>
        <v>20843.181501059757</v>
      </c>
      <c r="M65" s="715">
        <f>IFERROR(VLOOKUP(M$4,'6.2 CBR B'!$A$17:$K$36,11,FALSE)*'6.2a CBR B_Allocation'!$C$29,0)</f>
        <v>7421.3341167204417</v>
      </c>
      <c r="N65" s="715">
        <f>IFERROR(VLOOKUP(N$4,'6.2 CBR B'!$A$17:$K$36,11,FALSE)*'6.2a CBR B_Allocation'!$C$29,0)</f>
        <v>0</v>
      </c>
      <c r="O65" s="715">
        <f>IFERROR(VLOOKUP(O$4,'6.2 CBR B'!$A$17:$K$36,11,FALSE)*'6.2a CBR B_Allocation'!$C$29,0)</f>
        <v>0</v>
      </c>
      <c r="P65" s="715">
        <f>IFERROR(VLOOKUP(P$4,'6.2 CBR B'!$A$17:$K$36,11,FALSE)*'6.2a CBR B_Allocation'!$C$29,0)</f>
        <v>0</v>
      </c>
      <c r="Q65" s="553">
        <f>IFERROR(VLOOKUP(Q$4,'6.2 CBR B'!$A$17:$K$36,11,FALSE)*'6.2a CBR B_Allocation'!$C$29,0)</f>
        <v>0</v>
      </c>
      <c r="R65" s="553">
        <f>IFERROR(VLOOKUP(R$4,'6.2 CBR B'!$A$17:$K$36,11,FALSE)*'6.2a CBR B_Allocation'!$C$29,0)</f>
        <v>0</v>
      </c>
      <c r="S65" s="553">
        <f>IFERROR(VLOOKUP(S$4,'6.2 CBR B'!$A$17:$K$36,11,FALSE)*'6.2a CBR B_Allocation'!$C$29,0)</f>
        <v>0</v>
      </c>
      <c r="T65" s="553">
        <f>IFERROR(VLOOKUP(T$4,'6.2 CBR B'!$A$17:$K$36,11,FALSE)*'6.2a CBR B_Allocation'!$C$29,0)</f>
        <v>0</v>
      </c>
      <c r="U65" s="553">
        <f>IFERROR(VLOOKUP(U$4,'6.2 CBR B'!$A$17:$K$36,11,FALSE)*'6.2a CBR B_Allocation'!$C$29,0)</f>
        <v>0</v>
      </c>
      <c r="V65" s="553">
        <f>IFERROR(VLOOKUP(V$4,'6.2 CBR B'!$A$17:$K$36,11,FALSE)*'6.2a CBR B_Allocation'!$C$29,0)</f>
        <v>0</v>
      </c>
      <c r="W65" s="553">
        <f>IFERROR(VLOOKUP(W$4,'6.2 CBR B'!$A$17:$K$36,11,FALSE)*'6.2a CBR B_Allocation'!$C$29,0)</f>
        <v>0</v>
      </c>
      <c r="X65" s="553">
        <f>IFERROR(VLOOKUP(X$4,'6.2 CBR B'!$A$17:$K$36,11,FALSE)*'6.2a CBR B_Allocation'!$C$29,0)</f>
        <v>0</v>
      </c>
      <c r="Y65" s="553">
        <f>IFERROR(VLOOKUP(Y$4,'6.2 CBR B'!$A$17:$K$36,11,FALSE)*'6.2a CBR B_Allocation'!$C$29,0)</f>
        <v>0</v>
      </c>
    </row>
    <row r="66" spans="1:25" s="48" customFormat="1" x14ac:dyDescent="0.25">
      <c r="A66" s="122">
        <v>42</v>
      </c>
      <c r="B66" s="710"/>
      <c r="C66" s="710"/>
      <c r="D66" s="711"/>
      <c r="E66" s="711"/>
      <c r="F66" s="711"/>
      <c r="G66" s="711"/>
      <c r="H66" s="711"/>
      <c r="I66" s="711"/>
      <c r="J66" s="711"/>
      <c r="K66" s="711"/>
      <c r="L66" s="711"/>
      <c r="M66" s="711"/>
      <c r="N66" s="711"/>
      <c r="O66" s="711"/>
      <c r="P66" s="711"/>
      <c r="Q66" s="711"/>
      <c r="R66" s="711"/>
      <c r="S66" s="711"/>
      <c r="T66" s="711"/>
      <c r="U66" s="711"/>
      <c r="V66" s="711"/>
      <c r="W66" s="711"/>
      <c r="X66" s="711"/>
      <c r="Y66" s="711"/>
    </row>
    <row r="67" spans="1:25" s="556" customFormat="1" ht="13" x14ac:dyDescent="0.25">
      <c r="A67" s="555">
        <v>43</v>
      </c>
      <c r="B67" s="1195" t="s">
        <v>147</v>
      </c>
      <c r="C67" s="1195"/>
      <c r="D67" s="553">
        <f>SUM(F67:Y67)</f>
        <v>42372731.440756172</v>
      </c>
      <c r="E67" s="552"/>
      <c r="F67" s="553">
        <f>SUM(F5,F6,F8,F9,F12:F19)</f>
        <v>8158391.7850247473</v>
      </c>
      <c r="G67" s="553">
        <f>SUM(G5,G6,G8,G9,G12:G19)</f>
        <v>-724225.31843159068</v>
      </c>
      <c r="H67" s="553">
        <f t="shared" ref="H67:Y67" si="3">SUM(H5,H6,H8,H9,H12:H19)</f>
        <v>4483504.8915498704</v>
      </c>
      <c r="I67" s="553">
        <f t="shared" si="3"/>
        <v>18725309.511485957</v>
      </c>
      <c r="J67" s="553">
        <f t="shared" si="3"/>
        <v>7879802.0454135928</v>
      </c>
      <c r="K67" s="553">
        <f t="shared" si="3"/>
        <v>3534399.902929985</v>
      </c>
      <c r="L67" s="553">
        <f t="shared" si="3"/>
        <v>232695.91122767457</v>
      </c>
      <c r="M67" s="553">
        <f t="shared" si="3"/>
        <v>82852.711555934453</v>
      </c>
      <c r="N67" s="553">
        <f t="shared" si="3"/>
        <v>0</v>
      </c>
      <c r="O67" s="553">
        <f t="shared" si="3"/>
        <v>0</v>
      </c>
      <c r="P67" s="553">
        <f t="shared" si="3"/>
        <v>0</v>
      </c>
      <c r="Q67" s="553">
        <f t="shared" si="3"/>
        <v>0</v>
      </c>
      <c r="R67" s="553">
        <f t="shared" si="3"/>
        <v>0</v>
      </c>
      <c r="S67" s="553">
        <f t="shared" si="3"/>
        <v>0</v>
      </c>
      <c r="T67" s="553">
        <f t="shared" si="3"/>
        <v>0</v>
      </c>
      <c r="U67" s="553">
        <f t="shared" si="3"/>
        <v>0</v>
      </c>
      <c r="V67" s="553">
        <f t="shared" si="3"/>
        <v>0</v>
      </c>
      <c r="W67" s="553">
        <f t="shared" si="3"/>
        <v>0</v>
      </c>
      <c r="X67" s="553">
        <f t="shared" si="3"/>
        <v>0</v>
      </c>
      <c r="Y67" s="553">
        <f t="shared" si="3"/>
        <v>0</v>
      </c>
    </row>
    <row r="68" spans="1:25" s="556" customFormat="1" ht="13" x14ac:dyDescent="0.25">
      <c r="A68" s="556">
        <v>44</v>
      </c>
      <c r="B68" s="1195" t="s">
        <v>149</v>
      </c>
      <c r="C68" s="1195"/>
      <c r="D68" s="553">
        <f>SUM(F68:Y68)</f>
        <v>13604346.686545953</v>
      </c>
      <c r="E68" s="553"/>
      <c r="F68" s="553">
        <f t="shared" ref="F68:Y68" si="4">SUM(F7,F10)</f>
        <v>2902039.4951379746</v>
      </c>
      <c r="G68" s="553">
        <f t="shared" si="4"/>
        <v>204369.89029148378</v>
      </c>
      <c r="H68" s="553">
        <f t="shared" si="4"/>
        <v>1411680.012778894</v>
      </c>
      <c r="I68" s="553">
        <f t="shared" si="4"/>
        <v>5657438.0005254578</v>
      </c>
      <c r="J68" s="553">
        <f t="shared" si="4"/>
        <v>2393097.5842117323</v>
      </c>
      <c r="K68" s="553">
        <f>SUM(K7,K10)</f>
        <v>939888.91934099561</v>
      </c>
      <c r="L68" s="553">
        <f t="shared" si="4"/>
        <v>70670.240491025397</v>
      </c>
      <c r="M68" s="553">
        <f t="shared" si="4"/>
        <v>25162.543768388678</v>
      </c>
      <c r="N68" s="553">
        <f t="shared" si="4"/>
        <v>0</v>
      </c>
      <c r="O68" s="553">
        <f t="shared" si="4"/>
        <v>0</v>
      </c>
      <c r="P68" s="553">
        <f t="shared" si="4"/>
        <v>0</v>
      </c>
      <c r="Q68" s="553">
        <f t="shared" si="4"/>
        <v>0</v>
      </c>
      <c r="R68" s="553">
        <f t="shared" si="4"/>
        <v>0</v>
      </c>
      <c r="S68" s="553">
        <f t="shared" si="4"/>
        <v>0</v>
      </c>
      <c r="T68" s="553">
        <f t="shared" si="4"/>
        <v>0</v>
      </c>
      <c r="U68" s="553">
        <f t="shared" si="4"/>
        <v>0</v>
      </c>
      <c r="V68" s="553">
        <f t="shared" si="4"/>
        <v>0</v>
      </c>
      <c r="W68" s="553">
        <f t="shared" si="4"/>
        <v>0</v>
      </c>
      <c r="X68" s="553">
        <f t="shared" si="4"/>
        <v>0</v>
      </c>
      <c r="Y68" s="553">
        <f t="shared" si="4"/>
        <v>0</v>
      </c>
    </row>
    <row r="69" spans="1:25" s="555" customFormat="1" ht="13" x14ac:dyDescent="0.25">
      <c r="A69" s="555">
        <v>45</v>
      </c>
      <c r="B69" s="1195" t="s">
        <v>2868</v>
      </c>
      <c r="C69" s="1195"/>
      <c r="D69" s="553">
        <f>SUM(F69:Y69)</f>
        <v>8091523.7344238879</v>
      </c>
      <c r="E69" s="553"/>
      <c r="F69" s="553">
        <f t="shared" ref="F69:Y69" si="5">F11</f>
        <v>59577.825387000106</v>
      </c>
      <c r="G69" s="553">
        <f t="shared" si="5"/>
        <v>316.20924329903949</v>
      </c>
      <c r="H69" s="553">
        <f t="shared" si="5"/>
        <v>393037.65606177959</v>
      </c>
      <c r="I69" s="553">
        <f t="shared" si="5"/>
        <v>3418639.3426829297</v>
      </c>
      <c r="J69" s="553">
        <f t="shared" si="5"/>
        <v>3992555.0771791223</v>
      </c>
      <c r="K69" s="553">
        <f t="shared" si="5"/>
        <v>78553.960900172329</v>
      </c>
      <c r="L69" s="553">
        <f t="shared" si="5"/>
        <v>148789.41998583305</v>
      </c>
      <c r="M69" s="553">
        <f t="shared" si="5"/>
        <v>54.24298375214542</v>
      </c>
      <c r="N69" s="553">
        <f t="shared" si="5"/>
        <v>0</v>
      </c>
      <c r="O69" s="553">
        <f t="shared" si="5"/>
        <v>0</v>
      </c>
      <c r="P69" s="553">
        <f t="shared" si="5"/>
        <v>0</v>
      </c>
      <c r="Q69" s="553">
        <f t="shared" si="5"/>
        <v>0</v>
      </c>
      <c r="R69" s="553">
        <f t="shared" si="5"/>
        <v>0</v>
      </c>
      <c r="S69" s="553">
        <f t="shared" si="5"/>
        <v>0</v>
      </c>
      <c r="T69" s="553">
        <f t="shared" si="5"/>
        <v>0</v>
      </c>
      <c r="U69" s="553">
        <f t="shared" si="5"/>
        <v>0</v>
      </c>
      <c r="V69" s="553">
        <f t="shared" si="5"/>
        <v>0</v>
      </c>
      <c r="W69" s="553">
        <f t="shared" si="5"/>
        <v>0</v>
      </c>
      <c r="X69" s="553">
        <f t="shared" si="5"/>
        <v>0</v>
      </c>
      <c r="Y69" s="553">
        <f t="shared" si="5"/>
        <v>0</v>
      </c>
    </row>
    <row r="70" spans="1:25" s="48" customFormat="1" x14ac:dyDescent="0.25">
      <c r="A70" s="122">
        <v>46</v>
      </c>
      <c r="D70" s="46"/>
      <c r="E70" s="46"/>
      <c r="F70" s="46"/>
      <c r="G70" s="46"/>
      <c r="H70" s="46"/>
      <c r="I70" s="46"/>
      <c r="J70" s="46"/>
      <c r="K70" s="46"/>
      <c r="L70" s="46"/>
      <c r="M70" s="46"/>
      <c r="N70" s="46"/>
      <c r="O70" s="46"/>
      <c r="P70" s="46"/>
      <c r="Q70" s="46"/>
      <c r="R70" s="46"/>
      <c r="S70" s="46"/>
      <c r="T70" s="46"/>
      <c r="U70" s="46"/>
      <c r="V70" s="46"/>
      <c r="W70" s="46"/>
      <c r="X70" s="46"/>
      <c r="Y70" s="46"/>
    </row>
    <row r="71" spans="1:25" s="272" customFormat="1" ht="13" hidden="1" x14ac:dyDescent="0.25">
      <c r="A71" s="122">
        <v>47</v>
      </c>
      <c r="B71" s="1196" t="s">
        <v>152</v>
      </c>
      <c r="C71" s="1196"/>
      <c r="D71" s="273">
        <f>SUM(F71:Y71)</f>
        <v>0</v>
      </c>
      <c r="E71" s="273"/>
      <c r="F71" s="273">
        <f>'4. Billing Determinants'!$N21*'2b. Continuity Schedule'!$BT$45</f>
        <v>0</v>
      </c>
      <c r="G71" s="273">
        <f>'4. Billing Determinants'!$N22*'2b. Continuity Schedule'!$BT$45</f>
        <v>0</v>
      </c>
      <c r="H71" s="273">
        <f>'4. Billing Determinants'!$N23*'2b. Continuity Schedule'!$BT$45</f>
        <v>0</v>
      </c>
      <c r="I71" s="273">
        <f>'4. Billing Determinants'!$N24*'2b. Continuity Schedule'!$BT$45</f>
        <v>0</v>
      </c>
      <c r="J71" s="273">
        <f>'4. Billing Determinants'!$N25*'2b. Continuity Schedule'!$BT$45</f>
        <v>0</v>
      </c>
      <c r="K71" s="273">
        <f>'4. Billing Determinants'!$N26*'2b. Continuity Schedule'!$BT$45</f>
        <v>0</v>
      </c>
      <c r="L71" s="273">
        <f>'4. Billing Determinants'!$N27*'2b. Continuity Schedule'!$BT$45</f>
        <v>0</v>
      </c>
      <c r="M71" s="273">
        <f>'4. Billing Determinants'!$N28*'2b. Continuity Schedule'!$BT$45</f>
        <v>0</v>
      </c>
      <c r="N71" s="273">
        <f>'4. Billing Determinants'!$N29*'2b. Continuity Schedule'!$BT$45</f>
        <v>0</v>
      </c>
      <c r="O71" s="273">
        <f>'4. Billing Determinants'!$N30*'2b. Continuity Schedule'!$BT$45</f>
        <v>0</v>
      </c>
      <c r="P71" s="273">
        <f>'4. Billing Determinants'!$N31*'2b. Continuity Schedule'!$BT$45</f>
        <v>0</v>
      </c>
      <c r="Q71" s="273">
        <f>'4. Billing Determinants'!$N32*'2b. Continuity Schedule'!$BT$45</f>
        <v>0</v>
      </c>
      <c r="R71" s="273">
        <f>'4. Billing Determinants'!$N33*'2b. Continuity Schedule'!$BT$45</f>
        <v>0</v>
      </c>
      <c r="S71" s="273">
        <f>'4. Billing Determinants'!$N34*'2b. Continuity Schedule'!$BT$45</f>
        <v>0</v>
      </c>
      <c r="T71" s="273">
        <f>'4. Billing Determinants'!$N35*'2b. Continuity Schedule'!$BT$45</f>
        <v>0</v>
      </c>
      <c r="U71" s="273">
        <f>'4. Billing Determinants'!$N36*'2b. Continuity Schedule'!$BT$45</f>
        <v>0</v>
      </c>
      <c r="V71" s="273">
        <f>'4. Billing Determinants'!$N37*'2b. Continuity Schedule'!$BT$45</f>
        <v>0</v>
      </c>
      <c r="W71" s="273">
        <f>'4. Billing Determinants'!$N38*'2b. Continuity Schedule'!$BT$45</f>
        <v>0</v>
      </c>
      <c r="X71" s="273">
        <f>'4. Billing Determinants'!$N39*'2b. Continuity Schedule'!$BT$45</f>
        <v>0</v>
      </c>
      <c r="Y71" s="273">
        <f>'4. Billing Determinants'!$N40*'2b. Continuity Schedule'!$BT$45</f>
        <v>0</v>
      </c>
    </row>
    <row r="72" spans="1:25" s="48" customFormat="1" x14ac:dyDescent="0.25">
      <c r="A72" s="278">
        <v>48</v>
      </c>
      <c r="D72" s="46"/>
      <c r="E72" s="46"/>
      <c r="F72" s="46"/>
      <c r="G72" s="46"/>
      <c r="H72" s="46"/>
      <c r="I72" s="46"/>
      <c r="J72" s="46"/>
      <c r="K72" s="46"/>
      <c r="L72" s="46"/>
      <c r="M72" s="46"/>
      <c r="N72" s="46"/>
      <c r="O72" s="46"/>
      <c r="P72" s="46"/>
      <c r="Q72" s="46"/>
      <c r="R72" s="46"/>
      <c r="S72" s="46"/>
      <c r="T72" s="46"/>
      <c r="U72" s="46"/>
      <c r="V72" s="46"/>
      <c r="W72" s="46"/>
      <c r="X72" s="46"/>
      <c r="Y72" s="46"/>
    </row>
    <row r="73" spans="1:25" s="558" customFormat="1" ht="13" x14ac:dyDescent="0.25">
      <c r="A73" s="557">
        <v>49</v>
      </c>
      <c r="B73" s="1195" t="s">
        <v>3448</v>
      </c>
      <c r="C73" s="1195"/>
      <c r="D73" s="553">
        <f>SUM(F73:Y73)</f>
        <v>0</v>
      </c>
      <c r="E73" s="552"/>
      <c r="F73" s="553">
        <f>SUM(F22:F52)+F57+F63+F64</f>
        <v>0</v>
      </c>
      <c r="G73" s="553">
        <f t="shared" ref="G73:Y73" si="6">SUM(G22:G52)+G57+G63+G64</f>
        <v>0</v>
      </c>
      <c r="H73" s="553">
        <f t="shared" si="6"/>
        <v>0</v>
      </c>
      <c r="I73" s="553">
        <f t="shared" si="6"/>
        <v>0</v>
      </c>
      <c r="J73" s="553">
        <f t="shared" si="6"/>
        <v>0</v>
      </c>
      <c r="K73" s="553">
        <f t="shared" si="6"/>
        <v>0</v>
      </c>
      <c r="L73" s="553">
        <f t="shared" si="6"/>
        <v>0</v>
      </c>
      <c r="M73" s="553">
        <f t="shared" si="6"/>
        <v>0</v>
      </c>
      <c r="N73" s="553">
        <f t="shared" si="6"/>
        <v>0</v>
      </c>
      <c r="O73" s="553">
        <f t="shared" si="6"/>
        <v>0</v>
      </c>
      <c r="P73" s="553">
        <f t="shared" si="6"/>
        <v>0</v>
      </c>
      <c r="Q73" s="553">
        <f t="shared" si="6"/>
        <v>0</v>
      </c>
      <c r="R73" s="553">
        <f t="shared" si="6"/>
        <v>0</v>
      </c>
      <c r="S73" s="553">
        <f t="shared" si="6"/>
        <v>0</v>
      </c>
      <c r="T73" s="553">
        <f t="shared" si="6"/>
        <v>0</v>
      </c>
      <c r="U73" s="553">
        <f t="shared" si="6"/>
        <v>0</v>
      </c>
      <c r="V73" s="553">
        <f t="shared" si="6"/>
        <v>0</v>
      </c>
      <c r="W73" s="553">
        <f t="shared" si="6"/>
        <v>0</v>
      </c>
      <c r="X73" s="553">
        <f t="shared" si="6"/>
        <v>0</v>
      </c>
      <c r="Y73" s="553">
        <f t="shared" si="6"/>
        <v>0</v>
      </c>
    </row>
    <row r="74" spans="1:25" s="48" customFormat="1" x14ac:dyDescent="0.25">
      <c r="A74" s="122">
        <v>50</v>
      </c>
      <c r="D74" s="46"/>
      <c r="E74" s="46"/>
      <c r="F74" s="46"/>
      <c r="G74" s="46"/>
      <c r="H74" s="46"/>
      <c r="I74" s="46"/>
      <c r="J74" s="46"/>
      <c r="K74" s="46"/>
      <c r="L74" s="46"/>
      <c r="M74" s="46"/>
      <c r="N74" s="46"/>
      <c r="O74" s="46"/>
      <c r="P74" s="46"/>
      <c r="Q74" s="46"/>
      <c r="R74" s="46"/>
      <c r="S74" s="46"/>
      <c r="T74" s="46"/>
      <c r="U74" s="46"/>
      <c r="V74" s="46"/>
      <c r="W74" s="46"/>
      <c r="X74" s="46"/>
      <c r="Y74" s="46"/>
    </row>
    <row r="75" spans="1:25" x14ac:dyDescent="0.25">
      <c r="A75" s="122">
        <v>51</v>
      </c>
      <c r="B75" s="41" t="s">
        <v>124</v>
      </c>
      <c r="C75" s="39">
        <v>1575</v>
      </c>
      <c r="D75" s="40">
        <f>'2b. Continuity Schedule'!BT107</f>
        <v>0</v>
      </c>
      <c r="E75" s="61" t="s">
        <v>139</v>
      </c>
      <c r="F75" s="40">
        <f>IFERROR(IF(F$4="",0,IF($E75="kWh",VLOOKUP(F$4,'4. Billing Determinants'!$B$19:$R$41,4,0)/'4. Billing Determinants'!$E$41*$D75,IF($E75="kW",VLOOKUP(F$4,'4. Billing Determinants'!$B$19:$R$41,5,0)/'4. Billing Determinants'!$F$41*$D75,IF($E75="Non-RPP kWh",VLOOKUP(F$4,'4. Billing Determinants'!$B$19:$R$41,6,0)/'4. Billing Determinants'!$G$41*$D75,IF($E75="Distribution Rev.",VLOOKUP(F$4,'4. Billing Determinants'!$B$19:$R$41,8,0)/'4. Billing Determinants'!$I$41*$D75, VLOOKUP(F$4,'4. Billing Determinants'!$B$19:$R$41,3,0)/'4. Billing Determinants'!$D$41*$D75))))),0)</f>
        <v>0</v>
      </c>
      <c r="G75" s="40">
        <f>IFERROR(IF(G$4="",0,IF($E75="kWh",VLOOKUP(G$4,'4. Billing Determinants'!$B$19:$R$41,4,0)/'4. Billing Determinants'!$E$41*$D75,IF($E75="kW",VLOOKUP(G$4,'4. Billing Determinants'!$B$19:$R$41,5,0)/'4. Billing Determinants'!$F$41*$D75,IF($E75="Non-RPP kWh",VLOOKUP(G$4,'4. Billing Determinants'!$B$19:$R$41,6,0)/'4. Billing Determinants'!$G$41*$D75,IF($E75="Distribution Rev.",VLOOKUP(G$4,'4. Billing Determinants'!$B$19:$R$41,8,0)/'4. Billing Determinants'!$I$41*$D75, VLOOKUP(G$4,'4. Billing Determinants'!$B$19:$R$41,3,0)/'4. Billing Determinants'!$D$41*$D75))))),0)</f>
        <v>0</v>
      </c>
      <c r="H75" s="40">
        <f>IFERROR(IF(H$4="",0,IF($E75="kWh",VLOOKUP(H$4,'4. Billing Determinants'!$B$19:$R$41,4,0)/'4. Billing Determinants'!$E$41*$D75,IF($E75="kW",VLOOKUP(H$4,'4. Billing Determinants'!$B$19:$R$41,5,0)/'4. Billing Determinants'!$F$41*$D75,IF($E75="Non-RPP kWh",VLOOKUP(H$4,'4. Billing Determinants'!$B$19:$R$41,6,0)/'4. Billing Determinants'!$G$41*$D75,IF($E75="Distribution Rev.",VLOOKUP(H$4,'4. Billing Determinants'!$B$19:$R$41,8,0)/'4. Billing Determinants'!$I$41*$D75, VLOOKUP(H$4,'4. Billing Determinants'!$B$19:$R$41,3,0)/'4. Billing Determinants'!$D$41*$D75))))),0)</f>
        <v>0</v>
      </c>
      <c r="I75" s="40">
        <f>IFERROR(IF(I$4="",0,IF($E75="kWh",VLOOKUP(I$4,'4. Billing Determinants'!$B$19:$R$41,4,0)/'4. Billing Determinants'!$E$41*$D75,IF($E75="kW",VLOOKUP(I$4,'4. Billing Determinants'!$B$19:$R$41,5,0)/'4. Billing Determinants'!$F$41*$D75,IF($E75="Non-RPP kWh",VLOOKUP(I$4,'4. Billing Determinants'!$B$19:$R$41,6,0)/'4. Billing Determinants'!$G$41*$D75,IF($E75="Distribution Rev.",VLOOKUP(I$4,'4. Billing Determinants'!$B$19:$R$41,8,0)/'4. Billing Determinants'!$I$41*$D75, VLOOKUP(I$4,'4. Billing Determinants'!$B$19:$R$41,3,0)/'4. Billing Determinants'!$D$41*$D75))))),0)</f>
        <v>0</v>
      </c>
      <c r="J75" s="40">
        <f>IFERROR(IF(J$4="",0,IF($E75="kWh",VLOOKUP(J$4,'4. Billing Determinants'!$B$19:$R$41,4,0)/'4. Billing Determinants'!$E$41*$D75,IF($E75="kW",VLOOKUP(J$4,'4. Billing Determinants'!$B$19:$R$41,5,0)/'4. Billing Determinants'!$F$41*$D75,IF($E75="Non-RPP kWh",VLOOKUP(J$4,'4. Billing Determinants'!$B$19:$R$41,6,0)/'4. Billing Determinants'!$G$41*$D75,IF($E75="Distribution Rev.",VLOOKUP(J$4,'4. Billing Determinants'!$B$19:$R$41,8,0)/'4. Billing Determinants'!$I$41*$D75, VLOOKUP(J$4,'4. Billing Determinants'!$B$19:$R$41,3,0)/'4. Billing Determinants'!$D$41*$D75))))),0)</f>
        <v>0</v>
      </c>
      <c r="K75" s="40">
        <f>IFERROR(IF(K$4="",0,IF($E75="kWh",VLOOKUP(K$4,'4. Billing Determinants'!$B$19:$R$41,4,0)/'4. Billing Determinants'!$E$41*$D75,IF($E75="kW",VLOOKUP(K$4,'4. Billing Determinants'!$B$19:$R$41,5,0)/'4. Billing Determinants'!$F$41*$D75,IF($E75="Non-RPP kWh",VLOOKUP(K$4,'4. Billing Determinants'!$B$19:$R$41,6,0)/'4. Billing Determinants'!$G$41*$D75,IF($E75="Distribution Rev.",VLOOKUP(K$4,'4. Billing Determinants'!$B$19:$R$41,8,0)/'4. Billing Determinants'!$I$41*$D75, VLOOKUP(K$4,'4. Billing Determinants'!$B$19:$R$41,3,0)/'4. Billing Determinants'!$D$41*$D75))))),0)</f>
        <v>0</v>
      </c>
      <c r="L75" s="40">
        <f>IFERROR(IF(L$4="",0,IF($E75="kWh",VLOOKUP(L$4,'4. Billing Determinants'!$B$19:$R$41,4,0)/'4. Billing Determinants'!$E$41*$D75,IF($E75="kW",VLOOKUP(L$4,'4. Billing Determinants'!$B$19:$R$41,5,0)/'4. Billing Determinants'!$F$41*$D75,IF($E75="Non-RPP kWh",VLOOKUP(L$4,'4. Billing Determinants'!$B$19:$R$41,6,0)/'4. Billing Determinants'!$G$41*$D75,IF($E75="Distribution Rev.",VLOOKUP(L$4,'4. Billing Determinants'!$B$19:$R$41,8,0)/'4. Billing Determinants'!$I$41*$D75, VLOOKUP(L$4,'4. Billing Determinants'!$B$19:$R$41,3,0)/'4. Billing Determinants'!$D$41*$D75))))),0)</f>
        <v>0</v>
      </c>
      <c r="M75" s="40">
        <f>IFERROR(IF(M$4="",0,IF($E75="kWh",VLOOKUP(M$4,'4. Billing Determinants'!$B$19:$R$41,4,0)/'4. Billing Determinants'!$E$41*$D75,IF($E75="kW",VLOOKUP(M$4,'4. Billing Determinants'!$B$19:$R$41,5,0)/'4. Billing Determinants'!$F$41*$D75,IF($E75="Non-RPP kWh",VLOOKUP(M$4,'4. Billing Determinants'!$B$19:$R$41,6,0)/'4. Billing Determinants'!$G$41*$D75,IF($E75="Distribution Rev.",VLOOKUP(M$4,'4. Billing Determinants'!$B$19:$R$41,8,0)/'4. Billing Determinants'!$I$41*$D75, VLOOKUP(M$4,'4. Billing Determinants'!$B$19:$R$41,3,0)/'4. Billing Determinants'!$D$41*$D75))))),0)</f>
        <v>0</v>
      </c>
      <c r="N75" s="40">
        <f>IFERROR(IF(N$4="",0,IF($E75="kWh",VLOOKUP(N$4,'4. Billing Determinants'!$B$19:$R$41,4,0)/'4. Billing Determinants'!$E$41*$D75,IF($E75="kW",VLOOKUP(N$4,'4. Billing Determinants'!$B$19:$R$41,5,0)/'4. Billing Determinants'!$F$41*$D75,IF($E75="Non-RPP kWh",VLOOKUP(N$4,'4. Billing Determinants'!$B$19:$R$41,6,0)/'4. Billing Determinants'!$G$41*$D75,IF($E75="Distribution Rev.",VLOOKUP(N$4,'4. Billing Determinants'!$B$19:$R$41,8,0)/'4. Billing Determinants'!$I$41*$D75, VLOOKUP(N$4,'4. Billing Determinants'!$B$19:$R$41,3,0)/'4. Billing Determinants'!$D$41*$D75))))),0)</f>
        <v>0</v>
      </c>
      <c r="O75" s="40">
        <f>IFERROR(IF(O$4="",0,IF($E75="kWh",VLOOKUP(O$4,'4. Billing Determinants'!$B$19:$R$41,4,0)/'4. Billing Determinants'!$E$41*$D75,IF($E75="kW",VLOOKUP(O$4,'4. Billing Determinants'!$B$19:$R$41,5,0)/'4. Billing Determinants'!$F$41*$D75,IF($E75="Non-RPP kWh",VLOOKUP(O$4,'4. Billing Determinants'!$B$19:$R$41,6,0)/'4. Billing Determinants'!$G$41*$D75,IF($E75="Distribution Rev.",VLOOKUP(O$4,'4. Billing Determinants'!$B$19:$R$41,8,0)/'4. Billing Determinants'!$I$41*$D75, VLOOKUP(O$4,'4. Billing Determinants'!$B$19:$R$41,3,0)/'4. Billing Determinants'!$D$41*$D75))))),0)</f>
        <v>0</v>
      </c>
      <c r="P75" s="40">
        <f>IFERROR(IF(P$4="",0,IF($E75="kWh",VLOOKUP(P$4,'4. Billing Determinants'!$B$19:$R$41,4,0)/'4. Billing Determinants'!$E$41*$D75,IF($E75="kW",VLOOKUP(P$4,'4. Billing Determinants'!$B$19:$R$41,5,0)/'4. Billing Determinants'!$F$41*$D75,IF($E75="Non-RPP kWh",VLOOKUP(P$4,'4. Billing Determinants'!$B$19:$R$41,6,0)/'4. Billing Determinants'!$G$41*$D75,IF($E75="Distribution Rev.",VLOOKUP(P$4,'4. Billing Determinants'!$B$19:$R$41,8,0)/'4. Billing Determinants'!$I$41*$D75, VLOOKUP(P$4,'4. Billing Determinants'!$B$19:$R$41,3,0)/'4. Billing Determinants'!$D$41*$D75))))),0)</f>
        <v>0</v>
      </c>
      <c r="Q75" s="40">
        <f>IFERROR(IF(Q$4="",0,IF($E75="kWh",VLOOKUP(Q$4,'4. Billing Determinants'!$B$19:$R$41,4,0)/'4. Billing Determinants'!$E$41*$D75,IF($E75="kW",VLOOKUP(Q$4,'4. Billing Determinants'!$B$19:$R$41,5,0)/'4. Billing Determinants'!$F$41*$D75,IF($E75="Non-RPP kWh",VLOOKUP(Q$4,'4. Billing Determinants'!$B$19:$R$41,6,0)/'4. Billing Determinants'!$G$41*$D75,IF($E75="Distribution Rev.",VLOOKUP(Q$4,'4. Billing Determinants'!$B$19:$R$41,8,0)/'4. Billing Determinants'!$I$41*$D75, VLOOKUP(Q$4,'4. Billing Determinants'!$B$19:$R$41,3,0)/'4. Billing Determinants'!$D$41*$D75))))),0)</f>
        <v>0</v>
      </c>
      <c r="R75" s="40">
        <f>IFERROR(IF(R$4="",0,IF($E75="kWh",VLOOKUP(R$4,'4. Billing Determinants'!$B$19:$R$41,4,0)/'4. Billing Determinants'!$E$41*$D75,IF($E75="kW",VLOOKUP(R$4,'4. Billing Determinants'!$B$19:$R$41,5,0)/'4. Billing Determinants'!$F$41*$D75,IF($E75="Non-RPP kWh",VLOOKUP(R$4,'4. Billing Determinants'!$B$19:$R$41,6,0)/'4. Billing Determinants'!$G$41*$D75,IF($E75="Distribution Rev.",VLOOKUP(R$4,'4. Billing Determinants'!$B$19:$R$41,8,0)/'4. Billing Determinants'!$I$41*$D75, VLOOKUP(R$4,'4. Billing Determinants'!$B$19:$R$41,3,0)/'4. Billing Determinants'!$D$41*$D75))))),0)</f>
        <v>0</v>
      </c>
      <c r="S75" s="40">
        <f>IFERROR(IF(S$4="",0,IF($E75="kWh",VLOOKUP(S$4,'4. Billing Determinants'!$B$19:$R$41,4,0)/'4. Billing Determinants'!$E$41*$D75,IF($E75="kW",VLOOKUP(S$4,'4. Billing Determinants'!$B$19:$R$41,5,0)/'4. Billing Determinants'!$F$41*$D75,IF($E75="Non-RPP kWh",VLOOKUP(S$4,'4. Billing Determinants'!$B$19:$R$41,6,0)/'4. Billing Determinants'!$G$41*$D75,IF($E75="Distribution Rev.",VLOOKUP(S$4,'4. Billing Determinants'!$B$19:$R$41,8,0)/'4. Billing Determinants'!$I$41*$D75, VLOOKUP(S$4,'4. Billing Determinants'!$B$19:$R$41,3,0)/'4. Billing Determinants'!$D$41*$D75))))),0)</f>
        <v>0</v>
      </c>
      <c r="T75" s="40">
        <f>IFERROR(IF(T$4="",0,IF($E75="kWh",VLOOKUP(T$4,'4. Billing Determinants'!$B$19:$R$41,4,0)/'4. Billing Determinants'!$E$41*$D75,IF($E75="kW",VLOOKUP(T$4,'4. Billing Determinants'!$B$19:$R$41,5,0)/'4. Billing Determinants'!$F$41*$D75,IF($E75="Non-RPP kWh",VLOOKUP(T$4,'4. Billing Determinants'!$B$19:$R$41,6,0)/'4. Billing Determinants'!$G$41*$D75,IF($E75="Distribution Rev.",VLOOKUP(T$4,'4. Billing Determinants'!$B$19:$R$41,8,0)/'4. Billing Determinants'!$I$41*$D75, VLOOKUP(T$4,'4. Billing Determinants'!$B$19:$R$41,3,0)/'4. Billing Determinants'!$D$41*$D75))))),0)</f>
        <v>0</v>
      </c>
      <c r="U75" s="40">
        <f>IFERROR(IF(U$4="",0,IF($E75="kWh",VLOOKUP(U$4,'4. Billing Determinants'!$B$19:$R$41,4,0)/'4. Billing Determinants'!$E$41*$D75,IF($E75="kW",VLOOKUP(U$4,'4. Billing Determinants'!$B$19:$R$41,5,0)/'4. Billing Determinants'!$F$41*$D75,IF($E75="Non-RPP kWh",VLOOKUP(U$4,'4. Billing Determinants'!$B$19:$R$41,6,0)/'4. Billing Determinants'!$G$41*$D75,IF($E75="Distribution Rev.",VLOOKUP(U$4,'4. Billing Determinants'!$B$19:$R$41,8,0)/'4. Billing Determinants'!$I$41*$D75, VLOOKUP(U$4,'4. Billing Determinants'!$B$19:$R$41,3,0)/'4. Billing Determinants'!$D$41*$D75))))),0)</f>
        <v>0</v>
      </c>
      <c r="V75" s="40">
        <f>IFERROR(IF(V$4="",0,IF($E75="kWh",VLOOKUP(V$4,'4. Billing Determinants'!$B$19:$R$41,4,0)/'4. Billing Determinants'!$E$41*$D75,IF($E75="kW",VLOOKUP(V$4,'4. Billing Determinants'!$B$19:$R$41,5,0)/'4. Billing Determinants'!$F$41*$D75,IF($E75="Non-RPP kWh",VLOOKUP(V$4,'4. Billing Determinants'!$B$19:$R$41,6,0)/'4. Billing Determinants'!$G$41*$D75,IF($E75="Distribution Rev.",VLOOKUP(V$4,'4. Billing Determinants'!$B$19:$R$41,8,0)/'4. Billing Determinants'!$I$41*$D75, VLOOKUP(V$4,'4. Billing Determinants'!$B$19:$R$41,3,0)/'4. Billing Determinants'!$D$41*$D75))))),0)</f>
        <v>0</v>
      </c>
      <c r="W75" s="40">
        <f>IFERROR(IF(W$4="",0,IF($E75="kWh",VLOOKUP(W$4,'4. Billing Determinants'!$B$19:$R$41,4,0)/'4. Billing Determinants'!$E$41*$D75,IF($E75="kW",VLOOKUP(W$4,'4. Billing Determinants'!$B$19:$R$41,5,0)/'4. Billing Determinants'!$F$41*$D75,IF($E75="Non-RPP kWh",VLOOKUP(W$4,'4. Billing Determinants'!$B$19:$R$41,6,0)/'4. Billing Determinants'!$G$41*$D75,IF($E75="Distribution Rev.",VLOOKUP(W$4,'4. Billing Determinants'!$B$19:$R$41,8,0)/'4. Billing Determinants'!$I$41*$D75, VLOOKUP(W$4,'4. Billing Determinants'!$B$19:$R$41,3,0)/'4. Billing Determinants'!$D$41*$D75))))),0)</f>
        <v>0</v>
      </c>
      <c r="X75" s="40">
        <f>IFERROR(IF(X$4="",0,IF($E75="kWh",VLOOKUP(X$4,'4. Billing Determinants'!$B$19:$R$41,4,0)/'4. Billing Determinants'!$E$41*$D75,IF($E75="kW",VLOOKUP(X$4,'4. Billing Determinants'!$B$19:$R$41,5,0)/'4. Billing Determinants'!$F$41*$D75,IF($E75="Non-RPP kWh",VLOOKUP(X$4,'4. Billing Determinants'!$B$19:$R$41,6,0)/'4. Billing Determinants'!$G$41*$D75,IF($E75="Distribution Rev.",VLOOKUP(X$4,'4. Billing Determinants'!$B$19:$R$41,8,0)/'4. Billing Determinants'!$I$41*$D75, VLOOKUP(X$4,'4. Billing Determinants'!$B$19:$R$41,3,0)/'4. Billing Determinants'!$D$41*$D75))))),0)</f>
        <v>0</v>
      </c>
      <c r="Y75" s="40">
        <f>IFERROR(IF(Y$4="",0,IF($E75="kWh",VLOOKUP(Y$4,'4. Billing Determinants'!$B$19:$R$41,4,0)/'4. Billing Determinants'!$E$41*$D75,IF($E75="kW",VLOOKUP(Y$4,'4. Billing Determinants'!$B$19:$R$41,5,0)/'4. Billing Determinants'!$F$41*$D75,IF($E75="Non-RPP kWh",VLOOKUP(Y$4,'4. Billing Determinants'!$B$19:$R$41,6,0)/'4. Billing Determinants'!$G$41*$D75,IF($E75="Distribution Rev.",VLOOKUP(Y$4,'4. Billing Determinants'!$B$19:$R$41,8,0)/'4. Billing Determinants'!$I$41*$D75, VLOOKUP(Y$4,'4. Billing Determinants'!$B$19:$R$41,3,0)/'4. Billing Determinants'!$D$41*$D75))))),0)</f>
        <v>0</v>
      </c>
    </row>
    <row r="76" spans="1:25" x14ac:dyDescent="0.25">
      <c r="A76" s="278">
        <v>52</v>
      </c>
      <c r="B76" s="41" t="s">
        <v>125</v>
      </c>
      <c r="C76" s="39">
        <v>1576</v>
      </c>
      <c r="D76" s="40">
        <f>'2b. Continuity Schedule'!BT108</f>
        <v>0</v>
      </c>
      <c r="E76" s="61" t="s">
        <v>139</v>
      </c>
      <c r="F76" s="40">
        <f>IFERROR(IF(F$4="",0,IF($E76="kWh",VLOOKUP(F$4,'4. Billing Determinants'!$B$19:$R$41,4,0)/'4. Billing Determinants'!$E$41*$D76,IF($E76="kW",VLOOKUP(F$4,'4. Billing Determinants'!$B$19:$R$41,5,0)/'4. Billing Determinants'!$F$41*$D76,IF($E76="Non-RPP kWh",VLOOKUP(F$4,'4. Billing Determinants'!$B$19:$R$41,6,0)/'4. Billing Determinants'!$G$41*$D76,IF($E76="Distribution Rev.",VLOOKUP(F$4,'4. Billing Determinants'!$B$19:$R$41,8,0)/'4. Billing Determinants'!$I$41*$D76, VLOOKUP(F$4,'4. Billing Determinants'!$B$19:$R$41,3,0)/'4. Billing Determinants'!$D$41*$D76))))),0)</f>
        <v>0</v>
      </c>
      <c r="G76" s="40">
        <f>IFERROR(IF(G$4="",0,IF($E76="kWh",VLOOKUP(G$4,'4. Billing Determinants'!$B$19:$R$41,4,0)/'4. Billing Determinants'!$E$41*$D76,IF($E76="kW",VLOOKUP(G$4,'4. Billing Determinants'!$B$19:$R$41,5,0)/'4. Billing Determinants'!$F$41*$D76,IF($E76="Non-RPP kWh",VLOOKUP(G$4,'4. Billing Determinants'!$B$19:$R$41,6,0)/'4. Billing Determinants'!$G$41*$D76,IF($E76="Distribution Rev.",VLOOKUP(G$4,'4. Billing Determinants'!$B$19:$R$41,8,0)/'4. Billing Determinants'!$I$41*$D76, VLOOKUP(G$4,'4. Billing Determinants'!$B$19:$R$41,3,0)/'4. Billing Determinants'!$D$41*$D76))))),0)</f>
        <v>0</v>
      </c>
      <c r="H76" s="40">
        <f>IFERROR(IF(H$4="",0,IF($E76="kWh",VLOOKUP(H$4,'4. Billing Determinants'!$B$19:$R$41,4,0)/'4. Billing Determinants'!$E$41*$D76,IF($E76="kW",VLOOKUP(H$4,'4. Billing Determinants'!$B$19:$R$41,5,0)/'4. Billing Determinants'!$F$41*$D76,IF($E76="Non-RPP kWh",VLOOKUP(H$4,'4. Billing Determinants'!$B$19:$R$41,6,0)/'4. Billing Determinants'!$G$41*$D76,IF($E76="Distribution Rev.",VLOOKUP(H$4,'4. Billing Determinants'!$B$19:$R$41,8,0)/'4. Billing Determinants'!$I$41*$D76, VLOOKUP(H$4,'4. Billing Determinants'!$B$19:$R$41,3,0)/'4. Billing Determinants'!$D$41*$D76))))),0)</f>
        <v>0</v>
      </c>
      <c r="I76" s="40">
        <f>IFERROR(IF(I$4="",0,IF($E76="kWh",VLOOKUP(I$4,'4. Billing Determinants'!$B$19:$R$41,4,0)/'4. Billing Determinants'!$E$41*$D76,IF($E76="kW",VLOOKUP(I$4,'4. Billing Determinants'!$B$19:$R$41,5,0)/'4. Billing Determinants'!$F$41*$D76,IF($E76="Non-RPP kWh",VLOOKUP(I$4,'4. Billing Determinants'!$B$19:$R$41,6,0)/'4. Billing Determinants'!$G$41*$D76,IF($E76="Distribution Rev.",VLOOKUP(I$4,'4. Billing Determinants'!$B$19:$R$41,8,0)/'4. Billing Determinants'!$I$41*$D76, VLOOKUP(I$4,'4. Billing Determinants'!$B$19:$R$41,3,0)/'4. Billing Determinants'!$D$41*$D76))))),0)</f>
        <v>0</v>
      </c>
      <c r="J76" s="40">
        <f>IFERROR(IF(J$4="",0,IF($E76="kWh",VLOOKUP(J$4,'4. Billing Determinants'!$B$19:$R$41,4,0)/'4. Billing Determinants'!$E$41*$D76,IF($E76="kW",VLOOKUP(J$4,'4. Billing Determinants'!$B$19:$R$41,5,0)/'4. Billing Determinants'!$F$41*$D76,IF($E76="Non-RPP kWh",VLOOKUP(J$4,'4. Billing Determinants'!$B$19:$R$41,6,0)/'4. Billing Determinants'!$G$41*$D76,IF($E76="Distribution Rev.",VLOOKUP(J$4,'4. Billing Determinants'!$B$19:$R$41,8,0)/'4. Billing Determinants'!$I$41*$D76, VLOOKUP(J$4,'4. Billing Determinants'!$B$19:$R$41,3,0)/'4. Billing Determinants'!$D$41*$D76))))),0)</f>
        <v>0</v>
      </c>
      <c r="K76" s="40">
        <f>IFERROR(IF(K$4="",0,IF($E76="kWh",VLOOKUP(K$4,'4. Billing Determinants'!$B$19:$R$41,4,0)/'4. Billing Determinants'!$E$41*$D76,IF($E76="kW",VLOOKUP(K$4,'4. Billing Determinants'!$B$19:$R$41,5,0)/'4. Billing Determinants'!$F$41*$D76,IF($E76="Non-RPP kWh",VLOOKUP(K$4,'4. Billing Determinants'!$B$19:$R$41,6,0)/'4. Billing Determinants'!$G$41*$D76,IF($E76="Distribution Rev.",VLOOKUP(K$4,'4. Billing Determinants'!$B$19:$R$41,8,0)/'4. Billing Determinants'!$I$41*$D76, VLOOKUP(K$4,'4. Billing Determinants'!$B$19:$R$41,3,0)/'4. Billing Determinants'!$D$41*$D76))))),0)</f>
        <v>0</v>
      </c>
      <c r="L76" s="40">
        <f>IFERROR(IF(L$4="",0,IF($E76="kWh",VLOOKUP(L$4,'4. Billing Determinants'!$B$19:$R$41,4,0)/'4. Billing Determinants'!$E$41*$D76,IF($E76="kW",VLOOKUP(L$4,'4. Billing Determinants'!$B$19:$R$41,5,0)/'4. Billing Determinants'!$F$41*$D76,IF($E76="Non-RPP kWh",VLOOKUP(L$4,'4. Billing Determinants'!$B$19:$R$41,6,0)/'4. Billing Determinants'!$G$41*$D76,IF($E76="Distribution Rev.",VLOOKUP(L$4,'4. Billing Determinants'!$B$19:$R$41,8,0)/'4. Billing Determinants'!$I$41*$D76, VLOOKUP(L$4,'4. Billing Determinants'!$B$19:$R$41,3,0)/'4. Billing Determinants'!$D$41*$D76))))),0)</f>
        <v>0</v>
      </c>
      <c r="M76" s="40">
        <f>IFERROR(IF(M$4="",0,IF($E76="kWh",VLOOKUP(M$4,'4. Billing Determinants'!$B$19:$R$41,4,0)/'4. Billing Determinants'!$E$41*$D76,IF($E76="kW",VLOOKUP(M$4,'4. Billing Determinants'!$B$19:$R$41,5,0)/'4. Billing Determinants'!$F$41*$D76,IF($E76="Non-RPP kWh",VLOOKUP(M$4,'4. Billing Determinants'!$B$19:$R$41,6,0)/'4. Billing Determinants'!$G$41*$D76,IF($E76="Distribution Rev.",VLOOKUP(M$4,'4. Billing Determinants'!$B$19:$R$41,8,0)/'4. Billing Determinants'!$I$41*$D76, VLOOKUP(M$4,'4. Billing Determinants'!$B$19:$R$41,3,0)/'4. Billing Determinants'!$D$41*$D76))))),0)</f>
        <v>0</v>
      </c>
      <c r="N76" s="40">
        <f>IFERROR(IF(N$4="",0,IF($E76="kWh",VLOOKUP(N$4,'4. Billing Determinants'!$B$19:$R$41,4,0)/'4. Billing Determinants'!$E$41*$D76,IF($E76="kW",VLOOKUP(N$4,'4. Billing Determinants'!$B$19:$R$41,5,0)/'4. Billing Determinants'!$F$41*$D76,IF($E76="Non-RPP kWh",VLOOKUP(N$4,'4. Billing Determinants'!$B$19:$R$41,6,0)/'4. Billing Determinants'!$G$41*$D76,IF($E76="Distribution Rev.",VLOOKUP(N$4,'4. Billing Determinants'!$B$19:$R$41,8,0)/'4. Billing Determinants'!$I$41*$D76, VLOOKUP(N$4,'4. Billing Determinants'!$B$19:$R$41,3,0)/'4. Billing Determinants'!$D$41*$D76))))),0)</f>
        <v>0</v>
      </c>
      <c r="O76" s="40">
        <f>IFERROR(IF(O$4="",0,IF($E76="kWh",VLOOKUP(O$4,'4. Billing Determinants'!$B$19:$R$41,4,0)/'4. Billing Determinants'!$E$41*$D76,IF($E76="kW",VLOOKUP(O$4,'4. Billing Determinants'!$B$19:$R$41,5,0)/'4. Billing Determinants'!$F$41*$D76,IF($E76="Non-RPP kWh",VLOOKUP(O$4,'4. Billing Determinants'!$B$19:$R$41,6,0)/'4. Billing Determinants'!$G$41*$D76,IF($E76="Distribution Rev.",VLOOKUP(O$4,'4. Billing Determinants'!$B$19:$R$41,8,0)/'4. Billing Determinants'!$I$41*$D76, VLOOKUP(O$4,'4. Billing Determinants'!$B$19:$R$41,3,0)/'4. Billing Determinants'!$D$41*$D76))))),0)</f>
        <v>0</v>
      </c>
      <c r="P76" s="40">
        <f>IFERROR(IF(P$4="",0,IF($E76="kWh",VLOOKUP(P$4,'4. Billing Determinants'!$B$19:$R$41,4,0)/'4. Billing Determinants'!$E$41*$D76,IF($E76="kW",VLOOKUP(P$4,'4. Billing Determinants'!$B$19:$R$41,5,0)/'4. Billing Determinants'!$F$41*$D76,IF($E76="Non-RPP kWh",VLOOKUP(P$4,'4. Billing Determinants'!$B$19:$R$41,6,0)/'4. Billing Determinants'!$G$41*$D76,IF($E76="Distribution Rev.",VLOOKUP(P$4,'4. Billing Determinants'!$B$19:$R$41,8,0)/'4. Billing Determinants'!$I$41*$D76, VLOOKUP(P$4,'4. Billing Determinants'!$B$19:$R$41,3,0)/'4. Billing Determinants'!$D$41*$D76))))),0)</f>
        <v>0</v>
      </c>
      <c r="Q76" s="40">
        <f>IFERROR(IF(Q$4="",0,IF($E76="kWh",VLOOKUP(Q$4,'4. Billing Determinants'!$B$19:$R$41,4,0)/'4. Billing Determinants'!$E$41*$D76,IF($E76="kW",VLOOKUP(Q$4,'4. Billing Determinants'!$B$19:$R$41,5,0)/'4. Billing Determinants'!$F$41*$D76,IF($E76="Non-RPP kWh",VLOOKUP(Q$4,'4. Billing Determinants'!$B$19:$R$41,6,0)/'4. Billing Determinants'!$G$41*$D76,IF($E76="Distribution Rev.",VLOOKUP(Q$4,'4. Billing Determinants'!$B$19:$R$41,8,0)/'4. Billing Determinants'!$I$41*$D76, VLOOKUP(Q$4,'4. Billing Determinants'!$B$19:$R$41,3,0)/'4. Billing Determinants'!$D$41*$D76))))),0)</f>
        <v>0</v>
      </c>
      <c r="R76" s="40">
        <f>IFERROR(IF(R$4="",0,IF($E76="kWh",VLOOKUP(R$4,'4. Billing Determinants'!$B$19:$R$41,4,0)/'4. Billing Determinants'!$E$41*$D76,IF($E76="kW",VLOOKUP(R$4,'4. Billing Determinants'!$B$19:$R$41,5,0)/'4. Billing Determinants'!$F$41*$D76,IF($E76="Non-RPP kWh",VLOOKUP(R$4,'4. Billing Determinants'!$B$19:$R$41,6,0)/'4. Billing Determinants'!$G$41*$D76,IF($E76="Distribution Rev.",VLOOKUP(R$4,'4. Billing Determinants'!$B$19:$R$41,8,0)/'4. Billing Determinants'!$I$41*$D76, VLOOKUP(R$4,'4. Billing Determinants'!$B$19:$R$41,3,0)/'4. Billing Determinants'!$D$41*$D76))))),0)</f>
        <v>0</v>
      </c>
      <c r="S76" s="40">
        <f>IFERROR(IF(S$4="",0,IF($E76="kWh",VLOOKUP(S$4,'4. Billing Determinants'!$B$19:$R$41,4,0)/'4. Billing Determinants'!$E$41*$D76,IF($E76="kW",VLOOKUP(S$4,'4. Billing Determinants'!$B$19:$R$41,5,0)/'4. Billing Determinants'!$F$41*$D76,IF($E76="Non-RPP kWh",VLOOKUP(S$4,'4. Billing Determinants'!$B$19:$R$41,6,0)/'4. Billing Determinants'!$G$41*$D76,IF($E76="Distribution Rev.",VLOOKUP(S$4,'4. Billing Determinants'!$B$19:$R$41,8,0)/'4. Billing Determinants'!$I$41*$D76, VLOOKUP(S$4,'4. Billing Determinants'!$B$19:$R$41,3,0)/'4. Billing Determinants'!$D$41*$D76))))),0)</f>
        <v>0</v>
      </c>
      <c r="T76" s="40">
        <f>IFERROR(IF(T$4="",0,IF($E76="kWh",VLOOKUP(T$4,'4. Billing Determinants'!$B$19:$R$41,4,0)/'4. Billing Determinants'!$E$41*$D76,IF($E76="kW",VLOOKUP(T$4,'4. Billing Determinants'!$B$19:$R$41,5,0)/'4. Billing Determinants'!$F$41*$D76,IF($E76="Non-RPP kWh",VLOOKUP(T$4,'4. Billing Determinants'!$B$19:$R$41,6,0)/'4. Billing Determinants'!$G$41*$D76,IF($E76="Distribution Rev.",VLOOKUP(T$4,'4. Billing Determinants'!$B$19:$R$41,8,0)/'4. Billing Determinants'!$I$41*$D76, VLOOKUP(T$4,'4. Billing Determinants'!$B$19:$R$41,3,0)/'4. Billing Determinants'!$D$41*$D76))))),0)</f>
        <v>0</v>
      </c>
      <c r="U76" s="40">
        <f>IFERROR(IF(U$4="",0,IF($E76="kWh",VLOOKUP(U$4,'4. Billing Determinants'!$B$19:$R$41,4,0)/'4. Billing Determinants'!$E$41*$D76,IF($E76="kW",VLOOKUP(U$4,'4. Billing Determinants'!$B$19:$R$41,5,0)/'4. Billing Determinants'!$F$41*$D76,IF($E76="Non-RPP kWh",VLOOKUP(U$4,'4. Billing Determinants'!$B$19:$R$41,6,0)/'4. Billing Determinants'!$G$41*$D76,IF($E76="Distribution Rev.",VLOOKUP(U$4,'4. Billing Determinants'!$B$19:$R$41,8,0)/'4. Billing Determinants'!$I$41*$D76, VLOOKUP(U$4,'4. Billing Determinants'!$B$19:$R$41,3,0)/'4. Billing Determinants'!$D$41*$D76))))),0)</f>
        <v>0</v>
      </c>
      <c r="V76" s="40">
        <f>IFERROR(IF(V$4="",0,IF($E76="kWh",VLOOKUP(V$4,'4. Billing Determinants'!$B$19:$R$41,4,0)/'4. Billing Determinants'!$E$41*$D76,IF($E76="kW",VLOOKUP(V$4,'4. Billing Determinants'!$B$19:$R$41,5,0)/'4. Billing Determinants'!$F$41*$D76,IF($E76="Non-RPP kWh",VLOOKUP(V$4,'4. Billing Determinants'!$B$19:$R$41,6,0)/'4. Billing Determinants'!$G$41*$D76,IF($E76="Distribution Rev.",VLOOKUP(V$4,'4. Billing Determinants'!$B$19:$R$41,8,0)/'4. Billing Determinants'!$I$41*$D76, VLOOKUP(V$4,'4. Billing Determinants'!$B$19:$R$41,3,0)/'4. Billing Determinants'!$D$41*$D76))))),0)</f>
        <v>0</v>
      </c>
      <c r="W76" s="40">
        <f>IFERROR(IF(W$4="",0,IF($E76="kWh",VLOOKUP(W$4,'4. Billing Determinants'!$B$19:$R$41,4,0)/'4. Billing Determinants'!$E$41*$D76,IF($E76="kW",VLOOKUP(W$4,'4. Billing Determinants'!$B$19:$R$41,5,0)/'4. Billing Determinants'!$F$41*$D76,IF($E76="Non-RPP kWh",VLOOKUP(W$4,'4. Billing Determinants'!$B$19:$R$41,6,0)/'4. Billing Determinants'!$G$41*$D76,IF($E76="Distribution Rev.",VLOOKUP(W$4,'4. Billing Determinants'!$B$19:$R$41,8,0)/'4. Billing Determinants'!$I$41*$D76, VLOOKUP(W$4,'4. Billing Determinants'!$B$19:$R$41,3,0)/'4. Billing Determinants'!$D$41*$D76))))),0)</f>
        <v>0</v>
      </c>
      <c r="X76" s="40">
        <f>IFERROR(IF(X$4="",0,IF($E76="kWh",VLOOKUP(X$4,'4. Billing Determinants'!$B$19:$R$41,4,0)/'4. Billing Determinants'!$E$41*$D76,IF($E76="kW",VLOOKUP(X$4,'4. Billing Determinants'!$B$19:$R$41,5,0)/'4. Billing Determinants'!$F$41*$D76,IF($E76="Non-RPP kWh",VLOOKUP(X$4,'4. Billing Determinants'!$B$19:$R$41,6,0)/'4. Billing Determinants'!$G$41*$D76,IF($E76="Distribution Rev.",VLOOKUP(X$4,'4. Billing Determinants'!$B$19:$R$41,8,0)/'4. Billing Determinants'!$I$41*$D76, VLOOKUP(X$4,'4. Billing Determinants'!$B$19:$R$41,3,0)/'4. Billing Determinants'!$D$41*$D76))))),0)</f>
        <v>0</v>
      </c>
      <c r="Y76" s="40">
        <f>IFERROR(IF(Y$4="",0,IF($E76="kWh",VLOOKUP(Y$4,'4. Billing Determinants'!$B$19:$R$41,4,0)/'4. Billing Determinants'!$E$41*$D76,IF($E76="kW",VLOOKUP(Y$4,'4. Billing Determinants'!$B$19:$R$41,5,0)/'4. Billing Determinants'!$F$41*$D76,IF($E76="Non-RPP kWh",VLOOKUP(Y$4,'4. Billing Determinants'!$B$19:$R$41,6,0)/'4. Billing Determinants'!$G$41*$D76,IF($E76="Distribution Rev.",VLOOKUP(Y$4,'4. Billing Determinants'!$B$19:$R$41,8,0)/'4. Billing Determinants'!$I$41*$D76, VLOOKUP(Y$4,'4. Billing Determinants'!$B$19:$R$41,3,0)/'4. Billing Determinants'!$D$41*$D76))))),0)</f>
        <v>0</v>
      </c>
    </row>
    <row r="77" spans="1:25" s="555" customFormat="1" ht="13" x14ac:dyDescent="0.3">
      <c r="A77" s="555">
        <v>53</v>
      </c>
      <c r="B77" s="559" t="s">
        <v>452</v>
      </c>
      <c r="C77" s="559"/>
      <c r="D77" s="560">
        <f>SUM(D75:D76)</f>
        <v>0</v>
      </c>
      <c r="E77" s="560"/>
      <c r="F77" s="560">
        <f>SUM(F75:F76)</f>
        <v>0</v>
      </c>
      <c r="G77" s="560">
        <f t="shared" ref="G77:Y77" si="7">SUM(G75:G76)</f>
        <v>0</v>
      </c>
      <c r="H77" s="560">
        <f t="shared" si="7"/>
        <v>0</v>
      </c>
      <c r="I77" s="560">
        <f t="shared" si="7"/>
        <v>0</v>
      </c>
      <c r="J77" s="560">
        <f t="shared" si="7"/>
        <v>0</v>
      </c>
      <c r="K77" s="560">
        <f t="shared" si="7"/>
        <v>0</v>
      </c>
      <c r="L77" s="560">
        <f t="shared" si="7"/>
        <v>0</v>
      </c>
      <c r="M77" s="560">
        <f t="shared" si="7"/>
        <v>0</v>
      </c>
      <c r="N77" s="560">
        <f t="shared" si="7"/>
        <v>0</v>
      </c>
      <c r="O77" s="560">
        <f t="shared" si="7"/>
        <v>0</v>
      </c>
      <c r="P77" s="560">
        <f t="shared" si="7"/>
        <v>0</v>
      </c>
      <c r="Q77" s="560">
        <f t="shared" si="7"/>
        <v>0</v>
      </c>
      <c r="R77" s="560">
        <f t="shared" si="7"/>
        <v>0</v>
      </c>
      <c r="S77" s="560">
        <f t="shared" si="7"/>
        <v>0</v>
      </c>
      <c r="T77" s="560">
        <f t="shared" si="7"/>
        <v>0</v>
      </c>
      <c r="U77" s="560">
        <f t="shared" si="7"/>
        <v>0</v>
      </c>
      <c r="V77" s="560">
        <f t="shared" si="7"/>
        <v>0</v>
      </c>
      <c r="W77" s="560">
        <f t="shared" si="7"/>
        <v>0</v>
      </c>
      <c r="X77" s="560">
        <f t="shared" si="7"/>
        <v>0</v>
      </c>
      <c r="Y77" s="560">
        <f t="shared" si="7"/>
        <v>0</v>
      </c>
    </row>
    <row r="79" spans="1:25" ht="13" hidden="1" x14ac:dyDescent="0.25">
      <c r="B79" s="144" t="s">
        <v>151</v>
      </c>
      <c r="C79" s="144"/>
    </row>
    <row r="80" spans="1:25" ht="13" hidden="1" x14ac:dyDescent="0.3">
      <c r="B80" s="145" t="s">
        <v>153</v>
      </c>
      <c r="C80" s="146">
        <f>IF(ISERROR('2a. Continuity Schedule'!BT45/'4. Billing Determinants'!D41), 0, '2a. Continuity Schedule'!BT45/'4. Billing Determinants'!D41)</f>
        <v>0</v>
      </c>
    </row>
    <row r="81" spans="2:25" ht="13" hidden="1" x14ac:dyDescent="0.3">
      <c r="B81" s="145" t="s">
        <v>150</v>
      </c>
      <c r="C81" s="147">
        <f>IF(ISERROR('2a. Continuity Schedule'!BT45/'4. Billing Determinants'!E41), 0, '2a. Continuity Schedule'!BT45/'4. Billing Determinants'!E41)</f>
        <v>0</v>
      </c>
    </row>
    <row r="82" spans="2:25" ht="13" x14ac:dyDescent="0.25">
      <c r="B82" s="551" t="s">
        <v>50</v>
      </c>
      <c r="C82" s="552">
        <v>1568</v>
      </c>
      <c r="D82" s="553">
        <f>'2b. Continuity Schedule'!BT88</f>
        <v>0</v>
      </c>
      <c r="E82" s="552"/>
      <c r="F82" s="553">
        <f>'4. Billing Determinants'!AC21</f>
        <v>0</v>
      </c>
      <c r="G82" s="553">
        <f>'4. Billing Determinants'!AC22</f>
        <v>0</v>
      </c>
      <c r="H82" s="553">
        <f>'4. Billing Determinants'!AC23</f>
        <v>0</v>
      </c>
      <c r="I82" s="553">
        <f>'4. Billing Determinants'!AC24</f>
        <v>0</v>
      </c>
      <c r="J82" s="553">
        <f>'4. Billing Determinants'!AC25</f>
        <v>0</v>
      </c>
      <c r="K82" s="553">
        <f>'4. Billing Determinants'!AC26</f>
        <v>0</v>
      </c>
      <c r="L82" s="553">
        <f>'4. Billing Determinants'!AC27</f>
        <v>0</v>
      </c>
      <c r="M82" s="553">
        <f>'4. Billing Determinants'!AC28</f>
        <v>0</v>
      </c>
      <c r="N82" s="553">
        <f>'4. Billing Determinants'!AC29</f>
        <v>0</v>
      </c>
      <c r="O82" s="553">
        <f>'4. Billing Determinants'!AC30</f>
        <v>0</v>
      </c>
      <c r="P82" s="553">
        <f>'4. Billing Determinants'!AC31</f>
        <v>0</v>
      </c>
      <c r="Q82" s="553">
        <f>'4. Billing Determinants'!AC32</f>
        <v>0</v>
      </c>
      <c r="R82" s="553">
        <f>'4. Billing Determinants'!AC33</f>
        <v>0</v>
      </c>
      <c r="S82" s="553">
        <f>'4. Billing Determinants'!AC34</f>
        <v>0</v>
      </c>
      <c r="T82" s="553">
        <f>'4. Billing Determinants'!AC35</f>
        <v>0</v>
      </c>
      <c r="U82" s="553">
        <f>'4. Billing Determinants'!AC36</f>
        <v>0</v>
      </c>
      <c r="V82" s="553">
        <f>'4. Billing Determinants'!AC37</f>
        <v>0</v>
      </c>
      <c r="W82" s="553">
        <f>'4. Billing Determinants'!AC38</f>
        <v>0</v>
      </c>
      <c r="X82" s="553">
        <f>'4. Billing Determinants'!AC39</f>
        <v>0</v>
      </c>
      <c r="Y82" s="553">
        <f>'4. Billing Determinants'!AC40</f>
        <v>0</v>
      </c>
    </row>
    <row r="84" spans="2:25" ht="13" x14ac:dyDescent="0.25">
      <c r="B84" s="551" t="s">
        <v>3449</v>
      </c>
      <c r="C84" s="552">
        <v>1509</v>
      </c>
      <c r="D84" s="553">
        <f>'2b. Continuity Schedule'!BT110</f>
        <v>0</v>
      </c>
      <c r="E84" s="719" t="s">
        <v>3033</v>
      </c>
      <c r="F84" s="553">
        <f>IFERROR(IF(F$4="",0,IF($E84="kWh",VLOOKUP(F$4,'4. Billing Determinants'!$B$19:$R$41,4,0)/'4. Billing Determinants'!$E$41*$D84,IF($E84="kW",VLOOKUP(F$4,'4. Billing Determinants'!$B$19:$R$41,5,0)/'4. Billing Determinants'!$F$41*$D84,IF($E84="Non-RPP kWh",VLOOKUP(F$4,'4. Billing Determinants'!$B$19:$R$41,6,0)/'4. Billing Determinants'!$G$41*$D84,IF($E84="Distribution Rev.",VLOOKUP(F$4,'4. Billing Determinants'!$B$19:$R$41,8,0)/'4. Billing Determinants'!$I$41*$D84, VLOOKUP(F$4,'4. Billing Determinants'!$B$19:$R$41,3,0)/'4. Billing Determinants'!$D$41*$D84))))),0)</f>
        <v>0</v>
      </c>
      <c r="G84" s="553">
        <f>IFERROR(IF(G$4="",0,IF($E84="kWh",VLOOKUP(G$4,'4. Billing Determinants'!$B$19:$R$41,4,0)/'4. Billing Determinants'!$E$41*$D84,IF($E84="kW",VLOOKUP(G$4,'4. Billing Determinants'!$B$19:$R$41,5,0)/'4. Billing Determinants'!$F$41*$D84,IF($E84="Non-RPP kWh",VLOOKUP(G$4,'4. Billing Determinants'!$B$19:$R$41,6,0)/'4. Billing Determinants'!$G$41*$D84,IF($E84="Distribution Rev.",VLOOKUP(G$4,'4. Billing Determinants'!$B$19:$R$41,8,0)/'4. Billing Determinants'!$I$41*$D84, VLOOKUP(G$4,'4. Billing Determinants'!$B$19:$R$41,3,0)/'4. Billing Determinants'!$D$41*$D84))))),0)</f>
        <v>0</v>
      </c>
      <c r="H84" s="553">
        <f>IFERROR(IF(H$4="",0,IF($E84="kWh",VLOOKUP(H$4,'4. Billing Determinants'!$B$19:$R$41,4,0)/'4. Billing Determinants'!$E$41*$D84,IF($E84="kW",VLOOKUP(H$4,'4. Billing Determinants'!$B$19:$R$41,5,0)/'4. Billing Determinants'!$F$41*$D84,IF($E84="Non-RPP kWh",VLOOKUP(H$4,'4. Billing Determinants'!$B$19:$R$41,6,0)/'4. Billing Determinants'!$G$41*$D84,IF($E84="Distribution Rev.",VLOOKUP(H$4,'4. Billing Determinants'!$B$19:$R$41,8,0)/'4. Billing Determinants'!$I$41*$D84, VLOOKUP(H$4,'4. Billing Determinants'!$B$19:$R$41,3,0)/'4. Billing Determinants'!$D$41*$D84))))),0)</f>
        <v>0</v>
      </c>
      <c r="I84" s="553">
        <f>IFERROR(IF(I$4="",0,IF($E84="kWh",VLOOKUP(I$4,'4. Billing Determinants'!$B$19:$R$41,4,0)/'4. Billing Determinants'!$E$41*$D84,IF($E84="kW",VLOOKUP(I$4,'4. Billing Determinants'!$B$19:$R$41,5,0)/'4. Billing Determinants'!$F$41*$D84,IF($E84="Non-RPP kWh",VLOOKUP(I$4,'4. Billing Determinants'!$B$19:$R$41,6,0)/'4. Billing Determinants'!$G$41*$D84,IF($E84="Distribution Rev.",VLOOKUP(I$4,'4. Billing Determinants'!$B$19:$R$41,8,0)/'4. Billing Determinants'!$I$41*$D84, VLOOKUP(I$4,'4. Billing Determinants'!$B$19:$R$41,3,0)/'4. Billing Determinants'!$D$41*$D84))))),0)</f>
        <v>0</v>
      </c>
      <c r="J84" s="553">
        <f>IFERROR(IF(J$4="",0,IF($E84="kWh",VLOOKUP(J$4,'4. Billing Determinants'!$B$19:$R$41,4,0)/'4. Billing Determinants'!$E$41*$D84,IF($E84="kW",VLOOKUP(J$4,'4. Billing Determinants'!$B$19:$R$41,5,0)/'4. Billing Determinants'!$F$41*$D84,IF($E84="Non-RPP kWh",VLOOKUP(J$4,'4. Billing Determinants'!$B$19:$R$41,6,0)/'4. Billing Determinants'!$G$41*$D84,IF($E84="Distribution Rev.",VLOOKUP(J$4,'4. Billing Determinants'!$B$19:$R$41,8,0)/'4. Billing Determinants'!$I$41*$D84, VLOOKUP(J$4,'4. Billing Determinants'!$B$19:$R$41,3,0)/'4. Billing Determinants'!$D$41*$D84))))),0)</f>
        <v>0</v>
      </c>
      <c r="K84" s="553">
        <f>IFERROR(IF(K$4="",0,IF($E84="kWh",VLOOKUP(K$4,'4. Billing Determinants'!$B$19:$R$41,4,0)/'4. Billing Determinants'!$E$41*$D84,IF($E84="kW",VLOOKUP(K$4,'4. Billing Determinants'!$B$19:$R$41,5,0)/'4. Billing Determinants'!$F$41*$D84,IF($E84="Non-RPP kWh",VLOOKUP(K$4,'4. Billing Determinants'!$B$19:$R$41,6,0)/'4. Billing Determinants'!$G$41*$D84,IF($E84="Distribution Rev.",VLOOKUP(K$4,'4. Billing Determinants'!$B$19:$R$41,8,0)/'4. Billing Determinants'!$I$41*$D84, VLOOKUP(K$4,'4. Billing Determinants'!$B$19:$R$41,3,0)/'4. Billing Determinants'!$D$41*$D84))))),0)</f>
        <v>0</v>
      </c>
      <c r="L84" s="553">
        <f>IFERROR(IF(L$4="",0,IF($E84="kWh",VLOOKUP(L$4,'4. Billing Determinants'!$B$19:$R$41,4,0)/'4. Billing Determinants'!$E$41*$D84,IF($E84="kW",VLOOKUP(L$4,'4. Billing Determinants'!$B$19:$R$41,5,0)/'4. Billing Determinants'!$F$41*$D84,IF($E84="Non-RPP kWh",VLOOKUP(L$4,'4. Billing Determinants'!$B$19:$R$41,6,0)/'4. Billing Determinants'!$G$41*$D84,IF($E84="Distribution Rev.",VLOOKUP(L$4,'4. Billing Determinants'!$B$19:$R$41,8,0)/'4. Billing Determinants'!$I$41*$D84, VLOOKUP(L$4,'4. Billing Determinants'!$B$19:$R$41,3,0)/'4. Billing Determinants'!$D$41*$D84))))),0)</f>
        <v>0</v>
      </c>
      <c r="M84" s="553">
        <f>IFERROR(IF(M$4="",0,IF($E84="kWh",VLOOKUP(M$4,'4. Billing Determinants'!$B$19:$R$41,4,0)/'4. Billing Determinants'!$E$41*$D84,IF($E84="kW",VLOOKUP(M$4,'4. Billing Determinants'!$B$19:$R$41,5,0)/'4. Billing Determinants'!$F$41*$D84,IF($E84="Non-RPP kWh",VLOOKUP(M$4,'4. Billing Determinants'!$B$19:$R$41,6,0)/'4. Billing Determinants'!$G$41*$D84,IF($E84="Distribution Rev.",VLOOKUP(M$4,'4. Billing Determinants'!$B$19:$R$41,8,0)/'4. Billing Determinants'!$I$41*$D84, VLOOKUP(M$4,'4. Billing Determinants'!$B$19:$R$41,3,0)/'4. Billing Determinants'!$D$41*$D84))))),0)</f>
        <v>0</v>
      </c>
      <c r="N84" s="553">
        <f>IFERROR(IF(N$4="",0,IF($E84="kWh",VLOOKUP(N$4,'4. Billing Determinants'!$B$19:$R$41,4,0)/'4. Billing Determinants'!$E$41*$D84,IF($E84="kW",VLOOKUP(N$4,'4. Billing Determinants'!$B$19:$R$41,5,0)/'4. Billing Determinants'!$F$41*$D84,IF($E84="Non-RPP kWh",VLOOKUP(N$4,'4. Billing Determinants'!$B$19:$R$41,6,0)/'4. Billing Determinants'!$G$41*$D84,IF($E84="Distribution Rev.",VLOOKUP(N$4,'4. Billing Determinants'!$B$19:$R$41,8,0)/'4. Billing Determinants'!$I$41*$D84, VLOOKUP(N$4,'4. Billing Determinants'!$B$19:$R$41,3,0)/'4. Billing Determinants'!$D$41*$D84))))),0)</f>
        <v>0</v>
      </c>
      <c r="O84" s="553">
        <f>IFERROR(IF(O$4="",0,IF($E84="kWh",VLOOKUP(O$4,'4. Billing Determinants'!$B$19:$R$41,4,0)/'4. Billing Determinants'!$E$41*$D84,IF($E84="kW",VLOOKUP(O$4,'4. Billing Determinants'!$B$19:$R$41,5,0)/'4. Billing Determinants'!$F$41*$D84,IF($E84="Non-RPP kWh",VLOOKUP(O$4,'4. Billing Determinants'!$B$19:$R$41,6,0)/'4. Billing Determinants'!$G$41*$D84,IF($E84="Distribution Rev.",VLOOKUP(O$4,'4. Billing Determinants'!$B$19:$R$41,8,0)/'4. Billing Determinants'!$I$41*$D84, VLOOKUP(O$4,'4. Billing Determinants'!$B$19:$R$41,3,0)/'4. Billing Determinants'!$D$41*$D84))))),0)</f>
        <v>0</v>
      </c>
      <c r="P84" s="553">
        <f>IFERROR(IF(P$4="",0,IF($E84="kWh",VLOOKUP(P$4,'4. Billing Determinants'!$B$19:$R$41,4,0)/'4. Billing Determinants'!$E$41*$D84,IF($E84="kW",VLOOKUP(P$4,'4. Billing Determinants'!$B$19:$R$41,5,0)/'4. Billing Determinants'!$F$41*$D84,IF($E84="Non-RPP kWh",VLOOKUP(P$4,'4. Billing Determinants'!$B$19:$R$41,6,0)/'4. Billing Determinants'!$G$41*$D84,IF($E84="Distribution Rev.",VLOOKUP(P$4,'4. Billing Determinants'!$B$19:$R$41,8,0)/'4. Billing Determinants'!$I$41*$D84, VLOOKUP(P$4,'4. Billing Determinants'!$B$19:$R$41,3,0)/'4. Billing Determinants'!$D$41*$D84))))),0)</f>
        <v>0</v>
      </c>
      <c r="Q84" s="553">
        <f>IFERROR(IF(Q$4="",0,IF($E84="kWh",VLOOKUP(Q$4,'4. Billing Determinants'!$B$19:$R$41,4,0)/'4. Billing Determinants'!$E$41*$D84,IF($E84="kW",VLOOKUP(Q$4,'4. Billing Determinants'!$B$19:$R$41,5,0)/'4. Billing Determinants'!$F$41*$D84,IF($E84="Non-RPP kWh",VLOOKUP(Q$4,'4. Billing Determinants'!$B$19:$R$41,6,0)/'4. Billing Determinants'!$G$41*$D84,IF($E84="Distribution Rev.",VLOOKUP(Q$4,'4. Billing Determinants'!$B$19:$R$41,8,0)/'4. Billing Determinants'!$I$41*$D84, VLOOKUP(Q$4,'4. Billing Determinants'!$B$19:$R$41,3,0)/'4. Billing Determinants'!$D$41*$D84))))),0)</f>
        <v>0</v>
      </c>
      <c r="R84" s="553">
        <f>IFERROR(IF(R$4="",0,IF($E84="kWh",VLOOKUP(R$4,'4. Billing Determinants'!$B$19:$R$41,4,0)/'4. Billing Determinants'!$E$41*$D84,IF($E84="kW",VLOOKUP(R$4,'4. Billing Determinants'!$B$19:$R$41,5,0)/'4. Billing Determinants'!$F$41*$D84,IF($E84="Non-RPP kWh",VLOOKUP(R$4,'4. Billing Determinants'!$B$19:$R$41,6,0)/'4. Billing Determinants'!$G$41*$D84,IF($E84="Distribution Rev.",VLOOKUP(R$4,'4. Billing Determinants'!$B$19:$R$41,8,0)/'4. Billing Determinants'!$I$41*$D84, VLOOKUP(R$4,'4. Billing Determinants'!$B$19:$R$41,3,0)/'4. Billing Determinants'!$D$41*$D84))))),0)</f>
        <v>0</v>
      </c>
      <c r="S84" s="553">
        <f>IFERROR(IF(S$4="",0,IF($E84="kWh",VLOOKUP(S$4,'4. Billing Determinants'!$B$19:$R$41,4,0)/'4. Billing Determinants'!$E$41*$D84,IF($E84="kW",VLOOKUP(S$4,'4. Billing Determinants'!$B$19:$R$41,5,0)/'4. Billing Determinants'!$F$41*$D84,IF($E84="Non-RPP kWh",VLOOKUP(S$4,'4. Billing Determinants'!$B$19:$R$41,6,0)/'4. Billing Determinants'!$G$41*$D84,IF($E84="Distribution Rev.",VLOOKUP(S$4,'4. Billing Determinants'!$B$19:$R$41,8,0)/'4. Billing Determinants'!$I$41*$D84, VLOOKUP(S$4,'4. Billing Determinants'!$B$19:$R$41,3,0)/'4. Billing Determinants'!$D$41*$D84))))),0)</f>
        <v>0</v>
      </c>
      <c r="T84" s="553">
        <f>IFERROR(IF(T$4="",0,IF($E84="kWh",VLOOKUP(T$4,'4. Billing Determinants'!$B$19:$R$41,4,0)/'4. Billing Determinants'!$E$41*$D84,IF($E84="kW",VLOOKUP(T$4,'4. Billing Determinants'!$B$19:$R$41,5,0)/'4. Billing Determinants'!$F$41*$D84,IF($E84="Non-RPP kWh",VLOOKUP(T$4,'4. Billing Determinants'!$B$19:$R$41,6,0)/'4. Billing Determinants'!$G$41*$D84,IF($E84="Distribution Rev.",VLOOKUP(T$4,'4. Billing Determinants'!$B$19:$R$41,8,0)/'4. Billing Determinants'!$I$41*$D84, VLOOKUP(T$4,'4. Billing Determinants'!$B$19:$R$41,3,0)/'4. Billing Determinants'!$D$41*$D84))))),0)</f>
        <v>0</v>
      </c>
      <c r="U84" s="553">
        <f>IFERROR(IF(U$4="",0,IF($E84="kWh",VLOOKUP(U$4,'4. Billing Determinants'!$B$19:$R$41,4,0)/'4. Billing Determinants'!$E$41*$D84,IF($E84="kW",VLOOKUP(U$4,'4. Billing Determinants'!$B$19:$R$41,5,0)/'4. Billing Determinants'!$F$41*$D84,IF($E84="Non-RPP kWh",VLOOKUP(U$4,'4. Billing Determinants'!$B$19:$R$41,6,0)/'4. Billing Determinants'!$G$41*$D84,IF($E84="Distribution Rev.",VLOOKUP(U$4,'4. Billing Determinants'!$B$19:$R$41,8,0)/'4. Billing Determinants'!$I$41*$D84, VLOOKUP(U$4,'4. Billing Determinants'!$B$19:$R$41,3,0)/'4. Billing Determinants'!$D$41*$D84))))),0)</f>
        <v>0</v>
      </c>
      <c r="V84" s="553">
        <f>IFERROR(IF(V$4="",0,IF($E84="kWh",VLOOKUP(V$4,'4. Billing Determinants'!$B$19:$R$41,4,0)/'4. Billing Determinants'!$E$41*$D84,IF($E84="kW",VLOOKUP(V$4,'4. Billing Determinants'!$B$19:$R$41,5,0)/'4. Billing Determinants'!$F$41*$D84,IF($E84="Non-RPP kWh",VLOOKUP(V$4,'4. Billing Determinants'!$B$19:$R$41,6,0)/'4. Billing Determinants'!$G$41*$D84,IF($E84="Distribution Rev.",VLOOKUP(V$4,'4. Billing Determinants'!$B$19:$R$41,8,0)/'4. Billing Determinants'!$I$41*$D84, VLOOKUP(V$4,'4. Billing Determinants'!$B$19:$R$41,3,0)/'4. Billing Determinants'!$D$41*$D84))))),0)</f>
        <v>0</v>
      </c>
      <c r="W84" s="553">
        <f>IFERROR(IF(W$4="",0,IF($E84="kWh",VLOOKUP(W$4,'4. Billing Determinants'!$B$19:$R$41,4,0)/'4. Billing Determinants'!$E$41*$D84,IF($E84="kW",VLOOKUP(W$4,'4. Billing Determinants'!$B$19:$R$41,5,0)/'4. Billing Determinants'!$F$41*$D84,IF($E84="Non-RPP kWh",VLOOKUP(W$4,'4. Billing Determinants'!$B$19:$R$41,6,0)/'4. Billing Determinants'!$G$41*$D84,IF($E84="Distribution Rev.",VLOOKUP(W$4,'4. Billing Determinants'!$B$19:$R$41,8,0)/'4. Billing Determinants'!$I$41*$D84, VLOOKUP(W$4,'4. Billing Determinants'!$B$19:$R$41,3,0)/'4. Billing Determinants'!$D$41*$D84))))),0)</f>
        <v>0</v>
      </c>
      <c r="X84" s="553">
        <f>IFERROR(IF(X$4="",0,IF($E84="kWh",VLOOKUP(X$4,'4. Billing Determinants'!$B$19:$R$41,4,0)/'4. Billing Determinants'!$E$41*$D84,IF($E84="kW",VLOOKUP(X$4,'4. Billing Determinants'!$B$19:$R$41,5,0)/'4. Billing Determinants'!$F$41*$D84,IF($E84="Non-RPP kWh",VLOOKUP(X$4,'4. Billing Determinants'!$B$19:$R$41,6,0)/'4. Billing Determinants'!$G$41*$D84,IF($E84="Distribution Rev.",VLOOKUP(X$4,'4. Billing Determinants'!$B$19:$R$41,8,0)/'4. Billing Determinants'!$I$41*$D84, VLOOKUP(X$4,'4. Billing Determinants'!$B$19:$R$41,3,0)/'4. Billing Determinants'!$D$41*$D84))))),0)</f>
        <v>0</v>
      </c>
      <c r="Y84" s="553">
        <f>IFERROR(IF(Y$4="",0,IF($E84="kWh",VLOOKUP(Y$4,'4. Billing Determinants'!$B$19:$R$41,4,0)/'4. Billing Determinants'!$E$41*$D84,IF($E84="kW",VLOOKUP(Y$4,'4. Billing Determinants'!$B$19:$R$41,5,0)/'4. Billing Determinants'!$F$41*$D84,IF($E84="Non-RPP kWh",VLOOKUP(Y$4,'4. Billing Determinants'!$B$19:$R$41,6,0)/'4. Billing Determinants'!$G$41*$D84,IF($E84="Distribution Rev.",VLOOKUP(Y$4,'4. Billing Determinants'!$B$19:$R$41,8,0)/'4. Billing Determinants'!$I$41*$D84, VLOOKUP(Y$4,'4. Billing Determinants'!$B$19:$R$41,3,0)/'4. Billing Determinants'!$D$41*$D84))))),0)</f>
        <v>0</v>
      </c>
    </row>
  </sheetData>
  <sheetProtection algorithmName="SHA-512" hashValue="p2zgzZO9kKKpVWVHC1F1KnoxwBm/vUzMnk4mNuMjrq3f4R0lxOhZ/I/CHfk4/v0sfU51DBlxfFL3iZ8NNG4g6Q==" saltValue="Wc/VRHOKggcG8ZLcx8tQLA==" spinCount="100000" sheet="1" objects="1" scenarios="1"/>
  <mergeCells count="7">
    <mergeCell ref="B73:C73"/>
    <mergeCell ref="B71:C71"/>
    <mergeCell ref="B60:C60"/>
    <mergeCell ref="B61:C61"/>
    <mergeCell ref="B69:C69"/>
    <mergeCell ref="B67:C67"/>
    <mergeCell ref="B68:C68"/>
  </mergeCells>
  <dataValidations count="3">
    <dataValidation type="list" allowBlank="1" showInputMessage="1" showErrorMessage="1" sqref="E5 E65 E7:E10" xr:uid="{00000000-0002-0000-0800-000000000000}">
      <formula1>"kWh, kW"</formula1>
    </dataValidation>
    <dataValidation type="list" allowBlank="1" showInputMessage="1" showErrorMessage="1" sqref="E53 E57" xr:uid="{00000000-0002-0000-0800-000001000000}">
      <formula1>"kWh, kW, Non-RPP kWh, Distribution Rev."</formula1>
    </dataValidation>
    <dataValidation type="list" allowBlank="1" showInputMessage="1" showErrorMessage="1" sqref="E63:E64 E55:E56 E75:E76 E22 E24:E52" xr:uid="{00000000-0002-0000-0800-000003000000}">
      <formula1>"kWh, kW,Distribution Rev., # of Customers"</formula1>
    </dataValidation>
  </dataValidations>
  <pageMargins left="0.23622047244094491" right="0.23622047244094491" top="0.74803149606299213" bottom="0.74803149606299213" header="0.31496062992125984" footer="0.31496062992125984"/>
  <pageSetup scale="48" orientation="landscape" r:id="rId1"/>
  <colBreaks count="2" manualBreakCount="2">
    <brk id="12" max="1048575" man="1"/>
    <brk id="18"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D3B95-DD16-4C4B-99FE-5139A4089822}">
  <dimension ref="A1:AA84"/>
  <sheetViews>
    <sheetView topLeftCell="B1" zoomScale="90" zoomScaleNormal="90" workbookViewId="0">
      <selection activeCell="D8" sqref="D8"/>
    </sheetView>
  </sheetViews>
  <sheetFormatPr defaultColWidth="9" defaultRowHeight="12.5" x14ac:dyDescent="0.25"/>
  <cols>
    <col min="1" max="1" width="5.7265625" style="122" hidden="1" customWidth="1"/>
    <col min="2" max="2" width="79.54296875" style="122" customWidth="1"/>
    <col min="3" max="3" width="9" style="122"/>
    <col min="4" max="4" width="14.54296875" style="544" customWidth="1"/>
    <col min="5" max="5" width="20.26953125" style="544" bestFit="1" customWidth="1"/>
    <col min="6" max="25" width="24" style="544" customWidth="1"/>
    <col min="26" max="26" width="9" style="122"/>
    <col min="27" max="28" width="0" style="122" hidden="1" customWidth="1"/>
    <col min="29" max="16384" width="9" style="122"/>
  </cols>
  <sheetData>
    <row r="1" spans="1:27" ht="143.25" customHeight="1" x14ac:dyDescent="0.25">
      <c r="AA1" s="122">
        <v>22</v>
      </c>
    </row>
    <row r="2" spans="1:27" x14ac:dyDescent="0.25">
      <c r="AA2" s="122">
        <v>23</v>
      </c>
    </row>
    <row r="4" spans="1:27" ht="39" customHeight="1" x14ac:dyDescent="0.25">
      <c r="A4" s="122">
        <v>1</v>
      </c>
      <c r="D4" s="141" t="s">
        <v>62</v>
      </c>
      <c r="E4" s="142" t="s">
        <v>57</v>
      </c>
      <c r="F4" s="141" t="str">
        <f>IF(LEN(TRIM('4. Billing Determinants'!$B21))=0, "", UPPER('4. Billing Determinants'!$B21))</f>
        <v>RESIDENTIAL SERVICE CLASSIFICATION</v>
      </c>
      <c r="G4" s="141" t="str">
        <f>IF(LEN(TRIM('4. Billing Determinants'!$B22))=0, "", '4. Billing Determinants'!$B22)</f>
        <v>COMPETITIVE SECTOR MULTI-UNIT RESIDENTIAL SERVICE CLASSIFICATION</v>
      </c>
      <c r="H4" s="141" t="str">
        <f>IF(LEN(TRIM('4. Billing Determinants'!$B23))=0, "", '4. Billing Determinants'!$B23)</f>
        <v>GENERAL SERVICE LESS THAN 50 KW SERVICE CLASSIFICATION</v>
      </c>
      <c r="I4" s="141" t="str">
        <f>IF(LEN(TRIM('4. Billing Determinants'!$B24))=0, "", '4. Billing Determinants'!$B24)</f>
        <v>GENERAL SERVICE 50 TO 999 KW SERVICE CLASSIFICATION</v>
      </c>
      <c r="J4" s="141" t="str">
        <f>IF(LEN(TRIM('4. Billing Determinants'!$B25))=0, "", '4. Billing Determinants'!$B25)</f>
        <v>GENERAL SERVICE 1,000 TO 4,999 KW SERVICE CLASSIFICATION</v>
      </c>
      <c r="K4" s="141" t="str">
        <f>IF(LEN(TRIM('4. Billing Determinants'!$B26))=0, "", '4. Billing Determinants'!$B26)</f>
        <v>LARGE USE SERVICE CLASSIFICATION</v>
      </c>
      <c r="L4" s="141" t="str">
        <f>IF(LEN(TRIM('4. Billing Determinants'!$B27))=0, "", '4. Billing Determinants'!$B27)</f>
        <v>STREET LIGHTING SERVICE CLASSIFICATION</v>
      </c>
      <c r="M4" s="141" t="str">
        <f>IF(LEN(TRIM('4. Billing Determinants'!$B28))=0, "", '4. Billing Determinants'!$B28)</f>
        <v>UNMETERED SCATTERED LOAD SERVICE CLASSIFICATION</v>
      </c>
      <c r="N4" s="141" t="str">
        <f>IF(LEN(TRIM('4. Billing Determinants'!$B29))=0, "", '4. Billing Determinants'!$B29)</f>
        <v/>
      </c>
      <c r="O4" s="141" t="str">
        <f>IF(LEN(TRIM('4. Billing Determinants'!$B30))=0, "", '4. Billing Determinants'!$B30)</f>
        <v/>
      </c>
      <c r="P4" s="141" t="str">
        <f>IF(LEN(TRIM('4. Billing Determinants'!$B31))=0, "", '4. Billing Determinants'!$B31)</f>
        <v/>
      </c>
      <c r="Q4" s="141" t="str">
        <f>IF(LEN(TRIM('4. Billing Determinants'!$B32))=0, "", '4. Billing Determinants'!$B32)</f>
        <v/>
      </c>
      <c r="R4" s="141" t="str">
        <f>IF(LEN(TRIM('4. Billing Determinants'!$B33))=0, "", '4. Billing Determinants'!$B33)</f>
        <v/>
      </c>
      <c r="S4" s="141" t="str">
        <f>IF(LEN(TRIM('4. Billing Determinants'!$B34))=0, "", '4. Billing Determinants'!$B34)</f>
        <v/>
      </c>
      <c r="T4" s="141" t="str">
        <f>IF(LEN(TRIM('4. Billing Determinants'!$B35))=0, "", '4. Billing Determinants'!$B35)</f>
        <v/>
      </c>
      <c r="U4" s="141" t="str">
        <f>IF(LEN(TRIM('4. Billing Determinants'!$B36))=0, "", '4. Billing Determinants'!$B36)</f>
        <v/>
      </c>
      <c r="V4" s="141" t="str">
        <f>IF(LEN(TRIM('4. Billing Determinants'!$B37))=0, "", '4. Billing Determinants'!$B37)</f>
        <v/>
      </c>
      <c r="W4" s="141" t="str">
        <f>IF(LEN(TRIM('4. Billing Determinants'!$B38))=0, "", '4. Billing Determinants'!$B38)</f>
        <v/>
      </c>
      <c r="X4" s="141" t="str">
        <f>IF(LEN(TRIM('4. Billing Determinants'!$B39))=0, "", '4. Billing Determinants'!$B39)</f>
        <v/>
      </c>
      <c r="Y4" s="141" t="str">
        <f>IF(LEN(TRIM('4. Billing Determinants'!$B40))=0, "", '4. Billing Determinants'!$B40)</f>
        <v/>
      </c>
    </row>
    <row r="5" spans="1:27" x14ac:dyDescent="0.25">
      <c r="A5" s="122">
        <v>2</v>
      </c>
      <c r="B5" s="38" t="s">
        <v>23</v>
      </c>
      <c r="C5" s="260">
        <v>1550</v>
      </c>
      <c r="D5" s="40">
        <f>'2a. Continuity Schedule '!CD24</f>
        <v>415594.84436241677</v>
      </c>
      <c r="E5" s="61" t="s">
        <v>139</v>
      </c>
      <c r="F5" s="40">
        <f>IFERROR(IF(F$4="",0,IF($E5="kWh",VLOOKUP(F$4,'4. Billing Determinants'!$B$19:$R$41,4,0)/'4. Billing Determinants'!$E$41*$D5,IF($E5="kW",VLOOKUP(F$4,'4. Billing Determinants'!$B$19:$R$41,5,0)/'4. Billing Determinants'!$F$41*$D5,IF($E5="Non-RPP kWh",VLOOKUP(F$4,'4. Billing Determinants'!$B$19:$R$41,6,0)/'4. Billing Determinants'!$G$41*$D5,IF($E5="Distribution Rev.",VLOOKUP(F$4,'4. Billing Determinants'!$B$19:$R$41,8,0)/'4. Billing Determinants'!$I$41*$D5, VLOOKUP(F$4,'4. Billing Determinants'!$B$19:$R$41,3,0)/'4. Billing Determinants'!$D$41*$D5))))),0)</f>
        <v>87603.799154999593</v>
      </c>
      <c r="G5" s="40">
        <f>IFERROR(IF(G$4="",0,IF($E5="kWh",VLOOKUP(G$4,'4. Billing Determinants'!$B$19:$R$41,4,0)/'4. Billing Determinants'!$E$41*$D5,IF($E5="kW",VLOOKUP(G$4,'4. Billing Determinants'!$B$19:$R$41,5,0)/'4. Billing Determinants'!$F$41*$D5,IF($E5="Non-RPP kWh",VLOOKUP(G$4,'4. Billing Determinants'!$B$19:$R$41,6,0)/'4. Billing Determinants'!$G$41*$D5,IF($E5="Distribution Rev.",VLOOKUP(G$4,'4. Billing Determinants'!$B$19:$R$41,8,0)/'4. Billing Determinants'!$I$41*$D5, VLOOKUP(G$4,'4. Billing Determinants'!$B$19:$R$41,3,0)/'4. Billing Determinants'!$D$41*$D5))))),0)</f>
        <v>6169.3091539311517</v>
      </c>
      <c r="H5" s="40">
        <f>IFERROR(IF(H$4="",0,IF($E5="kWh",VLOOKUP(H$4,'4. Billing Determinants'!$B$19:$R$41,4,0)/'4. Billing Determinants'!$E$41*$D5,IF($E5="kW",VLOOKUP(H$4,'4. Billing Determinants'!$B$19:$R$41,5,0)/'4. Billing Determinants'!$F$41*$D5,IF($E5="Non-RPP kWh",VLOOKUP(H$4,'4. Billing Determinants'!$B$19:$R$41,6,0)/'4. Billing Determinants'!$G$41*$D5,IF($E5="Distribution Rev.",VLOOKUP(H$4,'4. Billing Determinants'!$B$19:$R$41,8,0)/'4. Billing Determinants'!$I$41*$D5, VLOOKUP(H$4,'4. Billing Determinants'!$B$19:$R$41,3,0)/'4. Billing Determinants'!$D$41*$D5))))),0)</f>
        <v>42614.351912784645</v>
      </c>
      <c r="I5" s="40">
        <f>IFERROR(IF(I$4="",0,IF($E5="kWh",VLOOKUP(I$4,'4. Billing Determinants'!$B$19:$R$41,4,0)/'4. Billing Determinants'!$E$41*$D5,IF($E5="kW",VLOOKUP(I$4,'4. Billing Determinants'!$B$19:$R$41,5,0)/'4. Billing Determinants'!$F$41*$D5,IF($E5="Non-RPP kWh",VLOOKUP(I$4,'4. Billing Determinants'!$B$19:$R$41,6,0)/'4. Billing Determinants'!$G$41*$D5,IF($E5="Distribution Rev.",VLOOKUP(I$4,'4. Billing Determinants'!$B$19:$R$41,8,0)/'4. Billing Determinants'!$I$41*$D5, VLOOKUP(I$4,'4. Billing Determinants'!$B$19:$R$41,3,0)/'4. Billing Determinants'!$D$41*$D5))))),0)</f>
        <v>171670.8051714469</v>
      </c>
      <c r="J5" s="40">
        <f>IFERROR(IF(J$4="",0,IF($E5="kWh",VLOOKUP(J$4,'4. Billing Determinants'!$B$19:$R$41,4,0)/'4. Billing Determinants'!$E$41*$D5,IF($E5="kW",VLOOKUP(J$4,'4. Billing Determinants'!$B$19:$R$41,5,0)/'4. Billing Determinants'!$F$41*$D5,IF($E5="Non-RPP kWh",VLOOKUP(J$4,'4. Billing Determinants'!$B$19:$R$41,6,0)/'4. Billing Determinants'!$G$41*$D5,IF($E5="Distribution Rev.",VLOOKUP(J$4,'4. Billing Determinants'!$B$19:$R$41,8,0)/'4. Billing Determinants'!$I$41*$D5, VLOOKUP(J$4,'4. Billing Determinants'!$B$19:$R$41,3,0)/'4. Billing Determinants'!$D$41*$D5))))),0)</f>
        <v>72240.833236855731</v>
      </c>
      <c r="K5" s="40">
        <f>IFERROR(IF(K$4="",0,IF($E5="kWh",VLOOKUP(K$4,'4. Billing Determinants'!$B$19:$R$41,4,0)/'4. Billing Determinants'!$E$41*$D5,IF($E5="kW",VLOOKUP(K$4,'4. Billing Determinants'!$B$19:$R$41,5,0)/'4. Billing Determinants'!$F$41*$D5,IF($E5="Non-RPP kWh",VLOOKUP(K$4,'4. Billing Determinants'!$B$19:$R$41,6,0)/'4. Billing Determinants'!$G$41*$D5,IF($E5="Distribution Rev.",VLOOKUP(K$4,'4. Billing Determinants'!$B$19:$R$41,8,0)/'4. Billing Determinants'!$I$41*$D5, VLOOKUP(K$4,'4. Billing Determinants'!$B$19:$R$41,3,0)/'4. Billing Determinants'!$D$41*$D5))))),0)</f>
        <v>32402.843689269677</v>
      </c>
      <c r="L5" s="40">
        <f>IFERROR(IF(L$4="",0,IF($E5="kWh",VLOOKUP(L$4,'4. Billing Determinants'!$B$19:$R$41,4,0)/'4. Billing Determinants'!$E$41*$D5,IF($E5="kW",VLOOKUP(L$4,'4. Billing Determinants'!$B$19:$R$41,5,0)/'4. Billing Determinants'!$F$41*$D5,IF($E5="Non-RPP kWh",VLOOKUP(L$4,'4. Billing Determinants'!$B$19:$R$41,6,0)/'4. Billing Determinants'!$G$41*$D5,IF($E5="Distribution Rev.",VLOOKUP(L$4,'4. Billing Determinants'!$B$19:$R$41,8,0)/'4. Billing Determinants'!$I$41*$D5, VLOOKUP(L$4,'4. Billing Determinants'!$B$19:$R$41,3,0)/'4. Billing Determinants'!$D$41*$D5))))),0)</f>
        <v>2133.3209160604365</v>
      </c>
      <c r="M5" s="40">
        <f>IFERROR(IF(M$4="",0,IF($E5="kWh",VLOOKUP(M$4,'4. Billing Determinants'!$B$19:$R$41,4,0)/'4. Billing Determinants'!$E$41*$D5,IF($E5="kW",VLOOKUP(M$4,'4. Billing Determinants'!$B$19:$R$41,5,0)/'4. Billing Determinants'!$F$41*$D5,IF($E5="Non-RPP kWh",VLOOKUP(M$4,'4. Billing Determinants'!$B$19:$R$41,6,0)/'4. Billing Determinants'!$G$41*$D5,IF($E5="Distribution Rev.",VLOOKUP(M$4,'4. Billing Determinants'!$B$19:$R$41,8,0)/'4. Billing Determinants'!$I$41*$D5, VLOOKUP(M$4,'4. Billing Determinants'!$B$19:$R$41,3,0)/'4. Billing Determinants'!$D$41*$D5))))),0)</f>
        <v>759.58112706870838</v>
      </c>
      <c r="N5" s="40">
        <f>IFERROR(IF(N$4="",0,IF($E5="kWh",VLOOKUP(N$4,'4. Billing Determinants'!$B$19:$R$41,4,0)/'4. Billing Determinants'!$E$41*$D5,IF($E5="kW",VLOOKUP(N$4,'4. Billing Determinants'!$B$19:$R$41,5,0)/'4. Billing Determinants'!$F$41*$D5,IF($E5="Non-RPP kWh",VLOOKUP(N$4,'4. Billing Determinants'!$B$19:$R$41,6,0)/'4. Billing Determinants'!$G$41*$D5,IF($E5="Distribution Rev.",VLOOKUP(N$4,'4. Billing Determinants'!$B$19:$R$41,8,0)/'4. Billing Determinants'!$I$41*$D5, VLOOKUP(N$4,'4. Billing Determinants'!$B$19:$R$41,3,0)/'4. Billing Determinants'!$D$41*$D5))))),0)</f>
        <v>0</v>
      </c>
      <c r="O5" s="40">
        <f>IFERROR(IF(O$4="",0,IF($E5="kWh",VLOOKUP(O$4,'4. Billing Determinants'!$B$19:$R$41,4,0)/'4. Billing Determinants'!$E$41*$D5,IF($E5="kW",VLOOKUP(O$4,'4. Billing Determinants'!$B$19:$R$41,5,0)/'4. Billing Determinants'!$F$41*$D5,IF($E5="Non-RPP kWh",VLOOKUP(O$4,'4. Billing Determinants'!$B$19:$R$41,6,0)/'4. Billing Determinants'!$G$41*$D5,IF($E5="Distribution Rev.",VLOOKUP(O$4,'4. Billing Determinants'!$B$19:$R$41,8,0)/'4. Billing Determinants'!$I$41*$D5, VLOOKUP(O$4,'4. Billing Determinants'!$B$19:$R$41,3,0)/'4. Billing Determinants'!$D$41*$D5))))),0)</f>
        <v>0</v>
      </c>
      <c r="P5" s="40">
        <f>IFERROR(IF(P$4="",0,IF($E5="kWh",VLOOKUP(P$4,'4. Billing Determinants'!$B$19:$R$41,4,0)/'4. Billing Determinants'!$E$41*$D5,IF($E5="kW",VLOOKUP(P$4,'4. Billing Determinants'!$B$19:$R$41,5,0)/'4. Billing Determinants'!$F$41*$D5,IF($E5="Non-RPP kWh",VLOOKUP(P$4,'4. Billing Determinants'!$B$19:$R$41,6,0)/'4. Billing Determinants'!$G$41*$D5,IF($E5="Distribution Rev.",VLOOKUP(P$4,'4. Billing Determinants'!$B$19:$R$41,8,0)/'4. Billing Determinants'!$I$41*$D5, VLOOKUP(P$4,'4. Billing Determinants'!$B$19:$R$41,3,0)/'4. Billing Determinants'!$D$41*$D5))))),0)</f>
        <v>0</v>
      </c>
      <c r="Q5" s="40">
        <f>IFERROR(IF(Q$4="",0,IF($E5="kWh",VLOOKUP(Q$4,'4. Billing Determinants'!$B$19:$R$41,4,0)/'4. Billing Determinants'!$E$41*$D5,IF($E5="kW",VLOOKUP(Q$4,'4. Billing Determinants'!$B$19:$R$41,5,0)/'4. Billing Determinants'!$F$41*$D5,IF($E5="Non-RPP kWh",VLOOKUP(Q$4,'4. Billing Determinants'!$B$19:$R$41,6,0)/'4. Billing Determinants'!$G$41*$D5,IF($E5="Distribution Rev.",VLOOKUP(Q$4,'4. Billing Determinants'!$B$19:$R$41,8,0)/'4. Billing Determinants'!$I$41*$D5, VLOOKUP(Q$4,'4. Billing Determinants'!$B$19:$R$41,3,0)/'4. Billing Determinants'!$D$41*$D5))))),0)</f>
        <v>0</v>
      </c>
      <c r="R5" s="40">
        <f>IFERROR(IF(R$4="",0,IF($E5="kWh",VLOOKUP(R$4,'4. Billing Determinants'!$B$19:$R$41,4,0)/'4. Billing Determinants'!$E$41*$D5,IF($E5="kW",VLOOKUP(R$4,'4. Billing Determinants'!$B$19:$R$41,5,0)/'4. Billing Determinants'!$F$41*$D5,IF($E5="Non-RPP kWh",VLOOKUP(R$4,'4. Billing Determinants'!$B$19:$R$41,6,0)/'4. Billing Determinants'!$G$41*$D5,IF($E5="Distribution Rev.",VLOOKUP(R$4,'4. Billing Determinants'!$B$19:$R$41,8,0)/'4. Billing Determinants'!$I$41*$D5, VLOOKUP(R$4,'4. Billing Determinants'!$B$19:$R$41,3,0)/'4. Billing Determinants'!$D$41*$D5))))),0)</f>
        <v>0</v>
      </c>
      <c r="S5" s="40">
        <f>IFERROR(IF(S$4="",0,IF($E5="kWh",VLOOKUP(S$4,'4. Billing Determinants'!$B$19:$R$41,4,0)/'4. Billing Determinants'!$E$41*$D5,IF($E5="kW",VLOOKUP(S$4,'4. Billing Determinants'!$B$19:$R$41,5,0)/'4. Billing Determinants'!$F$41*$D5,IF($E5="Non-RPP kWh",VLOOKUP(S$4,'4. Billing Determinants'!$B$19:$R$41,6,0)/'4. Billing Determinants'!$G$41*$D5,IF($E5="Distribution Rev.",VLOOKUP(S$4,'4. Billing Determinants'!$B$19:$R$41,8,0)/'4. Billing Determinants'!$I$41*$D5, VLOOKUP(S$4,'4. Billing Determinants'!$B$19:$R$41,3,0)/'4. Billing Determinants'!$D$41*$D5))))),0)</f>
        <v>0</v>
      </c>
      <c r="T5" s="40">
        <f>IFERROR(IF(T$4="",0,IF($E5="kWh",VLOOKUP(T$4,'4. Billing Determinants'!$B$19:$R$41,4,0)/'4. Billing Determinants'!$E$41*$D5,IF($E5="kW",VLOOKUP(T$4,'4. Billing Determinants'!$B$19:$R$41,5,0)/'4. Billing Determinants'!$F$41*$D5,IF($E5="Non-RPP kWh",VLOOKUP(T$4,'4. Billing Determinants'!$B$19:$R$41,6,0)/'4. Billing Determinants'!$G$41*$D5,IF($E5="Distribution Rev.",VLOOKUP(T$4,'4. Billing Determinants'!$B$19:$R$41,8,0)/'4. Billing Determinants'!$I$41*$D5, VLOOKUP(T$4,'4. Billing Determinants'!$B$19:$R$41,3,0)/'4. Billing Determinants'!$D$41*$D5))))),0)</f>
        <v>0</v>
      </c>
      <c r="U5" s="40">
        <f>IFERROR(IF(U$4="",0,IF($E5="kWh",VLOOKUP(U$4,'4. Billing Determinants'!$B$19:$R$41,4,0)/'4. Billing Determinants'!$E$41*$D5,IF($E5="kW",VLOOKUP(U$4,'4. Billing Determinants'!$B$19:$R$41,5,0)/'4. Billing Determinants'!$F$41*$D5,IF($E5="Non-RPP kWh",VLOOKUP(U$4,'4. Billing Determinants'!$B$19:$R$41,6,0)/'4. Billing Determinants'!$G$41*$D5,IF($E5="Distribution Rev.",VLOOKUP(U$4,'4. Billing Determinants'!$B$19:$R$41,8,0)/'4. Billing Determinants'!$I$41*$D5, VLOOKUP(U$4,'4. Billing Determinants'!$B$19:$R$41,3,0)/'4. Billing Determinants'!$D$41*$D5))))),0)</f>
        <v>0</v>
      </c>
      <c r="V5" s="40">
        <f>IFERROR(IF(V$4="",0,IF($E5="kWh",VLOOKUP(V$4,'4. Billing Determinants'!$B$19:$R$41,4,0)/'4. Billing Determinants'!$E$41*$D5,IF($E5="kW",VLOOKUP(V$4,'4. Billing Determinants'!$B$19:$R$41,5,0)/'4. Billing Determinants'!$F$41*$D5,IF($E5="Non-RPP kWh",VLOOKUP(V$4,'4. Billing Determinants'!$B$19:$R$41,6,0)/'4. Billing Determinants'!$G$41*$D5,IF($E5="Distribution Rev.",VLOOKUP(V$4,'4. Billing Determinants'!$B$19:$R$41,8,0)/'4. Billing Determinants'!$I$41*$D5, VLOOKUP(V$4,'4. Billing Determinants'!$B$19:$R$41,3,0)/'4. Billing Determinants'!$D$41*$D5))))),0)</f>
        <v>0</v>
      </c>
      <c r="W5" s="40">
        <f>IFERROR(IF(W$4="",0,IF($E5="kWh",VLOOKUP(W$4,'4. Billing Determinants'!$B$19:$R$41,4,0)/'4. Billing Determinants'!$E$41*$D5,IF($E5="kW",VLOOKUP(W$4,'4. Billing Determinants'!$B$19:$R$41,5,0)/'4. Billing Determinants'!$F$41*$D5,IF($E5="Non-RPP kWh",VLOOKUP(W$4,'4. Billing Determinants'!$B$19:$R$41,6,0)/'4. Billing Determinants'!$G$41*$D5,IF($E5="Distribution Rev.",VLOOKUP(W$4,'4. Billing Determinants'!$B$19:$R$41,8,0)/'4. Billing Determinants'!$I$41*$D5, VLOOKUP(W$4,'4. Billing Determinants'!$B$19:$R$41,3,0)/'4. Billing Determinants'!$D$41*$D5))))),0)</f>
        <v>0</v>
      </c>
      <c r="X5" s="40">
        <f>IFERROR(IF(X$4="",0,IF($E5="kWh",VLOOKUP(X$4,'4. Billing Determinants'!$B$19:$R$41,4,0)/'4. Billing Determinants'!$E$41*$D5,IF($E5="kW",VLOOKUP(X$4,'4. Billing Determinants'!$B$19:$R$41,5,0)/'4. Billing Determinants'!$F$41*$D5,IF($E5="Non-RPP kWh",VLOOKUP(X$4,'4. Billing Determinants'!$B$19:$R$41,6,0)/'4. Billing Determinants'!$G$41*$D5,IF($E5="Distribution Rev.",VLOOKUP(X$4,'4. Billing Determinants'!$B$19:$R$41,8,0)/'4. Billing Determinants'!$I$41*$D5, VLOOKUP(X$4,'4. Billing Determinants'!$B$19:$R$41,3,0)/'4. Billing Determinants'!$D$41*$D5))))),0)</f>
        <v>0</v>
      </c>
      <c r="Y5" s="40">
        <f>IFERROR(IF(Y$4="",0,IF($E5="kWh",VLOOKUP(Y$4,'4. Billing Determinants'!$B$19:$R$41,4,0)/'4. Billing Determinants'!$E$41*$D5,IF($E5="kW",VLOOKUP(Y$4,'4. Billing Determinants'!$B$19:$R$41,5,0)/'4. Billing Determinants'!$F$41*$D5,IF($E5="Non-RPP kWh",VLOOKUP(Y$4,'4. Billing Determinants'!$B$19:$R$41,6,0)/'4. Billing Determinants'!$G$41*$D5,IF($E5="Distribution Rev.",VLOOKUP(Y$4,'4. Billing Determinants'!$B$19:$R$41,8,0)/'4. Billing Determinants'!$I$41*$D5, VLOOKUP(Y$4,'4. Billing Determinants'!$B$19:$R$41,3,0)/'4. Billing Determinants'!$D$41*$D5))))),0)</f>
        <v>0</v>
      </c>
    </row>
    <row r="6" spans="1:27" x14ac:dyDescent="0.25">
      <c r="A6" s="122">
        <v>3</v>
      </c>
      <c r="B6" s="41" t="s">
        <v>131</v>
      </c>
      <c r="C6" s="260">
        <v>1551</v>
      </c>
      <c r="D6" s="40">
        <f>'2a. Continuity Schedule '!CD25</f>
        <v>-1561888.1796943366</v>
      </c>
      <c r="E6" s="295" t="s">
        <v>59</v>
      </c>
      <c r="F6" s="109">
        <f>('4. Billing Determinants'!AD21)/(SUM('4. Billing Determinants'!$AD$21:$AD$23))*D6</f>
        <v>-1224471.8620779824</v>
      </c>
      <c r="G6" s="109">
        <f>('4. Billing Determinants'!AD22)/(SUM('4. Billing Determinants'!$AD$21:$AD$23))*D6</f>
        <v>-193042.64813182803</v>
      </c>
      <c r="H6" s="109">
        <f>('4. Billing Determinants'!AD23)/(SUM('4. Billing Determinants'!$AD$21:$AD$23))*D6</f>
        <v>-144373.66948452633</v>
      </c>
      <c r="I6" s="40">
        <v>0</v>
      </c>
      <c r="J6" s="40">
        <v>0</v>
      </c>
      <c r="K6" s="40">
        <v>0</v>
      </c>
      <c r="L6" s="40">
        <v>0</v>
      </c>
      <c r="M6" s="40">
        <v>0</v>
      </c>
      <c r="N6" s="40">
        <v>0</v>
      </c>
      <c r="O6" s="40">
        <v>0</v>
      </c>
      <c r="P6" s="40">
        <v>0</v>
      </c>
      <c r="Q6" s="40">
        <v>0</v>
      </c>
      <c r="R6" s="40">
        <v>0</v>
      </c>
      <c r="S6" s="40">
        <v>0</v>
      </c>
      <c r="T6" s="40">
        <v>0</v>
      </c>
      <c r="U6" s="40">
        <v>0</v>
      </c>
      <c r="V6" s="40">
        <v>0</v>
      </c>
      <c r="W6" s="40">
        <v>0</v>
      </c>
      <c r="X6" s="40">
        <v>0</v>
      </c>
      <c r="Y6" s="40">
        <v>0</v>
      </c>
    </row>
    <row r="7" spans="1:27" x14ac:dyDescent="0.25">
      <c r="A7" s="278">
        <v>4</v>
      </c>
      <c r="B7" s="41" t="s">
        <v>1</v>
      </c>
      <c r="C7" s="260">
        <v>1580</v>
      </c>
      <c r="D7" s="40">
        <f>'2a. Continuity Schedule '!CD26</f>
        <v>-25142861.03999766</v>
      </c>
      <c r="E7" s="61" t="s">
        <v>139</v>
      </c>
      <c r="F7" s="40">
        <f>IFERROR(IF(F$4="",0,IF($E7="kWh",VLOOKUP(F$4,'4. Billing Determinants'!$B$19:$R$41,11,0)/'4. Billing Determinants'!$L$41*$D7,IF($E7="kW",VLOOKUP(F$4,'4. Billing Determinants'!$B$19:$R$41,12,0)/'4. Billing Determinants'!$M$41*$D7,))),0)</f>
        <v>-5363401.6715406496</v>
      </c>
      <c r="G7" s="40">
        <f>IFERROR(IF(G$4="",0,IF($E7="kWh",VLOOKUP(G$4,'4. Billing Determinants'!$B$19:$R$41,11,0)/'4. Billing Determinants'!$L$41*$D7,IF($E7="kW",VLOOKUP(G$4,'4. Billing Determinants'!$B$19:$R$41,12,0)/'4. Billing Determinants'!$M$41*$D7,))),0)</f>
        <v>-377706.02813584701</v>
      </c>
      <c r="H7" s="40">
        <f>IFERROR(IF(H$4="",0,IF($E7="kWh",VLOOKUP(H$4,'4. Billing Determinants'!$B$19:$R$41,11,0)/'4. Billing Determinants'!$L$41*$D7,IF($E7="kW",VLOOKUP(H$4,'4. Billing Determinants'!$B$19:$R$41,12,0)/'4. Billing Determinants'!$M$41*$D7,))),0)</f>
        <v>-2608995.1404534113</v>
      </c>
      <c r="I7" s="40">
        <f>IFERROR(IF(I$4="",0,IF($E7="kWh",VLOOKUP(I$4,'4. Billing Determinants'!$B$19:$R$41,11,0)/'4. Billing Determinants'!$L$41*$D7,IF($E7="kW",VLOOKUP(I$4,'4. Billing Determinants'!$B$19:$R$41,12,0)/'4. Billing Determinants'!$M$41*$D7,))),0)</f>
        <v>-10455788.930334046</v>
      </c>
      <c r="J7" s="40">
        <f>IFERROR(IF(J$4="",0,IF($E7="kWh",VLOOKUP(J$4,'4. Billing Determinants'!$B$19:$R$41,11,0)/'4. Billing Determinants'!$L$41*$D7,IF($E7="kW",VLOOKUP(J$4,'4. Billing Determinants'!$B$19:$R$41,12,0)/'4. Billing Determinants'!$M$41*$D7,))),0)</f>
        <v>-4422801.1385871433</v>
      </c>
      <c r="K7" s="40">
        <f>IFERROR(IF(K$4="",0,IF($E7="kWh",VLOOKUP(K$4,'4. Billing Determinants'!$B$19:$R$41,11,0)/'4. Billing Determinants'!$L$41*$D7,IF($E7="kW",VLOOKUP(K$4,'4. Billing Determinants'!$B$19:$R$41,12,0)/'4. Billing Determinants'!$M$41*$D7,))),0)</f>
        <v>-1737054.8572828299</v>
      </c>
      <c r="L7" s="40">
        <f>IFERROR(IF(L$4="",0,IF($E7="kWh",VLOOKUP(L$4,'4. Billing Determinants'!$B$19:$R$41,11,0)/'4. Billing Determinants'!$L$41*$D7,IF($E7="kW",VLOOKUP(L$4,'4. Billing Determinants'!$B$19:$R$41,12,0)/'4. Billing Determinants'!$M$41*$D7,))),0)</f>
        <v>-130609.14112739345</v>
      </c>
      <c r="M7" s="40">
        <f>IFERROR(IF(M$4="",0,IF($E7="kWh",VLOOKUP(M$4,'4. Billing Determinants'!$B$19:$R$41,11,0)/'4. Billing Determinants'!$L$41*$D7,IF($E7="kW",VLOOKUP(M$4,'4. Billing Determinants'!$B$19:$R$41,12,0)/'4. Billing Determinants'!$M$41*$D7,))),0)</f>
        <v>-46504.132536340338</v>
      </c>
      <c r="N7" s="40">
        <f>IFERROR(IF(N$4="",0,IF($E7="kWh",VLOOKUP(N$4,'4. Billing Determinants'!$B$19:$R$41,11,0)/'4. Billing Determinants'!$L$41*$D7,IF($E7="kW",VLOOKUP(N$4,'4. Billing Determinants'!$B$19:$R$41,12,0)/'4. Billing Determinants'!$M$41*$D7,))),0)</f>
        <v>0</v>
      </c>
      <c r="O7" s="40">
        <f>IFERROR(IF(O$4="",0,IF($E7="kWh",VLOOKUP(O$4,'4. Billing Determinants'!$B$19:$R$41,11,0)/'4. Billing Determinants'!$L$41*$D7,IF($E7="kW",VLOOKUP(O$4,'4. Billing Determinants'!$B$19:$R$41,12,0)/'4. Billing Determinants'!$M$41*$D7,))),0)</f>
        <v>0</v>
      </c>
      <c r="P7" s="40">
        <f>IFERROR(IF(P$4="",0,IF($E7="kWh",VLOOKUP(P$4,'4. Billing Determinants'!$B$19:$R$41,11,0)/'4. Billing Determinants'!$L$41*$D7,IF($E7="kW",VLOOKUP(P$4,'4. Billing Determinants'!$B$19:$R$41,12,0)/'4. Billing Determinants'!$M$41*$D7,))),0)</f>
        <v>0</v>
      </c>
      <c r="Q7" s="40">
        <f>IFERROR(IF(Q$4="",0,IF($E7="kWh",VLOOKUP(Q$4,'4. Billing Determinants'!$B$19:$R$41,11,0)/'4. Billing Determinants'!$L$41*$D7,IF($E7="kW",VLOOKUP(Q$4,'4. Billing Determinants'!$B$19:$R$41,12,0)/'4. Billing Determinants'!$M$41*$D7,))),0)</f>
        <v>0</v>
      </c>
      <c r="R7" s="40">
        <f>IFERROR(IF(R$4="",0,IF($E7="kWh",VLOOKUP(R$4,'4. Billing Determinants'!$B$19:$R$41,11,0)/'4. Billing Determinants'!$L$41*$D7,IF($E7="kW",VLOOKUP(R$4,'4. Billing Determinants'!$B$19:$R$41,12,0)/'4. Billing Determinants'!$M$41*$D7,))),0)</f>
        <v>0</v>
      </c>
      <c r="S7" s="40">
        <f>IFERROR(IF(S$4="",0,IF($E7="kWh",VLOOKUP(S$4,'4. Billing Determinants'!$B$19:$R$41,11,0)/'4. Billing Determinants'!$L$41*$D7,IF($E7="kW",VLOOKUP(S$4,'4. Billing Determinants'!$B$19:$R$41,12,0)/'4. Billing Determinants'!$M$41*$D7,))),0)</f>
        <v>0</v>
      </c>
      <c r="T7" s="40">
        <f>IFERROR(IF(T$4="",0,IF($E7="kWh",VLOOKUP(T$4,'4. Billing Determinants'!$B$19:$R$41,11,0)/'4. Billing Determinants'!$L$41*$D7,IF($E7="kW",VLOOKUP(T$4,'4. Billing Determinants'!$B$19:$R$41,12,0)/'4. Billing Determinants'!$M$41*$D7,))),0)</f>
        <v>0</v>
      </c>
      <c r="U7" s="40">
        <f>IFERROR(IF(U$4="",0,IF($E7="kWh",VLOOKUP(U$4,'4. Billing Determinants'!$B$19:$R$41,11,0)/'4. Billing Determinants'!$L$41*$D7,IF($E7="kW",VLOOKUP(U$4,'4. Billing Determinants'!$B$19:$R$41,12,0)/'4. Billing Determinants'!$M$41*$D7,))),0)</f>
        <v>0</v>
      </c>
      <c r="V7" s="40">
        <f>IFERROR(IF(V$4="",0,IF($E7="kWh",VLOOKUP(V$4,'4. Billing Determinants'!$B$19:$R$41,11,0)/'4. Billing Determinants'!$L$41*$D7,IF($E7="kW",VLOOKUP(V$4,'4. Billing Determinants'!$B$19:$R$41,12,0)/'4. Billing Determinants'!$M$41*$D7,))),0)</f>
        <v>0</v>
      </c>
      <c r="W7" s="40">
        <f>IFERROR(IF(W$4="",0,IF($E7="kWh",VLOOKUP(W$4,'4. Billing Determinants'!$B$19:$R$41,11,0)/'4. Billing Determinants'!$L$41*$D7,IF($E7="kW",VLOOKUP(W$4,'4. Billing Determinants'!$B$19:$R$41,12,0)/'4. Billing Determinants'!$M$41*$D7,))),0)</f>
        <v>0</v>
      </c>
      <c r="X7" s="40">
        <f>IFERROR(IF(X$4="",0,IF($E7="kWh",VLOOKUP(X$4,'4. Billing Determinants'!$B$19:$R$41,11,0)/'4. Billing Determinants'!$L$41*$D7,IF($E7="kW",VLOOKUP(X$4,'4. Billing Determinants'!$B$19:$R$41,12,0)/'4. Billing Determinants'!$M$41*$D7,))),0)</f>
        <v>0</v>
      </c>
      <c r="Y7" s="40">
        <f>IFERROR(IF(Y$4="",0,IF($E7="kWh",VLOOKUP(Y$4,'4. Billing Determinants'!$B$19:$R$41,11,0)/'4. Billing Determinants'!$L$41*$D7,IF($E7="kW",VLOOKUP(Y$4,'4. Billing Determinants'!$B$19:$R$41,12,0)/'4. Billing Determinants'!$M$41*$D7,))),0)</f>
        <v>0</v>
      </c>
    </row>
    <row r="8" spans="1:27" x14ac:dyDescent="0.25">
      <c r="A8" s="122">
        <v>5</v>
      </c>
      <c r="B8" s="41" t="s">
        <v>2</v>
      </c>
      <c r="C8" s="260">
        <v>1584</v>
      </c>
      <c r="D8" s="40">
        <f>'2a. Continuity Schedule '!CD29</f>
        <v>22479227.893208116</v>
      </c>
      <c r="E8" s="61" t="s">
        <v>139</v>
      </c>
      <c r="F8" s="40">
        <f>IFERROR(IF(F$4="",0,IF($E8="kWh",VLOOKUP(F$4,'4. Billing Determinants'!$B$19:$R$41,4,0)/'4. Billing Determinants'!$E$41*$D8,IF($E8="kW",VLOOKUP(F$4,'4. Billing Determinants'!$B$19:$R$41,5,0)/'4. Billing Determinants'!$F$41*$D8,IF($E8="Non-RPP kWh",VLOOKUP(F$4,'4. Billing Determinants'!$B$19:$R$41,6,0)/'4. Billing Determinants'!$G$41*$D8,IF($E8="Distribution Rev.",VLOOKUP(F$4,'4. Billing Determinants'!$B$19:$R$41,8,0)/'4. Billing Determinants'!$I$41*$D8, VLOOKUP(F$4,'4. Billing Determinants'!$B$19:$R$41,3,0)/'4. Billing Determinants'!$D$41*$D8))))),0)</f>
        <v>4738426.8410191899</v>
      </c>
      <c r="G8" s="40">
        <f>IFERROR(IF(G$4="",0,IF($E8="kWh",VLOOKUP(G$4,'4. Billing Determinants'!$B$19:$R$41,4,0)/'4. Billing Determinants'!$E$41*$D8,IF($E8="kW",VLOOKUP(G$4,'4. Billing Determinants'!$B$19:$R$41,5,0)/'4. Billing Determinants'!$F$41*$D8,IF($E8="Non-RPP kWh",VLOOKUP(G$4,'4. Billing Determinants'!$B$19:$R$41,6,0)/'4. Billing Determinants'!$G$41*$D8,IF($E8="Distribution Rev.",VLOOKUP(G$4,'4. Billing Determinants'!$B$19:$R$41,8,0)/'4. Billing Determinants'!$I$41*$D8, VLOOKUP(G$4,'4. Billing Determinants'!$B$19:$R$41,3,0)/'4. Billing Determinants'!$D$41*$D8))))),0)</f>
        <v>333693.51977315958</v>
      </c>
      <c r="H8" s="40">
        <f>IFERROR(IF(H$4="",0,IF($E8="kWh",VLOOKUP(H$4,'4. Billing Determinants'!$B$19:$R$41,4,0)/'4. Billing Determinants'!$E$41*$D8,IF($E8="kW",VLOOKUP(H$4,'4. Billing Determinants'!$B$19:$R$41,5,0)/'4. Billing Determinants'!$F$41*$D8,IF($E8="Non-RPP kWh",VLOOKUP(H$4,'4. Billing Determinants'!$B$19:$R$41,6,0)/'4. Billing Determinants'!$G$41*$D8,IF($E8="Distribution Rev.",VLOOKUP(H$4,'4. Billing Determinants'!$B$19:$R$41,8,0)/'4. Billing Determinants'!$I$41*$D8, VLOOKUP(H$4,'4. Billing Determinants'!$B$19:$R$41,3,0)/'4. Billing Determinants'!$D$41*$D8))))),0)</f>
        <v>2304979.8166733077</v>
      </c>
      <c r="I8" s="40">
        <f>IFERROR(IF(I$4="",0,IF($E8="kWh",VLOOKUP(I$4,'4. Billing Determinants'!$B$19:$R$41,4,0)/'4. Billing Determinants'!$E$41*$D8,IF($E8="kW",VLOOKUP(I$4,'4. Billing Determinants'!$B$19:$R$41,5,0)/'4. Billing Determinants'!$F$41*$D8,IF($E8="Non-RPP kWh",VLOOKUP(I$4,'4. Billing Determinants'!$B$19:$R$41,6,0)/'4. Billing Determinants'!$G$41*$D8,IF($E8="Distribution Rev.",VLOOKUP(I$4,'4. Billing Determinants'!$B$19:$R$41,8,0)/'4. Billing Determinants'!$I$41*$D8, VLOOKUP(I$4,'4. Billing Determinants'!$B$19:$R$41,3,0)/'4. Billing Determinants'!$D$41*$D8))))),0)</f>
        <v>9285551.0707304291</v>
      </c>
      <c r="J8" s="40">
        <f>IFERROR(IF(J$4="",0,IF($E8="kWh",VLOOKUP(J$4,'4. Billing Determinants'!$B$19:$R$41,4,0)/'4. Billing Determinants'!$E$41*$D8,IF($E8="kW",VLOOKUP(J$4,'4. Billing Determinants'!$B$19:$R$41,5,0)/'4. Billing Determinants'!$F$41*$D8,IF($E8="Non-RPP kWh",VLOOKUP(J$4,'4. Billing Determinants'!$B$19:$R$41,6,0)/'4. Billing Determinants'!$G$41*$D8,IF($E8="Distribution Rev.",VLOOKUP(J$4,'4. Billing Determinants'!$B$19:$R$41,8,0)/'4. Billing Determinants'!$I$41*$D8, VLOOKUP(J$4,'4. Billing Determinants'!$B$19:$R$41,3,0)/'4. Billing Determinants'!$D$41*$D8))))),0)</f>
        <v>3907455.0022819731</v>
      </c>
      <c r="K8" s="40">
        <f>IFERROR(IF(K$4="",0,IF($E8="kWh",VLOOKUP(K$4,'4. Billing Determinants'!$B$19:$R$41,4,0)/'4. Billing Determinants'!$E$41*$D8,IF($E8="kW",VLOOKUP(K$4,'4. Billing Determinants'!$B$19:$R$41,5,0)/'4. Billing Determinants'!$F$41*$D8,IF($E8="Non-RPP kWh",VLOOKUP(K$4,'4. Billing Determinants'!$B$19:$R$41,6,0)/'4. Billing Determinants'!$G$41*$D8,IF($E8="Distribution Rev.",VLOOKUP(K$4,'4. Billing Determinants'!$B$19:$R$41,8,0)/'4. Billing Determinants'!$I$41*$D8, VLOOKUP(K$4,'4. Billing Determinants'!$B$19:$R$41,3,0)/'4. Billing Determinants'!$D$41*$D8))))),0)</f>
        <v>1752646.64025501</v>
      </c>
      <c r="L8" s="40">
        <f>IFERROR(IF(L$4="",0,IF($E8="kWh",VLOOKUP(L$4,'4. Billing Determinants'!$B$19:$R$41,4,0)/'4. Billing Determinants'!$E$41*$D8,IF($E8="kW",VLOOKUP(L$4,'4. Billing Determinants'!$B$19:$R$41,5,0)/'4. Billing Determinants'!$F$41*$D8,IF($E8="Non-RPP kWh",VLOOKUP(L$4,'4. Billing Determinants'!$B$19:$R$41,6,0)/'4. Billing Determinants'!$G$41*$D8,IF($E8="Distribution Rev.",VLOOKUP(L$4,'4. Billing Determinants'!$B$19:$R$41,8,0)/'4. Billing Determinants'!$I$41*$D8, VLOOKUP(L$4,'4. Billing Determinants'!$B$19:$R$41,3,0)/'4. Billing Determinants'!$D$41*$D8))))),0)</f>
        <v>115389.80257332273</v>
      </c>
      <c r="M8" s="40">
        <f>IFERROR(IF(M$4="",0,IF($E8="kWh",VLOOKUP(M$4,'4. Billing Determinants'!$B$19:$R$41,4,0)/'4. Billing Determinants'!$E$41*$D8,IF($E8="kW",VLOOKUP(M$4,'4. Billing Determinants'!$B$19:$R$41,5,0)/'4. Billing Determinants'!$F$41*$D8,IF($E8="Non-RPP kWh",VLOOKUP(M$4,'4. Billing Determinants'!$B$19:$R$41,6,0)/'4. Billing Determinants'!$G$41*$D8,IF($E8="Distribution Rev.",VLOOKUP(M$4,'4. Billing Determinants'!$B$19:$R$41,8,0)/'4. Billing Determinants'!$I$41*$D8, VLOOKUP(M$4,'4. Billing Determinants'!$B$19:$R$41,3,0)/'4. Billing Determinants'!$D$41*$D8))))),0)</f>
        <v>41085.199901727858</v>
      </c>
      <c r="N8" s="40">
        <f>IFERROR(IF(N$4="",0,IF($E8="kWh",VLOOKUP(N$4,'4. Billing Determinants'!$B$19:$R$41,4,0)/'4. Billing Determinants'!$E$41*$D8,IF($E8="kW",VLOOKUP(N$4,'4. Billing Determinants'!$B$19:$R$41,5,0)/'4. Billing Determinants'!$F$41*$D8,IF($E8="Non-RPP kWh",VLOOKUP(N$4,'4. Billing Determinants'!$B$19:$R$41,6,0)/'4. Billing Determinants'!$G$41*$D8,IF($E8="Distribution Rev.",VLOOKUP(N$4,'4. Billing Determinants'!$B$19:$R$41,8,0)/'4. Billing Determinants'!$I$41*$D8, VLOOKUP(N$4,'4. Billing Determinants'!$B$19:$R$41,3,0)/'4. Billing Determinants'!$D$41*$D8))))),0)</f>
        <v>0</v>
      </c>
      <c r="O8" s="40">
        <f>IFERROR(IF(O$4="",0,IF($E8="kWh",VLOOKUP(O$4,'4. Billing Determinants'!$B$19:$R$41,4,0)/'4. Billing Determinants'!$E$41*$D8,IF($E8="kW",VLOOKUP(O$4,'4. Billing Determinants'!$B$19:$R$41,5,0)/'4. Billing Determinants'!$F$41*$D8,IF($E8="Non-RPP kWh",VLOOKUP(O$4,'4. Billing Determinants'!$B$19:$R$41,6,0)/'4. Billing Determinants'!$G$41*$D8,IF($E8="Distribution Rev.",VLOOKUP(O$4,'4. Billing Determinants'!$B$19:$R$41,8,0)/'4. Billing Determinants'!$I$41*$D8, VLOOKUP(O$4,'4. Billing Determinants'!$B$19:$R$41,3,0)/'4. Billing Determinants'!$D$41*$D8))))),0)</f>
        <v>0</v>
      </c>
      <c r="P8" s="40">
        <f>IFERROR(IF(P$4="",0,IF($E8="kWh",VLOOKUP(P$4,'4. Billing Determinants'!$B$19:$R$41,4,0)/'4. Billing Determinants'!$E$41*$D8,IF($E8="kW",VLOOKUP(P$4,'4. Billing Determinants'!$B$19:$R$41,5,0)/'4. Billing Determinants'!$F$41*$D8,IF($E8="Non-RPP kWh",VLOOKUP(P$4,'4. Billing Determinants'!$B$19:$R$41,6,0)/'4. Billing Determinants'!$G$41*$D8,IF($E8="Distribution Rev.",VLOOKUP(P$4,'4. Billing Determinants'!$B$19:$R$41,8,0)/'4. Billing Determinants'!$I$41*$D8, VLOOKUP(P$4,'4. Billing Determinants'!$B$19:$R$41,3,0)/'4. Billing Determinants'!$D$41*$D8))))),0)</f>
        <v>0</v>
      </c>
      <c r="Q8" s="40">
        <f>IFERROR(IF(Q$4="",0,IF($E8="kWh",VLOOKUP(Q$4,'4. Billing Determinants'!$B$19:$R$41,4,0)/'4. Billing Determinants'!$E$41*$D8,IF($E8="kW",VLOOKUP(Q$4,'4. Billing Determinants'!$B$19:$R$41,5,0)/'4. Billing Determinants'!$F$41*$D8,IF($E8="Non-RPP kWh",VLOOKUP(Q$4,'4. Billing Determinants'!$B$19:$R$41,6,0)/'4. Billing Determinants'!$G$41*$D8,IF($E8="Distribution Rev.",VLOOKUP(Q$4,'4. Billing Determinants'!$B$19:$R$41,8,0)/'4. Billing Determinants'!$I$41*$D8, VLOOKUP(Q$4,'4. Billing Determinants'!$B$19:$R$41,3,0)/'4. Billing Determinants'!$D$41*$D8))))),0)</f>
        <v>0</v>
      </c>
      <c r="R8" s="40">
        <f>IFERROR(IF(R$4="",0,IF($E8="kWh",VLOOKUP(R$4,'4. Billing Determinants'!$B$19:$R$41,4,0)/'4. Billing Determinants'!$E$41*$D8,IF($E8="kW",VLOOKUP(R$4,'4. Billing Determinants'!$B$19:$R$41,5,0)/'4. Billing Determinants'!$F$41*$D8,IF($E8="Non-RPP kWh",VLOOKUP(R$4,'4. Billing Determinants'!$B$19:$R$41,6,0)/'4. Billing Determinants'!$G$41*$D8,IF($E8="Distribution Rev.",VLOOKUP(R$4,'4. Billing Determinants'!$B$19:$R$41,8,0)/'4. Billing Determinants'!$I$41*$D8, VLOOKUP(R$4,'4. Billing Determinants'!$B$19:$R$41,3,0)/'4. Billing Determinants'!$D$41*$D8))))),0)</f>
        <v>0</v>
      </c>
      <c r="S8" s="40">
        <f>IFERROR(IF(S$4="",0,IF($E8="kWh",VLOOKUP(S$4,'4. Billing Determinants'!$B$19:$R$41,4,0)/'4. Billing Determinants'!$E$41*$D8,IF($E8="kW",VLOOKUP(S$4,'4. Billing Determinants'!$B$19:$R$41,5,0)/'4. Billing Determinants'!$F$41*$D8,IF($E8="Non-RPP kWh",VLOOKUP(S$4,'4. Billing Determinants'!$B$19:$R$41,6,0)/'4. Billing Determinants'!$G$41*$D8,IF($E8="Distribution Rev.",VLOOKUP(S$4,'4. Billing Determinants'!$B$19:$R$41,8,0)/'4. Billing Determinants'!$I$41*$D8, VLOOKUP(S$4,'4. Billing Determinants'!$B$19:$R$41,3,0)/'4. Billing Determinants'!$D$41*$D8))))),0)</f>
        <v>0</v>
      </c>
      <c r="T8" s="40">
        <f>IFERROR(IF(T$4="",0,IF($E8="kWh",VLOOKUP(T$4,'4. Billing Determinants'!$B$19:$R$41,4,0)/'4. Billing Determinants'!$E$41*$D8,IF($E8="kW",VLOOKUP(T$4,'4. Billing Determinants'!$B$19:$R$41,5,0)/'4. Billing Determinants'!$F$41*$D8,IF($E8="Non-RPP kWh",VLOOKUP(T$4,'4. Billing Determinants'!$B$19:$R$41,6,0)/'4. Billing Determinants'!$G$41*$D8,IF($E8="Distribution Rev.",VLOOKUP(T$4,'4. Billing Determinants'!$B$19:$R$41,8,0)/'4. Billing Determinants'!$I$41*$D8, VLOOKUP(T$4,'4. Billing Determinants'!$B$19:$R$41,3,0)/'4. Billing Determinants'!$D$41*$D8))))),0)</f>
        <v>0</v>
      </c>
      <c r="U8" s="40">
        <f>IFERROR(IF(U$4="",0,IF($E8="kWh",VLOOKUP(U$4,'4. Billing Determinants'!$B$19:$R$41,4,0)/'4. Billing Determinants'!$E$41*$D8,IF($E8="kW",VLOOKUP(U$4,'4. Billing Determinants'!$B$19:$R$41,5,0)/'4. Billing Determinants'!$F$41*$D8,IF($E8="Non-RPP kWh",VLOOKUP(U$4,'4. Billing Determinants'!$B$19:$R$41,6,0)/'4. Billing Determinants'!$G$41*$D8,IF($E8="Distribution Rev.",VLOOKUP(U$4,'4. Billing Determinants'!$B$19:$R$41,8,0)/'4. Billing Determinants'!$I$41*$D8, VLOOKUP(U$4,'4. Billing Determinants'!$B$19:$R$41,3,0)/'4. Billing Determinants'!$D$41*$D8))))),0)</f>
        <v>0</v>
      </c>
      <c r="V8" s="40">
        <f>IFERROR(IF(V$4="",0,IF($E8="kWh",VLOOKUP(V$4,'4. Billing Determinants'!$B$19:$R$41,4,0)/'4. Billing Determinants'!$E$41*$D8,IF($E8="kW",VLOOKUP(V$4,'4. Billing Determinants'!$B$19:$R$41,5,0)/'4. Billing Determinants'!$F$41*$D8,IF($E8="Non-RPP kWh",VLOOKUP(V$4,'4. Billing Determinants'!$B$19:$R$41,6,0)/'4. Billing Determinants'!$G$41*$D8,IF($E8="Distribution Rev.",VLOOKUP(V$4,'4. Billing Determinants'!$B$19:$R$41,8,0)/'4. Billing Determinants'!$I$41*$D8, VLOOKUP(V$4,'4. Billing Determinants'!$B$19:$R$41,3,0)/'4. Billing Determinants'!$D$41*$D8))))),0)</f>
        <v>0</v>
      </c>
      <c r="W8" s="40">
        <f>IFERROR(IF(W$4="",0,IF($E8="kWh",VLOOKUP(W$4,'4. Billing Determinants'!$B$19:$R$41,4,0)/'4. Billing Determinants'!$E$41*$D8,IF($E8="kW",VLOOKUP(W$4,'4. Billing Determinants'!$B$19:$R$41,5,0)/'4. Billing Determinants'!$F$41*$D8,IF($E8="Non-RPP kWh",VLOOKUP(W$4,'4. Billing Determinants'!$B$19:$R$41,6,0)/'4. Billing Determinants'!$G$41*$D8,IF($E8="Distribution Rev.",VLOOKUP(W$4,'4. Billing Determinants'!$B$19:$R$41,8,0)/'4. Billing Determinants'!$I$41*$D8, VLOOKUP(W$4,'4. Billing Determinants'!$B$19:$R$41,3,0)/'4. Billing Determinants'!$D$41*$D8))))),0)</f>
        <v>0</v>
      </c>
      <c r="X8" s="40">
        <f>IFERROR(IF(X$4="",0,IF($E8="kWh",VLOOKUP(X$4,'4. Billing Determinants'!$B$19:$R$41,4,0)/'4. Billing Determinants'!$E$41*$D8,IF($E8="kW",VLOOKUP(X$4,'4. Billing Determinants'!$B$19:$R$41,5,0)/'4. Billing Determinants'!$F$41*$D8,IF($E8="Non-RPP kWh",VLOOKUP(X$4,'4. Billing Determinants'!$B$19:$R$41,6,0)/'4. Billing Determinants'!$G$41*$D8,IF($E8="Distribution Rev.",VLOOKUP(X$4,'4. Billing Determinants'!$B$19:$R$41,8,0)/'4. Billing Determinants'!$I$41*$D8, VLOOKUP(X$4,'4. Billing Determinants'!$B$19:$R$41,3,0)/'4. Billing Determinants'!$D$41*$D8))))),0)</f>
        <v>0</v>
      </c>
      <c r="Y8" s="40">
        <f>IFERROR(IF(Y$4="",0,IF($E8="kWh",VLOOKUP(Y$4,'4. Billing Determinants'!$B$19:$R$41,4,0)/'4. Billing Determinants'!$E$41*$D8,IF($E8="kW",VLOOKUP(Y$4,'4. Billing Determinants'!$B$19:$R$41,5,0)/'4. Billing Determinants'!$F$41*$D8,IF($E8="Non-RPP kWh",VLOOKUP(Y$4,'4. Billing Determinants'!$B$19:$R$41,6,0)/'4. Billing Determinants'!$G$41*$D8,IF($E8="Distribution Rev.",VLOOKUP(Y$4,'4. Billing Determinants'!$B$19:$R$41,8,0)/'4. Billing Determinants'!$I$41*$D8, VLOOKUP(Y$4,'4. Billing Determinants'!$B$19:$R$41,3,0)/'4. Billing Determinants'!$D$41*$D8))))),0)</f>
        <v>0</v>
      </c>
    </row>
    <row r="9" spans="1:27" x14ac:dyDescent="0.25">
      <c r="A9" s="122">
        <v>6</v>
      </c>
      <c r="B9" s="41" t="s">
        <v>3</v>
      </c>
      <c r="C9" s="260">
        <v>1586</v>
      </c>
      <c r="D9" s="40">
        <f>'2a. Continuity Schedule '!CD30</f>
        <v>22436950.969042521</v>
      </c>
      <c r="E9" s="61" t="s">
        <v>139</v>
      </c>
      <c r="F9" s="40">
        <f>IFERROR(IF(F$4="",0,IF($E9="kWh",VLOOKUP(F$4,'4. Billing Determinants'!$B$19:$R$41,4,0)/'4. Billing Determinants'!$E$41*$D9,IF($E9="kW",VLOOKUP(F$4,'4. Billing Determinants'!$B$19:$R$41,5,0)/'4. Billing Determinants'!$F$41*$D9,IF($E9="Non-RPP kWh",VLOOKUP(F$4,'4. Billing Determinants'!$B$19:$R$41,6,0)/'4. Billing Determinants'!$G$41*$D9,IF($E9="Distribution Rev.",VLOOKUP(F$4,'4. Billing Determinants'!$B$19:$R$41,8,0)/'4. Billing Determinants'!$I$41*$D9, VLOOKUP(F$4,'4. Billing Determinants'!$B$19:$R$41,3,0)/'4. Billing Determinants'!$D$41*$D9))))),0)</f>
        <v>4729515.2310131136</v>
      </c>
      <c r="G9" s="40">
        <f>IFERROR(IF(G$4="",0,IF($E9="kWh",VLOOKUP(G$4,'4. Billing Determinants'!$B$19:$R$41,4,0)/'4. Billing Determinants'!$E$41*$D9,IF($E9="kW",VLOOKUP(G$4,'4. Billing Determinants'!$B$19:$R$41,5,0)/'4. Billing Determinants'!$F$41*$D9,IF($E9="Non-RPP kWh",VLOOKUP(G$4,'4. Billing Determinants'!$B$19:$R$41,6,0)/'4. Billing Determinants'!$G$41*$D9,IF($E9="Distribution Rev.",VLOOKUP(G$4,'4. Billing Determinants'!$B$19:$R$41,8,0)/'4. Billing Determinants'!$I$41*$D9, VLOOKUP(G$4,'4. Billing Determinants'!$B$19:$R$41,3,0)/'4. Billing Determinants'!$D$41*$D9))))),0)</f>
        <v>333065.93880387448</v>
      </c>
      <c r="H9" s="40">
        <f>IFERROR(IF(H$4="",0,IF($E9="kWh",VLOOKUP(H$4,'4. Billing Determinants'!$B$19:$R$41,4,0)/'4. Billing Determinants'!$E$41*$D9,IF($E9="kW",VLOOKUP(H$4,'4. Billing Determinants'!$B$19:$R$41,5,0)/'4. Billing Determinants'!$F$41*$D9,IF($E9="Non-RPP kWh",VLOOKUP(H$4,'4. Billing Determinants'!$B$19:$R$41,6,0)/'4. Billing Determinants'!$G$41*$D9,IF($E9="Distribution Rev.",VLOOKUP(H$4,'4. Billing Determinants'!$B$19:$R$41,8,0)/'4. Billing Determinants'!$I$41*$D9, VLOOKUP(H$4,'4. Billing Determinants'!$B$19:$R$41,3,0)/'4. Billing Determinants'!$D$41*$D9))))),0)</f>
        <v>2300644.8164955582</v>
      </c>
      <c r="I9" s="40">
        <f>IFERROR(IF(I$4="",0,IF($E9="kWh",VLOOKUP(I$4,'4. Billing Determinants'!$B$19:$R$41,4,0)/'4. Billing Determinants'!$E$41*$D9,IF($E9="kW",VLOOKUP(I$4,'4. Billing Determinants'!$B$19:$R$41,5,0)/'4. Billing Determinants'!$F$41*$D9,IF($E9="Non-RPP kWh",VLOOKUP(I$4,'4. Billing Determinants'!$B$19:$R$41,6,0)/'4. Billing Determinants'!$G$41*$D9,IF($E9="Distribution Rev.",VLOOKUP(I$4,'4. Billing Determinants'!$B$19:$R$41,8,0)/'4. Billing Determinants'!$I$41*$D9, VLOOKUP(I$4,'4. Billing Determinants'!$B$19:$R$41,3,0)/'4. Billing Determinants'!$D$41*$D9))))),0)</f>
        <v>9268087.6355840806</v>
      </c>
      <c r="J9" s="40">
        <f>IFERROR(IF(J$4="",0,IF($E9="kWh",VLOOKUP(J$4,'4. Billing Determinants'!$B$19:$R$41,4,0)/'4. Billing Determinants'!$E$41*$D9,IF($E9="kW",VLOOKUP(J$4,'4. Billing Determinants'!$B$19:$R$41,5,0)/'4. Billing Determinants'!$F$41*$D9,IF($E9="Non-RPP kWh",VLOOKUP(J$4,'4. Billing Determinants'!$B$19:$R$41,6,0)/'4. Billing Determinants'!$G$41*$D9,IF($E9="Distribution Rev.",VLOOKUP(J$4,'4. Billing Determinants'!$B$19:$R$41,8,0)/'4. Billing Determinants'!$I$41*$D9, VLOOKUP(J$4,'4. Billing Determinants'!$B$19:$R$41,3,0)/'4. Billing Determinants'!$D$41*$D9))))),0)</f>
        <v>3900106.2098947638</v>
      </c>
      <c r="K9" s="40">
        <f>IFERROR(IF(K$4="",0,IF($E9="kWh",VLOOKUP(K$4,'4. Billing Determinants'!$B$19:$R$41,4,0)/'4. Billing Determinants'!$E$41*$D9,IF($E9="kW",VLOOKUP(K$4,'4. Billing Determinants'!$B$19:$R$41,5,0)/'4. Billing Determinants'!$F$41*$D9,IF($E9="Non-RPP kWh",VLOOKUP(K$4,'4. Billing Determinants'!$B$19:$R$41,6,0)/'4. Billing Determinants'!$G$41*$D9,IF($E9="Distribution Rev.",VLOOKUP(K$4,'4. Billing Determinants'!$B$19:$R$41,8,0)/'4. Billing Determinants'!$I$41*$D9, VLOOKUP(K$4,'4. Billing Determinants'!$B$19:$R$41,3,0)/'4. Billing Determinants'!$D$41*$D9))))),0)</f>
        <v>1749350.4189857051</v>
      </c>
      <c r="L9" s="40">
        <f>IFERROR(IF(L$4="",0,IF($E9="kWh",VLOOKUP(L$4,'4. Billing Determinants'!$B$19:$R$41,4,0)/'4. Billing Determinants'!$E$41*$D9,IF($E9="kW",VLOOKUP(L$4,'4. Billing Determinants'!$B$19:$R$41,5,0)/'4. Billing Determinants'!$F$41*$D9,IF($E9="Non-RPP kWh",VLOOKUP(L$4,'4. Billing Determinants'!$B$19:$R$41,6,0)/'4. Billing Determinants'!$G$41*$D9,IF($E9="Distribution Rev.",VLOOKUP(L$4,'4. Billing Determinants'!$B$19:$R$41,8,0)/'4. Billing Determinants'!$I$41*$D9, VLOOKUP(L$4,'4. Billing Determinants'!$B$19:$R$41,3,0)/'4. Billing Determinants'!$D$41*$D9))))),0)</f>
        <v>115172.78773829143</v>
      </c>
      <c r="M9" s="40">
        <f>IFERROR(IF(M$4="",0,IF($E9="kWh",VLOOKUP(M$4,'4. Billing Determinants'!$B$19:$R$41,4,0)/'4. Billing Determinants'!$E$41*$D9,IF($E9="kW",VLOOKUP(M$4,'4. Billing Determinants'!$B$19:$R$41,5,0)/'4. Billing Determinants'!$F$41*$D9,IF($E9="Non-RPP kWh",VLOOKUP(M$4,'4. Billing Determinants'!$B$19:$R$41,6,0)/'4. Billing Determinants'!$G$41*$D9,IF($E9="Distribution Rev.",VLOOKUP(M$4,'4. Billing Determinants'!$B$19:$R$41,8,0)/'4. Billing Determinants'!$I$41*$D9, VLOOKUP(M$4,'4. Billing Determinants'!$B$19:$R$41,3,0)/'4. Billing Determinants'!$D$41*$D9))))),0)</f>
        <v>41007.930527137883</v>
      </c>
      <c r="N9" s="40">
        <f>IFERROR(IF(N$4="",0,IF($E9="kWh",VLOOKUP(N$4,'4. Billing Determinants'!$B$19:$R$41,4,0)/'4. Billing Determinants'!$E$41*$D9,IF($E9="kW",VLOOKUP(N$4,'4. Billing Determinants'!$B$19:$R$41,5,0)/'4. Billing Determinants'!$F$41*$D9,IF($E9="Non-RPP kWh",VLOOKUP(N$4,'4. Billing Determinants'!$B$19:$R$41,6,0)/'4. Billing Determinants'!$G$41*$D9,IF($E9="Distribution Rev.",VLOOKUP(N$4,'4. Billing Determinants'!$B$19:$R$41,8,0)/'4. Billing Determinants'!$I$41*$D9, VLOOKUP(N$4,'4. Billing Determinants'!$B$19:$R$41,3,0)/'4. Billing Determinants'!$D$41*$D9))))),0)</f>
        <v>0</v>
      </c>
      <c r="O9" s="40">
        <f>IFERROR(IF(O$4="",0,IF($E9="kWh",VLOOKUP(O$4,'4. Billing Determinants'!$B$19:$R$41,4,0)/'4. Billing Determinants'!$E$41*$D9,IF($E9="kW",VLOOKUP(O$4,'4. Billing Determinants'!$B$19:$R$41,5,0)/'4. Billing Determinants'!$F$41*$D9,IF($E9="Non-RPP kWh",VLOOKUP(O$4,'4. Billing Determinants'!$B$19:$R$41,6,0)/'4. Billing Determinants'!$G$41*$D9,IF($E9="Distribution Rev.",VLOOKUP(O$4,'4. Billing Determinants'!$B$19:$R$41,8,0)/'4. Billing Determinants'!$I$41*$D9, VLOOKUP(O$4,'4. Billing Determinants'!$B$19:$R$41,3,0)/'4. Billing Determinants'!$D$41*$D9))))),0)</f>
        <v>0</v>
      </c>
      <c r="P9" s="40">
        <f>IFERROR(IF(P$4="",0,IF($E9="kWh",VLOOKUP(P$4,'4. Billing Determinants'!$B$19:$R$41,4,0)/'4. Billing Determinants'!$E$41*$D9,IF($E9="kW",VLOOKUP(P$4,'4. Billing Determinants'!$B$19:$R$41,5,0)/'4. Billing Determinants'!$F$41*$D9,IF($E9="Non-RPP kWh",VLOOKUP(P$4,'4. Billing Determinants'!$B$19:$R$41,6,0)/'4. Billing Determinants'!$G$41*$D9,IF($E9="Distribution Rev.",VLOOKUP(P$4,'4. Billing Determinants'!$B$19:$R$41,8,0)/'4. Billing Determinants'!$I$41*$D9, VLOOKUP(P$4,'4. Billing Determinants'!$B$19:$R$41,3,0)/'4. Billing Determinants'!$D$41*$D9))))),0)</f>
        <v>0</v>
      </c>
      <c r="Q9" s="40">
        <f>IFERROR(IF(Q$4="",0,IF($E9="kWh",VLOOKUP(Q$4,'4. Billing Determinants'!$B$19:$R$41,4,0)/'4. Billing Determinants'!$E$41*$D9,IF($E9="kW",VLOOKUP(Q$4,'4. Billing Determinants'!$B$19:$R$41,5,0)/'4. Billing Determinants'!$F$41*$D9,IF($E9="Non-RPP kWh",VLOOKUP(Q$4,'4. Billing Determinants'!$B$19:$R$41,6,0)/'4. Billing Determinants'!$G$41*$D9,IF($E9="Distribution Rev.",VLOOKUP(Q$4,'4. Billing Determinants'!$B$19:$R$41,8,0)/'4. Billing Determinants'!$I$41*$D9, VLOOKUP(Q$4,'4. Billing Determinants'!$B$19:$R$41,3,0)/'4. Billing Determinants'!$D$41*$D9))))),0)</f>
        <v>0</v>
      </c>
      <c r="R9" s="40">
        <f>IFERROR(IF(R$4="",0,IF($E9="kWh",VLOOKUP(R$4,'4. Billing Determinants'!$B$19:$R$41,4,0)/'4. Billing Determinants'!$E$41*$D9,IF($E9="kW",VLOOKUP(R$4,'4. Billing Determinants'!$B$19:$R$41,5,0)/'4. Billing Determinants'!$F$41*$D9,IF($E9="Non-RPP kWh",VLOOKUP(R$4,'4. Billing Determinants'!$B$19:$R$41,6,0)/'4. Billing Determinants'!$G$41*$D9,IF($E9="Distribution Rev.",VLOOKUP(R$4,'4. Billing Determinants'!$B$19:$R$41,8,0)/'4. Billing Determinants'!$I$41*$D9, VLOOKUP(R$4,'4. Billing Determinants'!$B$19:$R$41,3,0)/'4. Billing Determinants'!$D$41*$D9))))),0)</f>
        <v>0</v>
      </c>
      <c r="S9" s="40">
        <f>IFERROR(IF(S$4="",0,IF($E9="kWh",VLOOKUP(S$4,'4. Billing Determinants'!$B$19:$R$41,4,0)/'4. Billing Determinants'!$E$41*$D9,IF($E9="kW",VLOOKUP(S$4,'4. Billing Determinants'!$B$19:$R$41,5,0)/'4. Billing Determinants'!$F$41*$D9,IF($E9="Non-RPP kWh",VLOOKUP(S$4,'4. Billing Determinants'!$B$19:$R$41,6,0)/'4. Billing Determinants'!$G$41*$D9,IF($E9="Distribution Rev.",VLOOKUP(S$4,'4. Billing Determinants'!$B$19:$R$41,8,0)/'4. Billing Determinants'!$I$41*$D9, VLOOKUP(S$4,'4. Billing Determinants'!$B$19:$R$41,3,0)/'4. Billing Determinants'!$D$41*$D9))))),0)</f>
        <v>0</v>
      </c>
      <c r="T9" s="40">
        <f>IFERROR(IF(T$4="",0,IF($E9="kWh",VLOOKUP(T$4,'4. Billing Determinants'!$B$19:$R$41,4,0)/'4. Billing Determinants'!$E$41*$D9,IF($E9="kW",VLOOKUP(T$4,'4. Billing Determinants'!$B$19:$R$41,5,0)/'4. Billing Determinants'!$F$41*$D9,IF($E9="Non-RPP kWh",VLOOKUP(T$4,'4. Billing Determinants'!$B$19:$R$41,6,0)/'4. Billing Determinants'!$G$41*$D9,IF($E9="Distribution Rev.",VLOOKUP(T$4,'4. Billing Determinants'!$B$19:$R$41,8,0)/'4. Billing Determinants'!$I$41*$D9, VLOOKUP(T$4,'4. Billing Determinants'!$B$19:$R$41,3,0)/'4. Billing Determinants'!$D$41*$D9))))),0)</f>
        <v>0</v>
      </c>
      <c r="U9" s="40">
        <f>IFERROR(IF(U$4="",0,IF($E9="kWh",VLOOKUP(U$4,'4. Billing Determinants'!$B$19:$R$41,4,0)/'4. Billing Determinants'!$E$41*$D9,IF($E9="kW",VLOOKUP(U$4,'4. Billing Determinants'!$B$19:$R$41,5,0)/'4. Billing Determinants'!$F$41*$D9,IF($E9="Non-RPP kWh",VLOOKUP(U$4,'4. Billing Determinants'!$B$19:$R$41,6,0)/'4. Billing Determinants'!$G$41*$D9,IF($E9="Distribution Rev.",VLOOKUP(U$4,'4. Billing Determinants'!$B$19:$R$41,8,0)/'4. Billing Determinants'!$I$41*$D9, VLOOKUP(U$4,'4. Billing Determinants'!$B$19:$R$41,3,0)/'4. Billing Determinants'!$D$41*$D9))))),0)</f>
        <v>0</v>
      </c>
      <c r="V9" s="40">
        <f>IFERROR(IF(V$4="",0,IF($E9="kWh",VLOOKUP(V$4,'4. Billing Determinants'!$B$19:$R$41,4,0)/'4. Billing Determinants'!$E$41*$D9,IF($E9="kW",VLOOKUP(V$4,'4. Billing Determinants'!$B$19:$R$41,5,0)/'4. Billing Determinants'!$F$41*$D9,IF($E9="Non-RPP kWh",VLOOKUP(V$4,'4. Billing Determinants'!$B$19:$R$41,6,0)/'4. Billing Determinants'!$G$41*$D9,IF($E9="Distribution Rev.",VLOOKUP(V$4,'4. Billing Determinants'!$B$19:$R$41,8,0)/'4. Billing Determinants'!$I$41*$D9, VLOOKUP(V$4,'4. Billing Determinants'!$B$19:$R$41,3,0)/'4. Billing Determinants'!$D$41*$D9))))),0)</f>
        <v>0</v>
      </c>
      <c r="W9" s="40">
        <f>IFERROR(IF(W$4="",0,IF($E9="kWh",VLOOKUP(W$4,'4. Billing Determinants'!$B$19:$R$41,4,0)/'4. Billing Determinants'!$E$41*$D9,IF($E9="kW",VLOOKUP(W$4,'4. Billing Determinants'!$B$19:$R$41,5,0)/'4. Billing Determinants'!$F$41*$D9,IF($E9="Non-RPP kWh",VLOOKUP(W$4,'4. Billing Determinants'!$B$19:$R$41,6,0)/'4. Billing Determinants'!$G$41*$D9,IF($E9="Distribution Rev.",VLOOKUP(W$4,'4. Billing Determinants'!$B$19:$R$41,8,0)/'4. Billing Determinants'!$I$41*$D9, VLOOKUP(W$4,'4. Billing Determinants'!$B$19:$R$41,3,0)/'4. Billing Determinants'!$D$41*$D9))))),0)</f>
        <v>0</v>
      </c>
      <c r="X9" s="40">
        <f>IFERROR(IF(X$4="",0,IF($E9="kWh",VLOOKUP(X$4,'4. Billing Determinants'!$B$19:$R$41,4,0)/'4. Billing Determinants'!$E$41*$D9,IF($E9="kW",VLOOKUP(X$4,'4. Billing Determinants'!$B$19:$R$41,5,0)/'4. Billing Determinants'!$F$41*$D9,IF($E9="Non-RPP kWh",VLOOKUP(X$4,'4. Billing Determinants'!$B$19:$R$41,6,0)/'4. Billing Determinants'!$G$41*$D9,IF($E9="Distribution Rev.",VLOOKUP(X$4,'4. Billing Determinants'!$B$19:$R$41,8,0)/'4. Billing Determinants'!$I$41*$D9, VLOOKUP(X$4,'4. Billing Determinants'!$B$19:$R$41,3,0)/'4. Billing Determinants'!$D$41*$D9))))),0)</f>
        <v>0</v>
      </c>
      <c r="Y9" s="40">
        <f>IFERROR(IF(Y$4="",0,IF($E9="kWh",VLOOKUP(Y$4,'4. Billing Determinants'!$B$19:$R$41,4,0)/'4. Billing Determinants'!$E$41*$D9,IF($E9="kW",VLOOKUP(Y$4,'4. Billing Determinants'!$B$19:$R$41,5,0)/'4. Billing Determinants'!$F$41*$D9,IF($E9="Non-RPP kWh",VLOOKUP(Y$4,'4. Billing Determinants'!$B$19:$R$41,6,0)/'4. Billing Determinants'!$G$41*$D9,IF($E9="Distribution Rev.",VLOOKUP(Y$4,'4. Billing Determinants'!$B$19:$R$41,8,0)/'4. Billing Determinants'!$I$41*$D9, VLOOKUP(Y$4,'4. Billing Determinants'!$B$19:$R$41,3,0)/'4. Billing Determinants'!$D$41*$D9))))),0)</f>
        <v>0</v>
      </c>
    </row>
    <row r="10" spans="1:27" x14ac:dyDescent="0.25">
      <c r="A10" s="122">
        <v>7</v>
      </c>
      <c r="B10" s="41" t="s">
        <v>38</v>
      </c>
      <c r="C10" s="260">
        <v>1588</v>
      </c>
      <c r="D10" s="40">
        <f>'2a. Continuity Schedule '!CD31</f>
        <v>38747207.726543613</v>
      </c>
      <c r="E10" s="61" t="s">
        <v>139</v>
      </c>
      <c r="F10" s="40">
        <f>IFERROR(IF(F$4="",0,IF($E10="kWh",VLOOKUP(F$4,'4. Billing Determinants'!$B$19:$R$41,11,0)/'4. Billing Determinants'!$L$41*$D10,IF($E10="kW",VLOOKUP(F$4,'4. Billing Determinants'!$B$19:$R$41,12,0)/'4. Billing Determinants'!$M$41*$D10,))),0)</f>
        <v>8265441.1666786242</v>
      </c>
      <c r="G10" s="40">
        <f>IFERROR(IF(G$4="",0,IF($E10="kWh",VLOOKUP(G$4,'4. Billing Determinants'!$B$19:$R$41,11,0)/'4. Billing Determinants'!$L$41*$D10,IF($E10="kW",VLOOKUP(G$4,'4. Billing Determinants'!$B$19:$R$41,12,0)/'4. Billing Determinants'!$M$41*$D10,))),0)</f>
        <v>582075.91842733079</v>
      </c>
      <c r="H10" s="40">
        <f>IFERROR(IF(H$4="",0,IF($E10="kWh",VLOOKUP(H$4,'4. Billing Determinants'!$B$19:$R$41,11,0)/'4. Billing Determinants'!$L$41*$D10,IF($E10="kW",VLOOKUP(H$4,'4. Billing Determinants'!$B$19:$R$41,12,0)/'4. Billing Determinants'!$M$41*$D10,))),0)</f>
        <v>4020675.1532323053</v>
      </c>
      <c r="I10" s="40">
        <f>IFERROR(IF(I$4="",0,IF($E10="kWh",VLOOKUP(I$4,'4. Billing Determinants'!$B$19:$R$41,11,0)/'4. Billing Determinants'!$L$41*$D10,IF($E10="kW",VLOOKUP(I$4,'4. Billing Determinants'!$B$19:$R$41,12,0)/'4. Billing Determinants'!$M$41*$D10,))),0)</f>
        <v>16113226.930859504</v>
      </c>
      <c r="J10" s="40">
        <f>IFERROR(IF(J$4="",0,IF($E10="kWh",VLOOKUP(J$4,'4. Billing Determinants'!$B$19:$R$41,11,0)/'4. Billing Determinants'!$L$41*$D10,IF($E10="kW",VLOOKUP(J$4,'4. Billing Determinants'!$B$19:$R$41,12,0)/'4. Billing Determinants'!$M$41*$D10,))),0)</f>
        <v>6815898.7227988755</v>
      </c>
      <c r="K10" s="40">
        <f>IFERROR(IF(K$4="",0,IF($E10="kWh",VLOOKUP(K$4,'4. Billing Determinants'!$B$19:$R$41,11,0)/'4. Billing Determinants'!$L$41*$D10,IF($E10="kW",VLOOKUP(K$4,'4. Billing Determinants'!$B$19:$R$41,12,0)/'4. Billing Determinants'!$M$41*$D10,))),0)</f>
        <v>2676943.7766238255</v>
      </c>
      <c r="L10" s="40">
        <f>IFERROR(IF(L$4="",0,IF($E10="kWh",VLOOKUP(L$4,'4. Billing Determinants'!$B$19:$R$41,11,0)/'4. Billing Determinants'!$L$41*$D10,IF($E10="kW",VLOOKUP(L$4,'4. Billing Determinants'!$B$19:$R$41,12,0)/'4. Billing Determinants'!$M$41*$D10,))),0)</f>
        <v>201279.38161841885</v>
      </c>
      <c r="M10" s="40">
        <f>IFERROR(IF(M$4="",0,IF($E10="kWh",VLOOKUP(M$4,'4. Billing Determinants'!$B$19:$R$41,11,0)/'4. Billing Determinants'!$L$41*$D10,IF($E10="kW",VLOOKUP(M$4,'4. Billing Determinants'!$B$19:$R$41,12,0)/'4. Billing Determinants'!$M$41*$D10,))),0)</f>
        <v>71666.676304729015</v>
      </c>
      <c r="N10" s="40">
        <f>IFERROR(IF(N$4="",0,IF($E10="kWh",VLOOKUP(N$4,'4. Billing Determinants'!$B$19:$R$41,11,0)/'4. Billing Determinants'!$L$41*$D10,IF($E10="kW",VLOOKUP(N$4,'4. Billing Determinants'!$B$19:$R$41,12,0)/'4. Billing Determinants'!$M$41*$D10,))),0)</f>
        <v>0</v>
      </c>
      <c r="O10" s="40">
        <f>IFERROR(IF(O$4="",0,IF($E10="kWh",VLOOKUP(O$4,'4. Billing Determinants'!$B$19:$R$41,11,0)/'4. Billing Determinants'!$L$41*$D10,IF($E10="kW",VLOOKUP(O$4,'4. Billing Determinants'!$B$19:$R$41,12,0)/'4. Billing Determinants'!$M$41*$D10,))),0)</f>
        <v>0</v>
      </c>
      <c r="P10" s="40">
        <f>IFERROR(IF(P$4="",0,IF($E10="kWh",VLOOKUP(P$4,'4. Billing Determinants'!$B$19:$R$41,11,0)/'4. Billing Determinants'!$L$41*$D10,IF($E10="kW",VLOOKUP(P$4,'4. Billing Determinants'!$B$19:$R$41,12,0)/'4. Billing Determinants'!$M$41*$D10,))),0)</f>
        <v>0</v>
      </c>
      <c r="Q10" s="40">
        <f>IFERROR(IF(Q$4="",0,IF($E10="kWh",VLOOKUP(Q$4,'4. Billing Determinants'!$B$19:$R$41,11,0)/'4. Billing Determinants'!$L$41*$D10,IF($E10="kW",VLOOKUP(Q$4,'4. Billing Determinants'!$B$19:$R$41,12,0)/'4. Billing Determinants'!$M$41*$D10,))),0)</f>
        <v>0</v>
      </c>
      <c r="R10" s="40">
        <f>IFERROR(IF(R$4="",0,IF($E10="kWh",VLOOKUP(R$4,'4. Billing Determinants'!$B$19:$R$41,11,0)/'4. Billing Determinants'!$L$41*$D10,IF($E10="kW",VLOOKUP(R$4,'4. Billing Determinants'!$B$19:$R$41,12,0)/'4. Billing Determinants'!$M$41*$D10,))),0)</f>
        <v>0</v>
      </c>
      <c r="S10" s="40">
        <f>IFERROR(IF(S$4="",0,IF($E10="kWh",VLOOKUP(S$4,'4. Billing Determinants'!$B$19:$R$41,11,0)/'4. Billing Determinants'!$L$41*$D10,IF($E10="kW",VLOOKUP(S$4,'4. Billing Determinants'!$B$19:$R$41,12,0)/'4. Billing Determinants'!$M$41*$D10,))),0)</f>
        <v>0</v>
      </c>
      <c r="T10" s="40">
        <f>IFERROR(IF(T$4="",0,IF($E10="kWh",VLOOKUP(T$4,'4. Billing Determinants'!$B$19:$R$41,11,0)/'4. Billing Determinants'!$L$41*$D10,IF($E10="kW",VLOOKUP(T$4,'4. Billing Determinants'!$B$19:$R$41,12,0)/'4. Billing Determinants'!$M$41*$D10,))),0)</f>
        <v>0</v>
      </c>
      <c r="U10" s="40">
        <f>IFERROR(IF(U$4="",0,IF($E10="kWh",VLOOKUP(U$4,'4. Billing Determinants'!$B$19:$R$41,11,0)/'4. Billing Determinants'!$L$41*$D10,IF($E10="kW",VLOOKUP(U$4,'4. Billing Determinants'!$B$19:$R$41,12,0)/'4. Billing Determinants'!$M$41*$D10,))),0)</f>
        <v>0</v>
      </c>
      <c r="V10" s="40">
        <f>IFERROR(IF(V$4="",0,IF($E10="kWh",VLOOKUP(V$4,'4. Billing Determinants'!$B$19:$R$41,11,0)/'4. Billing Determinants'!$L$41*$D10,IF($E10="kW",VLOOKUP(V$4,'4. Billing Determinants'!$B$19:$R$41,12,0)/'4. Billing Determinants'!$M$41*$D10,))),0)</f>
        <v>0</v>
      </c>
      <c r="W10" s="40">
        <f>IFERROR(IF(W$4="",0,IF($E10="kWh",VLOOKUP(W$4,'4. Billing Determinants'!$B$19:$R$41,11,0)/'4. Billing Determinants'!$L$41*$D10,IF($E10="kW",VLOOKUP(W$4,'4. Billing Determinants'!$B$19:$R$41,12,0)/'4. Billing Determinants'!$M$41*$D10,))),0)</f>
        <v>0</v>
      </c>
      <c r="X10" s="40">
        <f>IFERROR(IF(X$4="",0,IF($E10="kWh",VLOOKUP(X$4,'4. Billing Determinants'!$B$19:$R$41,11,0)/'4. Billing Determinants'!$L$41*$D10,IF($E10="kW",VLOOKUP(X$4,'4. Billing Determinants'!$B$19:$R$41,12,0)/'4. Billing Determinants'!$M$41*$D10,))),0)</f>
        <v>0</v>
      </c>
      <c r="Y10" s="40">
        <f>IFERROR(IF(Y$4="",0,IF($E10="kWh",VLOOKUP(Y$4,'4. Billing Determinants'!$B$19:$R$41,11,0)/'4. Billing Determinants'!$L$41*$D10,IF($E10="kW",VLOOKUP(Y$4,'4. Billing Determinants'!$B$19:$R$41,12,0)/'4. Billing Determinants'!$M$41*$D10,))),0)</f>
        <v>0</v>
      </c>
    </row>
    <row r="11" spans="1:27" x14ac:dyDescent="0.25">
      <c r="A11" s="278">
        <v>8</v>
      </c>
      <c r="B11" s="38" t="s">
        <v>66</v>
      </c>
      <c r="C11" s="260">
        <v>1589</v>
      </c>
      <c r="D11" s="164">
        <f>'6.1a GA Allocation'!C29</f>
        <v>8091523.7344238898</v>
      </c>
      <c r="E11" s="296" t="s">
        <v>157</v>
      </c>
      <c r="F11" s="164">
        <f>IFERROR(IF(F$4="",0,IF($E11="kWh",VLOOKUP(F$4,'4. Billing Determinants'!$B$19:$R$41,4,0)/'4. Billing Determinants'!$E$41*$D11,IF($E11="kW",VLOOKUP(F$4,'4. Billing Determinants'!$B$19:$R$41,5,0)/'4. Billing Determinants'!$F$41*$D11,IF($E11="Non-RPP kWh",VLOOKUP(F$4,'4. Billing Determinants'!$B$19:$T$41,18,0)/'4. Billing Determinants'!$S$41*$D11,IF($E11="Distribution Rev.",VLOOKUP(F$4,'4. Billing Determinants'!$B$19:$R$41,8,0)/'4. Billing Determinants'!$I$41*$D11, VLOOKUP(F$4,'4. Billing Determinants'!$B$19:$R$41,3,0)/'4. Billing Determinants'!$D$41*$D11))))),0)</f>
        <v>59577.825387000106</v>
      </c>
      <c r="G11" s="164">
        <f>IFERROR(IF(G$4="",0,IF($E11="kWh",VLOOKUP(G$4,'4. Billing Determinants'!$B$19:$R$41,4,0)/'4. Billing Determinants'!$E$41*$D11,IF($E11="kW",VLOOKUP(G$4,'4. Billing Determinants'!$B$19:$R$41,5,0)/'4. Billing Determinants'!$F$41*$D11,IF($E11="Non-RPP kWh",VLOOKUP(G$4,'4. Billing Determinants'!$B$19:$T$41,18,0)/'4. Billing Determinants'!$S$41*$D11,IF($E11="Distribution Rev.",VLOOKUP(G$4,'4. Billing Determinants'!$B$19:$R$41,8,0)/'4. Billing Determinants'!$I$41*$D11, VLOOKUP(G$4,'4. Billing Determinants'!$B$19:$R$41,3,0)/'4. Billing Determinants'!$D$41*$D11))))),0)</f>
        <v>316.20924329903949</v>
      </c>
      <c r="H11" s="164">
        <f>IFERROR(IF(H$4="",0,IF($E11="kWh",VLOOKUP(H$4,'4. Billing Determinants'!$B$19:$R$41,4,0)/'4. Billing Determinants'!$E$41*$D11,IF($E11="kW",VLOOKUP(H$4,'4. Billing Determinants'!$B$19:$R$41,5,0)/'4. Billing Determinants'!$F$41*$D11,IF($E11="Non-RPP kWh",VLOOKUP(H$4,'4. Billing Determinants'!$B$19:$T$41,18,0)/'4. Billing Determinants'!$S$41*$D11,IF($E11="Distribution Rev.",VLOOKUP(H$4,'4. Billing Determinants'!$B$19:$R$41,8,0)/'4. Billing Determinants'!$I$41*$D11, VLOOKUP(H$4,'4. Billing Determinants'!$B$19:$R$41,3,0)/'4. Billing Determinants'!$D$41*$D11))))),0)</f>
        <v>393037.65606177959</v>
      </c>
      <c r="I11" s="164">
        <f>IFERROR(IF(I$4="",0,IF($E11="kWh",VLOOKUP(I$4,'4. Billing Determinants'!$B$19:$R$41,4,0)/'4. Billing Determinants'!$E$41*$D11,IF($E11="kW",VLOOKUP(I$4,'4. Billing Determinants'!$B$19:$R$41,5,0)/'4. Billing Determinants'!$F$41*$D11,IF($E11="Non-RPP kWh",VLOOKUP(I$4,'4. Billing Determinants'!$B$19:$T$41,18,0)/'4. Billing Determinants'!$S$41*$D11,IF($E11="Distribution Rev.",VLOOKUP(I$4,'4. Billing Determinants'!$B$19:$R$41,8,0)/'4. Billing Determinants'!$I$41*$D11, VLOOKUP(I$4,'4. Billing Determinants'!$B$19:$R$41,3,0)/'4. Billing Determinants'!$D$41*$D11))))),0)</f>
        <v>3418639.3426829297</v>
      </c>
      <c r="J11" s="164">
        <f>IFERROR(IF(J$4="",0,IF($E11="kWh",VLOOKUP(J$4,'4. Billing Determinants'!$B$19:$R$41,4,0)/'4. Billing Determinants'!$E$41*$D11,IF($E11="kW",VLOOKUP(J$4,'4. Billing Determinants'!$B$19:$R$41,5,0)/'4. Billing Determinants'!$F$41*$D11,IF($E11="Non-RPP kWh",VLOOKUP(J$4,'4. Billing Determinants'!$B$19:$T$41,18,0)/'4. Billing Determinants'!$S$41*$D11,IF($E11="Distribution Rev.",VLOOKUP(J$4,'4. Billing Determinants'!$B$19:$R$41,8,0)/'4. Billing Determinants'!$I$41*$D11, VLOOKUP(J$4,'4. Billing Determinants'!$B$19:$R$41,3,0)/'4. Billing Determinants'!$D$41*$D11))))),0)</f>
        <v>3992555.0771791223</v>
      </c>
      <c r="K11" s="164">
        <f>IFERROR(IF(K$4="",0,IF($E11="kWh",VLOOKUP(K$4,'4. Billing Determinants'!$B$19:$R$41,4,0)/'4. Billing Determinants'!$E$41*$D11,IF($E11="kW",VLOOKUP(K$4,'4. Billing Determinants'!$B$19:$R$41,5,0)/'4. Billing Determinants'!$F$41*$D11,IF($E11="Non-RPP kWh",VLOOKUP(K$4,'4. Billing Determinants'!$B$19:$T$41,18,0)/'4. Billing Determinants'!$S$41*$D11,IF($E11="Distribution Rev.",VLOOKUP(K$4,'4. Billing Determinants'!$B$19:$R$41,8,0)/'4. Billing Determinants'!$I$41*$D11, VLOOKUP(K$4,'4. Billing Determinants'!$B$19:$R$41,3,0)/'4. Billing Determinants'!$D$41*$D11))))),0)</f>
        <v>78553.960900172329</v>
      </c>
      <c r="L11" s="164">
        <f>IFERROR(IF(L$4="",0,IF($E11="kWh",VLOOKUP(L$4,'4. Billing Determinants'!$B$19:$R$41,4,0)/'4. Billing Determinants'!$E$41*$D11,IF($E11="kW",VLOOKUP(L$4,'4. Billing Determinants'!$B$19:$R$41,5,0)/'4. Billing Determinants'!$F$41*$D11,IF($E11="Non-RPP kWh",VLOOKUP(L$4,'4. Billing Determinants'!$B$19:$T$41,18,0)/'4. Billing Determinants'!$S$41*$D11,IF($E11="Distribution Rev.",VLOOKUP(L$4,'4. Billing Determinants'!$B$19:$R$41,8,0)/'4. Billing Determinants'!$I$41*$D11, VLOOKUP(L$4,'4. Billing Determinants'!$B$19:$R$41,3,0)/'4. Billing Determinants'!$D$41*$D11))))),0)</f>
        <v>148789.41998583305</v>
      </c>
      <c r="M11" s="164">
        <f>IFERROR(IF(M$4="",0,IF($E11="kWh",VLOOKUP(M$4,'4. Billing Determinants'!$B$19:$R$41,4,0)/'4. Billing Determinants'!$E$41*$D11,IF($E11="kW",VLOOKUP(M$4,'4. Billing Determinants'!$B$19:$R$41,5,0)/'4. Billing Determinants'!$F$41*$D11,IF($E11="Non-RPP kWh",VLOOKUP(M$4,'4. Billing Determinants'!$B$19:$T$41,18,0)/'4. Billing Determinants'!$S$41*$D11,IF($E11="Distribution Rev.",VLOOKUP(M$4,'4. Billing Determinants'!$B$19:$R$41,8,0)/'4. Billing Determinants'!$I$41*$D11, VLOOKUP(M$4,'4. Billing Determinants'!$B$19:$R$41,3,0)/'4. Billing Determinants'!$D$41*$D11))))),0)</f>
        <v>54.24298375214542</v>
      </c>
      <c r="N11" s="164">
        <f>IFERROR(IF(N$4="",0,IF($E11="kWh",VLOOKUP(N$4,'4. Billing Determinants'!$B$19:$R$41,4,0)/'4. Billing Determinants'!$E$41*$D11,IF($E11="kW",VLOOKUP(N$4,'4. Billing Determinants'!$B$19:$R$41,5,0)/'4. Billing Determinants'!$F$41*$D11,IF($E11="Non-RPP kWh",VLOOKUP(N$4,'4. Billing Determinants'!$B$19:$T$41,18,0)/'4. Billing Determinants'!$S$41*$D11,IF($E11="Distribution Rev.",VLOOKUP(N$4,'4. Billing Determinants'!$B$19:$R$41,8,0)/'4. Billing Determinants'!$I$41*$D11, VLOOKUP(N$4,'4. Billing Determinants'!$B$19:$R$41,3,0)/'4. Billing Determinants'!$D$41*$D11))))),0)</f>
        <v>0</v>
      </c>
      <c r="O11" s="164">
        <f>IFERROR(IF(O$4="",0,IF($E11="kWh",VLOOKUP(O$4,'4. Billing Determinants'!$B$19:$R$41,4,0)/'4. Billing Determinants'!$E$41*$D11,IF($E11="kW",VLOOKUP(O$4,'4. Billing Determinants'!$B$19:$R$41,5,0)/'4. Billing Determinants'!$F$41*$D11,IF($E11="Non-RPP kWh",VLOOKUP(O$4,'4. Billing Determinants'!$B$19:$T$41,18,0)/'4. Billing Determinants'!$S$41*$D11,IF($E11="Distribution Rev.",VLOOKUP(O$4,'4. Billing Determinants'!$B$19:$R$41,8,0)/'4. Billing Determinants'!$I$41*$D11, VLOOKUP(O$4,'4. Billing Determinants'!$B$19:$R$41,3,0)/'4. Billing Determinants'!$D$41*$D11))))),0)</f>
        <v>0</v>
      </c>
      <c r="P11" s="164">
        <f>IFERROR(IF(P$4="",0,IF($E11="kWh",VLOOKUP(P$4,'4. Billing Determinants'!$B$19:$R$41,4,0)/'4. Billing Determinants'!$E$41*$D11,IF($E11="kW",VLOOKUP(P$4,'4. Billing Determinants'!$B$19:$R$41,5,0)/'4. Billing Determinants'!$F$41*$D11,IF($E11="Non-RPP kWh",VLOOKUP(P$4,'4. Billing Determinants'!$B$19:$T$41,18,0)/'4. Billing Determinants'!$S$41*$D11,IF($E11="Distribution Rev.",VLOOKUP(P$4,'4. Billing Determinants'!$B$19:$R$41,8,0)/'4. Billing Determinants'!$I$41*$D11, VLOOKUP(P$4,'4. Billing Determinants'!$B$19:$R$41,3,0)/'4. Billing Determinants'!$D$41*$D11))))),0)</f>
        <v>0</v>
      </c>
      <c r="Q11" s="164">
        <f>IFERROR(IF(Q$4="",0,IF($E11="kWh",VLOOKUP(Q$4,'4. Billing Determinants'!$B$19:$R$41,4,0)/'4. Billing Determinants'!$E$41*$D11,IF($E11="kW",VLOOKUP(Q$4,'4. Billing Determinants'!$B$19:$R$41,5,0)/'4. Billing Determinants'!$F$41*$D11,IF($E11="Non-RPP kWh",VLOOKUP(Q$4,'4. Billing Determinants'!$B$19:$T$41,18,0)/'4. Billing Determinants'!$S$41*$D11,IF($E11="Distribution Rev.",VLOOKUP(Q$4,'4. Billing Determinants'!$B$19:$R$41,8,0)/'4. Billing Determinants'!$I$41*$D11, VLOOKUP(Q$4,'4. Billing Determinants'!$B$19:$R$41,3,0)/'4. Billing Determinants'!$D$41*$D11))))),0)</f>
        <v>0</v>
      </c>
      <c r="R11" s="164">
        <f>IFERROR(IF(R$4="",0,IF($E11="kWh",VLOOKUP(R$4,'4. Billing Determinants'!$B$19:$R$41,4,0)/'4. Billing Determinants'!$E$41*$D11,IF($E11="kW",VLOOKUP(R$4,'4. Billing Determinants'!$B$19:$R$41,5,0)/'4. Billing Determinants'!$F$41*$D11,IF($E11="Non-RPP kWh",VLOOKUP(R$4,'4. Billing Determinants'!$B$19:$T$41,18,0)/'4. Billing Determinants'!$S$41*$D11,IF($E11="Distribution Rev.",VLOOKUP(R$4,'4. Billing Determinants'!$B$19:$R$41,8,0)/'4. Billing Determinants'!$I$41*$D11, VLOOKUP(R$4,'4. Billing Determinants'!$B$19:$R$41,3,0)/'4. Billing Determinants'!$D$41*$D11))))),0)</f>
        <v>0</v>
      </c>
      <c r="S11" s="164">
        <f>IFERROR(IF(S$4="",0,IF($E11="kWh",VLOOKUP(S$4,'4. Billing Determinants'!$B$19:$R$41,4,0)/'4. Billing Determinants'!$E$41*$D11,IF($E11="kW",VLOOKUP(S$4,'4. Billing Determinants'!$B$19:$R$41,5,0)/'4. Billing Determinants'!$F$41*$D11,IF($E11="Non-RPP kWh",VLOOKUP(S$4,'4. Billing Determinants'!$B$19:$T$41,18,0)/'4. Billing Determinants'!$S$41*$D11,IF($E11="Distribution Rev.",VLOOKUP(S$4,'4. Billing Determinants'!$B$19:$R$41,8,0)/'4. Billing Determinants'!$I$41*$D11, VLOOKUP(S$4,'4. Billing Determinants'!$B$19:$R$41,3,0)/'4. Billing Determinants'!$D$41*$D11))))),0)</f>
        <v>0</v>
      </c>
      <c r="T11" s="164">
        <f>IFERROR(IF(T$4="",0,IF($E11="kWh",VLOOKUP(T$4,'4. Billing Determinants'!$B$19:$R$41,4,0)/'4. Billing Determinants'!$E$41*$D11,IF($E11="kW",VLOOKUP(T$4,'4. Billing Determinants'!$B$19:$R$41,5,0)/'4. Billing Determinants'!$F$41*$D11,IF($E11="Non-RPP kWh",VLOOKUP(T$4,'4. Billing Determinants'!$B$19:$T$41,18,0)/'4. Billing Determinants'!$S$41*$D11,IF($E11="Distribution Rev.",VLOOKUP(T$4,'4. Billing Determinants'!$B$19:$R$41,8,0)/'4. Billing Determinants'!$I$41*$D11, VLOOKUP(T$4,'4. Billing Determinants'!$B$19:$R$41,3,0)/'4. Billing Determinants'!$D$41*$D11))))),0)</f>
        <v>0</v>
      </c>
      <c r="U11" s="164">
        <f>IFERROR(IF(U$4="",0,IF($E11="kWh",VLOOKUP(U$4,'4. Billing Determinants'!$B$19:$R$41,4,0)/'4. Billing Determinants'!$E$41*$D11,IF($E11="kW",VLOOKUP(U$4,'4. Billing Determinants'!$B$19:$R$41,5,0)/'4. Billing Determinants'!$F$41*$D11,IF($E11="Non-RPP kWh",VLOOKUP(U$4,'4. Billing Determinants'!$B$19:$T$41,18,0)/'4. Billing Determinants'!$S$41*$D11,IF($E11="Distribution Rev.",VLOOKUP(U$4,'4. Billing Determinants'!$B$19:$R$41,8,0)/'4. Billing Determinants'!$I$41*$D11, VLOOKUP(U$4,'4. Billing Determinants'!$B$19:$R$41,3,0)/'4. Billing Determinants'!$D$41*$D11))))),0)</f>
        <v>0</v>
      </c>
      <c r="V11" s="164">
        <f>IFERROR(IF(V$4="",0,IF($E11="kWh",VLOOKUP(V$4,'4. Billing Determinants'!$B$19:$R$41,4,0)/'4. Billing Determinants'!$E$41*$D11,IF($E11="kW",VLOOKUP(V$4,'4. Billing Determinants'!$B$19:$R$41,5,0)/'4. Billing Determinants'!$F$41*$D11,IF($E11="Non-RPP kWh",VLOOKUP(V$4,'4. Billing Determinants'!$B$19:$T$41,18,0)/'4. Billing Determinants'!$S$41*$D11,IF($E11="Distribution Rev.",VLOOKUP(V$4,'4. Billing Determinants'!$B$19:$R$41,8,0)/'4. Billing Determinants'!$I$41*$D11, VLOOKUP(V$4,'4. Billing Determinants'!$B$19:$R$41,3,0)/'4. Billing Determinants'!$D$41*$D11))))),0)</f>
        <v>0</v>
      </c>
      <c r="W11" s="164">
        <f>IFERROR(IF(W$4="",0,IF($E11="kWh",VLOOKUP(W$4,'4. Billing Determinants'!$B$19:$R$41,4,0)/'4. Billing Determinants'!$E$41*$D11,IF($E11="kW",VLOOKUP(W$4,'4. Billing Determinants'!$B$19:$R$41,5,0)/'4. Billing Determinants'!$F$41*$D11,IF($E11="Non-RPP kWh",VLOOKUP(W$4,'4. Billing Determinants'!$B$19:$T$41,18,0)/'4. Billing Determinants'!$S$41*$D11,IF($E11="Distribution Rev.",VLOOKUP(W$4,'4. Billing Determinants'!$B$19:$R$41,8,0)/'4. Billing Determinants'!$I$41*$D11, VLOOKUP(W$4,'4. Billing Determinants'!$B$19:$R$41,3,0)/'4. Billing Determinants'!$D$41*$D11))))),0)</f>
        <v>0</v>
      </c>
      <c r="X11" s="164">
        <f>IFERROR(IF(X$4="",0,IF($E11="kWh",VLOOKUP(X$4,'4. Billing Determinants'!$B$19:$R$41,4,0)/'4. Billing Determinants'!$E$41*$D11,IF($E11="kW",VLOOKUP(X$4,'4. Billing Determinants'!$B$19:$R$41,5,0)/'4. Billing Determinants'!$F$41*$D11,IF($E11="Non-RPP kWh",VLOOKUP(X$4,'4. Billing Determinants'!$B$19:$T$41,18,0)/'4. Billing Determinants'!$S$41*$D11,IF($E11="Distribution Rev.",VLOOKUP(X$4,'4. Billing Determinants'!$B$19:$R$41,8,0)/'4. Billing Determinants'!$I$41*$D11, VLOOKUP(X$4,'4. Billing Determinants'!$B$19:$R$41,3,0)/'4. Billing Determinants'!$D$41*$D11))))),0)</f>
        <v>0</v>
      </c>
      <c r="Y11" s="164">
        <f>IFERROR(IF(Y$4="",0,IF($E11="kWh",VLOOKUP(Y$4,'4. Billing Determinants'!$B$19:$R$41,4,0)/'4. Billing Determinants'!$E$41*$D11,IF($E11="kW",VLOOKUP(Y$4,'4. Billing Determinants'!$B$19:$R$41,5,0)/'4. Billing Determinants'!$F$41*$D11,IF($E11="Non-RPP kWh",VLOOKUP(Y$4,'4. Billing Determinants'!$B$19:$T$41,18,0)/'4. Billing Determinants'!$S$41*$D11,IF($E11="Distribution Rev.",VLOOKUP(Y$4,'4. Billing Determinants'!$B$19:$R$41,8,0)/'4. Billing Determinants'!$I$41*$D11, VLOOKUP(Y$4,'4. Billing Determinants'!$B$19:$R$41,3,0)/'4. Billing Determinants'!$D$41*$D11))))),0)</f>
        <v>0</v>
      </c>
    </row>
    <row r="12" spans="1:27" hidden="1" x14ac:dyDescent="0.25">
      <c r="A12" s="122">
        <v>9</v>
      </c>
      <c r="B12" s="42" t="s">
        <v>55</v>
      </c>
      <c r="C12" s="260">
        <v>1595</v>
      </c>
      <c r="D12" s="40">
        <f>'2a. Continuity Schedule'!BT33</f>
        <v>0</v>
      </c>
      <c r="E12" s="296" t="s">
        <v>146</v>
      </c>
      <c r="F12" s="40">
        <f>IFERROR(IF(F$4="",0,IF($E12="kWh",VLOOKUP(F$4,'4. Billing Determinants'!$B$19:$R$41,4,0)/'4. Billing Determinants'!$E$41*$D12,IF($E12="kW",VLOOKUP(F$4,'4. Billing Determinants'!$B$19:$R$41,5,0)/'4. Billing Determinants'!$F$41*$D12,IF($E12="Non-RPP kWh",VLOOKUP(F$4,'4. Billing Determinants'!$B$19:$R$41,6,0)/'4. Billing Determinants'!$G$41*$D12, VLOOKUP(F$4,'4. Billing Determinants'!$B$19:$AA$41,20,0)*$D12)))),0)</f>
        <v>0</v>
      </c>
      <c r="G12" s="40">
        <f>IFERROR(IF(G$4="",0,IF($E12="kWh",VLOOKUP(G$4,'4. Billing Determinants'!$B$19:$R$41,4,0)/'4. Billing Determinants'!$E$41*$D12,IF($E12="kW",VLOOKUP(G$4,'4. Billing Determinants'!$B$19:$R$41,5,0)/'4. Billing Determinants'!$F$41*$D12,IF($E12="Non-RPP kWh",VLOOKUP(G$4,'4. Billing Determinants'!$B$19:$R$41,6,0)/'4. Billing Determinants'!$G$41*$D12, VLOOKUP(G$4,'4. Billing Determinants'!$B$19:$AA$41,20,0)*$D12)))),0)</f>
        <v>0</v>
      </c>
      <c r="H12" s="40">
        <f>IFERROR(IF(H$4="",0,IF($E12="kWh",VLOOKUP(H$4,'4. Billing Determinants'!$B$19:$R$41,4,0)/'4. Billing Determinants'!$E$41*$D12,IF($E12="kW",VLOOKUP(H$4,'4. Billing Determinants'!$B$19:$R$41,5,0)/'4. Billing Determinants'!$F$41*$D12,IF($E12="Non-RPP kWh",VLOOKUP(H$4,'4. Billing Determinants'!$B$19:$R$41,6,0)/'4. Billing Determinants'!$G$41*$D12, VLOOKUP(H$4,'4. Billing Determinants'!$B$19:$AA$41,20,0)*$D12)))),0)</f>
        <v>0</v>
      </c>
      <c r="I12" s="40">
        <f>IFERROR(IF(I$4="",0,IF($E12="kWh",VLOOKUP(I$4,'4. Billing Determinants'!$B$19:$R$41,4,0)/'4. Billing Determinants'!$E$41*$D12,IF($E12="kW",VLOOKUP(I$4,'4. Billing Determinants'!$B$19:$R$41,5,0)/'4. Billing Determinants'!$F$41*$D12,IF($E12="Non-RPP kWh",VLOOKUP(I$4,'4. Billing Determinants'!$B$19:$R$41,6,0)/'4. Billing Determinants'!$G$41*$D12, VLOOKUP(I$4,'4. Billing Determinants'!$B$19:$AA$41,20,0)*$D12)))),0)</f>
        <v>0</v>
      </c>
      <c r="J12" s="40">
        <f>IFERROR(IF(J$4="",0,IF($E12="kWh",VLOOKUP(J$4,'4. Billing Determinants'!$B$19:$R$41,4,0)/'4. Billing Determinants'!$E$41*$D12,IF($E12="kW",VLOOKUP(J$4,'4. Billing Determinants'!$B$19:$R$41,5,0)/'4. Billing Determinants'!$F$41*$D12,IF($E12="Non-RPP kWh",VLOOKUP(J$4,'4. Billing Determinants'!$B$19:$R$41,6,0)/'4. Billing Determinants'!$G$41*$D12, VLOOKUP(J$4,'4. Billing Determinants'!$B$19:$AA$41,20,0)*$D12)))),0)</f>
        <v>0</v>
      </c>
      <c r="K12" s="40">
        <f>IFERROR(IF(K$4="",0,IF($E12="kWh",VLOOKUP(K$4,'4. Billing Determinants'!$B$19:$R$41,4,0)/'4. Billing Determinants'!$E$41*$D12,IF($E12="kW",VLOOKUP(K$4,'4. Billing Determinants'!$B$19:$R$41,5,0)/'4. Billing Determinants'!$F$41*$D12,IF($E12="Non-RPP kWh",VLOOKUP(K$4,'4. Billing Determinants'!$B$19:$R$41,6,0)/'4. Billing Determinants'!$G$41*$D12, VLOOKUP(K$4,'4. Billing Determinants'!$B$19:$AA$41,20,0)*$D12)))),0)</f>
        <v>0</v>
      </c>
      <c r="L12" s="40">
        <f>IFERROR(IF(L$4="",0,IF($E12="kWh",VLOOKUP(L$4,'4. Billing Determinants'!$B$19:$R$41,4,0)/'4. Billing Determinants'!$E$41*$D12,IF($E12="kW",VLOOKUP(L$4,'4. Billing Determinants'!$B$19:$R$41,5,0)/'4. Billing Determinants'!$F$41*$D12,IF($E12="Non-RPP kWh",VLOOKUP(L$4,'4. Billing Determinants'!$B$19:$R$41,6,0)/'4. Billing Determinants'!$G$41*$D12, VLOOKUP(L$4,'4. Billing Determinants'!$B$19:$AA$41,20,0)*$D12)))),0)</f>
        <v>0</v>
      </c>
      <c r="M12" s="40">
        <f>IFERROR(IF(M$4="",0,IF($E12="kWh",VLOOKUP(M$4,'4. Billing Determinants'!$B$19:$R$41,4,0)/'4. Billing Determinants'!$E$41*$D12,IF($E12="kW",VLOOKUP(M$4,'4. Billing Determinants'!$B$19:$R$41,5,0)/'4. Billing Determinants'!$F$41*$D12,IF($E12="Non-RPP kWh",VLOOKUP(M$4,'4. Billing Determinants'!$B$19:$R$41,6,0)/'4. Billing Determinants'!$G$41*$D12, VLOOKUP(M$4,'4. Billing Determinants'!$B$19:$AA$41,20,0)*$D12)))),0)</f>
        <v>0</v>
      </c>
      <c r="N12" s="40">
        <f>IFERROR(IF(N$4="",0,IF($E12="kWh",VLOOKUP(N$4,'4. Billing Determinants'!$B$19:$R$41,4,0)/'4. Billing Determinants'!$E$41*$D12,IF($E12="kW",VLOOKUP(N$4,'4. Billing Determinants'!$B$19:$R$41,5,0)/'4. Billing Determinants'!$F$41*$D12,IF($E12="Non-RPP kWh",VLOOKUP(N$4,'4. Billing Determinants'!$B$19:$R$41,6,0)/'4. Billing Determinants'!$G$41*$D12, VLOOKUP(N$4,'4. Billing Determinants'!$B$19:$AA$41,20,0)*$D12)))),0)</f>
        <v>0</v>
      </c>
      <c r="O12" s="40">
        <f>IFERROR(IF(O$4="",0,IF($E12="kWh",VLOOKUP(O$4,'4. Billing Determinants'!$B$19:$R$41,4,0)/'4. Billing Determinants'!$E$41*$D12,IF($E12="kW",VLOOKUP(O$4,'4. Billing Determinants'!$B$19:$R$41,5,0)/'4. Billing Determinants'!$F$41*$D12,IF($E12="Non-RPP kWh",VLOOKUP(O$4,'4. Billing Determinants'!$B$19:$R$41,6,0)/'4. Billing Determinants'!$G$41*$D12, VLOOKUP(O$4,'4. Billing Determinants'!$B$19:$AA$41,20,0)*$D12)))),0)</f>
        <v>0</v>
      </c>
      <c r="P12" s="40">
        <f>IFERROR(IF(P$4="",0,IF($E12="kWh",VLOOKUP(P$4,'4. Billing Determinants'!$B$19:$R$41,4,0)/'4. Billing Determinants'!$E$41*$D12,IF($E12="kW",VLOOKUP(P$4,'4. Billing Determinants'!$B$19:$R$41,5,0)/'4. Billing Determinants'!$F$41*$D12,IF($E12="Non-RPP kWh",VLOOKUP(P$4,'4. Billing Determinants'!$B$19:$R$41,6,0)/'4. Billing Determinants'!$G$41*$D12, VLOOKUP(P$4,'4. Billing Determinants'!$B$19:$AA$41,20,0)*$D12)))),0)</f>
        <v>0</v>
      </c>
      <c r="Q12" s="40">
        <f>IFERROR(IF(Q$4="",0,IF($E12="kWh",VLOOKUP(Q$4,'4. Billing Determinants'!$B$19:$R$41,4,0)/'4. Billing Determinants'!$E$41*$D12,IF($E12="kW",VLOOKUP(Q$4,'4. Billing Determinants'!$B$19:$R$41,5,0)/'4. Billing Determinants'!$F$41*$D12,IF($E12="Non-RPP kWh",VLOOKUP(Q$4,'4. Billing Determinants'!$B$19:$R$41,6,0)/'4. Billing Determinants'!$G$41*$D12, VLOOKUP(Q$4,'4. Billing Determinants'!$B$19:$AA$41,20,0)*$D12)))),0)</f>
        <v>0</v>
      </c>
      <c r="R12" s="40">
        <f>IFERROR(IF(R$4="",0,IF($E12="kWh",VLOOKUP(R$4,'4. Billing Determinants'!$B$19:$R$41,4,0)/'4. Billing Determinants'!$E$41*$D12,IF($E12="kW",VLOOKUP(R$4,'4. Billing Determinants'!$B$19:$R$41,5,0)/'4. Billing Determinants'!$F$41*$D12,IF($E12="Non-RPP kWh",VLOOKUP(R$4,'4. Billing Determinants'!$B$19:$R$41,6,0)/'4. Billing Determinants'!$G$41*$D12, VLOOKUP(R$4,'4. Billing Determinants'!$B$19:$AA$41,20,0)*$D12)))),0)</f>
        <v>0</v>
      </c>
      <c r="S12" s="40">
        <f>IFERROR(IF(S$4="",0,IF($E12="kWh",VLOOKUP(S$4,'4. Billing Determinants'!$B$19:$R$41,4,0)/'4. Billing Determinants'!$E$41*$D12,IF($E12="kW",VLOOKUP(S$4,'4. Billing Determinants'!$B$19:$R$41,5,0)/'4. Billing Determinants'!$F$41*$D12,IF($E12="Non-RPP kWh",VLOOKUP(S$4,'4. Billing Determinants'!$B$19:$R$41,6,0)/'4. Billing Determinants'!$G$41*$D12, VLOOKUP(S$4,'4. Billing Determinants'!$B$19:$AA$41,20,0)*$D12)))),0)</f>
        <v>0</v>
      </c>
      <c r="T12" s="40">
        <f>IFERROR(IF(T$4="",0,IF($E12="kWh",VLOOKUP(T$4,'4. Billing Determinants'!$B$19:$R$41,4,0)/'4. Billing Determinants'!$E$41*$D12,IF($E12="kW",VLOOKUP(T$4,'4. Billing Determinants'!$B$19:$R$41,5,0)/'4. Billing Determinants'!$F$41*$D12,IF($E12="Non-RPP kWh",VLOOKUP(T$4,'4. Billing Determinants'!$B$19:$R$41,6,0)/'4. Billing Determinants'!$G$41*$D12, VLOOKUP(T$4,'4. Billing Determinants'!$B$19:$AA$41,20,0)*$D12)))),0)</f>
        <v>0</v>
      </c>
      <c r="U12" s="40">
        <f>IFERROR(IF(U$4="",0,IF($E12="kWh",VLOOKUP(U$4,'4. Billing Determinants'!$B$19:$R$41,4,0)/'4. Billing Determinants'!$E$41*$D12,IF($E12="kW",VLOOKUP(U$4,'4. Billing Determinants'!$B$19:$R$41,5,0)/'4. Billing Determinants'!$F$41*$D12,IF($E12="Non-RPP kWh",VLOOKUP(U$4,'4. Billing Determinants'!$B$19:$R$41,6,0)/'4. Billing Determinants'!$G$41*$D12, VLOOKUP(U$4,'4. Billing Determinants'!$B$19:$AA$41,20,0)*$D12)))),0)</f>
        <v>0</v>
      </c>
      <c r="V12" s="40">
        <f>IFERROR(IF(V$4="",0,IF($E12="kWh",VLOOKUP(V$4,'4. Billing Determinants'!$B$19:$R$41,4,0)/'4. Billing Determinants'!$E$41*$D12,IF($E12="kW",VLOOKUP(V$4,'4. Billing Determinants'!$B$19:$R$41,5,0)/'4. Billing Determinants'!$F$41*$D12,IF($E12="Non-RPP kWh",VLOOKUP(V$4,'4. Billing Determinants'!$B$19:$R$41,6,0)/'4. Billing Determinants'!$G$41*$D12, VLOOKUP(V$4,'4. Billing Determinants'!$B$19:$AA$41,20,0)*$D12)))),0)</f>
        <v>0</v>
      </c>
      <c r="W12" s="40">
        <f>IFERROR(IF(W$4="",0,IF($E12="kWh",VLOOKUP(W$4,'4. Billing Determinants'!$B$19:$R$41,4,0)/'4. Billing Determinants'!$E$41*$D12,IF($E12="kW",VLOOKUP(W$4,'4. Billing Determinants'!$B$19:$R$41,5,0)/'4. Billing Determinants'!$F$41*$D12,IF($E12="Non-RPP kWh",VLOOKUP(W$4,'4. Billing Determinants'!$B$19:$R$41,6,0)/'4. Billing Determinants'!$G$41*$D12, VLOOKUP(W$4,'4. Billing Determinants'!$B$19:$AA$41,20,0)*$D12)))),0)</f>
        <v>0</v>
      </c>
      <c r="X12" s="40">
        <f>IFERROR(IF(X$4="",0,IF($E12="kWh",VLOOKUP(X$4,'4. Billing Determinants'!$B$19:$R$41,4,0)/'4. Billing Determinants'!$E$41*$D12,IF($E12="kW",VLOOKUP(X$4,'4. Billing Determinants'!$B$19:$R$41,5,0)/'4. Billing Determinants'!$F$41*$D12,IF($E12="Non-RPP kWh",VLOOKUP(X$4,'4. Billing Determinants'!$B$19:$R$41,6,0)/'4. Billing Determinants'!$G$41*$D12, VLOOKUP(X$4,'4. Billing Determinants'!$B$19:$AA$41,20,0)*$D12)))),0)</f>
        <v>0</v>
      </c>
      <c r="Y12" s="40">
        <f>IFERROR(IF(Y$4="",0,IF($E12="kWh",VLOOKUP(Y$4,'4. Billing Determinants'!$B$19:$R$41,4,0)/'4. Billing Determinants'!$E$41*$D12,IF($E12="kW",VLOOKUP(Y$4,'4. Billing Determinants'!$B$19:$R$41,5,0)/'4. Billing Determinants'!$F$41*$D12,IF($E12="Non-RPP kWh",VLOOKUP(Y$4,'4. Billing Determinants'!$B$19:$R$41,6,0)/'4. Billing Determinants'!$G$41*$D12, VLOOKUP(Y$4,'4. Billing Determinants'!$B$19:$AA$41,20,0)*$D12)))),0)</f>
        <v>0</v>
      </c>
    </row>
    <row r="13" spans="1:27" hidden="1" x14ac:dyDescent="0.25">
      <c r="A13" s="122">
        <v>10</v>
      </c>
      <c r="B13" s="42" t="s">
        <v>3682</v>
      </c>
      <c r="C13" s="260">
        <v>1595</v>
      </c>
      <c r="D13" s="40">
        <f>'2a. Continuity Schedule'!BT34</f>
        <v>0</v>
      </c>
      <c r="E13" s="296" t="s">
        <v>146</v>
      </c>
      <c r="F13" s="293">
        <f>IFERROR(IF(F$4="",0,IF($E13="kWh",VLOOKUP(F$4,'4. Billing Determinants'!$B$19:$R$41,4,0)/'4. Billing Determinants'!$E$41*$D13,IF($E13="kW",VLOOKUP(F$4,'4. Billing Determinants'!$B$19:$R$41,5,0)/'4. Billing Determinants'!$F$41*$D13,IF($E13="Non-RPP kWh",VLOOKUP(F$4,'4. Billing Determinants'!$B$19:$R$41,6,0)/'4. Billing Determinants'!$G$41*$D13,VLOOKUP(F$4,'4. Billing Determinants'!$B$19:$AA$41,21,0)*$D13)))),0)</f>
        <v>0</v>
      </c>
      <c r="G13" s="293">
        <f>IFERROR(IF(G$4="",0,IF($E13="kWh",VLOOKUP(G$4,'4. Billing Determinants'!$B$19:$R$41,4,0)/'4. Billing Determinants'!$E$41*$D13,IF($E13="kW",VLOOKUP(G$4,'4. Billing Determinants'!$B$19:$R$41,5,0)/'4. Billing Determinants'!$F$41*$D13,IF($E13="Non-RPP kWh",VLOOKUP(G$4,'4. Billing Determinants'!$B$19:$R$41,6,0)/'4. Billing Determinants'!$G$41*$D13,VLOOKUP(G$4,'4. Billing Determinants'!$B$19:$AA$41,21,0)*$D13)))),0)</f>
        <v>0</v>
      </c>
      <c r="H13" s="293">
        <f>IFERROR(IF(H$4="",0,IF($E13="kWh",VLOOKUP(H$4,'4. Billing Determinants'!$B$19:$R$41,4,0)/'4. Billing Determinants'!$E$41*$D13,IF($E13="kW",VLOOKUP(H$4,'4. Billing Determinants'!$B$19:$R$41,5,0)/'4. Billing Determinants'!$F$41*$D13,IF($E13="Non-RPP kWh",VLOOKUP(H$4,'4. Billing Determinants'!$B$19:$R$41,6,0)/'4. Billing Determinants'!$G$41*$D13,VLOOKUP(H$4,'4. Billing Determinants'!$B$19:$AA$41,21,0)*$D13)))),0)</f>
        <v>0</v>
      </c>
      <c r="I13" s="293">
        <f>IFERROR(IF(I$4="",0,IF($E13="kWh",VLOOKUP(I$4,'4. Billing Determinants'!$B$19:$R$41,4,0)/'4. Billing Determinants'!$E$41*$D13,IF($E13="kW",VLOOKUP(I$4,'4. Billing Determinants'!$B$19:$R$41,5,0)/'4. Billing Determinants'!$F$41*$D13,IF($E13="Non-RPP kWh",VLOOKUP(I$4,'4. Billing Determinants'!$B$19:$R$41,6,0)/'4. Billing Determinants'!$G$41*$D13,VLOOKUP(I$4,'4. Billing Determinants'!$B$19:$AA$41,21,0)*$D13)))),0)</f>
        <v>0</v>
      </c>
      <c r="J13" s="293">
        <f>IFERROR(IF(J$4="",0,IF($E13="kWh",VLOOKUP(J$4,'4. Billing Determinants'!$B$19:$R$41,4,0)/'4. Billing Determinants'!$E$41*$D13,IF($E13="kW",VLOOKUP(J$4,'4. Billing Determinants'!$B$19:$R$41,5,0)/'4. Billing Determinants'!$F$41*$D13,IF($E13="Non-RPP kWh",VLOOKUP(J$4,'4. Billing Determinants'!$B$19:$R$41,6,0)/'4. Billing Determinants'!$G$41*$D13,VLOOKUP(J$4,'4. Billing Determinants'!$B$19:$AA$41,21,0)*$D13)))),0)</f>
        <v>0</v>
      </c>
      <c r="K13" s="293">
        <f>IFERROR(IF(K$4="",0,IF($E13="kWh",VLOOKUP(K$4,'4. Billing Determinants'!$B$19:$R$41,4,0)/'4. Billing Determinants'!$E$41*$D13,IF($E13="kW",VLOOKUP(K$4,'4. Billing Determinants'!$B$19:$R$41,5,0)/'4. Billing Determinants'!$F$41*$D13,IF($E13="Non-RPP kWh",VLOOKUP(K$4,'4. Billing Determinants'!$B$19:$R$41,6,0)/'4. Billing Determinants'!$G$41*$D13,VLOOKUP(K$4,'4. Billing Determinants'!$B$19:$AA$41,21,0)*$D13)))),0)</f>
        <v>0</v>
      </c>
      <c r="L13" s="293">
        <f>IFERROR(IF(L$4="",0,IF($E13="kWh",VLOOKUP(L$4,'4. Billing Determinants'!$B$19:$R$41,4,0)/'4. Billing Determinants'!$E$41*$D13,IF($E13="kW",VLOOKUP(L$4,'4. Billing Determinants'!$B$19:$R$41,5,0)/'4. Billing Determinants'!$F$41*$D13,IF($E13="Non-RPP kWh",VLOOKUP(L$4,'4. Billing Determinants'!$B$19:$R$41,6,0)/'4. Billing Determinants'!$G$41*$D13,VLOOKUP(L$4,'4. Billing Determinants'!$B$19:$AA$41,21,0)*$D13)))),0)</f>
        <v>0</v>
      </c>
      <c r="M13" s="293">
        <f>IFERROR(IF(M$4="",0,IF($E13="kWh",VLOOKUP(M$4,'4. Billing Determinants'!$B$19:$R$41,4,0)/'4. Billing Determinants'!$E$41*$D13,IF($E13="kW",VLOOKUP(M$4,'4. Billing Determinants'!$B$19:$R$41,5,0)/'4. Billing Determinants'!$F$41*$D13,IF($E13="Non-RPP kWh",VLOOKUP(M$4,'4. Billing Determinants'!$B$19:$R$41,6,0)/'4. Billing Determinants'!$G$41*$D13,VLOOKUP(M$4,'4. Billing Determinants'!$B$19:$AA$41,21,0)*$D13)))),0)</f>
        <v>0</v>
      </c>
      <c r="N13" s="293">
        <f>IFERROR(IF(N$4="",0,IF($E13="kWh",VLOOKUP(N$4,'4. Billing Determinants'!$B$19:$R$41,4,0)/'4. Billing Determinants'!$E$41*$D13,IF($E13="kW",VLOOKUP(N$4,'4. Billing Determinants'!$B$19:$R$41,5,0)/'4. Billing Determinants'!$F$41*$D13,IF($E13="Non-RPP kWh",VLOOKUP(N$4,'4. Billing Determinants'!$B$19:$R$41,6,0)/'4. Billing Determinants'!$G$41*$D13,VLOOKUP(N$4,'4. Billing Determinants'!$B$19:$AA$41,21,0)*$D13)))),0)</f>
        <v>0</v>
      </c>
      <c r="O13" s="293">
        <f>IFERROR(IF(O$4="",0,IF($E13="kWh",VLOOKUP(O$4,'4. Billing Determinants'!$B$19:$R$41,4,0)/'4. Billing Determinants'!$E$41*$D13,IF($E13="kW",VLOOKUP(O$4,'4. Billing Determinants'!$B$19:$R$41,5,0)/'4. Billing Determinants'!$F$41*$D13,IF($E13="Non-RPP kWh",VLOOKUP(O$4,'4. Billing Determinants'!$B$19:$R$41,6,0)/'4. Billing Determinants'!$G$41*$D13,VLOOKUP(O$4,'4. Billing Determinants'!$B$19:$AA$41,21,0)*$D13)))),0)</f>
        <v>0</v>
      </c>
      <c r="P13" s="293">
        <f>IFERROR(IF(P$4="",0,IF($E13="kWh",VLOOKUP(P$4,'4. Billing Determinants'!$B$19:$R$41,4,0)/'4. Billing Determinants'!$E$41*$D13,IF($E13="kW",VLOOKUP(P$4,'4. Billing Determinants'!$B$19:$R$41,5,0)/'4. Billing Determinants'!$F$41*$D13,IF($E13="Non-RPP kWh",VLOOKUP(P$4,'4. Billing Determinants'!$B$19:$R$41,6,0)/'4. Billing Determinants'!$G$41*$D13,VLOOKUP(P$4,'4. Billing Determinants'!$B$19:$AA$41,21,0)*$D13)))),0)</f>
        <v>0</v>
      </c>
      <c r="Q13" s="293">
        <f>IFERROR(IF(Q$4="",0,IF($E13="kWh",VLOOKUP(Q$4,'4. Billing Determinants'!$B$19:$R$41,4,0)/'4. Billing Determinants'!$E$41*$D13,IF($E13="kW",VLOOKUP(Q$4,'4. Billing Determinants'!$B$19:$R$41,5,0)/'4. Billing Determinants'!$F$41*$D13,IF($E13="Non-RPP kWh",VLOOKUP(Q$4,'4. Billing Determinants'!$B$19:$R$41,6,0)/'4. Billing Determinants'!$G$41*$D13,VLOOKUP(Q$4,'4. Billing Determinants'!$B$19:$AA$41,21,0)*$D13)))),0)</f>
        <v>0</v>
      </c>
      <c r="R13" s="293">
        <f>IFERROR(IF(R$4="",0,IF($E13="kWh",VLOOKUP(R$4,'4. Billing Determinants'!$B$19:$R$41,4,0)/'4. Billing Determinants'!$E$41*$D13,IF($E13="kW",VLOOKUP(R$4,'4. Billing Determinants'!$B$19:$R$41,5,0)/'4. Billing Determinants'!$F$41*$D13,IF($E13="Non-RPP kWh",VLOOKUP(R$4,'4. Billing Determinants'!$B$19:$R$41,6,0)/'4. Billing Determinants'!$G$41*$D13,VLOOKUP(R$4,'4. Billing Determinants'!$B$19:$AA$41,21,0)*$D13)))),0)</f>
        <v>0</v>
      </c>
      <c r="S13" s="293">
        <f>IFERROR(IF(S$4="",0,IF($E13="kWh",VLOOKUP(S$4,'4. Billing Determinants'!$B$19:$R$41,4,0)/'4. Billing Determinants'!$E$41*$D13,IF($E13="kW",VLOOKUP(S$4,'4. Billing Determinants'!$B$19:$R$41,5,0)/'4. Billing Determinants'!$F$41*$D13,IF($E13="Non-RPP kWh",VLOOKUP(S$4,'4. Billing Determinants'!$B$19:$R$41,6,0)/'4. Billing Determinants'!$G$41*$D13,VLOOKUP(S$4,'4. Billing Determinants'!$B$19:$AA$41,21,0)*$D13)))),0)</f>
        <v>0</v>
      </c>
      <c r="T13" s="293">
        <f>IFERROR(IF(T$4="",0,IF($E13="kWh",VLOOKUP(T$4,'4. Billing Determinants'!$B$19:$R$41,4,0)/'4. Billing Determinants'!$E$41*$D13,IF($E13="kW",VLOOKUP(T$4,'4. Billing Determinants'!$B$19:$R$41,5,0)/'4. Billing Determinants'!$F$41*$D13,IF($E13="Non-RPP kWh",VLOOKUP(T$4,'4. Billing Determinants'!$B$19:$R$41,6,0)/'4. Billing Determinants'!$G$41*$D13,VLOOKUP(T$4,'4. Billing Determinants'!$B$19:$AA$41,21,0)*$D13)))),0)</f>
        <v>0</v>
      </c>
      <c r="U13" s="293">
        <f>IFERROR(IF(U$4="",0,IF($E13="kWh",VLOOKUP(U$4,'4. Billing Determinants'!$B$19:$R$41,4,0)/'4. Billing Determinants'!$E$41*$D13,IF($E13="kW",VLOOKUP(U$4,'4. Billing Determinants'!$B$19:$R$41,5,0)/'4. Billing Determinants'!$F$41*$D13,IF($E13="Non-RPP kWh",VLOOKUP(U$4,'4. Billing Determinants'!$B$19:$R$41,6,0)/'4. Billing Determinants'!$G$41*$D13,VLOOKUP(U$4,'4. Billing Determinants'!$B$19:$AA$41,21,0)*$D13)))),0)</f>
        <v>0</v>
      </c>
      <c r="V13" s="293">
        <f>IFERROR(IF(V$4="",0,IF($E13="kWh",VLOOKUP(V$4,'4. Billing Determinants'!$B$19:$R$41,4,0)/'4. Billing Determinants'!$E$41*$D13,IF($E13="kW",VLOOKUP(V$4,'4. Billing Determinants'!$B$19:$R$41,5,0)/'4. Billing Determinants'!$F$41*$D13,IF($E13="Non-RPP kWh",VLOOKUP(V$4,'4. Billing Determinants'!$B$19:$R$41,6,0)/'4. Billing Determinants'!$G$41*$D13,VLOOKUP(V$4,'4. Billing Determinants'!$B$19:$AA$41,21,0)*$D13)))),0)</f>
        <v>0</v>
      </c>
      <c r="W13" s="293">
        <f>IFERROR(IF(W$4="",0,IF($E13="kWh",VLOOKUP(W$4,'4. Billing Determinants'!$B$19:$R$41,4,0)/'4. Billing Determinants'!$E$41*$D13,IF($E13="kW",VLOOKUP(W$4,'4. Billing Determinants'!$B$19:$R$41,5,0)/'4. Billing Determinants'!$F$41*$D13,IF($E13="Non-RPP kWh",VLOOKUP(W$4,'4. Billing Determinants'!$B$19:$R$41,6,0)/'4. Billing Determinants'!$G$41*$D13,VLOOKUP(W$4,'4. Billing Determinants'!$B$19:$AA$41,21,0)*$D13)))),0)</f>
        <v>0</v>
      </c>
      <c r="X13" s="293">
        <f>IFERROR(IF(X$4="",0,IF($E13="kWh",VLOOKUP(X$4,'4. Billing Determinants'!$B$19:$R$41,4,0)/'4. Billing Determinants'!$E$41*$D13,IF($E13="kW",VLOOKUP(X$4,'4. Billing Determinants'!$B$19:$R$41,5,0)/'4. Billing Determinants'!$F$41*$D13,IF($E13="Non-RPP kWh",VLOOKUP(X$4,'4. Billing Determinants'!$B$19:$R$41,6,0)/'4. Billing Determinants'!$G$41*$D13,VLOOKUP(X$4,'4. Billing Determinants'!$B$19:$AA$41,21,0)*$D13)))),0)</f>
        <v>0</v>
      </c>
      <c r="Y13" s="293">
        <f>IFERROR(IF(Y$4="",0,IF($E13="kWh",VLOOKUP(Y$4,'4. Billing Determinants'!$B$19:$R$41,4,0)/'4. Billing Determinants'!$E$41*$D13,IF($E13="kW",VLOOKUP(Y$4,'4. Billing Determinants'!$B$19:$R$41,5,0)/'4. Billing Determinants'!$F$41*$D13,IF($E13="Non-RPP kWh",VLOOKUP(Y$4,'4. Billing Determinants'!$B$19:$R$41,6,0)/'4. Billing Determinants'!$G$41*$D13,VLOOKUP(Y$4,'4. Billing Determinants'!$B$19:$AA$41,21,0)*$D13)))),0)</f>
        <v>0</v>
      </c>
    </row>
    <row r="14" spans="1:27" hidden="1" x14ac:dyDescent="0.25">
      <c r="A14" s="122">
        <v>11</v>
      </c>
      <c r="B14" s="42" t="s">
        <v>441</v>
      </c>
      <c r="C14" s="260">
        <v>1595</v>
      </c>
      <c r="D14" s="40">
        <f>'2a. Continuity Schedule'!BT35</f>
        <v>0</v>
      </c>
      <c r="E14" s="296" t="s">
        <v>146</v>
      </c>
      <c r="F14" s="293">
        <f>IFERROR(IF(F$4="",0,IF($E14="kWh",VLOOKUP(F$4,'4. Billing Determinants'!$B$19:$R$41,4,0)/'4. Billing Determinants'!$E$41*$D14,IF($E14="kW",VLOOKUP(F$4,'4. Billing Determinants'!$B$19:$R$41,5,0)/'4. Billing Determinants'!$F$41*$D14,IF($E14="Non-RPP kWh",VLOOKUP(F$4,'4. Billing Determinants'!$B$19:$R$41,6,0)/'4. Billing Determinants'!$G$41*$D14, VLOOKUP(F$4,'4. Billing Determinants'!$B$19:$AA$41,22,0)*$D14)))),0)</f>
        <v>0</v>
      </c>
      <c r="G14" s="293">
        <f>IFERROR(IF(G$4="",0,IF($E14="kWh",VLOOKUP(G$4,'4. Billing Determinants'!$B$19:$R$41,4,0)/'4. Billing Determinants'!$E$41*$D14,IF($E14="kW",VLOOKUP(G$4,'4. Billing Determinants'!$B$19:$R$41,5,0)/'4. Billing Determinants'!$F$41*$D14,IF($E14="Non-RPP kWh",VLOOKUP(G$4,'4. Billing Determinants'!$B$19:$R$41,6,0)/'4. Billing Determinants'!$G$41*$D14, VLOOKUP(G$4,'4. Billing Determinants'!$B$19:$AA$41,22,0)*$D14)))),0)</f>
        <v>0</v>
      </c>
      <c r="H14" s="293">
        <f>IFERROR(IF(H$4="",0,IF($E14="kWh",VLOOKUP(H$4,'4. Billing Determinants'!$B$19:$R$41,4,0)/'4. Billing Determinants'!$E$41*$D14,IF($E14="kW",VLOOKUP(H$4,'4. Billing Determinants'!$B$19:$R$41,5,0)/'4. Billing Determinants'!$F$41*$D14,IF($E14="Non-RPP kWh",VLOOKUP(H$4,'4. Billing Determinants'!$B$19:$R$41,6,0)/'4. Billing Determinants'!$G$41*$D14, VLOOKUP(H$4,'4. Billing Determinants'!$B$19:$AA$41,22,0)*$D14)))),0)</f>
        <v>0</v>
      </c>
      <c r="I14" s="293">
        <f>IFERROR(IF(I$4="",0,IF($E14="kWh",VLOOKUP(I$4,'4. Billing Determinants'!$B$19:$R$41,4,0)/'4. Billing Determinants'!$E$41*$D14,IF($E14="kW",VLOOKUP(I$4,'4. Billing Determinants'!$B$19:$R$41,5,0)/'4. Billing Determinants'!$F$41*$D14,IF($E14="Non-RPP kWh",VLOOKUP(I$4,'4. Billing Determinants'!$B$19:$R$41,6,0)/'4. Billing Determinants'!$G$41*$D14, VLOOKUP(I$4,'4. Billing Determinants'!$B$19:$AA$41,22,0)*$D14)))),0)</f>
        <v>0</v>
      </c>
      <c r="J14" s="293">
        <f>IFERROR(IF(J$4="",0,IF($E14="kWh",VLOOKUP(J$4,'4. Billing Determinants'!$B$19:$R$41,4,0)/'4. Billing Determinants'!$E$41*$D14,IF($E14="kW",VLOOKUP(J$4,'4. Billing Determinants'!$B$19:$R$41,5,0)/'4. Billing Determinants'!$F$41*$D14,IF($E14="Non-RPP kWh",VLOOKUP(J$4,'4. Billing Determinants'!$B$19:$R$41,6,0)/'4. Billing Determinants'!$G$41*$D14, VLOOKUP(J$4,'4. Billing Determinants'!$B$19:$AA$41,22,0)*$D14)))),0)</f>
        <v>0</v>
      </c>
      <c r="K14" s="293">
        <f>IFERROR(IF(K$4="",0,IF($E14="kWh",VLOOKUP(K$4,'4. Billing Determinants'!$B$19:$R$41,4,0)/'4. Billing Determinants'!$E$41*$D14,IF($E14="kW",VLOOKUP(K$4,'4. Billing Determinants'!$B$19:$R$41,5,0)/'4. Billing Determinants'!$F$41*$D14,IF($E14="Non-RPP kWh",VLOOKUP(K$4,'4. Billing Determinants'!$B$19:$R$41,6,0)/'4. Billing Determinants'!$G$41*$D14, VLOOKUP(K$4,'4. Billing Determinants'!$B$19:$AA$41,22,0)*$D14)))),0)</f>
        <v>0</v>
      </c>
      <c r="L14" s="293">
        <f>IFERROR(IF(L$4="",0,IF($E14="kWh",VLOOKUP(L$4,'4. Billing Determinants'!$B$19:$R$41,4,0)/'4. Billing Determinants'!$E$41*$D14,IF($E14="kW",VLOOKUP(L$4,'4. Billing Determinants'!$B$19:$R$41,5,0)/'4. Billing Determinants'!$F$41*$D14,IF($E14="Non-RPP kWh",VLOOKUP(L$4,'4. Billing Determinants'!$B$19:$R$41,6,0)/'4. Billing Determinants'!$G$41*$D14, VLOOKUP(L$4,'4. Billing Determinants'!$B$19:$AA$41,22,0)*$D14)))),0)</f>
        <v>0</v>
      </c>
      <c r="M14" s="293">
        <f>IFERROR(IF(M$4="",0,IF($E14="kWh",VLOOKUP(M$4,'4. Billing Determinants'!$B$19:$R$41,4,0)/'4. Billing Determinants'!$E$41*$D14,IF($E14="kW",VLOOKUP(M$4,'4. Billing Determinants'!$B$19:$R$41,5,0)/'4. Billing Determinants'!$F$41*$D14,IF($E14="Non-RPP kWh",VLOOKUP(M$4,'4. Billing Determinants'!$B$19:$R$41,6,0)/'4. Billing Determinants'!$G$41*$D14, VLOOKUP(M$4,'4. Billing Determinants'!$B$19:$AA$41,22,0)*$D14)))),0)</f>
        <v>0</v>
      </c>
      <c r="N14" s="293">
        <f>IFERROR(IF(N$4="",0,IF($E14="kWh",VLOOKUP(N$4,'4. Billing Determinants'!$B$19:$R$41,4,0)/'4. Billing Determinants'!$E$41*$D14,IF($E14="kW",VLOOKUP(N$4,'4. Billing Determinants'!$B$19:$R$41,5,0)/'4. Billing Determinants'!$F$41*$D14,IF($E14="Non-RPP kWh",VLOOKUP(N$4,'4. Billing Determinants'!$B$19:$R$41,6,0)/'4. Billing Determinants'!$G$41*$D14, VLOOKUP(N$4,'4. Billing Determinants'!$B$19:$AA$41,22,0)*$D14)))),0)</f>
        <v>0</v>
      </c>
      <c r="O14" s="293">
        <f>IFERROR(IF(O$4="",0,IF($E14="kWh",VLOOKUP(O$4,'4. Billing Determinants'!$B$19:$R$41,4,0)/'4. Billing Determinants'!$E$41*$D14,IF($E14="kW",VLOOKUP(O$4,'4. Billing Determinants'!$B$19:$R$41,5,0)/'4. Billing Determinants'!$F$41*$D14,IF($E14="Non-RPP kWh",VLOOKUP(O$4,'4. Billing Determinants'!$B$19:$R$41,6,0)/'4. Billing Determinants'!$G$41*$D14, VLOOKUP(O$4,'4. Billing Determinants'!$B$19:$AA$41,22,0)*$D14)))),0)</f>
        <v>0</v>
      </c>
      <c r="P14" s="293">
        <f>IFERROR(IF(P$4="",0,IF($E14="kWh",VLOOKUP(P$4,'4. Billing Determinants'!$B$19:$R$41,4,0)/'4. Billing Determinants'!$E$41*$D14,IF($E14="kW",VLOOKUP(P$4,'4. Billing Determinants'!$B$19:$R$41,5,0)/'4. Billing Determinants'!$F$41*$D14,IF($E14="Non-RPP kWh",VLOOKUP(P$4,'4. Billing Determinants'!$B$19:$R$41,6,0)/'4. Billing Determinants'!$G$41*$D14, VLOOKUP(P$4,'4. Billing Determinants'!$B$19:$AA$41,22,0)*$D14)))),0)</f>
        <v>0</v>
      </c>
      <c r="Q14" s="293">
        <f>IFERROR(IF(Q$4="",0,IF($E14="kWh",VLOOKUP(Q$4,'4. Billing Determinants'!$B$19:$R$41,4,0)/'4. Billing Determinants'!$E$41*$D14,IF($E14="kW",VLOOKUP(Q$4,'4. Billing Determinants'!$B$19:$R$41,5,0)/'4. Billing Determinants'!$F$41*$D14,IF($E14="Non-RPP kWh",VLOOKUP(Q$4,'4. Billing Determinants'!$B$19:$R$41,6,0)/'4. Billing Determinants'!$G$41*$D14, VLOOKUP(Q$4,'4. Billing Determinants'!$B$19:$AA$41,22,0)*$D14)))),0)</f>
        <v>0</v>
      </c>
      <c r="R14" s="293">
        <f>IFERROR(IF(R$4="",0,IF($E14="kWh",VLOOKUP(R$4,'4. Billing Determinants'!$B$19:$R$41,4,0)/'4. Billing Determinants'!$E$41*$D14,IF($E14="kW",VLOOKUP(R$4,'4. Billing Determinants'!$B$19:$R$41,5,0)/'4. Billing Determinants'!$F$41*$D14,IF($E14="Non-RPP kWh",VLOOKUP(R$4,'4. Billing Determinants'!$B$19:$R$41,6,0)/'4. Billing Determinants'!$G$41*$D14, VLOOKUP(R$4,'4. Billing Determinants'!$B$19:$AA$41,22,0)*$D14)))),0)</f>
        <v>0</v>
      </c>
      <c r="S14" s="293">
        <f>IFERROR(IF(S$4="",0,IF($E14="kWh",VLOOKUP(S$4,'4. Billing Determinants'!$B$19:$R$41,4,0)/'4. Billing Determinants'!$E$41*$D14,IF($E14="kW",VLOOKUP(S$4,'4. Billing Determinants'!$B$19:$R$41,5,0)/'4. Billing Determinants'!$F$41*$D14,IF($E14="Non-RPP kWh",VLOOKUP(S$4,'4. Billing Determinants'!$B$19:$R$41,6,0)/'4. Billing Determinants'!$G$41*$D14, VLOOKUP(S$4,'4. Billing Determinants'!$B$19:$AA$41,22,0)*$D14)))),0)</f>
        <v>0</v>
      </c>
      <c r="T14" s="293">
        <f>IFERROR(IF(T$4="",0,IF($E14="kWh",VLOOKUP(T$4,'4. Billing Determinants'!$B$19:$R$41,4,0)/'4. Billing Determinants'!$E$41*$D14,IF($E14="kW",VLOOKUP(T$4,'4. Billing Determinants'!$B$19:$R$41,5,0)/'4. Billing Determinants'!$F$41*$D14,IF($E14="Non-RPP kWh",VLOOKUP(T$4,'4. Billing Determinants'!$B$19:$R$41,6,0)/'4. Billing Determinants'!$G$41*$D14, VLOOKUP(T$4,'4. Billing Determinants'!$B$19:$AA$41,22,0)*$D14)))),0)</f>
        <v>0</v>
      </c>
      <c r="U14" s="293">
        <f>IFERROR(IF(U$4="",0,IF($E14="kWh",VLOOKUP(U$4,'4. Billing Determinants'!$B$19:$R$41,4,0)/'4. Billing Determinants'!$E$41*$D14,IF($E14="kW",VLOOKUP(U$4,'4. Billing Determinants'!$B$19:$R$41,5,0)/'4. Billing Determinants'!$F$41*$D14,IF($E14="Non-RPP kWh",VLOOKUP(U$4,'4. Billing Determinants'!$B$19:$R$41,6,0)/'4. Billing Determinants'!$G$41*$D14, VLOOKUP(U$4,'4. Billing Determinants'!$B$19:$AA$41,22,0)*$D14)))),0)</f>
        <v>0</v>
      </c>
      <c r="V14" s="293">
        <f>IFERROR(IF(V$4="",0,IF($E14="kWh",VLOOKUP(V$4,'4. Billing Determinants'!$B$19:$R$41,4,0)/'4. Billing Determinants'!$E$41*$D14,IF($E14="kW",VLOOKUP(V$4,'4. Billing Determinants'!$B$19:$R$41,5,0)/'4. Billing Determinants'!$F$41*$D14,IF($E14="Non-RPP kWh",VLOOKUP(V$4,'4. Billing Determinants'!$B$19:$R$41,6,0)/'4. Billing Determinants'!$G$41*$D14, VLOOKUP(V$4,'4. Billing Determinants'!$B$19:$AA$41,22,0)*$D14)))),0)</f>
        <v>0</v>
      </c>
      <c r="W14" s="293">
        <f>IFERROR(IF(W$4="",0,IF($E14="kWh",VLOOKUP(W$4,'4. Billing Determinants'!$B$19:$R$41,4,0)/'4. Billing Determinants'!$E$41*$D14,IF($E14="kW",VLOOKUP(W$4,'4. Billing Determinants'!$B$19:$R$41,5,0)/'4. Billing Determinants'!$F$41*$D14,IF($E14="Non-RPP kWh",VLOOKUP(W$4,'4. Billing Determinants'!$B$19:$R$41,6,0)/'4. Billing Determinants'!$G$41*$D14, VLOOKUP(W$4,'4. Billing Determinants'!$B$19:$AA$41,22,0)*$D14)))),0)</f>
        <v>0</v>
      </c>
      <c r="X14" s="293">
        <f>IFERROR(IF(X$4="",0,IF($E14="kWh",VLOOKUP(X$4,'4. Billing Determinants'!$B$19:$R$41,4,0)/'4. Billing Determinants'!$E$41*$D14,IF($E14="kW",VLOOKUP(X$4,'4. Billing Determinants'!$B$19:$R$41,5,0)/'4. Billing Determinants'!$F$41*$D14,IF($E14="Non-RPP kWh",VLOOKUP(X$4,'4. Billing Determinants'!$B$19:$R$41,6,0)/'4. Billing Determinants'!$G$41*$D14, VLOOKUP(X$4,'4. Billing Determinants'!$B$19:$AA$41,22,0)*$D14)))),0)</f>
        <v>0</v>
      </c>
      <c r="Y14" s="293">
        <f>IFERROR(IF(Y$4="",0,IF($E14="kWh",VLOOKUP(Y$4,'4. Billing Determinants'!$B$19:$R$41,4,0)/'4. Billing Determinants'!$E$41*$D14,IF($E14="kW",VLOOKUP(Y$4,'4. Billing Determinants'!$B$19:$R$41,5,0)/'4. Billing Determinants'!$F$41*$D14,IF($E14="Non-RPP kWh",VLOOKUP(Y$4,'4. Billing Determinants'!$B$19:$R$41,6,0)/'4. Billing Determinants'!$G$41*$D14, VLOOKUP(Y$4,'4. Billing Determinants'!$B$19:$AA$41,22,0)*$D14)))),0)</f>
        <v>0</v>
      </c>
    </row>
    <row r="15" spans="1:27" x14ac:dyDescent="0.25">
      <c r="A15" s="278">
        <v>12</v>
      </c>
      <c r="B15" s="42" t="s">
        <v>3016</v>
      </c>
      <c r="C15" s="260">
        <v>1595</v>
      </c>
      <c r="D15" s="40">
        <f>'2a. Continuity Schedule'!BT36</f>
        <v>0</v>
      </c>
      <c r="E15" s="296" t="s">
        <v>146</v>
      </c>
      <c r="F15" s="293">
        <f>IFERROR(IF(F$4="",0,IF($E15="kWh",VLOOKUP(F$4,'4. Billing Determinants'!$B$19:$R$41,4,0)/'4. Billing Determinants'!$E$41*$D15,IF($E15="kW",VLOOKUP(F$4,'4. Billing Determinants'!$B$19:$R$41,5,0)/'4. Billing Determinants'!$F$41*$D15,IF($E15="Non-RPP kWh",VLOOKUP(F$4,'4. Billing Determinants'!$B$19:$R$41,6,0)/'4. Billing Determinants'!$G$41*$D15, VLOOKUP(F$4,'4. Billing Determinants'!$B$19:$AA$41,23,0)*$D15)))),0)</f>
        <v>0</v>
      </c>
      <c r="G15" s="293">
        <f>IFERROR(IF(G$4="",0,IF($E15="kWh",VLOOKUP(G$4,'4. Billing Determinants'!$B$19:$R$41,4,0)/'4. Billing Determinants'!$E$41*$D15,IF($E15="kW",VLOOKUP(G$4,'4. Billing Determinants'!$B$19:$R$41,5,0)/'4. Billing Determinants'!$F$41*$D15,IF($E15="Non-RPP kWh",VLOOKUP(G$4,'4. Billing Determinants'!$B$19:$R$41,6,0)/'4. Billing Determinants'!$G$41*$D15, VLOOKUP(G$4,'4. Billing Determinants'!$B$19:$AA$41,23,0)*$D15)))),0)</f>
        <v>0</v>
      </c>
      <c r="H15" s="293">
        <f>IFERROR(IF(H$4="",0,IF($E15="kWh",VLOOKUP(H$4,'4. Billing Determinants'!$B$19:$R$41,4,0)/'4. Billing Determinants'!$E$41*$D15,IF($E15="kW",VLOOKUP(H$4,'4. Billing Determinants'!$B$19:$R$41,5,0)/'4. Billing Determinants'!$F$41*$D15,IF($E15="Non-RPP kWh",VLOOKUP(H$4,'4. Billing Determinants'!$B$19:$R$41,6,0)/'4. Billing Determinants'!$G$41*$D15, VLOOKUP(H$4,'4. Billing Determinants'!$B$19:$AA$41,23,0)*$D15)))),0)</f>
        <v>0</v>
      </c>
      <c r="I15" s="293">
        <f>IFERROR(IF(I$4="",0,IF($E15="kWh",VLOOKUP(I$4,'4. Billing Determinants'!$B$19:$R$41,4,0)/'4. Billing Determinants'!$E$41*$D15,IF($E15="kW",VLOOKUP(I$4,'4. Billing Determinants'!$B$19:$R$41,5,0)/'4. Billing Determinants'!$F$41*$D15,IF($E15="Non-RPP kWh",VLOOKUP(I$4,'4. Billing Determinants'!$B$19:$R$41,6,0)/'4. Billing Determinants'!$G$41*$D15, VLOOKUP(I$4,'4. Billing Determinants'!$B$19:$AA$41,23,0)*$D15)))),0)</f>
        <v>0</v>
      </c>
      <c r="J15" s="293">
        <f>IFERROR(IF(J$4="",0,IF($E15="kWh",VLOOKUP(J$4,'4. Billing Determinants'!$B$19:$R$41,4,0)/'4. Billing Determinants'!$E$41*$D15,IF($E15="kW",VLOOKUP(J$4,'4. Billing Determinants'!$B$19:$R$41,5,0)/'4. Billing Determinants'!$F$41*$D15,IF($E15="Non-RPP kWh",VLOOKUP(J$4,'4. Billing Determinants'!$B$19:$R$41,6,0)/'4. Billing Determinants'!$G$41*$D15, VLOOKUP(J$4,'4. Billing Determinants'!$B$19:$AA$41,23,0)*$D15)))),0)</f>
        <v>0</v>
      </c>
      <c r="K15" s="293">
        <f>IFERROR(IF(K$4="",0,IF($E15="kWh",VLOOKUP(K$4,'4. Billing Determinants'!$B$19:$R$41,4,0)/'4. Billing Determinants'!$E$41*$D15,IF($E15="kW",VLOOKUP(K$4,'4. Billing Determinants'!$B$19:$R$41,5,0)/'4. Billing Determinants'!$F$41*$D15,IF($E15="Non-RPP kWh",VLOOKUP(K$4,'4. Billing Determinants'!$B$19:$R$41,6,0)/'4. Billing Determinants'!$G$41*$D15, VLOOKUP(K$4,'4. Billing Determinants'!$B$19:$AA$41,23,0)*$D15)))),0)</f>
        <v>0</v>
      </c>
      <c r="L15" s="293">
        <f>IFERROR(IF(L$4="",0,IF($E15="kWh",VLOOKUP(L$4,'4. Billing Determinants'!$B$19:$R$41,4,0)/'4. Billing Determinants'!$E$41*$D15,IF($E15="kW",VLOOKUP(L$4,'4. Billing Determinants'!$B$19:$R$41,5,0)/'4. Billing Determinants'!$F$41*$D15,IF($E15="Non-RPP kWh",VLOOKUP(L$4,'4. Billing Determinants'!$B$19:$R$41,6,0)/'4. Billing Determinants'!$G$41*$D15, VLOOKUP(L$4,'4. Billing Determinants'!$B$19:$AA$41,23,0)*$D15)))),0)</f>
        <v>0</v>
      </c>
      <c r="M15" s="293">
        <f>IFERROR(IF(M$4="",0,IF($E15="kWh",VLOOKUP(M$4,'4. Billing Determinants'!$B$19:$R$41,4,0)/'4. Billing Determinants'!$E$41*$D15,IF($E15="kW",VLOOKUP(M$4,'4. Billing Determinants'!$B$19:$R$41,5,0)/'4. Billing Determinants'!$F$41*$D15,IF($E15="Non-RPP kWh",VLOOKUP(M$4,'4. Billing Determinants'!$B$19:$R$41,6,0)/'4. Billing Determinants'!$G$41*$D15, VLOOKUP(M$4,'4. Billing Determinants'!$B$19:$AA$41,23,0)*$D15)))),0)</f>
        <v>0</v>
      </c>
      <c r="N15" s="293">
        <f>IFERROR(IF(N$4="",0,IF($E15="kWh",VLOOKUP(N$4,'4. Billing Determinants'!$B$19:$R$41,4,0)/'4. Billing Determinants'!$E$41*$D15,IF($E15="kW",VLOOKUP(N$4,'4. Billing Determinants'!$B$19:$R$41,5,0)/'4. Billing Determinants'!$F$41*$D15,IF($E15="Non-RPP kWh",VLOOKUP(N$4,'4. Billing Determinants'!$B$19:$R$41,6,0)/'4. Billing Determinants'!$G$41*$D15, VLOOKUP(N$4,'4. Billing Determinants'!$B$19:$AA$41,23,0)*$D15)))),0)</f>
        <v>0</v>
      </c>
      <c r="O15" s="293">
        <f>IFERROR(IF(O$4="",0,IF($E15="kWh",VLOOKUP(O$4,'4. Billing Determinants'!$B$19:$R$41,4,0)/'4. Billing Determinants'!$E$41*$D15,IF($E15="kW",VLOOKUP(O$4,'4. Billing Determinants'!$B$19:$R$41,5,0)/'4. Billing Determinants'!$F$41*$D15,IF($E15="Non-RPP kWh",VLOOKUP(O$4,'4. Billing Determinants'!$B$19:$R$41,6,0)/'4. Billing Determinants'!$G$41*$D15, VLOOKUP(O$4,'4. Billing Determinants'!$B$19:$AA$41,23,0)*$D15)))),0)</f>
        <v>0</v>
      </c>
      <c r="P15" s="293">
        <f>IFERROR(IF(P$4="",0,IF($E15="kWh",VLOOKUP(P$4,'4. Billing Determinants'!$B$19:$R$41,4,0)/'4. Billing Determinants'!$E$41*$D15,IF($E15="kW",VLOOKUP(P$4,'4. Billing Determinants'!$B$19:$R$41,5,0)/'4. Billing Determinants'!$F$41*$D15,IF($E15="Non-RPP kWh",VLOOKUP(P$4,'4. Billing Determinants'!$B$19:$R$41,6,0)/'4. Billing Determinants'!$G$41*$D15, VLOOKUP(P$4,'4. Billing Determinants'!$B$19:$AA$41,23,0)*$D15)))),0)</f>
        <v>0</v>
      </c>
      <c r="Q15" s="293">
        <f>IFERROR(IF(Q$4="",0,IF($E15="kWh",VLOOKUP(Q$4,'4. Billing Determinants'!$B$19:$R$41,4,0)/'4. Billing Determinants'!$E$41*$D15,IF($E15="kW",VLOOKUP(Q$4,'4. Billing Determinants'!$B$19:$R$41,5,0)/'4. Billing Determinants'!$F$41*$D15,IF($E15="Non-RPP kWh",VLOOKUP(Q$4,'4. Billing Determinants'!$B$19:$R$41,6,0)/'4. Billing Determinants'!$G$41*$D15, VLOOKUP(Q$4,'4. Billing Determinants'!$B$19:$AA$41,23,0)*$D15)))),0)</f>
        <v>0</v>
      </c>
      <c r="R15" s="293">
        <f>IFERROR(IF(R$4="",0,IF($E15="kWh",VLOOKUP(R$4,'4. Billing Determinants'!$B$19:$R$41,4,0)/'4. Billing Determinants'!$E$41*$D15,IF($E15="kW",VLOOKUP(R$4,'4. Billing Determinants'!$B$19:$R$41,5,0)/'4. Billing Determinants'!$F$41*$D15,IF($E15="Non-RPP kWh",VLOOKUP(R$4,'4. Billing Determinants'!$B$19:$R$41,6,0)/'4. Billing Determinants'!$G$41*$D15, VLOOKUP(R$4,'4. Billing Determinants'!$B$19:$AA$41,23,0)*$D15)))),0)</f>
        <v>0</v>
      </c>
      <c r="S15" s="293">
        <f>IFERROR(IF(S$4="",0,IF($E15="kWh",VLOOKUP(S$4,'4. Billing Determinants'!$B$19:$R$41,4,0)/'4. Billing Determinants'!$E$41*$D15,IF($E15="kW",VLOOKUP(S$4,'4. Billing Determinants'!$B$19:$R$41,5,0)/'4. Billing Determinants'!$F$41*$D15,IF($E15="Non-RPP kWh",VLOOKUP(S$4,'4. Billing Determinants'!$B$19:$R$41,6,0)/'4. Billing Determinants'!$G$41*$D15, VLOOKUP(S$4,'4. Billing Determinants'!$B$19:$AA$41,23,0)*$D15)))),0)</f>
        <v>0</v>
      </c>
      <c r="T15" s="293">
        <f>IFERROR(IF(T$4="",0,IF($E15="kWh",VLOOKUP(T$4,'4. Billing Determinants'!$B$19:$R$41,4,0)/'4. Billing Determinants'!$E$41*$D15,IF($E15="kW",VLOOKUP(T$4,'4. Billing Determinants'!$B$19:$R$41,5,0)/'4. Billing Determinants'!$F$41*$D15,IF($E15="Non-RPP kWh",VLOOKUP(T$4,'4. Billing Determinants'!$B$19:$R$41,6,0)/'4. Billing Determinants'!$G$41*$D15, VLOOKUP(T$4,'4. Billing Determinants'!$B$19:$AA$41,23,0)*$D15)))),0)</f>
        <v>0</v>
      </c>
      <c r="U15" s="293">
        <f>IFERROR(IF(U$4="",0,IF($E15="kWh",VLOOKUP(U$4,'4. Billing Determinants'!$B$19:$R$41,4,0)/'4. Billing Determinants'!$E$41*$D15,IF($E15="kW",VLOOKUP(U$4,'4. Billing Determinants'!$B$19:$R$41,5,0)/'4. Billing Determinants'!$F$41*$D15,IF($E15="Non-RPP kWh",VLOOKUP(U$4,'4. Billing Determinants'!$B$19:$R$41,6,0)/'4. Billing Determinants'!$G$41*$D15, VLOOKUP(U$4,'4. Billing Determinants'!$B$19:$AA$41,23,0)*$D15)))),0)</f>
        <v>0</v>
      </c>
      <c r="V15" s="293">
        <f>IFERROR(IF(V$4="",0,IF($E15="kWh",VLOOKUP(V$4,'4. Billing Determinants'!$B$19:$R$41,4,0)/'4. Billing Determinants'!$E$41*$D15,IF($E15="kW",VLOOKUP(V$4,'4. Billing Determinants'!$B$19:$R$41,5,0)/'4. Billing Determinants'!$F$41*$D15,IF($E15="Non-RPP kWh",VLOOKUP(V$4,'4. Billing Determinants'!$B$19:$R$41,6,0)/'4. Billing Determinants'!$G$41*$D15, VLOOKUP(V$4,'4. Billing Determinants'!$B$19:$AA$41,23,0)*$D15)))),0)</f>
        <v>0</v>
      </c>
      <c r="W15" s="293">
        <f>IFERROR(IF(W$4="",0,IF($E15="kWh",VLOOKUP(W$4,'4. Billing Determinants'!$B$19:$R$41,4,0)/'4. Billing Determinants'!$E$41*$D15,IF($E15="kW",VLOOKUP(W$4,'4. Billing Determinants'!$B$19:$R$41,5,0)/'4. Billing Determinants'!$F$41*$D15,IF($E15="Non-RPP kWh",VLOOKUP(W$4,'4. Billing Determinants'!$B$19:$R$41,6,0)/'4. Billing Determinants'!$G$41*$D15, VLOOKUP(W$4,'4. Billing Determinants'!$B$19:$AA$41,23,0)*$D15)))),0)</f>
        <v>0</v>
      </c>
      <c r="X15" s="293">
        <f>IFERROR(IF(X$4="",0,IF($E15="kWh",VLOOKUP(X$4,'4. Billing Determinants'!$B$19:$R$41,4,0)/'4. Billing Determinants'!$E$41*$D15,IF($E15="kW",VLOOKUP(X$4,'4. Billing Determinants'!$B$19:$R$41,5,0)/'4. Billing Determinants'!$F$41*$D15,IF($E15="Non-RPP kWh",VLOOKUP(X$4,'4. Billing Determinants'!$B$19:$R$41,6,0)/'4. Billing Determinants'!$G$41*$D15, VLOOKUP(X$4,'4. Billing Determinants'!$B$19:$AA$41,23,0)*$D15)))),0)</f>
        <v>0</v>
      </c>
      <c r="Y15" s="293">
        <f>IFERROR(IF(Y$4="",0,IF($E15="kWh",VLOOKUP(Y$4,'4. Billing Determinants'!$B$19:$R$41,4,0)/'4. Billing Determinants'!$E$41*$D15,IF($E15="kW",VLOOKUP(Y$4,'4. Billing Determinants'!$B$19:$R$41,5,0)/'4. Billing Determinants'!$F$41*$D15,IF($E15="Non-RPP kWh",VLOOKUP(Y$4,'4. Billing Determinants'!$B$19:$R$41,6,0)/'4. Billing Determinants'!$G$41*$D15, VLOOKUP(Y$4,'4. Billing Determinants'!$B$19:$AA$41,23,0)*$D15)))),0)</f>
        <v>0</v>
      </c>
    </row>
    <row r="16" spans="1:27" x14ac:dyDescent="0.25">
      <c r="A16" s="122">
        <v>13</v>
      </c>
      <c r="B16" s="42" t="s">
        <v>3058</v>
      </c>
      <c r="C16" s="39">
        <v>1595</v>
      </c>
      <c r="D16" s="40">
        <f>'2a. Continuity Schedule'!BT37</f>
        <v>0</v>
      </c>
      <c r="E16" s="296" t="s">
        <v>146</v>
      </c>
      <c r="F16" s="293">
        <f>IFERROR(IF(F$4="",0,IF($E16="kWh",VLOOKUP(F$4,'4. Billing Determinants'!$B$19:$R$41,4,0)/'4. Billing Determinants'!$E$41*$D16,IF($E16="kW",VLOOKUP(F$4,'4. Billing Determinants'!$B$19:$R$41,5,0)/'4. Billing Determinants'!$F$41*$D16,IF($E16="Non-RPP kWh",VLOOKUP(F$4,'4. Billing Determinants'!$B$19:$R$41,6,0)/'4. Billing Determinants'!$G$41*$D16, VLOOKUP(F$4,'4. Billing Determinants'!$B$19:$AA$41,24,0)*$D16)))),0)</f>
        <v>0</v>
      </c>
      <c r="G16" s="293">
        <f>IFERROR(IF(G$4="",0,IF($E16="kWh",VLOOKUP(G$4,'4. Billing Determinants'!$B$19:$R$41,4,0)/'4. Billing Determinants'!$E$41*$D16,IF($E16="kW",VLOOKUP(G$4,'4. Billing Determinants'!$B$19:$R$41,5,0)/'4. Billing Determinants'!$F$41*$D16,IF($E16="Non-RPP kWh",VLOOKUP(G$4,'4. Billing Determinants'!$B$19:$R$41,6,0)/'4. Billing Determinants'!$G$41*$D16, VLOOKUP(G$4,'4. Billing Determinants'!$B$19:$AA$41,24,0)*$D16)))),0)</f>
        <v>0</v>
      </c>
      <c r="H16" s="293">
        <f>IFERROR(IF(H$4="",0,IF($E16="kWh",VLOOKUP(H$4,'4. Billing Determinants'!$B$19:$R$41,4,0)/'4. Billing Determinants'!$E$41*$D16,IF($E16="kW",VLOOKUP(H$4,'4. Billing Determinants'!$B$19:$R$41,5,0)/'4. Billing Determinants'!$F$41*$D16,IF($E16="Non-RPP kWh",VLOOKUP(H$4,'4. Billing Determinants'!$B$19:$R$41,6,0)/'4. Billing Determinants'!$G$41*$D16, VLOOKUP(H$4,'4. Billing Determinants'!$B$19:$AA$41,24,0)*$D16)))),0)</f>
        <v>0</v>
      </c>
      <c r="I16" s="293">
        <f>IFERROR(IF(I$4="",0,IF($E16="kWh",VLOOKUP(I$4,'4. Billing Determinants'!$B$19:$R$41,4,0)/'4. Billing Determinants'!$E$41*$D16,IF($E16="kW",VLOOKUP(I$4,'4. Billing Determinants'!$B$19:$R$41,5,0)/'4. Billing Determinants'!$F$41*$D16,IF($E16="Non-RPP kWh",VLOOKUP(I$4,'4. Billing Determinants'!$B$19:$R$41,6,0)/'4. Billing Determinants'!$G$41*$D16, VLOOKUP(I$4,'4. Billing Determinants'!$B$19:$AA$41,24,0)*$D16)))),0)</f>
        <v>0</v>
      </c>
      <c r="J16" s="293">
        <f>IFERROR(IF(J$4="",0,IF($E16="kWh",VLOOKUP(J$4,'4. Billing Determinants'!$B$19:$R$41,4,0)/'4. Billing Determinants'!$E$41*$D16,IF($E16="kW",VLOOKUP(J$4,'4. Billing Determinants'!$B$19:$R$41,5,0)/'4. Billing Determinants'!$F$41*$D16,IF($E16="Non-RPP kWh",VLOOKUP(J$4,'4. Billing Determinants'!$B$19:$R$41,6,0)/'4. Billing Determinants'!$G$41*$D16, VLOOKUP(J$4,'4. Billing Determinants'!$B$19:$AA$41,24,0)*$D16)))),0)</f>
        <v>0</v>
      </c>
      <c r="K16" s="293">
        <f>IFERROR(IF(K$4="",0,IF($E16="kWh",VLOOKUP(K$4,'4. Billing Determinants'!$B$19:$R$41,4,0)/'4. Billing Determinants'!$E$41*$D16,IF($E16="kW",VLOOKUP(K$4,'4. Billing Determinants'!$B$19:$R$41,5,0)/'4. Billing Determinants'!$F$41*$D16,IF($E16="Non-RPP kWh",VLOOKUP(K$4,'4. Billing Determinants'!$B$19:$R$41,6,0)/'4. Billing Determinants'!$G$41*$D16, VLOOKUP(K$4,'4. Billing Determinants'!$B$19:$AA$41,24,0)*$D16)))),0)</f>
        <v>0</v>
      </c>
      <c r="L16" s="293">
        <f>IFERROR(IF(L$4="",0,IF($E16="kWh",VLOOKUP(L$4,'4. Billing Determinants'!$B$19:$R$41,4,0)/'4. Billing Determinants'!$E$41*$D16,IF($E16="kW",VLOOKUP(L$4,'4. Billing Determinants'!$B$19:$R$41,5,0)/'4. Billing Determinants'!$F$41*$D16,IF($E16="Non-RPP kWh",VLOOKUP(L$4,'4. Billing Determinants'!$B$19:$R$41,6,0)/'4. Billing Determinants'!$G$41*$D16, VLOOKUP(L$4,'4. Billing Determinants'!$B$19:$AA$41,24,0)*$D16)))),0)</f>
        <v>0</v>
      </c>
      <c r="M16" s="293">
        <f>IFERROR(IF(M$4="",0,IF($E16="kWh",VLOOKUP(M$4,'4. Billing Determinants'!$B$19:$R$41,4,0)/'4. Billing Determinants'!$E$41*$D16,IF($E16="kW",VLOOKUP(M$4,'4. Billing Determinants'!$B$19:$R$41,5,0)/'4. Billing Determinants'!$F$41*$D16,IF($E16="Non-RPP kWh",VLOOKUP(M$4,'4. Billing Determinants'!$B$19:$R$41,6,0)/'4. Billing Determinants'!$G$41*$D16, VLOOKUP(M$4,'4. Billing Determinants'!$B$19:$AA$41,24,0)*$D16)))),0)</f>
        <v>0</v>
      </c>
      <c r="N16" s="293">
        <f>IFERROR(IF(N$4="",0,IF($E16="kWh",VLOOKUP(N$4,'4. Billing Determinants'!$B$19:$R$41,4,0)/'4. Billing Determinants'!$E$41*$D16,IF($E16="kW",VLOOKUP(N$4,'4. Billing Determinants'!$B$19:$R$41,5,0)/'4. Billing Determinants'!$F$41*$D16,IF($E16="Non-RPP kWh",VLOOKUP(N$4,'4. Billing Determinants'!$B$19:$R$41,6,0)/'4. Billing Determinants'!$G$41*$D16, VLOOKUP(N$4,'4. Billing Determinants'!$B$19:$AA$41,24,0)*$D16)))),0)</f>
        <v>0</v>
      </c>
      <c r="O16" s="293">
        <f>IFERROR(IF(O$4="",0,IF($E16="kWh",VLOOKUP(O$4,'4. Billing Determinants'!$B$19:$R$41,4,0)/'4. Billing Determinants'!$E$41*$D16,IF($E16="kW",VLOOKUP(O$4,'4. Billing Determinants'!$B$19:$R$41,5,0)/'4. Billing Determinants'!$F$41*$D16,IF($E16="Non-RPP kWh",VLOOKUP(O$4,'4. Billing Determinants'!$B$19:$R$41,6,0)/'4. Billing Determinants'!$G$41*$D16, VLOOKUP(O$4,'4. Billing Determinants'!$B$19:$AA$41,24,0)*$D16)))),0)</f>
        <v>0</v>
      </c>
      <c r="P16" s="293">
        <f>IFERROR(IF(P$4="",0,IF($E16="kWh",VLOOKUP(P$4,'4. Billing Determinants'!$B$19:$R$41,4,0)/'4. Billing Determinants'!$E$41*$D16,IF($E16="kW",VLOOKUP(P$4,'4. Billing Determinants'!$B$19:$R$41,5,0)/'4. Billing Determinants'!$F$41*$D16,IF($E16="Non-RPP kWh",VLOOKUP(P$4,'4. Billing Determinants'!$B$19:$R$41,6,0)/'4. Billing Determinants'!$G$41*$D16, VLOOKUP(P$4,'4. Billing Determinants'!$B$19:$AA$41,24,0)*$D16)))),0)</f>
        <v>0</v>
      </c>
      <c r="Q16" s="293">
        <f>IFERROR(IF(Q$4="",0,IF($E16="kWh",VLOOKUP(Q$4,'4. Billing Determinants'!$B$19:$R$41,4,0)/'4. Billing Determinants'!$E$41*$D16,IF($E16="kW",VLOOKUP(Q$4,'4. Billing Determinants'!$B$19:$R$41,5,0)/'4. Billing Determinants'!$F$41*$D16,IF($E16="Non-RPP kWh",VLOOKUP(Q$4,'4. Billing Determinants'!$B$19:$R$41,6,0)/'4. Billing Determinants'!$G$41*$D16, VLOOKUP(Q$4,'4. Billing Determinants'!$B$19:$AA$41,24,0)*$D16)))),0)</f>
        <v>0</v>
      </c>
      <c r="R16" s="293">
        <f>IFERROR(IF(R$4="",0,IF($E16="kWh",VLOOKUP(R$4,'4. Billing Determinants'!$B$19:$R$41,4,0)/'4. Billing Determinants'!$E$41*$D16,IF($E16="kW",VLOOKUP(R$4,'4. Billing Determinants'!$B$19:$R$41,5,0)/'4. Billing Determinants'!$F$41*$D16,IF($E16="Non-RPP kWh",VLOOKUP(R$4,'4. Billing Determinants'!$B$19:$R$41,6,0)/'4. Billing Determinants'!$G$41*$D16, VLOOKUP(R$4,'4. Billing Determinants'!$B$19:$AA$41,24,0)*$D16)))),0)</f>
        <v>0</v>
      </c>
      <c r="S16" s="293">
        <f>IFERROR(IF(S$4="",0,IF($E16="kWh",VLOOKUP(S$4,'4. Billing Determinants'!$B$19:$R$41,4,0)/'4. Billing Determinants'!$E$41*$D16,IF($E16="kW",VLOOKUP(S$4,'4. Billing Determinants'!$B$19:$R$41,5,0)/'4. Billing Determinants'!$F$41*$D16,IF($E16="Non-RPP kWh",VLOOKUP(S$4,'4. Billing Determinants'!$B$19:$R$41,6,0)/'4. Billing Determinants'!$G$41*$D16, VLOOKUP(S$4,'4. Billing Determinants'!$B$19:$AA$41,24,0)*$D16)))),0)</f>
        <v>0</v>
      </c>
      <c r="T16" s="293">
        <f>IFERROR(IF(T$4="",0,IF($E16="kWh",VLOOKUP(T$4,'4. Billing Determinants'!$B$19:$R$41,4,0)/'4. Billing Determinants'!$E$41*$D16,IF($E16="kW",VLOOKUP(T$4,'4. Billing Determinants'!$B$19:$R$41,5,0)/'4. Billing Determinants'!$F$41*$D16,IF($E16="Non-RPP kWh",VLOOKUP(T$4,'4. Billing Determinants'!$B$19:$R$41,6,0)/'4. Billing Determinants'!$G$41*$D16, VLOOKUP(T$4,'4. Billing Determinants'!$B$19:$AA$41,24,0)*$D16)))),0)</f>
        <v>0</v>
      </c>
      <c r="U16" s="293">
        <f>IFERROR(IF(U$4="",0,IF($E16="kWh",VLOOKUP(U$4,'4. Billing Determinants'!$B$19:$R$41,4,0)/'4. Billing Determinants'!$E$41*$D16,IF($E16="kW",VLOOKUP(U$4,'4. Billing Determinants'!$B$19:$R$41,5,0)/'4. Billing Determinants'!$F$41*$D16,IF($E16="Non-RPP kWh",VLOOKUP(U$4,'4. Billing Determinants'!$B$19:$R$41,6,0)/'4. Billing Determinants'!$G$41*$D16, VLOOKUP(U$4,'4. Billing Determinants'!$B$19:$AA$41,24,0)*$D16)))),0)</f>
        <v>0</v>
      </c>
      <c r="V16" s="293">
        <f>IFERROR(IF(V$4="",0,IF($E16="kWh",VLOOKUP(V$4,'4. Billing Determinants'!$B$19:$R$41,4,0)/'4. Billing Determinants'!$E$41*$D16,IF($E16="kW",VLOOKUP(V$4,'4. Billing Determinants'!$B$19:$R$41,5,0)/'4. Billing Determinants'!$F$41*$D16,IF($E16="Non-RPP kWh",VLOOKUP(V$4,'4. Billing Determinants'!$B$19:$R$41,6,0)/'4. Billing Determinants'!$G$41*$D16, VLOOKUP(V$4,'4. Billing Determinants'!$B$19:$AA$41,24,0)*$D16)))),0)</f>
        <v>0</v>
      </c>
      <c r="W16" s="293">
        <f>IFERROR(IF(W$4="",0,IF($E16="kWh",VLOOKUP(W$4,'4. Billing Determinants'!$B$19:$R$41,4,0)/'4. Billing Determinants'!$E$41*$D16,IF($E16="kW",VLOOKUP(W$4,'4. Billing Determinants'!$B$19:$R$41,5,0)/'4. Billing Determinants'!$F$41*$D16,IF($E16="Non-RPP kWh",VLOOKUP(W$4,'4. Billing Determinants'!$B$19:$R$41,6,0)/'4. Billing Determinants'!$G$41*$D16, VLOOKUP(W$4,'4. Billing Determinants'!$B$19:$AA$41,24,0)*$D16)))),0)</f>
        <v>0</v>
      </c>
      <c r="X16" s="293">
        <f>IFERROR(IF(X$4="",0,IF($E16="kWh",VLOOKUP(X$4,'4. Billing Determinants'!$B$19:$R$41,4,0)/'4. Billing Determinants'!$E$41*$D16,IF($E16="kW",VLOOKUP(X$4,'4. Billing Determinants'!$B$19:$R$41,5,0)/'4. Billing Determinants'!$F$41*$D16,IF($E16="Non-RPP kWh",VLOOKUP(X$4,'4. Billing Determinants'!$B$19:$R$41,6,0)/'4. Billing Determinants'!$G$41*$D16, VLOOKUP(X$4,'4. Billing Determinants'!$B$19:$AA$41,24,0)*$D16)))),0)</f>
        <v>0</v>
      </c>
      <c r="Y16" s="293">
        <f>IFERROR(IF(Y$4="",0,IF($E16="kWh",VLOOKUP(Y$4,'4. Billing Determinants'!$B$19:$R$41,4,0)/'4. Billing Determinants'!$E$41*$D16,IF($E16="kW",VLOOKUP(Y$4,'4. Billing Determinants'!$B$19:$R$41,5,0)/'4. Billing Determinants'!$F$41*$D16,IF($E16="Non-RPP kWh",VLOOKUP(Y$4,'4. Billing Determinants'!$B$19:$R$41,6,0)/'4. Billing Determinants'!$G$41*$D16, VLOOKUP(Y$4,'4. Billing Determinants'!$B$19:$AA$41,24,0)*$D16)))),0)</f>
        <v>0</v>
      </c>
    </row>
    <row r="17" spans="1:25" x14ac:dyDescent="0.25">
      <c r="A17" s="122">
        <v>14</v>
      </c>
      <c r="B17" s="42" t="s">
        <v>3063</v>
      </c>
      <c r="C17" s="39">
        <v>1595</v>
      </c>
      <c r="D17" s="40">
        <f>'2a. Continuity Schedule'!BT38</f>
        <v>0</v>
      </c>
      <c r="E17" s="296" t="s">
        <v>146</v>
      </c>
      <c r="F17" s="293">
        <f>IFERROR(IF(F$4="",0,IF($E17="kWh",VLOOKUP(F$4,'4. Billing Determinants'!$B$19:$R$41,4,0)/'4. Billing Determinants'!$E$41*$D17,IF($E17="kW",VLOOKUP(F$4,'4. Billing Determinants'!$B$19:$R$41,5,0)/'4. Billing Determinants'!$F$41*$D17,IF($E17="Non-RPP kWh",VLOOKUP(F$4,'4. Billing Determinants'!$B$19:$R$41,6,0)/'4. Billing Determinants'!$G$41*$D17, VLOOKUP(F$4,'4. Billing Determinants'!$B$19:$AA$41,25,0)*$D17)))),0)</f>
        <v>0</v>
      </c>
      <c r="G17" s="293">
        <f>IFERROR(IF(G$4="",0,IF($E17="kWh",VLOOKUP(G$4,'4. Billing Determinants'!$B$19:$R$41,4,0)/'4. Billing Determinants'!$E$41*$D17,IF($E17="kW",VLOOKUP(G$4,'4. Billing Determinants'!$B$19:$R$41,5,0)/'4. Billing Determinants'!$F$41*$D17,IF($E17="Non-RPP kWh",VLOOKUP(G$4,'4. Billing Determinants'!$B$19:$R$41,6,0)/'4. Billing Determinants'!$G$41*$D17, VLOOKUP(G$4,'4. Billing Determinants'!$B$19:$AA$41,25,0)*$D17)))),0)</f>
        <v>0</v>
      </c>
      <c r="H17" s="293">
        <f>IFERROR(IF(H$4="",0,IF($E17="kWh",VLOOKUP(H$4,'4. Billing Determinants'!$B$19:$R$41,4,0)/'4. Billing Determinants'!$E$41*$D17,IF($E17="kW",VLOOKUP(H$4,'4. Billing Determinants'!$B$19:$R$41,5,0)/'4. Billing Determinants'!$F$41*$D17,IF($E17="Non-RPP kWh",VLOOKUP(H$4,'4. Billing Determinants'!$B$19:$R$41,6,0)/'4. Billing Determinants'!$G$41*$D17, VLOOKUP(H$4,'4. Billing Determinants'!$B$19:$AA$41,25,0)*$D17)))),0)</f>
        <v>0</v>
      </c>
      <c r="I17" s="293">
        <f>IFERROR(IF(I$4="",0,IF($E17="kWh",VLOOKUP(I$4,'4. Billing Determinants'!$B$19:$R$41,4,0)/'4. Billing Determinants'!$E$41*$D17,IF($E17="kW",VLOOKUP(I$4,'4. Billing Determinants'!$B$19:$R$41,5,0)/'4. Billing Determinants'!$F$41*$D17,IF($E17="Non-RPP kWh",VLOOKUP(I$4,'4. Billing Determinants'!$B$19:$R$41,6,0)/'4. Billing Determinants'!$G$41*$D17, VLOOKUP(I$4,'4. Billing Determinants'!$B$19:$AA$41,25,0)*$D17)))),0)</f>
        <v>0</v>
      </c>
      <c r="J17" s="293">
        <f>IFERROR(IF(J$4="",0,IF($E17="kWh",VLOOKUP(J$4,'4. Billing Determinants'!$B$19:$R$41,4,0)/'4. Billing Determinants'!$E$41*$D17,IF($E17="kW",VLOOKUP(J$4,'4. Billing Determinants'!$B$19:$R$41,5,0)/'4. Billing Determinants'!$F$41*$D17,IF($E17="Non-RPP kWh",VLOOKUP(J$4,'4. Billing Determinants'!$B$19:$R$41,6,0)/'4. Billing Determinants'!$G$41*$D17, VLOOKUP(J$4,'4. Billing Determinants'!$B$19:$AA$41,25,0)*$D17)))),0)</f>
        <v>0</v>
      </c>
      <c r="K17" s="293">
        <f>IFERROR(IF(K$4="",0,IF($E17="kWh",VLOOKUP(K$4,'4. Billing Determinants'!$B$19:$R$41,4,0)/'4. Billing Determinants'!$E$41*$D17,IF($E17="kW",VLOOKUP(K$4,'4. Billing Determinants'!$B$19:$R$41,5,0)/'4. Billing Determinants'!$F$41*$D17,IF($E17="Non-RPP kWh",VLOOKUP(K$4,'4. Billing Determinants'!$B$19:$R$41,6,0)/'4. Billing Determinants'!$G$41*$D17, VLOOKUP(K$4,'4. Billing Determinants'!$B$19:$AA$41,25,0)*$D17)))),0)</f>
        <v>0</v>
      </c>
      <c r="L17" s="293">
        <f>IFERROR(IF(L$4="",0,IF($E17="kWh",VLOOKUP(L$4,'4. Billing Determinants'!$B$19:$R$41,4,0)/'4. Billing Determinants'!$E$41*$D17,IF($E17="kW",VLOOKUP(L$4,'4. Billing Determinants'!$B$19:$R$41,5,0)/'4. Billing Determinants'!$F$41*$D17,IF($E17="Non-RPP kWh",VLOOKUP(L$4,'4. Billing Determinants'!$B$19:$R$41,6,0)/'4. Billing Determinants'!$G$41*$D17, VLOOKUP(L$4,'4. Billing Determinants'!$B$19:$AA$41,25,0)*$D17)))),0)</f>
        <v>0</v>
      </c>
      <c r="M17" s="293">
        <f>IFERROR(IF(M$4="",0,IF($E17="kWh",VLOOKUP(M$4,'4. Billing Determinants'!$B$19:$R$41,4,0)/'4. Billing Determinants'!$E$41*$D17,IF($E17="kW",VLOOKUP(M$4,'4. Billing Determinants'!$B$19:$R$41,5,0)/'4. Billing Determinants'!$F$41*$D17,IF($E17="Non-RPP kWh",VLOOKUP(M$4,'4. Billing Determinants'!$B$19:$R$41,6,0)/'4. Billing Determinants'!$G$41*$D17, VLOOKUP(M$4,'4. Billing Determinants'!$B$19:$AA$41,25,0)*$D17)))),0)</f>
        <v>0</v>
      </c>
      <c r="N17" s="293">
        <f>IFERROR(IF(N$4="",0,IF($E17="kWh",VLOOKUP(N$4,'4. Billing Determinants'!$B$19:$R$41,4,0)/'4. Billing Determinants'!$E$41*$D17,IF($E17="kW",VLOOKUP(N$4,'4. Billing Determinants'!$B$19:$R$41,5,0)/'4. Billing Determinants'!$F$41*$D17,IF($E17="Non-RPP kWh",VLOOKUP(N$4,'4. Billing Determinants'!$B$19:$R$41,6,0)/'4. Billing Determinants'!$G$41*$D17, VLOOKUP(N$4,'4. Billing Determinants'!$B$19:$AA$41,25,0)*$D17)))),0)</f>
        <v>0</v>
      </c>
      <c r="O17" s="293">
        <f>IFERROR(IF(O$4="",0,IF($E17="kWh",VLOOKUP(O$4,'4. Billing Determinants'!$B$19:$R$41,4,0)/'4. Billing Determinants'!$E$41*$D17,IF($E17="kW",VLOOKUP(O$4,'4. Billing Determinants'!$B$19:$R$41,5,0)/'4. Billing Determinants'!$F$41*$D17,IF($E17="Non-RPP kWh",VLOOKUP(O$4,'4. Billing Determinants'!$B$19:$R$41,6,0)/'4. Billing Determinants'!$G$41*$D17, VLOOKUP(O$4,'4. Billing Determinants'!$B$19:$AA$41,25,0)*$D17)))),0)</f>
        <v>0</v>
      </c>
      <c r="P17" s="293">
        <f>IFERROR(IF(P$4="",0,IF($E17="kWh",VLOOKUP(P$4,'4. Billing Determinants'!$B$19:$R$41,4,0)/'4. Billing Determinants'!$E$41*$D17,IF($E17="kW",VLOOKUP(P$4,'4. Billing Determinants'!$B$19:$R$41,5,0)/'4. Billing Determinants'!$F$41*$D17,IF($E17="Non-RPP kWh",VLOOKUP(P$4,'4. Billing Determinants'!$B$19:$R$41,6,0)/'4. Billing Determinants'!$G$41*$D17, VLOOKUP(P$4,'4. Billing Determinants'!$B$19:$AA$41,25,0)*$D17)))),0)</f>
        <v>0</v>
      </c>
      <c r="Q17" s="293">
        <f>IFERROR(IF(Q$4="",0,IF($E17="kWh",VLOOKUP(Q$4,'4. Billing Determinants'!$B$19:$R$41,4,0)/'4. Billing Determinants'!$E$41*$D17,IF($E17="kW",VLOOKUP(Q$4,'4. Billing Determinants'!$B$19:$R$41,5,0)/'4. Billing Determinants'!$F$41*$D17,IF($E17="Non-RPP kWh",VLOOKUP(Q$4,'4. Billing Determinants'!$B$19:$R$41,6,0)/'4. Billing Determinants'!$G$41*$D17, VLOOKUP(Q$4,'4. Billing Determinants'!$B$19:$AA$41,25,0)*$D17)))),0)</f>
        <v>0</v>
      </c>
      <c r="R17" s="293">
        <f>IFERROR(IF(R$4="",0,IF($E17="kWh",VLOOKUP(R$4,'4. Billing Determinants'!$B$19:$R$41,4,0)/'4. Billing Determinants'!$E$41*$D17,IF($E17="kW",VLOOKUP(R$4,'4. Billing Determinants'!$B$19:$R$41,5,0)/'4. Billing Determinants'!$F$41*$D17,IF($E17="Non-RPP kWh",VLOOKUP(R$4,'4. Billing Determinants'!$B$19:$R$41,6,0)/'4. Billing Determinants'!$G$41*$D17, VLOOKUP(R$4,'4. Billing Determinants'!$B$19:$AA$41,25,0)*$D17)))),0)</f>
        <v>0</v>
      </c>
      <c r="S17" s="293">
        <f>IFERROR(IF(S$4="",0,IF($E17="kWh",VLOOKUP(S$4,'4. Billing Determinants'!$B$19:$R$41,4,0)/'4. Billing Determinants'!$E$41*$D17,IF($E17="kW",VLOOKUP(S$4,'4. Billing Determinants'!$B$19:$R$41,5,0)/'4. Billing Determinants'!$F$41*$D17,IF($E17="Non-RPP kWh",VLOOKUP(S$4,'4. Billing Determinants'!$B$19:$R$41,6,0)/'4. Billing Determinants'!$G$41*$D17, VLOOKUP(S$4,'4. Billing Determinants'!$B$19:$AA$41,25,0)*$D17)))),0)</f>
        <v>0</v>
      </c>
      <c r="T17" s="293">
        <f>IFERROR(IF(T$4="",0,IF($E17="kWh",VLOOKUP(T$4,'4. Billing Determinants'!$B$19:$R$41,4,0)/'4. Billing Determinants'!$E$41*$D17,IF($E17="kW",VLOOKUP(T$4,'4. Billing Determinants'!$B$19:$R$41,5,0)/'4. Billing Determinants'!$F$41*$D17,IF($E17="Non-RPP kWh",VLOOKUP(T$4,'4. Billing Determinants'!$B$19:$R$41,6,0)/'4. Billing Determinants'!$G$41*$D17, VLOOKUP(T$4,'4. Billing Determinants'!$B$19:$AA$41,25,0)*$D17)))),0)</f>
        <v>0</v>
      </c>
      <c r="U17" s="293">
        <f>IFERROR(IF(U$4="",0,IF($E17="kWh",VLOOKUP(U$4,'4. Billing Determinants'!$B$19:$R$41,4,0)/'4. Billing Determinants'!$E$41*$D17,IF($E17="kW",VLOOKUP(U$4,'4. Billing Determinants'!$B$19:$R$41,5,0)/'4. Billing Determinants'!$F$41*$D17,IF($E17="Non-RPP kWh",VLOOKUP(U$4,'4. Billing Determinants'!$B$19:$R$41,6,0)/'4. Billing Determinants'!$G$41*$D17, VLOOKUP(U$4,'4. Billing Determinants'!$B$19:$AA$41,25,0)*$D17)))),0)</f>
        <v>0</v>
      </c>
      <c r="V17" s="293">
        <f>IFERROR(IF(V$4="",0,IF($E17="kWh",VLOOKUP(V$4,'4. Billing Determinants'!$B$19:$R$41,4,0)/'4. Billing Determinants'!$E$41*$D17,IF($E17="kW",VLOOKUP(V$4,'4. Billing Determinants'!$B$19:$R$41,5,0)/'4. Billing Determinants'!$F$41*$D17,IF($E17="Non-RPP kWh",VLOOKUP(V$4,'4. Billing Determinants'!$B$19:$R$41,6,0)/'4. Billing Determinants'!$G$41*$D17, VLOOKUP(V$4,'4. Billing Determinants'!$B$19:$AA$41,25,0)*$D17)))),0)</f>
        <v>0</v>
      </c>
      <c r="W17" s="293">
        <f>IFERROR(IF(W$4="",0,IF($E17="kWh",VLOOKUP(W$4,'4. Billing Determinants'!$B$19:$R$41,4,0)/'4. Billing Determinants'!$E$41*$D17,IF($E17="kW",VLOOKUP(W$4,'4. Billing Determinants'!$B$19:$R$41,5,0)/'4. Billing Determinants'!$F$41*$D17,IF($E17="Non-RPP kWh",VLOOKUP(W$4,'4. Billing Determinants'!$B$19:$R$41,6,0)/'4. Billing Determinants'!$G$41*$D17, VLOOKUP(W$4,'4. Billing Determinants'!$B$19:$AA$41,25,0)*$D17)))),0)</f>
        <v>0</v>
      </c>
      <c r="X17" s="293">
        <f>IFERROR(IF(X$4="",0,IF($E17="kWh",VLOOKUP(X$4,'4. Billing Determinants'!$B$19:$R$41,4,0)/'4. Billing Determinants'!$E$41*$D17,IF($E17="kW",VLOOKUP(X$4,'4. Billing Determinants'!$B$19:$R$41,5,0)/'4. Billing Determinants'!$F$41*$D17,IF($E17="Non-RPP kWh",VLOOKUP(X$4,'4. Billing Determinants'!$B$19:$R$41,6,0)/'4. Billing Determinants'!$G$41*$D17, VLOOKUP(X$4,'4. Billing Determinants'!$B$19:$AA$41,25,0)*$D17)))),0)</f>
        <v>0</v>
      </c>
      <c r="Y17" s="293">
        <f>IFERROR(IF(Y$4="",0,IF($E17="kWh",VLOOKUP(Y$4,'4. Billing Determinants'!$B$19:$R$41,4,0)/'4. Billing Determinants'!$E$41*$D17,IF($E17="kW",VLOOKUP(Y$4,'4. Billing Determinants'!$B$19:$R$41,5,0)/'4. Billing Determinants'!$F$41*$D17,IF($E17="Non-RPP kWh",VLOOKUP(Y$4,'4. Billing Determinants'!$B$19:$R$41,6,0)/'4. Billing Determinants'!$G$41*$D17, VLOOKUP(Y$4,'4. Billing Determinants'!$B$19:$AA$41,25,0)*$D17)))),0)</f>
        <v>0</v>
      </c>
    </row>
    <row r="18" spans="1:25" x14ac:dyDescent="0.25">
      <c r="A18" s="122">
        <v>15</v>
      </c>
      <c r="B18" s="42" t="s">
        <v>3425</v>
      </c>
      <c r="C18" s="39">
        <v>1595</v>
      </c>
      <c r="D18" s="40">
        <f>'2a. Continuity Schedule'!BT39</f>
        <v>0</v>
      </c>
      <c r="E18" s="296" t="s">
        <v>146</v>
      </c>
      <c r="F18" s="293">
        <f>IFERROR(IF(F$4="",0,IF($E18="kWh",VLOOKUP(F$4,'4. Billing Determinants'!$B$19:$R$41,4,0)/'4. Billing Determinants'!$E$41*$D18,IF($E18="kW",VLOOKUP(F$4,'4. Billing Determinants'!$B$19:$R$41,5,0)/'4. Billing Determinants'!$F$41*$D18,IF($E18="Non-RPP kWh",VLOOKUP(F$4,'4. Billing Determinants'!$B$19:$R$41,6,0)/'4. Billing Determinants'!$G$41*$D18, VLOOKUP(F$4,'4. Billing Determinants'!$B$19:$AA$41,26,0)*$D18)))),0)</f>
        <v>0</v>
      </c>
      <c r="G18" s="293">
        <f>IFERROR(IF(G$4="",0,IF($E18="kWh",VLOOKUP(G$4,'4. Billing Determinants'!$B$19:$R$41,4,0)/'4. Billing Determinants'!$E$41*$D18,IF($E18="kW",VLOOKUP(G$4,'4. Billing Determinants'!$B$19:$R$41,5,0)/'4. Billing Determinants'!$F$41*$D18,IF($E18="Non-RPP kWh",VLOOKUP(G$4,'4. Billing Determinants'!$B$19:$R$41,6,0)/'4. Billing Determinants'!$G$41*$D18, VLOOKUP(G$4,'4. Billing Determinants'!$B$19:$AA$41,26,0)*$D18)))),0)</f>
        <v>0</v>
      </c>
      <c r="H18" s="293">
        <f>IFERROR(IF(H$4="",0,IF($E18="kWh",VLOOKUP(H$4,'4. Billing Determinants'!$B$19:$R$41,4,0)/'4. Billing Determinants'!$E$41*$D18,IF($E18="kW",VLOOKUP(H$4,'4. Billing Determinants'!$B$19:$R$41,5,0)/'4. Billing Determinants'!$F$41*$D18,IF($E18="Non-RPP kWh",VLOOKUP(H$4,'4. Billing Determinants'!$B$19:$R$41,6,0)/'4. Billing Determinants'!$G$41*$D18, VLOOKUP(H$4,'4. Billing Determinants'!$B$19:$AA$41,26,0)*$D18)))),0)</f>
        <v>0</v>
      </c>
      <c r="I18" s="293">
        <f>IFERROR(IF(I$4="",0,IF($E18="kWh",VLOOKUP(I$4,'4. Billing Determinants'!$B$19:$R$41,4,0)/'4. Billing Determinants'!$E$41*$D18,IF($E18="kW",VLOOKUP(I$4,'4. Billing Determinants'!$B$19:$R$41,5,0)/'4. Billing Determinants'!$F$41*$D18,IF($E18="Non-RPP kWh",VLOOKUP(I$4,'4. Billing Determinants'!$B$19:$R$41,6,0)/'4. Billing Determinants'!$G$41*$D18, VLOOKUP(I$4,'4. Billing Determinants'!$B$19:$AA$41,26,0)*$D18)))),0)</f>
        <v>0</v>
      </c>
      <c r="J18" s="293">
        <f>IFERROR(IF(J$4="",0,IF($E18="kWh",VLOOKUP(J$4,'4. Billing Determinants'!$B$19:$R$41,4,0)/'4. Billing Determinants'!$E$41*$D18,IF($E18="kW",VLOOKUP(J$4,'4. Billing Determinants'!$B$19:$R$41,5,0)/'4. Billing Determinants'!$F$41*$D18,IF($E18="Non-RPP kWh",VLOOKUP(J$4,'4. Billing Determinants'!$B$19:$R$41,6,0)/'4. Billing Determinants'!$G$41*$D18, VLOOKUP(J$4,'4. Billing Determinants'!$B$19:$AA$41,26,0)*$D18)))),0)</f>
        <v>0</v>
      </c>
      <c r="K18" s="293">
        <f>IFERROR(IF(K$4="",0,IF($E18="kWh",VLOOKUP(K$4,'4. Billing Determinants'!$B$19:$R$41,4,0)/'4. Billing Determinants'!$E$41*$D18,IF($E18="kW",VLOOKUP(K$4,'4. Billing Determinants'!$B$19:$R$41,5,0)/'4. Billing Determinants'!$F$41*$D18,IF($E18="Non-RPP kWh",VLOOKUP(K$4,'4. Billing Determinants'!$B$19:$R$41,6,0)/'4. Billing Determinants'!$G$41*$D18, VLOOKUP(K$4,'4. Billing Determinants'!$B$19:$AA$41,26,0)*$D18)))),0)</f>
        <v>0</v>
      </c>
      <c r="L18" s="293">
        <f>IFERROR(IF(L$4="",0,IF($E18="kWh",VLOOKUP(L$4,'4. Billing Determinants'!$B$19:$R$41,4,0)/'4. Billing Determinants'!$E$41*$D18,IF($E18="kW",VLOOKUP(L$4,'4. Billing Determinants'!$B$19:$R$41,5,0)/'4. Billing Determinants'!$F$41*$D18,IF($E18="Non-RPP kWh",VLOOKUP(L$4,'4. Billing Determinants'!$B$19:$R$41,6,0)/'4. Billing Determinants'!$G$41*$D18, VLOOKUP(L$4,'4. Billing Determinants'!$B$19:$AA$41,26,0)*$D18)))),0)</f>
        <v>0</v>
      </c>
      <c r="M18" s="293">
        <f>IFERROR(IF(M$4="",0,IF($E18="kWh",VLOOKUP(M$4,'4. Billing Determinants'!$B$19:$R$41,4,0)/'4. Billing Determinants'!$E$41*$D18,IF($E18="kW",VLOOKUP(M$4,'4. Billing Determinants'!$B$19:$R$41,5,0)/'4. Billing Determinants'!$F$41*$D18,IF($E18="Non-RPP kWh",VLOOKUP(M$4,'4. Billing Determinants'!$B$19:$R$41,6,0)/'4. Billing Determinants'!$G$41*$D18, VLOOKUP(M$4,'4. Billing Determinants'!$B$19:$AA$41,26,0)*$D18)))),0)</f>
        <v>0</v>
      </c>
      <c r="N18" s="293">
        <f>IFERROR(IF(N$4="",0,IF($E18="kWh",VLOOKUP(N$4,'4. Billing Determinants'!$B$19:$R$41,4,0)/'4. Billing Determinants'!$E$41*$D18,IF($E18="kW",VLOOKUP(N$4,'4. Billing Determinants'!$B$19:$R$41,5,0)/'4. Billing Determinants'!$F$41*$D18,IF($E18="Non-RPP kWh",VLOOKUP(N$4,'4. Billing Determinants'!$B$19:$R$41,6,0)/'4. Billing Determinants'!$G$41*$D18, VLOOKUP(N$4,'4. Billing Determinants'!$B$19:$AA$41,26,0)*$D18)))),0)</f>
        <v>0</v>
      </c>
      <c r="O18" s="293">
        <f>IFERROR(IF(O$4="",0,IF($E18="kWh",VLOOKUP(O$4,'4. Billing Determinants'!$B$19:$R$41,4,0)/'4. Billing Determinants'!$E$41*$D18,IF($E18="kW",VLOOKUP(O$4,'4. Billing Determinants'!$B$19:$R$41,5,0)/'4. Billing Determinants'!$F$41*$D18,IF($E18="Non-RPP kWh",VLOOKUP(O$4,'4. Billing Determinants'!$B$19:$R$41,6,0)/'4. Billing Determinants'!$G$41*$D18, VLOOKUP(O$4,'4. Billing Determinants'!$B$19:$AA$41,26,0)*$D18)))),0)</f>
        <v>0</v>
      </c>
      <c r="P18" s="293">
        <f>IFERROR(IF(P$4="",0,IF($E18="kWh",VLOOKUP(P$4,'4. Billing Determinants'!$B$19:$R$41,4,0)/'4. Billing Determinants'!$E$41*$D18,IF($E18="kW",VLOOKUP(P$4,'4. Billing Determinants'!$B$19:$R$41,5,0)/'4. Billing Determinants'!$F$41*$D18,IF($E18="Non-RPP kWh",VLOOKUP(P$4,'4. Billing Determinants'!$B$19:$R$41,6,0)/'4. Billing Determinants'!$G$41*$D18, VLOOKUP(P$4,'4. Billing Determinants'!$B$19:$AA$41,26,0)*$D18)))),0)</f>
        <v>0</v>
      </c>
      <c r="Q18" s="293">
        <f>IFERROR(IF(Q$4="",0,IF($E18="kWh",VLOOKUP(Q$4,'4. Billing Determinants'!$B$19:$R$41,4,0)/'4. Billing Determinants'!$E$41*$D18,IF($E18="kW",VLOOKUP(Q$4,'4. Billing Determinants'!$B$19:$R$41,5,0)/'4. Billing Determinants'!$F$41*$D18,IF($E18="Non-RPP kWh",VLOOKUP(Q$4,'4. Billing Determinants'!$B$19:$R$41,6,0)/'4. Billing Determinants'!$G$41*$D18, VLOOKUP(Q$4,'4. Billing Determinants'!$B$19:$AA$41,26,0)*$D18)))),0)</f>
        <v>0</v>
      </c>
      <c r="R18" s="293">
        <f>IFERROR(IF(R$4="",0,IF($E18="kWh",VLOOKUP(R$4,'4. Billing Determinants'!$B$19:$R$41,4,0)/'4. Billing Determinants'!$E$41*$D18,IF($E18="kW",VLOOKUP(R$4,'4. Billing Determinants'!$B$19:$R$41,5,0)/'4. Billing Determinants'!$F$41*$D18,IF($E18="Non-RPP kWh",VLOOKUP(R$4,'4. Billing Determinants'!$B$19:$R$41,6,0)/'4. Billing Determinants'!$G$41*$D18, VLOOKUP(R$4,'4. Billing Determinants'!$B$19:$AA$41,26,0)*$D18)))),0)</f>
        <v>0</v>
      </c>
      <c r="S18" s="293">
        <f>IFERROR(IF(S$4="",0,IF($E18="kWh",VLOOKUP(S$4,'4. Billing Determinants'!$B$19:$R$41,4,0)/'4. Billing Determinants'!$E$41*$D18,IF($E18="kW",VLOOKUP(S$4,'4. Billing Determinants'!$B$19:$R$41,5,0)/'4. Billing Determinants'!$F$41*$D18,IF($E18="Non-RPP kWh",VLOOKUP(S$4,'4. Billing Determinants'!$B$19:$R$41,6,0)/'4. Billing Determinants'!$G$41*$D18, VLOOKUP(S$4,'4. Billing Determinants'!$B$19:$AA$41,26,0)*$D18)))),0)</f>
        <v>0</v>
      </c>
      <c r="T18" s="293">
        <f>IFERROR(IF(T$4="",0,IF($E18="kWh",VLOOKUP(T$4,'4. Billing Determinants'!$B$19:$R$41,4,0)/'4. Billing Determinants'!$E$41*$D18,IF($E18="kW",VLOOKUP(T$4,'4. Billing Determinants'!$B$19:$R$41,5,0)/'4. Billing Determinants'!$F$41*$D18,IF($E18="Non-RPP kWh",VLOOKUP(T$4,'4. Billing Determinants'!$B$19:$R$41,6,0)/'4. Billing Determinants'!$G$41*$D18, VLOOKUP(T$4,'4. Billing Determinants'!$B$19:$AA$41,26,0)*$D18)))),0)</f>
        <v>0</v>
      </c>
      <c r="U18" s="293">
        <f>IFERROR(IF(U$4="",0,IF($E18="kWh",VLOOKUP(U$4,'4. Billing Determinants'!$B$19:$R$41,4,0)/'4. Billing Determinants'!$E$41*$D18,IF($E18="kW",VLOOKUP(U$4,'4. Billing Determinants'!$B$19:$R$41,5,0)/'4. Billing Determinants'!$F$41*$D18,IF($E18="Non-RPP kWh",VLOOKUP(U$4,'4. Billing Determinants'!$B$19:$R$41,6,0)/'4. Billing Determinants'!$G$41*$D18, VLOOKUP(U$4,'4. Billing Determinants'!$B$19:$AA$41,26,0)*$D18)))),0)</f>
        <v>0</v>
      </c>
      <c r="V18" s="293">
        <f>IFERROR(IF(V$4="",0,IF($E18="kWh",VLOOKUP(V$4,'4. Billing Determinants'!$B$19:$R$41,4,0)/'4. Billing Determinants'!$E$41*$D18,IF($E18="kW",VLOOKUP(V$4,'4. Billing Determinants'!$B$19:$R$41,5,0)/'4. Billing Determinants'!$F$41*$D18,IF($E18="Non-RPP kWh",VLOOKUP(V$4,'4. Billing Determinants'!$B$19:$R$41,6,0)/'4. Billing Determinants'!$G$41*$D18, VLOOKUP(V$4,'4. Billing Determinants'!$B$19:$AA$41,26,0)*$D18)))),0)</f>
        <v>0</v>
      </c>
      <c r="W18" s="293">
        <f>IFERROR(IF(W$4="",0,IF($E18="kWh",VLOOKUP(W$4,'4. Billing Determinants'!$B$19:$R$41,4,0)/'4. Billing Determinants'!$E$41*$D18,IF($E18="kW",VLOOKUP(W$4,'4. Billing Determinants'!$B$19:$R$41,5,0)/'4. Billing Determinants'!$F$41*$D18,IF($E18="Non-RPP kWh",VLOOKUP(W$4,'4. Billing Determinants'!$B$19:$R$41,6,0)/'4. Billing Determinants'!$G$41*$D18, VLOOKUP(W$4,'4. Billing Determinants'!$B$19:$AA$41,26,0)*$D18)))),0)</f>
        <v>0</v>
      </c>
      <c r="X18" s="293">
        <f>IFERROR(IF(X$4="",0,IF($E18="kWh",VLOOKUP(X$4,'4. Billing Determinants'!$B$19:$R$41,4,0)/'4. Billing Determinants'!$E$41*$D18,IF($E18="kW",VLOOKUP(X$4,'4. Billing Determinants'!$B$19:$R$41,5,0)/'4. Billing Determinants'!$F$41*$D18,IF($E18="Non-RPP kWh",VLOOKUP(X$4,'4. Billing Determinants'!$B$19:$R$41,6,0)/'4. Billing Determinants'!$G$41*$D18, VLOOKUP(X$4,'4. Billing Determinants'!$B$19:$AA$41,26,0)*$D18)))),0)</f>
        <v>0</v>
      </c>
      <c r="Y18" s="293">
        <f>IFERROR(IF(Y$4="",0,IF($E18="kWh",VLOOKUP(Y$4,'4. Billing Determinants'!$B$19:$R$41,4,0)/'4. Billing Determinants'!$E$41*$D18,IF($E18="kW",VLOOKUP(Y$4,'4. Billing Determinants'!$B$19:$R$41,5,0)/'4. Billing Determinants'!$F$41*$D18,IF($E18="Non-RPP kWh",VLOOKUP(Y$4,'4. Billing Determinants'!$B$19:$R$41,6,0)/'4. Billing Determinants'!$G$41*$D18, VLOOKUP(Y$4,'4. Billing Determinants'!$B$19:$AA$41,26,0)*$D18)))),0)</f>
        <v>0</v>
      </c>
    </row>
    <row r="19" spans="1:25" x14ac:dyDescent="0.25">
      <c r="B19" s="42" t="s">
        <v>3683</v>
      </c>
      <c r="C19" s="39">
        <v>1595</v>
      </c>
      <c r="D19" s="40">
        <f>'2a. Continuity Schedule'!BT40</f>
        <v>0</v>
      </c>
      <c r="E19" s="296" t="s">
        <v>146</v>
      </c>
      <c r="F19" s="293">
        <f>IFERROR(IF(F$4="",0,IF($E19="kWh",VLOOKUP(F$4,'4. Billing Determinants'!$B$19:$R$41,4,0)/'4. Billing Determinants'!$E$41*$D19,IF($E19="kW",VLOOKUP(F$4,'4. Billing Determinants'!$B$19:$R$41,5,0)/'4. Billing Determinants'!$F$41*$D19,IF($E19="Non-RPP kWh",VLOOKUP(F$4,'4. Billing Determinants'!$B$19:$R$41,6,0)/'4. Billing Determinants'!$G$41*$D19, VLOOKUP(F$4,'4. Billing Determinants'!$B$19:$AB$41,27,0)*$D19)))),0)</f>
        <v>0</v>
      </c>
      <c r="G19" s="293">
        <f>IFERROR(IF(G$4="",0,IF($E19="kWh",VLOOKUP(G$4,'4. Billing Determinants'!$B$19:$R$41,4,0)/'4. Billing Determinants'!$E$41*$D19,IF($E19="kW",VLOOKUP(G$4,'4. Billing Determinants'!$B$19:$R$41,5,0)/'4. Billing Determinants'!$F$41*$D19,IF($E19="Non-RPP kWh",VLOOKUP(G$4,'4. Billing Determinants'!$B$19:$R$41,6,0)/'4. Billing Determinants'!$G$41*$D19, VLOOKUP(G$4,'4. Billing Determinants'!$B$19:$AB$41,27,0)*$D19)))),0)</f>
        <v>0</v>
      </c>
      <c r="H19" s="293">
        <f>IFERROR(IF(H$4="",0,IF($E19="kWh",VLOOKUP(H$4,'4. Billing Determinants'!$B$19:$R$41,4,0)/'4. Billing Determinants'!$E$41*$D19,IF($E19="kW",VLOOKUP(H$4,'4. Billing Determinants'!$B$19:$R$41,5,0)/'4. Billing Determinants'!$F$41*$D19,IF($E19="Non-RPP kWh",VLOOKUP(H$4,'4. Billing Determinants'!$B$19:$R$41,6,0)/'4. Billing Determinants'!$G$41*$D19, VLOOKUP(H$4,'4. Billing Determinants'!$B$19:$AB$41,27,0)*$D19)))),0)</f>
        <v>0</v>
      </c>
      <c r="I19" s="293">
        <f>IFERROR(IF(I$4="",0,IF($E19="kWh",VLOOKUP(I$4,'4. Billing Determinants'!$B$19:$R$41,4,0)/'4. Billing Determinants'!$E$41*$D19,IF($E19="kW",VLOOKUP(I$4,'4. Billing Determinants'!$B$19:$R$41,5,0)/'4. Billing Determinants'!$F$41*$D19,IF($E19="Non-RPP kWh",VLOOKUP(I$4,'4. Billing Determinants'!$B$19:$R$41,6,0)/'4. Billing Determinants'!$G$41*$D19, VLOOKUP(I$4,'4. Billing Determinants'!$B$19:$AB$41,27,0)*$D19)))),0)</f>
        <v>0</v>
      </c>
      <c r="J19" s="293">
        <f>IFERROR(IF(J$4="",0,IF($E19="kWh",VLOOKUP(J$4,'4. Billing Determinants'!$B$19:$R$41,4,0)/'4. Billing Determinants'!$E$41*$D19,IF($E19="kW",VLOOKUP(J$4,'4. Billing Determinants'!$B$19:$R$41,5,0)/'4. Billing Determinants'!$F$41*$D19,IF($E19="Non-RPP kWh",VLOOKUP(J$4,'4. Billing Determinants'!$B$19:$R$41,6,0)/'4. Billing Determinants'!$G$41*$D19, VLOOKUP(J$4,'4. Billing Determinants'!$B$19:$AB$41,27,0)*$D19)))),0)</f>
        <v>0</v>
      </c>
      <c r="K19" s="293">
        <f>IFERROR(IF(K$4="",0,IF($E19="kWh",VLOOKUP(K$4,'4. Billing Determinants'!$B$19:$R$41,4,0)/'4. Billing Determinants'!$E$41*$D19,IF($E19="kW",VLOOKUP(K$4,'4. Billing Determinants'!$B$19:$R$41,5,0)/'4. Billing Determinants'!$F$41*$D19,IF($E19="Non-RPP kWh",VLOOKUP(K$4,'4. Billing Determinants'!$B$19:$R$41,6,0)/'4. Billing Determinants'!$G$41*$D19, VLOOKUP(K$4,'4. Billing Determinants'!$B$19:$AB$41,27,0)*$D19)))),0)</f>
        <v>0</v>
      </c>
      <c r="L19" s="293">
        <f>IFERROR(IF(L$4="",0,IF($E19="kWh",VLOOKUP(L$4,'4. Billing Determinants'!$B$19:$R$41,4,0)/'4. Billing Determinants'!$E$41*$D19,IF($E19="kW",VLOOKUP(L$4,'4. Billing Determinants'!$B$19:$R$41,5,0)/'4. Billing Determinants'!$F$41*$D19,IF($E19="Non-RPP kWh",VLOOKUP(L$4,'4. Billing Determinants'!$B$19:$R$41,6,0)/'4. Billing Determinants'!$G$41*$D19, VLOOKUP(L$4,'4. Billing Determinants'!$B$19:$AB$41,27,0)*$D19)))),0)</f>
        <v>0</v>
      </c>
      <c r="M19" s="293">
        <f>IFERROR(IF(M$4="",0,IF($E19="kWh",VLOOKUP(M$4,'4. Billing Determinants'!$B$19:$R$41,4,0)/'4. Billing Determinants'!$E$41*$D19,IF($E19="kW",VLOOKUP(M$4,'4. Billing Determinants'!$B$19:$R$41,5,0)/'4. Billing Determinants'!$F$41*$D19,IF($E19="Non-RPP kWh",VLOOKUP(M$4,'4. Billing Determinants'!$B$19:$R$41,6,0)/'4. Billing Determinants'!$G$41*$D19, VLOOKUP(M$4,'4. Billing Determinants'!$B$19:$AB$41,27,0)*$D19)))),0)</f>
        <v>0</v>
      </c>
      <c r="N19" s="293">
        <f>IFERROR(IF(N$4="",0,IF($E19="kWh",VLOOKUP(N$4,'4. Billing Determinants'!$B$19:$R$41,4,0)/'4. Billing Determinants'!$E$41*$D19,IF($E19="kW",VLOOKUP(N$4,'4. Billing Determinants'!$B$19:$R$41,5,0)/'4. Billing Determinants'!$F$41*$D19,IF($E19="Non-RPP kWh",VLOOKUP(N$4,'4. Billing Determinants'!$B$19:$R$41,6,0)/'4. Billing Determinants'!$G$41*$D19, VLOOKUP(N$4,'4. Billing Determinants'!$B$19:$AB$41,27,0)*$D19)))),0)</f>
        <v>0</v>
      </c>
      <c r="O19" s="293">
        <f>IFERROR(IF(O$4="",0,IF($E19="kWh",VLOOKUP(O$4,'4. Billing Determinants'!$B$19:$R$41,4,0)/'4. Billing Determinants'!$E$41*$D19,IF($E19="kW",VLOOKUP(O$4,'4. Billing Determinants'!$B$19:$R$41,5,0)/'4. Billing Determinants'!$F$41*$D19,IF($E19="Non-RPP kWh",VLOOKUP(O$4,'4. Billing Determinants'!$B$19:$R$41,6,0)/'4. Billing Determinants'!$G$41*$D19, VLOOKUP(O$4,'4. Billing Determinants'!$B$19:$AB$41,27,0)*$D19)))),0)</f>
        <v>0</v>
      </c>
      <c r="P19" s="293">
        <f>IFERROR(IF(P$4="",0,IF($E19="kWh",VLOOKUP(P$4,'4. Billing Determinants'!$B$19:$R$41,4,0)/'4. Billing Determinants'!$E$41*$D19,IF($E19="kW",VLOOKUP(P$4,'4. Billing Determinants'!$B$19:$R$41,5,0)/'4. Billing Determinants'!$F$41*$D19,IF($E19="Non-RPP kWh",VLOOKUP(P$4,'4. Billing Determinants'!$B$19:$R$41,6,0)/'4. Billing Determinants'!$G$41*$D19, VLOOKUP(P$4,'4. Billing Determinants'!$B$19:$AB$41,27,0)*$D19)))),0)</f>
        <v>0</v>
      </c>
      <c r="Q19" s="293">
        <f>IFERROR(IF(Q$4="",0,IF($E19="kWh",VLOOKUP(Q$4,'4. Billing Determinants'!$B$19:$R$41,4,0)/'4. Billing Determinants'!$E$41*$D19,IF($E19="kW",VLOOKUP(Q$4,'4. Billing Determinants'!$B$19:$R$41,5,0)/'4. Billing Determinants'!$F$41*$D19,IF($E19="Non-RPP kWh",VLOOKUP(Q$4,'4. Billing Determinants'!$B$19:$R$41,6,0)/'4. Billing Determinants'!$G$41*$D19, VLOOKUP(Q$4,'4. Billing Determinants'!$B$19:$AB$41,27,0)*$D19)))),0)</f>
        <v>0</v>
      </c>
      <c r="R19" s="293">
        <f>IFERROR(IF(R$4="",0,IF($E19="kWh",VLOOKUP(R$4,'4. Billing Determinants'!$B$19:$R$41,4,0)/'4. Billing Determinants'!$E$41*$D19,IF($E19="kW",VLOOKUP(R$4,'4. Billing Determinants'!$B$19:$R$41,5,0)/'4. Billing Determinants'!$F$41*$D19,IF($E19="Non-RPP kWh",VLOOKUP(R$4,'4. Billing Determinants'!$B$19:$R$41,6,0)/'4. Billing Determinants'!$G$41*$D19, VLOOKUP(R$4,'4. Billing Determinants'!$B$19:$AB$41,27,0)*$D19)))),0)</f>
        <v>0</v>
      </c>
      <c r="S19" s="293">
        <f>IFERROR(IF(S$4="",0,IF($E19="kWh",VLOOKUP(S$4,'4. Billing Determinants'!$B$19:$R$41,4,0)/'4. Billing Determinants'!$E$41*$D19,IF($E19="kW",VLOOKUP(S$4,'4. Billing Determinants'!$B$19:$R$41,5,0)/'4. Billing Determinants'!$F$41*$D19,IF($E19="Non-RPP kWh",VLOOKUP(S$4,'4. Billing Determinants'!$B$19:$R$41,6,0)/'4. Billing Determinants'!$G$41*$D19, VLOOKUP(S$4,'4. Billing Determinants'!$B$19:$AB$41,27,0)*$D19)))),0)</f>
        <v>0</v>
      </c>
      <c r="T19" s="293">
        <f>IFERROR(IF(T$4="",0,IF($E19="kWh",VLOOKUP(T$4,'4. Billing Determinants'!$B$19:$R$41,4,0)/'4. Billing Determinants'!$E$41*$D19,IF($E19="kW",VLOOKUP(T$4,'4. Billing Determinants'!$B$19:$R$41,5,0)/'4. Billing Determinants'!$F$41*$D19,IF($E19="Non-RPP kWh",VLOOKUP(T$4,'4. Billing Determinants'!$B$19:$R$41,6,0)/'4. Billing Determinants'!$G$41*$D19, VLOOKUP(T$4,'4. Billing Determinants'!$B$19:$AB$41,27,0)*$D19)))),0)</f>
        <v>0</v>
      </c>
      <c r="U19" s="293">
        <f>IFERROR(IF(U$4="",0,IF($E19="kWh",VLOOKUP(U$4,'4. Billing Determinants'!$B$19:$R$41,4,0)/'4. Billing Determinants'!$E$41*$D19,IF($E19="kW",VLOOKUP(U$4,'4. Billing Determinants'!$B$19:$R$41,5,0)/'4. Billing Determinants'!$F$41*$D19,IF($E19="Non-RPP kWh",VLOOKUP(U$4,'4. Billing Determinants'!$B$19:$R$41,6,0)/'4. Billing Determinants'!$G$41*$D19, VLOOKUP(U$4,'4. Billing Determinants'!$B$19:$AB$41,27,0)*$D19)))),0)</f>
        <v>0</v>
      </c>
      <c r="V19" s="293">
        <f>IFERROR(IF(V$4="",0,IF($E19="kWh",VLOOKUP(V$4,'4. Billing Determinants'!$B$19:$R$41,4,0)/'4. Billing Determinants'!$E$41*$D19,IF($E19="kW",VLOOKUP(V$4,'4. Billing Determinants'!$B$19:$R$41,5,0)/'4. Billing Determinants'!$F$41*$D19,IF($E19="Non-RPP kWh",VLOOKUP(V$4,'4. Billing Determinants'!$B$19:$R$41,6,0)/'4. Billing Determinants'!$G$41*$D19, VLOOKUP(V$4,'4. Billing Determinants'!$B$19:$AB$41,27,0)*$D19)))),0)</f>
        <v>0</v>
      </c>
      <c r="W19" s="293">
        <f>IFERROR(IF(W$4="",0,IF($E19="kWh",VLOOKUP(W$4,'4. Billing Determinants'!$B$19:$R$41,4,0)/'4. Billing Determinants'!$E$41*$D19,IF($E19="kW",VLOOKUP(W$4,'4. Billing Determinants'!$B$19:$R$41,5,0)/'4. Billing Determinants'!$F$41*$D19,IF($E19="Non-RPP kWh",VLOOKUP(W$4,'4. Billing Determinants'!$B$19:$R$41,6,0)/'4. Billing Determinants'!$G$41*$D19, VLOOKUP(W$4,'4. Billing Determinants'!$B$19:$AB$41,27,0)*$D19)))),0)</f>
        <v>0</v>
      </c>
      <c r="X19" s="293">
        <f>IFERROR(IF(X$4="",0,IF($E19="kWh",VLOOKUP(X$4,'4. Billing Determinants'!$B$19:$R$41,4,0)/'4. Billing Determinants'!$E$41*$D19,IF($E19="kW",VLOOKUP(X$4,'4. Billing Determinants'!$B$19:$R$41,5,0)/'4. Billing Determinants'!$F$41*$D19,IF($E19="Non-RPP kWh",VLOOKUP(X$4,'4. Billing Determinants'!$B$19:$R$41,6,0)/'4. Billing Determinants'!$G$41*$D19, VLOOKUP(X$4,'4. Billing Determinants'!$B$19:$AB$41,27,0)*$D19)))),0)</f>
        <v>0</v>
      </c>
      <c r="Y19" s="293">
        <f>IFERROR(IF(Y$4="",0,IF($E19="kWh",VLOOKUP(Y$4,'4. Billing Determinants'!$B$19:$R$41,4,0)/'4. Billing Determinants'!$E$41*$D19,IF($E19="kW",VLOOKUP(Y$4,'4. Billing Determinants'!$B$19:$R$41,5,0)/'4. Billing Determinants'!$F$41*$D19,IF($E19="Non-RPP kWh",VLOOKUP(Y$4,'4. Billing Determinants'!$B$19:$R$41,6,0)/'4. Billing Determinants'!$G$41*$D19, VLOOKUP(Y$4,'4. Billing Determinants'!$B$19:$AB$41,27,0)*$D19)))),0)</f>
        <v>0</v>
      </c>
    </row>
    <row r="20" spans="1:25" s="2" customFormat="1" ht="13" x14ac:dyDescent="0.3">
      <c r="A20" s="278">
        <v>16</v>
      </c>
      <c r="B20" s="375" t="s">
        <v>3054</v>
      </c>
      <c r="C20" s="375"/>
      <c r="D20" s="376">
        <f>SUM(D5:D19)-D11</f>
        <v>57374232.21346467</v>
      </c>
      <c r="E20" s="545"/>
      <c r="F20" s="376">
        <f>SUM(F5:F19)-F11</f>
        <v>11233113.504247297</v>
      </c>
      <c r="G20" s="376">
        <f>SUM(G5:G19)-G11</f>
        <v>684256.00989062095</v>
      </c>
      <c r="H20" s="376">
        <f>SUM(H5:H19)-H11</f>
        <v>5915545.3283760184</v>
      </c>
      <c r="I20" s="376">
        <f t="shared" ref="I20:X20" si="0">SUM(I5:I19)-I11</f>
        <v>24382747.512011416</v>
      </c>
      <c r="J20" s="376">
        <f t="shared" si="0"/>
        <v>10272899.629625324</v>
      </c>
      <c r="K20" s="376">
        <f t="shared" si="0"/>
        <v>4474288.8222709801</v>
      </c>
      <c r="L20" s="376">
        <f t="shared" si="0"/>
        <v>303366.15171869996</v>
      </c>
      <c r="M20" s="376">
        <f t="shared" si="0"/>
        <v>108015.25532432314</v>
      </c>
      <c r="N20" s="376">
        <f t="shared" si="0"/>
        <v>0</v>
      </c>
      <c r="O20" s="376">
        <f t="shared" si="0"/>
        <v>0</v>
      </c>
      <c r="P20" s="376">
        <f t="shared" si="0"/>
        <v>0</v>
      </c>
      <c r="Q20" s="376">
        <f t="shared" si="0"/>
        <v>0</v>
      </c>
      <c r="R20" s="376">
        <f t="shared" si="0"/>
        <v>0</v>
      </c>
      <c r="S20" s="376">
        <f t="shared" si="0"/>
        <v>0</v>
      </c>
      <c r="T20" s="376">
        <f t="shared" si="0"/>
        <v>0</v>
      </c>
      <c r="U20" s="376">
        <f t="shared" si="0"/>
        <v>0</v>
      </c>
      <c r="V20" s="376">
        <f t="shared" si="0"/>
        <v>0</v>
      </c>
      <c r="W20" s="376">
        <f t="shared" si="0"/>
        <v>0</v>
      </c>
      <c r="X20" s="376">
        <f t="shared" si="0"/>
        <v>0</v>
      </c>
      <c r="Y20" s="376">
        <f>SUM(Y5:Y19)-Y11</f>
        <v>0</v>
      </c>
    </row>
    <row r="21" spans="1:25" ht="8.25" customHeight="1" x14ac:dyDescent="0.3">
      <c r="A21" s="122">
        <v>17</v>
      </c>
      <c r="B21" s="43"/>
      <c r="C21" s="43"/>
      <c r="D21" s="546"/>
      <c r="E21" s="547"/>
    </row>
    <row r="22" spans="1:25" x14ac:dyDescent="0.25">
      <c r="A22" s="122">
        <v>18</v>
      </c>
      <c r="B22" s="38" t="s">
        <v>3067</v>
      </c>
      <c r="C22" s="39">
        <v>1508</v>
      </c>
      <c r="D22" s="40">
        <f>'2b. Continuity Schedule'!BT48</f>
        <v>0</v>
      </c>
      <c r="E22" s="61" t="s">
        <v>139</v>
      </c>
      <c r="F22" s="40">
        <f>IFERROR(IF(F$4="",0,IF($E22="kWh",VLOOKUP(F$4,'4. Billing Determinants'!$B$19:$R$41,4,0)/'4. Billing Determinants'!$E$41*$D22,IF($E22="kW",VLOOKUP(F$4,'4. Billing Determinants'!$B$19:$R$41,5,0)/'4. Billing Determinants'!$F$41*$D22,IF($E22="Non-RPP kWh",VLOOKUP(F$4,'4. Billing Determinants'!$B$19:$R$41,6,0)/'4. Billing Determinants'!$G$41*$D22,IF($E22="Distribution Rev.",VLOOKUP(F$4,'4. Billing Determinants'!$B$19:$R$41,8,0)/'4. Billing Determinants'!$I$41*$D22, VLOOKUP(F$4,'4. Billing Determinants'!$B$19:$R$41,3,0)/'4. Billing Determinants'!$D$41*$D22))))),0)</f>
        <v>0</v>
      </c>
      <c r="G22" s="40">
        <f>IFERROR(IF(G$4="",0,IF($E22="kWh",VLOOKUP(G$4,'4. Billing Determinants'!$B$19:$R$41,4,0)/'4. Billing Determinants'!$E$41*$D22,IF($E22="kW",VLOOKUP(G$4,'4. Billing Determinants'!$B$19:$R$41,5,0)/'4. Billing Determinants'!$F$41*$D22,IF($E22="Non-RPP kWh",VLOOKUP(G$4,'4. Billing Determinants'!$B$19:$R$41,6,0)/'4. Billing Determinants'!$G$41*$D22,IF($E22="Distribution Rev.",VLOOKUP(G$4,'4. Billing Determinants'!$B$19:$R$41,8,0)/'4. Billing Determinants'!$I$41*$D22, VLOOKUP(G$4,'4. Billing Determinants'!$B$19:$R$41,3,0)/'4. Billing Determinants'!$D$41*$D22))))),0)</f>
        <v>0</v>
      </c>
      <c r="H22" s="40">
        <f>IFERROR(IF(H$4="",0,IF($E22="kWh",VLOOKUP(H$4,'4. Billing Determinants'!$B$19:$R$41,4,0)/'4. Billing Determinants'!$E$41*$D22,IF($E22="kW",VLOOKUP(H$4,'4. Billing Determinants'!$B$19:$R$41,5,0)/'4. Billing Determinants'!$F$41*$D22,IF($E22="Non-RPP kWh",VLOOKUP(H$4,'4. Billing Determinants'!$B$19:$R$41,6,0)/'4. Billing Determinants'!$G$41*$D22,IF($E22="Distribution Rev.",VLOOKUP(H$4,'4. Billing Determinants'!$B$19:$R$41,8,0)/'4. Billing Determinants'!$I$41*$D22, VLOOKUP(H$4,'4. Billing Determinants'!$B$19:$R$41,3,0)/'4. Billing Determinants'!$D$41*$D22))))),0)</f>
        <v>0</v>
      </c>
      <c r="I22" s="40">
        <f>IFERROR(IF(I$4="",0,IF($E22="kWh",VLOOKUP(I$4,'4. Billing Determinants'!$B$19:$R$41,4,0)/'4. Billing Determinants'!$E$41*$D22,IF($E22="kW",VLOOKUP(I$4,'4. Billing Determinants'!$B$19:$R$41,5,0)/'4. Billing Determinants'!$F$41*$D22,IF($E22="Non-RPP kWh",VLOOKUP(I$4,'4. Billing Determinants'!$B$19:$R$41,6,0)/'4. Billing Determinants'!$G$41*$D22,IF($E22="Distribution Rev.",VLOOKUP(I$4,'4. Billing Determinants'!$B$19:$R$41,8,0)/'4. Billing Determinants'!$I$41*$D22, VLOOKUP(I$4,'4. Billing Determinants'!$B$19:$R$41,3,0)/'4. Billing Determinants'!$D$41*$D22))))),0)</f>
        <v>0</v>
      </c>
      <c r="J22" s="40">
        <f>IFERROR(IF(J$4="",0,IF($E22="kWh",VLOOKUP(J$4,'4. Billing Determinants'!$B$19:$R$41,4,0)/'4. Billing Determinants'!$E$41*$D22,IF($E22="kW",VLOOKUP(J$4,'4. Billing Determinants'!$B$19:$R$41,5,0)/'4. Billing Determinants'!$F$41*$D22,IF($E22="Non-RPP kWh",VLOOKUP(J$4,'4. Billing Determinants'!$B$19:$R$41,6,0)/'4. Billing Determinants'!$G$41*$D22,IF($E22="Distribution Rev.",VLOOKUP(J$4,'4. Billing Determinants'!$B$19:$R$41,8,0)/'4. Billing Determinants'!$I$41*$D22, VLOOKUP(J$4,'4. Billing Determinants'!$B$19:$R$41,3,0)/'4. Billing Determinants'!$D$41*$D22))))),0)</f>
        <v>0</v>
      </c>
      <c r="K22" s="40">
        <f>IFERROR(IF(K$4="",0,IF($E22="kWh",VLOOKUP(K$4,'4. Billing Determinants'!$B$19:$R$41,4,0)/'4. Billing Determinants'!$E$41*$D22,IF($E22="kW",VLOOKUP(K$4,'4. Billing Determinants'!$B$19:$R$41,5,0)/'4. Billing Determinants'!$F$41*$D22,IF($E22="Non-RPP kWh",VLOOKUP(K$4,'4. Billing Determinants'!$B$19:$R$41,6,0)/'4. Billing Determinants'!$G$41*$D22,IF($E22="Distribution Rev.",VLOOKUP(K$4,'4. Billing Determinants'!$B$19:$R$41,8,0)/'4. Billing Determinants'!$I$41*$D22, VLOOKUP(K$4,'4. Billing Determinants'!$B$19:$R$41,3,0)/'4. Billing Determinants'!$D$41*$D22))))),0)</f>
        <v>0</v>
      </c>
      <c r="L22" s="40">
        <f>IFERROR(IF(L$4="",0,IF($E22="kWh",VLOOKUP(L$4,'4. Billing Determinants'!$B$19:$R$41,4,0)/'4. Billing Determinants'!$E$41*$D22,IF($E22="kW",VLOOKUP(L$4,'4. Billing Determinants'!$B$19:$R$41,5,0)/'4. Billing Determinants'!$F$41*$D22,IF($E22="Non-RPP kWh",VLOOKUP(L$4,'4. Billing Determinants'!$B$19:$R$41,6,0)/'4. Billing Determinants'!$G$41*$D22,IF($E22="Distribution Rev.",VLOOKUP(L$4,'4. Billing Determinants'!$B$19:$R$41,8,0)/'4. Billing Determinants'!$I$41*$D22, VLOOKUP(L$4,'4. Billing Determinants'!$B$19:$R$41,3,0)/'4. Billing Determinants'!$D$41*$D22))))),0)</f>
        <v>0</v>
      </c>
      <c r="M22" s="40">
        <f>IFERROR(IF(M$4="",0,IF($E22="kWh",VLOOKUP(M$4,'4. Billing Determinants'!$B$19:$R$41,4,0)/'4. Billing Determinants'!$E$41*$D22,IF($E22="kW",VLOOKUP(M$4,'4. Billing Determinants'!$B$19:$R$41,5,0)/'4. Billing Determinants'!$F$41*$D22,IF($E22="Non-RPP kWh",VLOOKUP(M$4,'4. Billing Determinants'!$B$19:$R$41,6,0)/'4. Billing Determinants'!$G$41*$D22,IF($E22="Distribution Rev.",VLOOKUP(M$4,'4. Billing Determinants'!$B$19:$R$41,8,0)/'4. Billing Determinants'!$I$41*$D22, VLOOKUP(M$4,'4. Billing Determinants'!$B$19:$R$41,3,0)/'4. Billing Determinants'!$D$41*$D22))))),0)</f>
        <v>0</v>
      </c>
      <c r="N22" s="40">
        <f>IFERROR(IF(N$4="",0,IF($E22="kWh",VLOOKUP(N$4,'4. Billing Determinants'!$B$19:$R$41,4,0)/'4. Billing Determinants'!$E$41*$D22,IF($E22="kW",VLOOKUP(N$4,'4. Billing Determinants'!$B$19:$R$41,5,0)/'4. Billing Determinants'!$F$41*$D22,IF($E22="Non-RPP kWh",VLOOKUP(N$4,'4. Billing Determinants'!$B$19:$R$41,6,0)/'4. Billing Determinants'!$G$41*$D22,IF($E22="Distribution Rev.",VLOOKUP(N$4,'4. Billing Determinants'!$B$19:$R$41,8,0)/'4. Billing Determinants'!$I$41*$D22, VLOOKUP(N$4,'4. Billing Determinants'!$B$19:$R$41,3,0)/'4. Billing Determinants'!$D$41*$D22))))),0)</f>
        <v>0</v>
      </c>
      <c r="O22" s="40">
        <f>IFERROR(IF(O$4="",0,IF($E22="kWh",VLOOKUP(O$4,'4. Billing Determinants'!$B$19:$R$41,4,0)/'4. Billing Determinants'!$E$41*$D22,IF($E22="kW",VLOOKUP(O$4,'4. Billing Determinants'!$B$19:$R$41,5,0)/'4. Billing Determinants'!$F$41*$D22,IF($E22="Non-RPP kWh",VLOOKUP(O$4,'4. Billing Determinants'!$B$19:$R$41,6,0)/'4. Billing Determinants'!$G$41*$D22,IF($E22="Distribution Rev.",VLOOKUP(O$4,'4. Billing Determinants'!$B$19:$R$41,8,0)/'4. Billing Determinants'!$I$41*$D22, VLOOKUP(O$4,'4. Billing Determinants'!$B$19:$R$41,3,0)/'4. Billing Determinants'!$D$41*$D22))))),0)</f>
        <v>0</v>
      </c>
      <c r="P22" s="40">
        <f>IFERROR(IF(P$4="",0,IF($E22="kWh",VLOOKUP(P$4,'4. Billing Determinants'!$B$19:$R$41,4,0)/'4. Billing Determinants'!$E$41*$D22,IF($E22="kW",VLOOKUP(P$4,'4. Billing Determinants'!$B$19:$R$41,5,0)/'4. Billing Determinants'!$F$41*$D22,IF($E22="Non-RPP kWh",VLOOKUP(P$4,'4. Billing Determinants'!$B$19:$R$41,6,0)/'4. Billing Determinants'!$G$41*$D22,IF($E22="Distribution Rev.",VLOOKUP(P$4,'4. Billing Determinants'!$B$19:$R$41,8,0)/'4. Billing Determinants'!$I$41*$D22, VLOOKUP(P$4,'4. Billing Determinants'!$B$19:$R$41,3,0)/'4. Billing Determinants'!$D$41*$D22))))),0)</f>
        <v>0</v>
      </c>
      <c r="Q22" s="40">
        <f>IFERROR(IF(Q$4="",0,IF($E22="kWh",VLOOKUP(Q$4,'4. Billing Determinants'!$B$19:$R$41,4,0)/'4. Billing Determinants'!$E$41*$D22,IF($E22="kW",VLOOKUP(Q$4,'4. Billing Determinants'!$B$19:$R$41,5,0)/'4. Billing Determinants'!$F$41*$D22,IF($E22="Non-RPP kWh",VLOOKUP(Q$4,'4. Billing Determinants'!$B$19:$R$41,6,0)/'4. Billing Determinants'!$G$41*$D22,IF($E22="Distribution Rev.",VLOOKUP(Q$4,'4. Billing Determinants'!$B$19:$R$41,8,0)/'4. Billing Determinants'!$I$41*$D22, VLOOKUP(Q$4,'4. Billing Determinants'!$B$19:$R$41,3,0)/'4. Billing Determinants'!$D$41*$D22))))),0)</f>
        <v>0</v>
      </c>
      <c r="R22" s="40">
        <f>IFERROR(IF(R$4="",0,IF($E22="kWh",VLOOKUP(R$4,'4. Billing Determinants'!$B$19:$R$41,4,0)/'4. Billing Determinants'!$E$41*$D22,IF($E22="kW",VLOOKUP(R$4,'4. Billing Determinants'!$B$19:$R$41,5,0)/'4. Billing Determinants'!$F$41*$D22,IF($E22="Non-RPP kWh",VLOOKUP(R$4,'4. Billing Determinants'!$B$19:$R$41,6,0)/'4. Billing Determinants'!$G$41*$D22,IF($E22="Distribution Rev.",VLOOKUP(R$4,'4. Billing Determinants'!$B$19:$R$41,8,0)/'4. Billing Determinants'!$I$41*$D22, VLOOKUP(R$4,'4. Billing Determinants'!$B$19:$R$41,3,0)/'4. Billing Determinants'!$D$41*$D22))))),0)</f>
        <v>0</v>
      </c>
      <c r="S22" s="40">
        <f>IFERROR(IF(S$4="",0,IF($E22="kWh",VLOOKUP(S$4,'4. Billing Determinants'!$B$19:$R$41,4,0)/'4. Billing Determinants'!$E$41*$D22,IF($E22="kW",VLOOKUP(S$4,'4. Billing Determinants'!$B$19:$R$41,5,0)/'4. Billing Determinants'!$F$41*$D22,IF($E22="Non-RPP kWh",VLOOKUP(S$4,'4. Billing Determinants'!$B$19:$R$41,6,0)/'4. Billing Determinants'!$G$41*$D22,IF($E22="Distribution Rev.",VLOOKUP(S$4,'4. Billing Determinants'!$B$19:$R$41,8,0)/'4. Billing Determinants'!$I$41*$D22, VLOOKUP(S$4,'4. Billing Determinants'!$B$19:$R$41,3,0)/'4. Billing Determinants'!$D$41*$D22))))),0)</f>
        <v>0</v>
      </c>
      <c r="T22" s="40">
        <f>IFERROR(IF(T$4="",0,IF($E22="kWh",VLOOKUP(T$4,'4. Billing Determinants'!$B$19:$R$41,4,0)/'4. Billing Determinants'!$E$41*$D22,IF($E22="kW",VLOOKUP(T$4,'4. Billing Determinants'!$B$19:$R$41,5,0)/'4. Billing Determinants'!$F$41*$D22,IF($E22="Non-RPP kWh",VLOOKUP(T$4,'4. Billing Determinants'!$B$19:$R$41,6,0)/'4. Billing Determinants'!$G$41*$D22,IF($E22="Distribution Rev.",VLOOKUP(T$4,'4. Billing Determinants'!$B$19:$R$41,8,0)/'4. Billing Determinants'!$I$41*$D22, VLOOKUP(T$4,'4. Billing Determinants'!$B$19:$R$41,3,0)/'4. Billing Determinants'!$D$41*$D22))))),0)</f>
        <v>0</v>
      </c>
      <c r="U22" s="40">
        <f>IFERROR(IF(U$4="",0,IF($E22="kWh",VLOOKUP(U$4,'4. Billing Determinants'!$B$19:$R$41,4,0)/'4. Billing Determinants'!$E$41*$D22,IF($E22="kW",VLOOKUP(U$4,'4. Billing Determinants'!$B$19:$R$41,5,0)/'4. Billing Determinants'!$F$41*$D22,IF($E22="Non-RPP kWh",VLOOKUP(U$4,'4. Billing Determinants'!$B$19:$R$41,6,0)/'4. Billing Determinants'!$G$41*$D22,IF($E22="Distribution Rev.",VLOOKUP(U$4,'4. Billing Determinants'!$B$19:$R$41,8,0)/'4. Billing Determinants'!$I$41*$D22, VLOOKUP(U$4,'4. Billing Determinants'!$B$19:$R$41,3,0)/'4. Billing Determinants'!$D$41*$D22))))),0)</f>
        <v>0</v>
      </c>
      <c r="V22" s="40">
        <f>IFERROR(IF(V$4="",0,IF($E22="kWh",VLOOKUP(V$4,'4. Billing Determinants'!$B$19:$R$41,4,0)/'4. Billing Determinants'!$E$41*$D22,IF($E22="kW",VLOOKUP(V$4,'4. Billing Determinants'!$B$19:$R$41,5,0)/'4. Billing Determinants'!$F$41*$D22,IF($E22="Non-RPP kWh",VLOOKUP(V$4,'4. Billing Determinants'!$B$19:$R$41,6,0)/'4. Billing Determinants'!$G$41*$D22,IF($E22="Distribution Rev.",VLOOKUP(V$4,'4. Billing Determinants'!$B$19:$R$41,8,0)/'4. Billing Determinants'!$I$41*$D22, VLOOKUP(V$4,'4. Billing Determinants'!$B$19:$R$41,3,0)/'4. Billing Determinants'!$D$41*$D22))))),0)</f>
        <v>0</v>
      </c>
      <c r="W22" s="40">
        <f>IFERROR(IF(W$4="",0,IF($E22="kWh",VLOOKUP(W$4,'4. Billing Determinants'!$B$19:$R$41,4,0)/'4. Billing Determinants'!$E$41*$D22,IF($E22="kW",VLOOKUP(W$4,'4. Billing Determinants'!$B$19:$R$41,5,0)/'4. Billing Determinants'!$F$41*$D22,IF($E22="Non-RPP kWh",VLOOKUP(W$4,'4. Billing Determinants'!$B$19:$R$41,6,0)/'4. Billing Determinants'!$G$41*$D22,IF($E22="Distribution Rev.",VLOOKUP(W$4,'4. Billing Determinants'!$B$19:$R$41,8,0)/'4. Billing Determinants'!$I$41*$D22, VLOOKUP(W$4,'4. Billing Determinants'!$B$19:$R$41,3,0)/'4. Billing Determinants'!$D$41*$D22))))),0)</f>
        <v>0</v>
      </c>
      <c r="X22" s="40">
        <f>IFERROR(IF(X$4="",0,IF($E22="kWh",VLOOKUP(X$4,'4. Billing Determinants'!$B$19:$R$41,4,0)/'4. Billing Determinants'!$E$41*$D22,IF($E22="kW",VLOOKUP(X$4,'4. Billing Determinants'!$B$19:$R$41,5,0)/'4. Billing Determinants'!$F$41*$D22,IF($E22="Non-RPP kWh",VLOOKUP(X$4,'4. Billing Determinants'!$B$19:$R$41,6,0)/'4. Billing Determinants'!$G$41*$D22,IF($E22="Distribution Rev.",VLOOKUP(X$4,'4. Billing Determinants'!$B$19:$R$41,8,0)/'4. Billing Determinants'!$I$41*$D22, VLOOKUP(X$4,'4. Billing Determinants'!$B$19:$R$41,3,0)/'4. Billing Determinants'!$D$41*$D22))))),0)</f>
        <v>0</v>
      </c>
      <c r="Y22" s="40">
        <f>IFERROR(IF(Y$4="",0,IF($E22="kWh",VLOOKUP(Y$4,'4. Billing Determinants'!$B$19:$R$41,4,0)/'4. Billing Determinants'!$E$41*$D22,IF($E22="kW",VLOOKUP(Y$4,'4. Billing Determinants'!$B$19:$R$41,5,0)/'4. Billing Determinants'!$F$41*$D22,IF($E22="Non-RPP kWh",VLOOKUP(Y$4,'4. Billing Determinants'!$B$19:$R$41,6,0)/'4. Billing Determinants'!$G$41*$D22,IF($E22="Distribution Rev.",VLOOKUP(Y$4,'4. Billing Determinants'!$B$19:$R$41,8,0)/'4. Billing Determinants'!$I$41*$D22, VLOOKUP(Y$4,'4. Billing Determinants'!$B$19:$R$41,3,0)/'4. Billing Determinants'!$D$41*$D22))))),0)</f>
        <v>0</v>
      </c>
    </row>
    <row r="23" spans="1:25" x14ac:dyDescent="0.25">
      <c r="A23" s="122">
        <v>19</v>
      </c>
      <c r="B23" s="38" t="s">
        <v>442</v>
      </c>
      <c r="C23" s="39">
        <v>1508</v>
      </c>
      <c r="D23" s="40">
        <f>'2b. Continuity Schedule'!BT49</f>
        <v>0</v>
      </c>
      <c r="E23" s="295" t="s">
        <v>3033</v>
      </c>
      <c r="F23" s="40">
        <f>IFERROR(IF(F$4="",0,IF($E23="kWh",VLOOKUP(F$4,'4. Billing Determinants'!$B$19:$R$41,4,0)/'4. Billing Determinants'!$E$41*$D23,IF($E23="kW",VLOOKUP(F$4,'4. Billing Determinants'!$B$19:$R$41,5,0)/'4. Billing Determinants'!$F$41*$D23,IF($E23="Non-RPP kWh",VLOOKUP(F$4,'4. Billing Determinants'!$B$19:$R$41,6,0)/'4. Billing Determinants'!$G$41*$D23,IF($E23="Distribution Rev.",VLOOKUP(F$4,'4. Billing Determinants'!$B$19:$R$41,8,0)/'4. Billing Determinants'!$I$41*$D23, VLOOKUP(F$4,'4. Billing Determinants'!$B$19:$R$41,3,0)/'4. Billing Determinants'!$D$41*$D23))))),0)</f>
        <v>0</v>
      </c>
      <c r="G23" s="40">
        <f>IFERROR(IF(G$4="",0,IF($E23="kWh",VLOOKUP(G$4,'4. Billing Determinants'!$B$19:$R$41,4,0)/'4. Billing Determinants'!$E$41*$D23,IF($E23="kW",VLOOKUP(G$4,'4. Billing Determinants'!$B$19:$R$41,5,0)/'4. Billing Determinants'!$F$41*$D23,IF($E23="Non-RPP kWh",VLOOKUP(G$4,'4. Billing Determinants'!$B$19:$R$41,6,0)/'4. Billing Determinants'!$G$41*$D23,IF($E23="Distribution Rev.",VLOOKUP(G$4,'4. Billing Determinants'!$B$19:$R$41,8,0)/'4. Billing Determinants'!$I$41*$D23, VLOOKUP(G$4,'4. Billing Determinants'!$B$19:$R$41,3,0)/'4. Billing Determinants'!$D$41*$D23))))),0)</f>
        <v>0</v>
      </c>
      <c r="H23" s="40">
        <f>IFERROR(IF(H$4="",0,IF($E23="kWh",VLOOKUP(H$4,'4. Billing Determinants'!$B$19:$R$41,4,0)/'4. Billing Determinants'!$E$41*$D23,IF($E23="kW",VLOOKUP(H$4,'4. Billing Determinants'!$B$19:$R$41,5,0)/'4. Billing Determinants'!$F$41*$D23,IF($E23="Non-RPP kWh",VLOOKUP(H$4,'4. Billing Determinants'!$B$19:$R$41,6,0)/'4. Billing Determinants'!$G$41*$D23,IF($E23="Distribution Rev.",VLOOKUP(H$4,'4. Billing Determinants'!$B$19:$R$41,8,0)/'4. Billing Determinants'!$I$41*$D23, VLOOKUP(H$4,'4. Billing Determinants'!$B$19:$R$41,3,0)/'4. Billing Determinants'!$D$41*$D23))))),0)</f>
        <v>0</v>
      </c>
      <c r="I23" s="40">
        <f>IFERROR(IF(I$4="",0,IF($E23="kWh",VLOOKUP(I$4,'4. Billing Determinants'!$B$19:$R$41,4,0)/'4. Billing Determinants'!$E$41*$D23,IF($E23="kW",VLOOKUP(I$4,'4. Billing Determinants'!$B$19:$R$41,5,0)/'4. Billing Determinants'!$F$41*$D23,IF($E23="Non-RPP kWh",VLOOKUP(I$4,'4. Billing Determinants'!$B$19:$R$41,6,0)/'4. Billing Determinants'!$G$41*$D23,IF($E23="Distribution Rev.",VLOOKUP(I$4,'4. Billing Determinants'!$B$19:$R$41,8,0)/'4. Billing Determinants'!$I$41*$D23, VLOOKUP(I$4,'4. Billing Determinants'!$B$19:$R$41,3,0)/'4. Billing Determinants'!$D$41*$D23))))),0)</f>
        <v>0</v>
      </c>
      <c r="J23" s="40">
        <f>IFERROR(IF(J$4="",0,IF($E23="kWh",VLOOKUP(J$4,'4. Billing Determinants'!$B$19:$R$41,4,0)/'4. Billing Determinants'!$E$41*$D23,IF($E23="kW",VLOOKUP(J$4,'4. Billing Determinants'!$B$19:$R$41,5,0)/'4. Billing Determinants'!$F$41*$D23,IF($E23="Non-RPP kWh",VLOOKUP(J$4,'4. Billing Determinants'!$B$19:$R$41,6,0)/'4. Billing Determinants'!$G$41*$D23,IF($E23="Distribution Rev.",VLOOKUP(J$4,'4. Billing Determinants'!$B$19:$R$41,8,0)/'4. Billing Determinants'!$I$41*$D23, VLOOKUP(J$4,'4. Billing Determinants'!$B$19:$R$41,3,0)/'4. Billing Determinants'!$D$41*$D23))))),0)</f>
        <v>0</v>
      </c>
      <c r="K23" s="40">
        <f>IFERROR(IF(K$4="",0,IF($E23="kWh",VLOOKUP(K$4,'4. Billing Determinants'!$B$19:$R$41,4,0)/'4. Billing Determinants'!$E$41*$D23,IF($E23="kW",VLOOKUP(K$4,'4. Billing Determinants'!$B$19:$R$41,5,0)/'4. Billing Determinants'!$F$41*$D23,IF($E23="Non-RPP kWh",VLOOKUP(K$4,'4. Billing Determinants'!$B$19:$R$41,6,0)/'4. Billing Determinants'!$G$41*$D23,IF($E23="Distribution Rev.",VLOOKUP(K$4,'4. Billing Determinants'!$B$19:$R$41,8,0)/'4. Billing Determinants'!$I$41*$D23, VLOOKUP(K$4,'4. Billing Determinants'!$B$19:$R$41,3,0)/'4. Billing Determinants'!$D$41*$D23))))),0)</f>
        <v>0</v>
      </c>
      <c r="L23" s="40">
        <f>IFERROR(IF(L$4="",0,IF($E23="kWh",VLOOKUP(L$4,'4. Billing Determinants'!$B$19:$R$41,4,0)/'4. Billing Determinants'!$E$41*$D23,IF($E23="kW",VLOOKUP(L$4,'4. Billing Determinants'!$B$19:$R$41,5,0)/'4. Billing Determinants'!$F$41*$D23,IF($E23="Non-RPP kWh",VLOOKUP(L$4,'4. Billing Determinants'!$B$19:$R$41,6,0)/'4. Billing Determinants'!$G$41*$D23,IF($E23="Distribution Rev.",VLOOKUP(L$4,'4. Billing Determinants'!$B$19:$R$41,8,0)/'4. Billing Determinants'!$I$41*$D23, VLOOKUP(L$4,'4. Billing Determinants'!$B$19:$R$41,3,0)/'4. Billing Determinants'!$D$41*$D23))))),0)</f>
        <v>0</v>
      </c>
      <c r="M23" s="40">
        <f>IFERROR(IF(M$4="",0,IF($E23="kWh",VLOOKUP(M$4,'4. Billing Determinants'!$B$19:$R$41,4,0)/'4. Billing Determinants'!$E$41*$D23,IF($E23="kW",VLOOKUP(M$4,'4. Billing Determinants'!$B$19:$R$41,5,0)/'4. Billing Determinants'!$F$41*$D23,IF($E23="Non-RPP kWh",VLOOKUP(M$4,'4. Billing Determinants'!$B$19:$R$41,6,0)/'4. Billing Determinants'!$G$41*$D23,IF($E23="Distribution Rev.",VLOOKUP(M$4,'4. Billing Determinants'!$B$19:$R$41,8,0)/'4. Billing Determinants'!$I$41*$D23, VLOOKUP(M$4,'4. Billing Determinants'!$B$19:$R$41,3,0)/'4. Billing Determinants'!$D$41*$D23))))),0)</f>
        <v>0</v>
      </c>
      <c r="N23" s="40">
        <f>IFERROR(IF(N$4="",0,IF($E23="kWh",VLOOKUP(N$4,'4. Billing Determinants'!$B$19:$R$41,4,0)/'4. Billing Determinants'!$E$41*$D23,IF($E23="kW",VLOOKUP(N$4,'4. Billing Determinants'!$B$19:$R$41,5,0)/'4. Billing Determinants'!$F$41*$D23,IF($E23="Non-RPP kWh",VLOOKUP(N$4,'4. Billing Determinants'!$B$19:$R$41,6,0)/'4. Billing Determinants'!$G$41*$D23,IF($E23="Distribution Rev.",VLOOKUP(N$4,'4. Billing Determinants'!$B$19:$R$41,8,0)/'4. Billing Determinants'!$I$41*$D23, VLOOKUP(N$4,'4. Billing Determinants'!$B$19:$R$41,3,0)/'4. Billing Determinants'!$D$41*$D23))))),0)</f>
        <v>0</v>
      </c>
      <c r="O23" s="40">
        <f>IFERROR(IF(O$4="",0,IF($E23="kWh",VLOOKUP(O$4,'4. Billing Determinants'!$B$19:$R$41,4,0)/'4. Billing Determinants'!$E$41*$D23,IF($E23="kW",VLOOKUP(O$4,'4. Billing Determinants'!$B$19:$R$41,5,0)/'4. Billing Determinants'!$F$41*$D23,IF($E23="Non-RPP kWh",VLOOKUP(O$4,'4. Billing Determinants'!$B$19:$R$41,6,0)/'4. Billing Determinants'!$G$41*$D23,IF($E23="Distribution Rev.",VLOOKUP(O$4,'4. Billing Determinants'!$B$19:$R$41,8,0)/'4. Billing Determinants'!$I$41*$D23, VLOOKUP(O$4,'4. Billing Determinants'!$B$19:$R$41,3,0)/'4. Billing Determinants'!$D$41*$D23))))),0)</f>
        <v>0</v>
      </c>
      <c r="P23" s="40">
        <f>IFERROR(IF(P$4="",0,IF($E23="kWh",VLOOKUP(P$4,'4. Billing Determinants'!$B$19:$R$41,4,0)/'4. Billing Determinants'!$E$41*$D23,IF($E23="kW",VLOOKUP(P$4,'4. Billing Determinants'!$B$19:$R$41,5,0)/'4. Billing Determinants'!$F$41*$D23,IF($E23="Non-RPP kWh",VLOOKUP(P$4,'4. Billing Determinants'!$B$19:$R$41,6,0)/'4. Billing Determinants'!$G$41*$D23,IF($E23="Distribution Rev.",VLOOKUP(P$4,'4. Billing Determinants'!$B$19:$R$41,8,0)/'4. Billing Determinants'!$I$41*$D23, VLOOKUP(P$4,'4. Billing Determinants'!$B$19:$R$41,3,0)/'4. Billing Determinants'!$D$41*$D23))))),0)</f>
        <v>0</v>
      </c>
      <c r="Q23" s="40">
        <f>IFERROR(IF(Q$4="",0,IF($E23="kWh",VLOOKUP(Q$4,'4. Billing Determinants'!$B$19:$R$41,4,0)/'4. Billing Determinants'!$E$41*$D23,IF($E23="kW",VLOOKUP(Q$4,'4. Billing Determinants'!$B$19:$R$41,5,0)/'4. Billing Determinants'!$F$41*$D23,IF($E23="Non-RPP kWh",VLOOKUP(Q$4,'4. Billing Determinants'!$B$19:$R$41,6,0)/'4. Billing Determinants'!$G$41*$D23,IF($E23="Distribution Rev.",VLOOKUP(Q$4,'4. Billing Determinants'!$B$19:$R$41,8,0)/'4. Billing Determinants'!$I$41*$D23, VLOOKUP(Q$4,'4. Billing Determinants'!$B$19:$R$41,3,0)/'4. Billing Determinants'!$D$41*$D23))))),0)</f>
        <v>0</v>
      </c>
      <c r="R23" s="40">
        <f>IFERROR(IF(R$4="",0,IF($E23="kWh",VLOOKUP(R$4,'4. Billing Determinants'!$B$19:$R$41,4,0)/'4. Billing Determinants'!$E$41*$D23,IF($E23="kW",VLOOKUP(R$4,'4. Billing Determinants'!$B$19:$R$41,5,0)/'4. Billing Determinants'!$F$41*$D23,IF($E23="Non-RPP kWh",VLOOKUP(R$4,'4. Billing Determinants'!$B$19:$R$41,6,0)/'4. Billing Determinants'!$G$41*$D23,IF($E23="Distribution Rev.",VLOOKUP(R$4,'4. Billing Determinants'!$B$19:$R$41,8,0)/'4. Billing Determinants'!$I$41*$D23, VLOOKUP(R$4,'4. Billing Determinants'!$B$19:$R$41,3,0)/'4. Billing Determinants'!$D$41*$D23))))),0)</f>
        <v>0</v>
      </c>
      <c r="S23" s="40">
        <f>IFERROR(IF(S$4="",0,IF($E23="kWh",VLOOKUP(S$4,'4. Billing Determinants'!$B$19:$R$41,4,0)/'4. Billing Determinants'!$E$41*$D23,IF($E23="kW",VLOOKUP(S$4,'4. Billing Determinants'!$B$19:$R$41,5,0)/'4. Billing Determinants'!$F$41*$D23,IF($E23="Non-RPP kWh",VLOOKUP(S$4,'4. Billing Determinants'!$B$19:$R$41,6,0)/'4. Billing Determinants'!$G$41*$D23,IF($E23="Distribution Rev.",VLOOKUP(S$4,'4. Billing Determinants'!$B$19:$R$41,8,0)/'4. Billing Determinants'!$I$41*$D23, VLOOKUP(S$4,'4. Billing Determinants'!$B$19:$R$41,3,0)/'4. Billing Determinants'!$D$41*$D23))))),0)</f>
        <v>0</v>
      </c>
      <c r="T23" s="40">
        <f>IFERROR(IF(T$4="",0,IF($E23="kWh",VLOOKUP(T$4,'4. Billing Determinants'!$B$19:$R$41,4,0)/'4. Billing Determinants'!$E$41*$D23,IF($E23="kW",VLOOKUP(T$4,'4. Billing Determinants'!$B$19:$R$41,5,0)/'4. Billing Determinants'!$F$41*$D23,IF($E23="Non-RPP kWh",VLOOKUP(T$4,'4. Billing Determinants'!$B$19:$R$41,6,0)/'4. Billing Determinants'!$G$41*$D23,IF($E23="Distribution Rev.",VLOOKUP(T$4,'4. Billing Determinants'!$B$19:$R$41,8,0)/'4. Billing Determinants'!$I$41*$D23, VLOOKUP(T$4,'4. Billing Determinants'!$B$19:$R$41,3,0)/'4. Billing Determinants'!$D$41*$D23))))),0)</f>
        <v>0</v>
      </c>
      <c r="U23" s="40">
        <f>IFERROR(IF(U$4="",0,IF($E23="kWh",VLOOKUP(U$4,'4. Billing Determinants'!$B$19:$R$41,4,0)/'4. Billing Determinants'!$E$41*$D23,IF($E23="kW",VLOOKUP(U$4,'4. Billing Determinants'!$B$19:$R$41,5,0)/'4. Billing Determinants'!$F$41*$D23,IF($E23="Non-RPP kWh",VLOOKUP(U$4,'4. Billing Determinants'!$B$19:$R$41,6,0)/'4. Billing Determinants'!$G$41*$D23,IF($E23="Distribution Rev.",VLOOKUP(U$4,'4. Billing Determinants'!$B$19:$R$41,8,0)/'4. Billing Determinants'!$I$41*$D23, VLOOKUP(U$4,'4. Billing Determinants'!$B$19:$R$41,3,0)/'4. Billing Determinants'!$D$41*$D23))))),0)</f>
        <v>0</v>
      </c>
      <c r="V23" s="40">
        <f>IFERROR(IF(V$4="",0,IF($E23="kWh",VLOOKUP(V$4,'4. Billing Determinants'!$B$19:$R$41,4,0)/'4. Billing Determinants'!$E$41*$D23,IF($E23="kW",VLOOKUP(V$4,'4. Billing Determinants'!$B$19:$R$41,5,0)/'4. Billing Determinants'!$F$41*$D23,IF($E23="Non-RPP kWh",VLOOKUP(V$4,'4. Billing Determinants'!$B$19:$R$41,6,0)/'4. Billing Determinants'!$G$41*$D23,IF($E23="Distribution Rev.",VLOOKUP(V$4,'4. Billing Determinants'!$B$19:$R$41,8,0)/'4. Billing Determinants'!$I$41*$D23, VLOOKUP(V$4,'4. Billing Determinants'!$B$19:$R$41,3,0)/'4. Billing Determinants'!$D$41*$D23))))),0)</f>
        <v>0</v>
      </c>
      <c r="W23" s="40">
        <f>IFERROR(IF(W$4="",0,IF($E23="kWh",VLOOKUP(W$4,'4. Billing Determinants'!$B$19:$R$41,4,0)/'4. Billing Determinants'!$E$41*$D23,IF($E23="kW",VLOOKUP(W$4,'4. Billing Determinants'!$B$19:$R$41,5,0)/'4. Billing Determinants'!$F$41*$D23,IF($E23="Non-RPP kWh",VLOOKUP(W$4,'4. Billing Determinants'!$B$19:$R$41,6,0)/'4. Billing Determinants'!$G$41*$D23,IF($E23="Distribution Rev.",VLOOKUP(W$4,'4. Billing Determinants'!$B$19:$R$41,8,0)/'4. Billing Determinants'!$I$41*$D23, VLOOKUP(W$4,'4. Billing Determinants'!$B$19:$R$41,3,0)/'4. Billing Determinants'!$D$41*$D23))))),0)</f>
        <v>0</v>
      </c>
      <c r="X23" s="40">
        <f>IFERROR(IF(X$4="",0,IF($E23="kWh",VLOOKUP(X$4,'4. Billing Determinants'!$B$19:$R$41,4,0)/'4. Billing Determinants'!$E$41*$D23,IF($E23="kW",VLOOKUP(X$4,'4. Billing Determinants'!$B$19:$R$41,5,0)/'4. Billing Determinants'!$F$41*$D23,IF($E23="Non-RPP kWh",VLOOKUP(X$4,'4. Billing Determinants'!$B$19:$R$41,6,0)/'4. Billing Determinants'!$G$41*$D23,IF($E23="Distribution Rev.",VLOOKUP(X$4,'4. Billing Determinants'!$B$19:$R$41,8,0)/'4. Billing Determinants'!$I$41*$D23, VLOOKUP(X$4,'4. Billing Determinants'!$B$19:$R$41,3,0)/'4. Billing Determinants'!$D$41*$D23))))),0)</f>
        <v>0</v>
      </c>
      <c r="Y23" s="40">
        <f>IFERROR(IF(Y$4="",0,IF($E23="kWh",VLOOKUP(Y$4,'4. Billing Determinants'!$B$19:$R$41,4,0)/'4. Billing Determinants'!$E$41*$D23,IF($E23="kW",VLOOKUP(Y$4,'4. Billing Determinants'!$B$19:$R$41,5,0)/'4. Billing Determinants'!$F$41*$D23,IF($E23="Non-RPP kWh",VLOOKUP(Y$4,'4. Billing Determinants'!$B$19:$R$41,6,0)/'4. Billing Determinants'!$G$41*$D23,IF($E23="Distribution Rev.",VLOOKUP(Y$4,'4. Billing Determinants'!$B$19:$R$41,8,0)/'4. Billing Determinants'!$I$41*$D23, VLOOKUP(Y$4,'4. Billing Determinants'!$B$19:$R$41,3,0)/'4. Billing Determinants'!$D$41*$D23))))),0)</f>
        <v>0</v>
      </c>
    </row>
    <row r="24" spans="1:25" x14ac:dyDescent="0.25">
      <c r="A24" s="278">
        <v>20</v>
      </c>
      <c r="B24" s="106" t="s">
        <v>443</v>
      </c>
      <c r="C24" s="39">
        <v>1508</v>
      </c>
      <c r="D24" s="40">
        <f>'2b. Continuity Schedule'!BT50</f>
        <v>0</v>
      </c>
      <c r="E24" s="61" t="s">
        <v>59</v>
      </c>
      <c r="F24" s="40">
        <f>IFERROR(IF(F$4="",0,IF($E24="kWh",VLOOKUP(F$4,'4. Billing Determinants'!$B$19:$R$41,4,0)/'4. Billing Determinants'!$E$41*$D24,IF($E24="kW",VLOOKUP(F$4,'4. Billing Determinants'!$B$19:$R$41,5,0)/'4. Billing Determinants'!$F$41*$D24,IF($E24="Non-RPP kWh",VLOOKUP(F$4,'4. Billing Determinants'!$B$19:$R$41,6,0)/'4. Billing Determinants'!$G$41*$D24,IF($E24="Distribution Rev.",VLOOKUP(F$4,'4. Billing Determinants'!$B$19:$R$41,8,0)/'4. Billing Determinants'!$I$41*$D24, VLOOKUP(F$4,'4. Billing Determinants'!$B$19:$R$41,3,0)/'4. Billing Determinants'!$D$41*$D24))))),0)</f>
        <v>0</v>
      </c>
      <c r="G24" s="40">
        <f>IFERROR(IF(G$4="",0,IF($E24="kWh",VLOOKUP(G$4,'4. Billing Determinants'!$B$19:$R$41,4,0)/'4. Billing Determinants'!$E$41*$D24,IF($E24="kW",VLOOKUP(G$4,'4. Billing Determinants'!$B$19:$R$41,5,0)/'4. Billing Determinants'!$F$41*$D24,IF($E24="Non-RPP kWh",VLOOKUP(G$4,'4. Billing Determinants'!$B$19:$R$41,6,0)/'4. Billing Determinants'!$G$41*$D24,IF($E24="Distribution Rev.",VLOOKUP(G$4,'4. Billing Determinants'!$B$19:$R$41,8,0)/'4. Billing Determinants'!$I$41*$D24, VLOOKUP(G$4,'4. Billing Determinants'!$B$19:$R$41,3,0)/'4. Billing Determinants'!$D$41*$D24))))),0)</f>
        <v>0</v>
      </c>
      <c r="H24" s="40">
        <f>IFERROR(IF(H$4="",0,IF($E24="kWh",VLOOKUP(H$4,'4. Billing Determinants'!$B$19:$R$41,4,0)/'4. Billing Determinants'!$E$41*$D24,IF($E24="kW",VLOOKUP(H$4,'4. Billing Determinants'!$B$19:$R$41,5,0)/'4. Billing Determinants'!$F$41*$D24,IF($E24="Non-RPP kWh",VLOOKUP(H$4,'4. Billing Determinants'!$B$19:$R$41,6,0)/'4. Billing Determinants'!$G$41*$D24,IF($E24="Distribution Rev.",VLOOKUP(H$4,'4. Billing Determinants'!$B$19:$R$41,8,0)/'4. Billing Determinants'!$I$41*$D24, VLOOKUP(H$4,'4. Billing Determinants'!$B$19:$R$41,3,0)/'4. Billing Determinants'!$D$41*$D24))))),0)</f>
        <v>0</v>
      </c>
      <c r="I24" s="40">
        <f>IFERROR(IF(I$4="",0,IF($E24="kWh",VLOOKUP(I$4,'4. Billing Determinants'!$B$19:$R$41,4,0)/'4. Billing Determinants'!$E$41*$D24,IF($E24="kW",VLOOKUP(I$4,'4. Billing Determinants'!$B$19:$R$41,5,0)/'4. Billing Determinants'!$F$41*$D24,IF($E24="Non-RPP kWh",VLOOKUP(I$4,'4. Billing Determinants'!$B$19:$R$41,6,0)/'4. Billing Determinants'!$G$41*$D24,IF($E24="Distribution Rev.",VLOOKUP(I$4,'4. Billing Determinants'!$B$19:$R$41,8,0)/'4. Billing Determinants'!$I$41*$D24, VLOOKUP(I$4,'4. Billing Determinants'!$B$19:$R$41,3,0)/'4. Billing Determinants'!$D$41*$D24))))),0)</f>
        <v>0</v>
      </c>
      <c r="J24" s="40">
        <f>IFERROR(IF(J$4="",0,IF($E24="kWh",VLOOKUP(J$4,'4. Billing Determinants'!$B$19:$R$41,4,0)/'4. Billing Determinants'!$E$41*$D24,IF($E24="kW",VLOOKUP(J$4,'4. Billing Determinants'!$B$19:$R$41,5,0)/'4. Billing Determinants'!$F$41*$D24,IF($E24="Non-RPP kWh",VLOOKUP(J$4,'4. Billing Determinants'!$B$19:$R$41,6,0)/'4. Billing Determinants'!$G$41*$D24,IF($E24="Distribution Rev.",VLOOKUP(J$4,'4. Billing Determinants'!$B$19:$R$41,8,0)/'4. Billing Determinants'!$I$41*$D24, VLOOKUP(J$4,'4. Billing Determinants'!$B$19:$R$41,3,0)/'4. Billing Determinants'!$D$41*$D24))))),0)</f>
        <v>0</v>
      </c>
      <c r="K24" s="40">
        <f>IFERROR(IF(K$4="",0,IF($E24="kWh",VLOOKUP(K$4,'4. Billing Determinants'!$B$19:$R$41,4,0)/'4. Billing Determinants'!$E$41*$D24,IF($E24="kW",VLOOKUP(K$4,'4. Billing Determinants'!$B$19:$R$41,5,0)/'4. Billing Determinants'!$F$41*$D24,IF($E24="Non-RPP kWh",VLOOKUP(K$4,'4. Billing Determinants'!$B$19:$R$41,6,0)/'4. Billing Determinants'!$G$41*$D24,IF($E24="Distribution Rev.",VLOOKUP(K$4,'4. Billing Determinants'!$B$19:$R$41,8,0)/'4. Billing Determinants'!$I$41*$D24, VLOOKUP(K$4,'4. Billing Determinants'!$B$19:$R$41,3,0)/'4. Billing Determinants'!$D$41*$D24))))),0)</f>
        <v>0</v>
      </c>
      <c r="L24" s="40">
        <f>IFERROR(IF(L$4="",0,IF($E24="kWh",VLOOKUP(L$4,'4. Billing Determinants'!$B$19:$R$41,4,0)/'4. Billing Determinants'!$E$41*$D24,IF($E24="kW",VLOOKUP(L$4,'4. Billing Determinants'!$B$19:$R$41,5,0)/'4. Billing Determinants'!$F$41*$D24,IF($E24="Non-RPP kWh",VLOOKUP(L$4,'4. Billing Determinants'!$B$19:$R$41,6,0)/'4. Billing Determinants'!$G$41*$D24,IF($E24="Distribution Rev.",VLOOKUP(L$4,'4. Billing Determinants'!$B$19:$R$41,8,0)/'4. Billing Determinants'!$I$41*$D24, VLOOKUP(L$4,'4. Billing Determinants'!$B$19:$R$41,3,0)/'4. Billing Determinants'!$D$41*$D24))))),0)</f>
        <v>0</v>
      </c>
      <c r="M24" s="40">
        <f>IFERROR(IF(M$4="",0,IF($E24="kWh",VLOOKUP(M$4,'4. Billing Determinants'!$B$19:$R$41,4,0)/'4. Billing Determinants'!$E$41*$D24,IF($E24="kW",VLOOKUP(M$4,'4. Billing Determinants'!$B$19:$R$41,5,0)/'4. Billing Determinants'!$F$41*$D24,IF($E24="Non-RPP kWh",VLOOKUP(M$4,'4. Billing Determinants'!$B$19:$R$41,6,0)/'4. Billing Determinants'!$G$41*$D24,IF($E24="Distribution Rev.",VLOOKUP(M$4,'4. Billing Determinants'!$B$19:$R$41,8,0)/'4. Billing Determinants'!$I$41*$D24, VLOOKUP(M$4,'4. Billing Determinants'!$B$19:$R$41,3,0)/'4. Billing Determinants'!$D$41*$D24))))),0)</f>
        <v>0</v>
      </c>
      <c r="N24" s="40">
        <f>IFERROR(IF(N$4="",0,IF($E24="kWh",VLOOKUP(N$4,'4. Billing Determinants'!$B$19:$R$41,4,0)/'4. Billing Determinants'!$E$41*$D24,IF($E24="kW",VLOOKUP(N$4,'4. Billing Determinants'!$B$19:$R$41,5,0)/'4. Billing Determinants'!$F$41*$D24,IF($E24="Non-RPP kWh",VLOOKUP(N$4,'4. Billing Determinants'!$B$19:$R$41,6,0)/'4. Billing Determinants'!$G$41*$D24,IF($E24="Distribution Rev.",VLOOKUP(N$4,'4. Billing Determinants'!$B$19:$R$41,8,0)/'4. Billing Determinants'!$I$41*$D24, VLOOKUP(N$4,'4. Billing Determinants'!$B$19:$R$41,3,0)/'4. Billing Determinants'!$D$41*$D24))))),0)</f>
        <v>0</v>
      </c>
      <c r="O24" s="40">
        <f>IFERROR(IF(O$4="",0,IF($E24="kWh",VLOOKUP(O$4,'4. Billing Determinants'!$B$19:$R$41,4,0)/'4. Billing Determinants'!$E$41*$D24,IF($E24="kW",VLOOKUP(O$4,'4. Billing Determinants'!$B$19:$R$41,5,0)/'4. Billing Determinants'!$F$41*$D24,IF($E24="Non-RPP kWh",VLOOKUP(O$4,'4. Billing Determinants'!$B$19:$R$41,6,0)/'4. Billing Determinants'!$G$41*$D24,IF($E24="Distribution Rev.",VLOOKUP(O$4,'4. Billing Determinants'!$B$19:$R$41,8,0)/'4. Billing Determinants'!$I$41*$D24, VLOOKUP(O$4,'4. Billing Determinants'!$B$19:$R$41,3,0)/'4. Billing Determinants'!$D$41*$D24))))),0)</f>
        <v>0</v>
      </c>
      <c r="P24" s="40">
        <f>IFERROR(IF(P$4="",0,IF($E24="kWh",VLOOKUP(P$4,'4. Billing Determinants'!$B$19:$R$41,4,0)/'4. Billing Determinants'!$E$41*$D24,IF($E24="kW",VLOOKUP(P$4,'4. Billing Determinants'!$B$19:$R$41,5,0)/'4. Billing Determinants'!$F$41*$D24,IF($E24="Non-RPP kWh",VLOOKUP(P$4,'4. Billing Determinants'!$B$19:$R$41,6,0)/'4. Billing Determinants'!$G$41*$D24,IF($E24="Distribution Rev.",VLOOKUP(P$4,'4. Billing Determinants'!$B$19:$R$41,8,0)/'4. Billing Determinants'!$I$41*$D24, VLOOKUP(P$4,'4. Billing Determinants'!$B$19:$R$41,3,0)/'4. Billing Determinants'!$D$41*$D24))))),0)</f>
        <v>0</v>
      </c>
      <c r="Q24" s="40">
        <f>IFERROR(IF(Q$4="",0,IF($E24="kWh",VLOOKUP(Q$4,'4. Billing Determinants'!$B$19:$R$41,4,0)/'4. Billing Determinants'!$E$41*$D24,IF($E24="kW",VLOOKUP(Q$4,'4. Billing Determinants'!$B$19:$R$41,5,0)/'4. Billing Determinants'!$F$41*$D24,IF($E24="Non-RPP kWh",VLOOKUP(Q$4,'4. Billing Determinants'!$B$19:$R$41,6,0)/'4. Billing Determinants'!$G$41*$D24,IF($E24="Distribution Rev.",VLOOKUP(Q$4,'4. Billing Determinants'!$B$19:$R$41,8,0)/'4. Billing Determinants'!$I$41*$D24, VLOOKUP(Q$4,'4. Billing Determinants'!$B$19:$R$41,3,0)/'4. Billing Determinants'!$D$41*$D24))))),0)</f>
        <v>0</v>
      </c>
      <c r="R24" s="40">
        <f>IFERROR(IF(R$4="",0,IF($E24="kWh",VLOOKUP(R$4,'4. Billing Determinants'!$B$19:$R$41,4,0)/'4. Billing Determinants'!$E$41*$D24,IF($E24="kW",VLOOKUP(R$4,'4. Billing Determinants'!$B$19:$R$41,5,0)/'4. Billing Determinants'!$F$41*$D24,IF($E24="Non-RPP kWh",VLOOKUP(R$4,'4. Billing Determinants'!$B$19:$R$41,6,0)/'4. Billing Determinants'!$G$41*$D24,IF($E24="Distribution Rev.",VLOOKUP(R$4,'4. Billing Determinants'!$B$19:$R$41,8,0)/'4. Billing Determinants'!$I$41*$D24, VLOOKUP(R$4,'4. Billing Determinants'!$B$19:$R$41,3,0)/'4. Billing Determinants'!$D$41*$D24))))),0)</f>
        <v>0</v>
      </c>
      <c r="S24" s="40">
        <f>IFERROR(IF(S$4="",0,IF($E24="kWh",VLOOKUP(S$4,'4. Billing Determinants'!$B$19:$R$41,4,0)/'4. Billing Determinants'!$E$41*$D24,IF($E24="kW",VLOOKUP(S$4,'4. Billing Determinants'!$B$19:$R$41,5,0)/'4. Billing Determinants'!$F$41*$D24,IF($E24="Non-RPP kWh",VLOOKUP(S$4,'4. Billing Determinants'!$B$19:$R$41,6,0)/'4. Billing Determinants'!$G$41*$D24,IF($E24="Distribution Rev.",VLOOKUP(S$4,'4. Billing Determinants'!$B$19:$R$41,8,0)/'4. Billing Determinants'!$I$41*$D24, VLOOKUP(S$4,'4. Billing Determinants'!$B$19:$R$41,3,0)/'4. Billing Determinants'!$D$41*$D24))))),0)</f>
        <v>0</v>
      </c>
      <c r="T24" s="40">
        <f>IFERROR(IF(T$4="",0,IF($E24="kWh",VLOOKUP(T$4,'4. Billing Determinants'!$B$19:$R$41,4,0)/'4. Billing Determinants'!$E$41*$D24,IF($E24="kW",VLOOKUP(T$4,'4. Billing Determinants'!$B$19:$R$41,5,0)/'4. Billing Determinants'!$F$41*$D24,IF($E24="Non-RPP kWh",VLOOKUP(T$4,'4. Billing Determinants'!$B$19:$R$41,6,0)/'4. Billing Determinants'!$G$41*$D24,IF($E24="Distribution Rev.",VLOOKUP(T$4,'4. Billing Determinants'!$B$19:$R$41,8,0)/'4. Billing Determinants'!$I$41*$D24, VLOOKUP(T$4,'4. Billing Determinants'!$B$19:$R$41,3,0)/'4. Billing Determinants'!$D$41*$D24))))),0)</f>
        <v>0</v>
      </c>
      <c r="U24" s="40">
        <f>IFERROR(IF(U$4="",0,IF($E24="kWh",VLOOKUP(U$4,'4. Billing Determinants'!$B$19:$R$41,4,0)/'4. Billing Determinants'!$E$41*$D24,IF($E24="kW",VLOOKUP(U$4,'4. Billing Determinants'!$B$19:$R$41,5,0)/'4. Billing Determinants'!$F$41*$D24,IF($E24="Non-RPP kWh",VLOOKUP(U$4,'4. Billing Determinants'!$B$19:$R$41,6,0)/'4. Billing Determinants'!$G$41*$D24,IF($E24="Distribution Rev.",VLOOKUP(U$4,'4. Billing Determinants'!$B$19:$R$41,8,0)/'4. Billing Determinants'!$I$41*$D24, VLOOKUP(U$4,'4. Billing Determinants'!$B$19:$R$41,3,0)/'4. Billing Determinants'!$D$41*$D24))))),0)</f>
        <v>0</v>
      </c>
      <c r="V24" s="40">
        <f>IFERROR(IF(V$4="",0,IF($E24="kWh",VLOOKUP(V$4,'4. Billing Determinants'!$B$19:$R$41,4,0)/'4. Billing Determinants'!$E$41*$D24,IF($E24="kW",VLOOKUP(V$4,'4. Billing Determinants'!$B$19:$R$41,5,0)/'4. Billing Determinants'!$F$41*$D24,IF($E24="Non-RPP kWh",VLOOKUP(V$4,'4. Billing Determinants'!$B$19:$R$41,6,0)/'4. Billing Determinants'!$G$41*$D24,IF($E24="Distribution Rev.",VLOOKUP(V$4,'4. Billing Determinants'!$B$19:$R$41,8,0)/'4. Billing Determinants'!$I$41*$D24, VLOOKUP(V$4,'4. Billing Determinants'!$B$19:$R$41,3,0)/'4. Billing Determinants'!$D$41*$D24))))),0)</f>
        <v>0</v>
      </c>
      <c r="W24" s="40">
        <f>IFERROR(IF(W$4="",0,IF($E24="kWh",VLOOKUP(W$4,'4. Billing Determinants'!$B$19:$R$41,4,0)/'4. Billing Determinants'!$E$41*$D24,IF($E24="kW",VLOOKUP(W$4,'4. Billing Determinants'!$B$19:$R$41,5,0)/'4. Billing Determinants'!$F$41*$D24,IF($E24="Non-RPP kWh",VLOOKUP(W$4,'4. Billing Determinants'!$B$19:$R$41,6,0)/'4. Billing Determinants'!$G$41*$D24,IF($E24="Distribution Rev.",VLOOKUP(W$4,'4. Billing Determinants'!$B$19:$R$41,8,0)/'4. Billing Determinants'!$I$41*$D24, VLOOKUP(W$4,'4. Billing Determinants'!$B$19:$R$41,3,0)/'4. Billing Determinants'!$D$41*$D24))))),0)</f>
        <v>0</v>
      </c>
      <c r="X24" s="40">
        <f>IFERROR(IF(X$4="",0,IF($E24="kWh",VLOOKUP(X$4,'4. Billing Determinants'!$B$19:$R$41,4,0)/'4. Billing Determinants'!$E$41*$D24,IF($E24="kW",VLOOKUP(X$4,'4. Billing Determinants'!$B$19:$R$41,5,0)/'4. Billing Determinants'!$F$41*$D24,IF($E24="Non-RPP kWh",VLOOKUP(X$4,'4. Billing Determinants'!$B$19:$R$41,6,0)/'4. Billing Determinants'!$G$41*$D24,IF($E24="Distribution Rev.",VLOOKUP(X$4,'4. Billing Determinants'!$B$19:$R$41,8,0)/'4. Billing Determinants'!$I$41*$D24, VLOOKUP(X$4,'4. Billing Determinants'!$B$19:$R$41,3,0)/'4. Billing Determinants'!$D$41*$D24))))),0)</f>
        <v>0</v>
      </c>
      <c r="Y24" s="40">
        <f>IFERROR(IF(Y$4="",0,IF($E24="kWh",VLOOKUP(Y$4,'4. Billing Determinants'!$B$19:$R$41,4,0)/'4. Billing Determinants'!$E$41*$D24,IF($E24="kW",VLOOKUP(Y$4,'4. Billing Determinants'!$B$19:$R$41,5,0)/'4. Billing Determinants'!$F$41*$D24,IF($E24="Non-RPP kWh",VLOOKUP(Y$4,'4. Billing Determinants'!$B$19:$R$41,6,0)/'4. Billing Determinants'!$G$41*$D24,IF($E24="Distribution Rev.",VLOOKUP(Y$4,'4. Billing Determinants'!$B$19:$R$41,8,0)/'4. Billing Determinants'!$I$41*$D24, VLOOKUP(Y$4,'4. Billing Determinants'!$B$19:$R$41,3,0)/'4. Billing Determinants'!$D$41*$D24))))),0)</f>
        <v>0</v>
      </c>
    </row>
    <row r="25" spans="1:25" x14ac:dyDescent="0.25">
      <c r="A25" s="122">
        <v>21</v>
      </c>
      <c r="B25" s="345" t="str">
        <f>IF('2b. Continuity Schedule'!C51="","",LEFT('2b. Continuity Schedule'!C51,LEN('2b. Continuity Schedule'!C51)-1))</f>
        <v>Customer Choice Initiative Costs</v>
      </c>
      <c r="C25" s="39">
        <v>1508</v>
      </c>
      <c r="D25" s="40">
        <f>'2b. Continuity Schedule'!BT51</f>
        <v>0</v>
      </c>
      <c r="E25" s="61" t="s">
        <v>139</v>
      </c>
      <c r="F25" s="40">
        <f>IFERROR(IF(F$4="",0,IF($E25="kWh",VLOOKUP(F$4,'4. Billing Determinants'!$B$19:$R$41,4,0)/'4. Billing Determinants'!$E$41*$D25,IF($E25="kW",VLOOKUP(F$4,'4. Billing Determinants'!$B$19:$R$41,5,0)/'4. Billing Determinants'!$F$41*$D25,IF($E25="Non-RPP kWh",VLOOKUP(F$4,'4. Billing Determinants'!$B$19:$R$41,6,0)/'4. Billing Determinants'!$G$41*$D25,IF($E25="Distribution Rev.",VLOOKUP(F$4,'4. Billing Determinants'!$B$19:$R$41,8,0)/'4. Billing Determinants'!$I$41*$D25, VLOOKUP(F$4,'4. Billing Determinants'!$B$19:$R$41,3,0)/'4. Billing Determinants'!$D$41*$D25))))),0)</f>
        <v>0</v>
      </c>
      <c r="G25" s="40">
        <f>IFERROR(IF(G$4="",0,IF($E25="kWh",VLOOKUP(G$4,'4. Billing Determinants'!$B$19:$R$41,4,0)/'4. Billing Determinants'!$E$41*$D25,IF($E25="kW",VLOOKUP(G$4,'4. Billing Determinants'!$B$19:$R$41,5,0)/'4. Billing Determinants'!$F$41*$D25,IF($E25="Non-RPP kWh",VLOOKUP(G$4,'4. Billing Determinants'!$B$19:$R$41,6,0)/'4. Billing Determinants'!$G$41*$D25,IF($E25="Distribution Rev.",VLOOKUP(G$4,'4. Billing Determinants'!$B$19:$R$41,8,0)/'4. Billing Determinants'!$I$41*$D25, VLOOKUP(G$4,'4. Billing Determinants'!$B$19:$R$41,3,0)/'4. Billing Determinants'!$D$41*$D25))))),0)</f>
        <v>0</v>
      </c>
      <c r="H25" s="40">
        <f>IFERROR(IF(H$4="",0,IF($E25="kWh",VLOOKUP(H$4,'4. Billing Determinants'!$B$19:$R$41,4,0)/'4. Billing Determinants'!$E$41*$D25,IF($E25="kW",VLOOKUP(H$4,'4. Billing Determinants'!$B$19:$R$41,5,0)/'4. Billing Determinants'!$F$41*$D25,IF($E25="Non-RPP kWh",VLOOKUP(H$4,'4. Billing Determinants'!$B$19:$R$41,6,0)/'4. Billing Determinants'!$G$41*$D25,IF($E25="Distribution Rev.",VLOOKUP(H$4,'4. Billing Determinants'!$B$19:$R$41,8,0)/'4. Billing Determinants'!$I$41*$D25, VLOOKUP(H$4,'4. Billing Determinants'!$B$19:$R$41,3,0)/'4. Billing Determinants'!$D$41*$D25))))),0)</f>
        <v>0</v>
      </c>
      <c r="I25" s="40">
        <f>IFERROR(IF(I$4="",0,IF($E25="kWh",VLOOKUP(I$4,'4. Billing Determinants'!$B$19:$R$41,4,0)/'4. Billing Determinants'!$E$41*$D25,IF($E25="kW",VLOOKUP(I$4,'4. Billing Determinants'!$B$19:$R$41,5,0)/'4. Billing Determinants'!$F$41*$D25,IF($E25="Non-RPP kWh",VLOOKUP(I$4,'4. Billing Determinants'!$B$19:$R$41,6,0)/'4. Billing Determinants'!$G$41*$D25,IF($E25="Distribution Rev.",VLOOKUP(I$4,'4. Billing Determinants'!$B$19:$R$41,8,0)/'4. Billing Determinants'!$I$41*$D25, VLOOKUP(I$4,'4. Billing Determinants'!$B$19:$R$41,3,0)/'4. Billing Determinants'!$D$41*$D25))))),0)</f>
        <v>0</v>
      </c>
      <c r="J25" s="40">
        <f>IFERROR(IF(J$4="",0,IF($E25="kWh",VLOOKUP(J$4,'4. Billing Determinants'!$B$19:$R$41,4,0)/'4. Billing Determinants'!$E$41*$D25,IF($E25="kW",VLOOKUP(J$4,'4. Billing Determinants'!$B$19:$R$41,5,0)/'4. Billing Determinants'!$F$41*$D25,IF($E25="Non-RPP kWh",VLOOKUP(J$4,'4. Billing Determinants'!$B$19:$R$41,6,0)/'4. Billing Determinants'!$G$41*$D25,IF($E25="Distribution Rev.",VLOOKUP(J$4,'4. Billing Determinants'!$B$19:$R$41,8,0)/'4. Billing Determinants'!$I$41*$D25, VLOOKUP(J$4,'4. Billing Determinants'!$B$19:$R$41,3,0)/'4. Billing Determinants'!$D$41*$D25))))),0)</f>
        <v>0</v>
      </c>
      <c r="K25" s="40">
        <f>IFERROR(IF(K$4="",0,IF($E25="kWh",VLOOKUP(K$4,'4. Billing Determinants'!$B$19:$R$41,4,0)/'4. Billing Determinants'!$E$41*$D25,IF($E25="kW",VLOOKUP(K$4,'4. Billing Determinants'!$B$19:$R$41,5,0)/'4. Billing Determinants'!$F$41*$D25,IF($E25="Non-RPP kWh",VLOOKUP(K$4,'4. Billing Determinants'!$B$19:$R$41,6,0)/'4. Billing Determinants'!$G$41*$D25,IF($E25="Distribution Rev.",VLOOKUP(K$4,'4. Billing Determinants'!$B$19:$R$41,8,0)/'4. Billing Determinants'!$I$41*$D25, VLOOKUP(K$4,'4. Billing Determinants'!$B$19:$R$41,3,0)/'4. Billing Determinants'!$D$41*$D25))))),0)</f>
        <v>0</v>
      </c>
      <c r="L25" s="40">
        <f>IFERROR(IF(L$4="",0,IF($E25="kWh",VLOOKUP(L$4,'4. Billing Determinants'!$B$19:$R$41,4,0)/'4. Billing Determinants'!$E$41*$D25,IF($E25="kW",VLOOKUP(L$4,'4. Billing Determinants'!$B$19:$R$41,5,0)/'4. Billing Determinants'!$F$41*$D25,IF($E25="Non-RPP kWh",VLOOKUP(L$4,'4. Billing Determinants'!$B$19:$R$41,6,0)/'4. Billing Determinants'!$G$41*$D25,IF($E25="Distribution Rev.",VLOOKUP(L$4,'4. Billing Determinants'!$B$19:$R$41,8,0)/'4. Billing Determinants'!$I$41*$D25, VLOOKUP(L$4,'4. Billing Determinants'!$B$19:$R$41,3,0)/'4. Billing Determinants'!$D$41*$D25))))),0)</f>
        <v>0</v>
      </c>
      <c r="M25" s="40">
        <f>IFERROR(IF(M$4="",0,IF($E25="kWh",VLOOKUP(M$4,'4. Billing Determinants'!$B$19:$R$41,4,0)/'4. Billing Determinants'!$E$41*$D25,IF($E25="kW",VLOOKUP(M$4,'4. Billing Determinants'!$B$19:$R$41,5,0)/'4. Billing Determinants'!$F$41*$D25,IF($E25="Non-RPP kWh",VLOOKUP(M$4,'4. Billing Determinants'!$B$19:$R$41,6,0)/'4. Billing Determinants'!$G$41*$D25,IF($E25="Distribution Rev.",VLOOKUP(M$4,'4. Billing Determinants'!$B$19:$R$41,8,0)/'4. Billing Determinants'!$I$41*$D25, VLOOKUP(M$4,'4. Billing Determinants'!$B$19:$R$41,3,0)/'4. Billing Determinants'!$D$41*$D25))))),0)</f>
        <v>0</v>
      </c>
      <c r="N25" s="40">
        <f>IFERROR(IF(N$4="",0,IF($E25="kWh",VLOOKUP(N$4,'4. Billing Determinants'!$B$19:$R$41,4,0)/'4. Billing Determinants'!$E$41*$D25,IF($E25="kW",VLOOKUP(N$4,'4. Billing Determinants'!$B$19:$R$41,5,0)/'4. Billing Determinants'!$F$41*$D25,IF($E25="Non-RPP kWh",VLOOKUP(N$4,'4. Billing Determinants'!$B$19:$R$41,6,0)/'4. Billing Determinants'!$G$41*$D25,IF($E25="Distribution Rev.",VLOOKUP(N$4,'4. Billing Determinants'!$B$19:$R$41,8,0)/'4. Billing Determinants'!$I$41*$D25, VLOOKUP(N$4,'4. Billing Determinants'!$B$19:$R$41,3,0)/'4. Billing Determinants'!$D$41*$D25))))),0)</f>
        <v>0</v>
      </c>
      <c r="O25" s="40">
        <f>IFERROR(IF(O$4="",0,IF($E25="kWh",VLOOKUP(O$4,'4. Billing Determinants'!$B$19:$R$41,4,0)/'4. Billing Determinants'!$E$41*$D25,IF($E25="kW",VLOOKUP(O$4,'4. Billing Determinants'!$B$19:$R$41,5,0)/'4. Billing Determinants'!$F$41*$D25,IF($E25="Non-RPP kWh",VLOOKUP(O$4,'4. Billing Determinants'!$B$19:$R$41,6,0)/'4. Billing Determinants'!$G$41*$D25,IF($E25="Distribution Rev.",VLOOKUP(O$4,'4. Billing Determinants'!$B$19:$R$41,8,0)/'4. Billing Determinants'!$I$41*$D25, VLOOKUP(O$4,'4. Billing Determinants'!$B$19:$R$41,3,0)/'4. Billing Determinants'!$D$41*$D25))))),0)</f>
        <v>0</v>
      </c>
      <c r="P25" s="40">
        <f>IFERROR(IF(P$4="",0,IF($E25="kWh",VLOOKUP(P$4,'4. Billing Determinants'!$B$19:$R$41,4,0)/'4. Billing Determinants'!$E$41*$D25,IF($E25="kW",VLOOKUP(P$4,'4. Billing Determinants'!$B$19:$R$41,5,0)/'4. Billing Determinants'!$F$41*$D25,IF($E25="Non-RPP kWh",VLOOKUP(P$4,'4. Billing Determinants'!$B$19:$R$41,6,0)/'4. Billing Determinants'!$G$41*$D25,IF($E25="Distribution Rev.",VLOOKUP(P$4,'4. Billing Determinants'!$B$19:$R$41,8,0)/'4. Billing Determinants'!$I$41*$D25, VLOOKUP(P$4,'4. Billing Determinants'!$B$19:$R$41,3,0)/'4. Billing Determinants'!$D$41*$D25))))),0)</f>
        <v>0</v>
      </c>
      <c r="Q25" s="40">
        <f>IFERROR(IF(Q$4="",0,IF($E25="kWh",VLOOKUP(Q$4,'4. Billing Determinants'!$B$19:$R$41,4,0)/'4. Billing Determinants'!$E$41*$D25,IF($E25="kW",VLOOKUP(Q$4,'4. Billing Determinants'!$B$19:$R$41,5,0)/'4. Billing Determinants'!$F$41*$D25,IF($E25="Non-RPP kWh",VLOOKUP(Q$4,'4. Billing Determinants'!$B$19:$R$41,6,0)/'4. Billing Determinants'!$G$41*$D25,IF($E25="Distribution Rev.",VLOOKUP(Q$4,'4. Billing Determinants'!$B$19:$R$41,8,0)/'4. Billing Determinants'!$I$41*$D25, VLOOKUP(Q$4,'4. Billing Determinants'!$B$19:$R$41,3,0)/'4. Billing Determinants'!$D$41*$D25))))),0)</f>
        <v>0</v>
      </c>
      <c r="R25" s="40">
        <f>IFERROR(IF(R$4="",0,IF($E25="kWh",VLOOKUP(R$4,'4. Billing Determinants'!$B$19:$R$41,4,0)/'4. Billing Determinants'!$E$41*$D25,IF($E25="kW",VLOOKUP(R$4,'4. Billing Determinants'!$B$19:$R$41,5,0)/'4. Billing Determinants'!$F$41*$D25,IF($E25="Non-RPP kWh",VLOOKUP(R$4,'4. Billing Determinants'!$B$19:$R$41,6,0)/'4. Billing Determinants'!$G$41*$D25,IF($E25="Distribution Rev.",VLOOKUP(R$4,'4. Billing Determinants'!$B$19:$R$41,8,0)/'4. Billing Determinants'!$I$41*$D25, VLOOKUP(R$4,'4. Billing Determinants'!$B$19:$R$41,3,0)/'4. Billing Determinants'!$D$41*$D25))))),0)</f>
        <v>0</v>
      </c>
      <c r="S25" s="40">
        <f>IFERROR(IF(S$4="",0,IF($E25="kWh",VLOOKUP(S$4,'4. Billing Determinants'!$B$19:$R$41,4,0)/'4. Billing Determinants'!$E$41*$D25,IF($E25="kW",VLOOKUP(S$4,'4. Billing Determinants'!$B$19:$R$41,5,0)/'4. Billing Determinants'!$F$41*$D25,IF($E25="Non-RPP kWh",VLOOKUP(S$4,'4. Billing Determinants'!$B$19:$R$41,6,0)/'4. Billing Determinants'!$G$41*$D25,IF($E25="Distribution Rev.",VLOOKUP(S$4,'4. Billing Determinants'!$B$19:$R$41,8,0)/'4. Billing Determinants'!$I$41*$D25, VLOOKUP(S$4,'4. Billing Determinants'!$B$19:$R$41,3,0)/'4. Billing Determinants'!$D$41*$D25))))),0)</f>
        <v>0</v>
      </c>
      <c r="T25" s="40">
        <f>IFERROR(IF(T$4="",0,IF($E25="kWh",VLOOKUP(T$4,'4. Billing Determinants'!$B$19:$R$41,4,0)/'4. Billing Determinants'!$E$41*$D25,IF($E25="kW",VLOOKUP(T$4,'4. Billing Determinants'!$B$19:$R$41,5,0)/'4. Billing Determinants'!$F$41*$D25,IF($E25="Non-RPP kWh",VLOOKUP(T$4,'4. Billing Determinants'!$B$19:$R$41,6,0)/'4. Billing Determinants'!$G$41*$D25,IF($E25="Distribution Rev.",VLOOKUP(T$4,'4. Billing Determinants'!$B$19:$R$41,8,0)/'4. Billing Determinants'!$I$41*$D25, VLOOKUP(T$4,'4. Billing Determinants'!$B$19:$R$41,3,0)/'4. Billing Determinants'!$D$41*$D25))))),0)</f>
        <v>0</v>
      </c>
      <c r="U25" s="40">
        <f>IFERROR(IF(U$4="",0,IF($E25="kWh",VLOOKUP(U$4,'4. Billing Determinants'!$B$19:$R$41,4,0)/'4. Billing Determinants'!$E$41*$D25,IF($E25="kW",VLOOKUP(U$4,'4. Billing Determinants'!$B$19:$R$41,5,0)/'4. Billing Determinants'!$F$41*$D25,IF($E25="Non-RPP kWh",VLOOKUP(U$4,'4. Billing Determinants'!$B$19:$R$41,6,0)/'4. Billing Determinants'!$G$41*$D25,IF($E25="Distribution Rev.",VLOOKUP(U$4,'4. Billing Determinants'!$B$19:$R$41,8,0)/'4. Billing Determinants'!$I$41*$D25, VLOOKUP(U$4,'4. Billing Determinants'!$B$19:$R$41,3,0)/'4. Billing Determinants'!$D$41*$D25))))),0)</f>
        <v>0</v>
      </c>
      <c r="V25" s="40">
        <f>IFERROR(IF(V$4="",0,IF($E25="kWh",VLOOKUP(V$4,'4. Billing Determinants'!$B$19:$R$41,4,0)/'4. Billing Determinants'!$E$41*$D25,IF($E25="kW",VLOOKUP(V$4,'4. Billing Determinants'!$B$19:$R$41,5,0)/'4. Billing Determinants'!$F$41*$D25,IF($E25="Non-RPP kWh",VLOOKUP(V$4,'4. Billing Determinants'!$B$19:$R$41,6,0)/'4. Billing Determinants'!$G$41*$D25,IF($E25="Distribution Rev.",VLOOKUP(V$4,'4. Billing Determinants'!$B$19:$R$41,8,0)/'4. Billing Determinants'!$I$41*$D25, VLOOKUP(V$4,'4. Billing Determinants'!$B$19:$R$41,3,0)/'4. Billing Determinants'!$D$41*$D25))))),0)</f>
        <v>0</v>
      </c>
      <c r="W25" s="40">
        <f>IFERROR(IF(W$4="",0,IF($E25="kWh",VLOOKUP(W$4,'4. Billing Determinants'!$B$19:$R$41,4,0)/'4. Billing Determinants'!$E$41*$D25,IF($E25="kW",VLOOKUP(W$4,'4. Billing Determinants'!$B$19:$R$41,5,0)/'4. Billing Determinants'!$F$41*$D25,IF($E25="Non-RPP kWh",VLOOKUP(W$4,'4. Billing Determinants'!$B$19:$R$41,6,0)/'4. Billing Determinants'!$G$41*$D25,IF($E25="Distribution Rev.",VLOOKUP(W$4,'4. Billing Determinants'!$B$19:$R$41,8,0)/'4. Billing Determinants'!$I$41*$D25, VLOOKUP(W$4,'4. Billing Determinants'!$B$19:$R$41,3,0)/'4. Billing Determinants'!$D$41*$D25))))),0)</f>
        <v>0</v>
      </c>
      <c r="X25" s="40">
        <f>IFERROR(IF(X$4="",0,IF($E25="kWh",VLOOKUP(X$4,'4. Billing Determinants'!$B$19:$R$41,4,0)/'4. Billing Determinants'!$E$41*$D25,IF($E25="kW",VLOOKUP(X$4,'4. Billing Determinants'!$B$19:$R$41,5,0)/'4. Billing Determinants'!$F$41*$D25,IF($E25="Non-RPP kWh",VLOOKUP(X$4,'4. Billing Determinants'!$B$19:$R$41,6,0)/'4. Billing Determinants'!$G$41*$D25,IF($E25="Distribution Rev.",VLOOKUP(X$4,'4. Billing Determinants'!$B$19:$R$41,8,0)/'4. Billing Determinants'!$I$41*$D25, VLOOKUP(X$4,'4. Billing Determinants'!$B$19:$R$41,3,0)/'4. Billing Determinants'!$D$41*$D25))))),0)</f>
        <v>0</v>
      </c>
      <c r="Y25" s="40">
        <f>IFERROR(IF(Y$4="",0,IF($E25="kWh",VLOOKUP(Y$4,'4. Billing Determinants'!$B$19:$R$41,4,0)/'4. Billing Determinants'!$E$41*$D25,IF($E25="kW",VLOOKUP(Y$4,'4. Billing Determinants'!$B$19:$R$41,5,0)/'4. Billing Determinants'!$F$41*$D25,IF($E25="Non-RPP kWh",VLOOKUP(Y$4,'4. Billing Determinants'!$B$19:$R$41,6,0)/'4. Billing Determinants'!$G$41*$D25,IF($E25="Distribution Rev.",VLOOKUP(Y$4,'4. Billing Determinants'!$B$19:$R$41,8,0)/'4. Billing Determinants'!$I$41*$D25, VLOOKUP(Y$4,'4. Billing Determinants'!$B$19:$R$41,3,0)/'4. Billing Determinants'!$D$41*$D25))))),0)</f>
        <v>0</v>
      </c>
    </row>
    <row r="26" spans="1:25" x14ac:dyDescent="0.25">
      <c r="B26" s="345" t="str">
        <f>IF('2b. Continuity Schedule'!C52="","",LEFT('2b. Continuity Schedule'!C52,LEN('2b. Continuity Schedule'!C52)-1))</f>
        <v>Local Initiatives Program Costs</v>
      </c>
      <c r="C26" s="39">
        <v>1508</v>
      </c>
      <c r="D26" s="40">
        <f>'2b. Continuity Schedule'!BT52</f>
        <v>0</v>
      </c>
      <c r="E26" s="61" t="s">
        <v>139</v>
      </c>
      <c r="F26" s="40">
        <f>IFERROR(IF(F$4="",0,IF($E26="kWh",VLOOKUP(F$4,'4. Billing Determinants'!$B$19:$R$41,4,0)/'4. Billing Determinants'!$E$41*$D26,IF($E26="kW",VLOOKUP(F$4,'4. Billing Determinants'!$B$19:$R$41,5,0)/'4. Billing Determinants'!$F$41*$D26,IF($E26="Non-RPP kWh",VLOOKUP(F$4,'4. Billing Determinants'!$B$19:$R$41,6,0)/'4. Billing Determinants'!$G$41*$D26,IF($E26="Distribution Rev.",VLOOKUP(F$4,'4. Billing Determinants'!$B$19:$R$41,8,0)/'4. Billing Determinants'!$I$41*$D26, VLOOKUP(F$4,'4. Billing Determinants'!$B$19:$R$41,3,0)/'4. Billing Determinants'!$D$41*$D26))))),0)</f>
        <v>0</v>
      </c>
      <c r="G26" s="40">
        <f>IFERROR(IF(G$4="",0,IF($E26="kWh",VLOOKUP(G$4,'4. Billing Determinants'!$B$19:$R$41,4,0)/'4. Billing Determinants'!$E$41*$D26,IF($E26="kW",VLOOKUP(G$4,'4. Billing Determinants'!$B$19:$R$41,5,0)/'4. Billing Determinants'!$F$41*$D26,IF($E26="Non-RPP kWh",VLOOKUP(G$4,'4. Billing Determinants'!$B$19:$R$41,6,0)/'4. Billing Determinants'!$G$41*$D26,IF($E26="Distribution Rev.",VLOOKUP(G$4,'4. Billing Determinants'!$B$19:$R$41,8,0)/'4. Billing Determinants'!$I$41*$D26, VLOOKUP(G$4,'4. Billing Determinants'!$B$19:$R$41,3,0)/'4. Billing Determinants'!$D$41*$D26))))),0)</f>
        <v>0</v>
      </c>
      <c r="H26" s="40">
        <f>IFERROR(IF(H$4="",0,IF($E26="kWh",VLOOKUP(H$4,'4. Billing Determinants'!$B$19:$R$41,4,0)/'4. Billing Determinants'!$E$41*$D26,IF($E26="kW",VLOOKUP(H$4,'4. Billing Determinants'!$B$19:$R$41,5,0)/'4. Billing Determinants'!$F$41*$D26,IF($E26="Non-RPP kWh",VLOOKUP(H$4,'4. Billing Determinants'!$B$19:$R$41,6,0)/'4. Billing Determinants'!$G$41*$D26,IF($E26="Distribution Rev.",VLOOKUP(H$4,'4. Billing Determinants'!$B$19:$R$41,8,0)/'4. Billing Determinants'!$I$41*$D26, VLOOKUP(H$4,'4. Billing Determinants'!$B$19:$R$41,3,0)/'4. Billing Determinants'!$D$41*$D26))))),0)</f>
        <v>0</v>
      </c>
      <c r="I26" s="40">
        <f>IFERROR(IF(I$4="",0,IF($E26="kWh",VLOOKUP(I$4,'4. Billing Determinants'!$B$19:$R$41,4,0)/'4. Billing Determinants'!$E$41*$D26,IF($E26="kW",VLOOKUP(I$4,'4. Billing Determinants'!$B$19:$R$41,5,0)/'4. Billing Determinants'!$F$41*$D26,IF($E26="Non-RPP kWh",VLOOKUP(I$4,'4. Billing Determinants'!$B$19:$R$41,6,0)/'4. Billing Determinants'!$G$41*$D26,IF($E26="Distribution Rev.",VLOOKUP(I$4,'4. Billing Determinants'!$B$19:$R$41,8,0)/'4. Billing Determinants'!$I$41*$D26, VLOOKUP(I$4,'4. Billing Determinants'!$B$19:$R$41,3,0)/'4. Billing Determinants'!$D$41*$D26))))),0)</f>
        <v>0</v>
      </c>
      <c r="J26" s="40">
        <f>IFERROR(IF(J$4="",0,IF($E26="kWh",VLOOKUP(J$4,'4. Billing Determinants'!$B$19:$R$41,4,0)/'4. Billing Determinants'!$E$41*$D26,IF($E26="kW",VLOOKUP(J$4,'4. Billing Determinants'!$B$19:$R$41,5,0)/'4. Billing Determinants'!$F$41*$D26,IF($E26="Non-RPP kWh",VLOOKUP(J$4,'4. Billing Determinants'!$B$19:$R$41,6,0)/'4. Billing Determinants'!$G$41*$D26,IF($E26="Distribution Rev.",VLOOKUP(J$4,'4. Billing Determinants'!$B$19:$R$41,8,0)/'4. Billing Determinants'!$I$41*$D26, VLOOKUP(J$4,'4. Billing Determinants'!$B$19:$R$41,3,0)/'4. Billing Determinants'!$D$41*$D26))))),0)</f>
        <v>0</v>
      </c>
      <c r="K26" s="40">
        <f>IFERROR(IF(K$4="",0,IF($E26="kWh",VLOOKUP(K$4,'4. Billing Determinants'!$B$19:$R$41,4,0)/'4. Billing Determinants'!$E$41*$D26,IF($E26="kW",VLOOKUP(K$4,'4. Billing Determinants'!$B$19:$R$41,5,0)/'4. Billing Determinants'!$F$41*$D26,IF($E26="Non-RPP kWh",VLOOKUP(K$4,'4. Billing Determinants'!$B$19:$R$41,6,0)/'4. Billing Determinants'!$G$41*$D26,IF($E26="Distribution Rev.",VLOOKUP(K$4,'4. Billing Determinants'!$B$19:$R$41,8,0)/'4. Billing Determinants'!$I$41*$D26, VLOOKUP(K$4,'4. Billing Determinants'!$B$19:$R$41,3,0)/'4. Billing Determinants'!$D$41*$D26))))),0)</f>
        <v>0</v>
      </c>
      <c r="L26" s="40">
        <f>IFERROR(IF(L$4="",0,IF($E26="kWh",VLOOKUP(L$4,'4. Billing Determinants'!$B$19:$R$41,4,0)/'4. Billing Determinants'!$E$41*$D26,IF($E26="kW",VLOOKUP(L$4,'4. Billing Determinants'!$B$19:$R$41,5,0)/'4. Billing Determinants'!$F$41*$D26,IF($E26="Non-RPP kWh",VLOOKUP(L$4,'4. Billing Determinants'!$B$19:$R$41,6,0)/'4. Billing Determinants'!$G$41*$D26,IF($E26="Distribution Rev.",VLOOKUP(L$4,'4. Billing Determinants'!$B$19:$R$41,8,0)/'4. Billing Determinants'!$I$41*$D26, VLOOKUP(L$4,'4. Billing Determinants'!$B$19:$R$41,3,0)/'4. Billing Determinants'!$D$41*$D26))))),0)</f>
        <v>0</v>
      </c>
      <c r="M26" s="40">
        <f>IFERROR(IF(M$4="",0,IF($E26="kWh",VLOOKUP(M$4,'4. Billing Determinants'!$B$19:$R$41,4,0)/'4. Billing Determinants'!$E$41*$D26,IF($E26="kW",VLOOKUP(M$4,'4. Billing Determinants'!$B$19:$R$41,5,0)/'4. Billing Determinants'!$F$41*$D26,IF($E26="Non-RPP kWh",VLOOKUP(M$4,'4. Billing Determinants'!$B$19:$R$41,6,0)/'4. Billing Determinants'!$G$41*$D26,IF($E26="Distribution Rev.",VLOOKUP(M$4,'4. Billing Determinants'!$B$19:$R$41,8,0)/'4. Billing Determinants'!$I$41*$D26, VLOOKUP(M$4,'4. Billing Determinants'!$B$19:$R$41,3,0)/'4. Billing Determinants'!$D$41*$D26))))),0)</f>
        <v>0</v>
      </c>
      <c r="N26" s="40">
        <f>IFERROR(IF(N$4="",0,IF($E26="kWh",VLOOKUP(N$4,'4. Billing Determinants'!$B$19:$R$41,4,0)/'4. Billing Determinants'!$E$41*$D26,IF($E26="kW",VLOOKUP(N$4,'4. Billing Determinants'!$B$19:$R$41,5,0)/'4. Billing Determinants'!$F$41*$D26,IF($E26="Non-RPP kWh",VLOOKUP(N$4,'4. Billing Determinants'!$B$19:$R$41,6,0)/'4. Billing Determinants'!$G$41*$D26,IF($E26="Distribution Rev.",VLOOKUP(N$4,'4. Billing Determinants'!$B$19:$R$41,8,0)/'4. Billing Determinants'!$I$41*$D26, VLOOKUP(N$4,'4. Billing Determinants'!$B$19:$R$41,3,0)/'4. Billing Determinants'!$D$41*$D26))))),0)</f>
        <v>0</v>
      </c>
      <c r="O26" s="40">
        <f>IFERROR(IF(O$4="",0,IF($E26="kWh",VLOOKUP(O$4,'4. Billing Determinants'!$B$19:$R$41,4,0)/'4. Billing Determinants'!$E$41*$D26,IF($E26="kW",VLOOKUP(O$4,'4. Billing Determinants'!$B$19:$R$41,5,0)/'4. Billing Determinants'!$F$41*$D26,IF($E26="Non-RPP kWh",VLOOKUP(O$4,'4. Billing Determinants'!$B$19:$R$41,6,0)/'4. Billing Determinants'!$G$41*$D26,IF($E26="Distribution Rev.",VLOOKUP(O$4,'4. Billing Determinants'!$B$19:$R$41,8,0)/'4. Billing Determinants'!$I$41*$D26, VLOOKUP(O$4,'4. Billing Determinants'!$B$19:$R$41,3,0)/'4. Billing Determinants'!$D$41*$D26))))),0)</f>
        <v>0</v>
      </c>
      <c r="P26" s="40">
        <f>IFERROR(IF(P$4="",0,IF($E26="kWh",VLOOKUP(P$4,'4. Billing Determinants'!$B$19:$R$41,4,0)/'4. Billing Determinants'!$E$41*$D26,IF($E26="kW",VLOOKUP(P$4,'4. Billing Determinants'!$B$19:$R$41,5,0)/'4. Billing Determinants'!$F$41*$D26,IF($E26="Non-RPP kWh",VLOOKUP(P$4,'4. Billing Determinants'!$B$19:$R$41,6,0)/'4. Billing Determinants'!$G$41*$D26,IF($E26="Distribution Rev.",VLOOKUP(P$4,'4. Billing Determinants'!$B$19:$R$41,8,0)/'4. Billing Determinants'!$I$41*$D26, VLOOKUP(P$4,'4. Billing Determinants'!$B$19:$R$41,3,0)/'4. Billing Determinants'!$D$41*$D26))))),0)</f>
        <v>0</v>
      </c>
      <c r="Q26" s="40">
        <f>IFERROR(IF(Q$4="",0,IF($E26="kWh",VLOOKUP(Q$4,'4. Billing Determinants'!$B$19:$R$41,4,0)/'4. Billing Determinants'!$E$41*$D26,IF($E26="kW",VLOOKUP(Q$4,'4. Billing Determinants'!$B$19:$R$41,5,0)/'4. Billing Determinants'!$F$41*$D26,IF($E26="Non-RPP kWh",VLOOKUP(Q$4,'4. Billing Determinants'!$B$19:$R$41,6,0)/'4. Billing Determinants'!$G$41*$D26,IF($E26="Distribution Rev.",VLOOKUP(Q$4,'4. Billing Determinants'!$B$19:$R$41,8,0)/'4. Billing Determinants'!$I$41*$D26, VLOOKUP(Q$4,'4. Billing Determinants'!$B$19:$R$41,3,0)/'4. Billing Determinants'!$D$41*$D26))))),0)</f>
        <v>0</v>
      </c>
      <c r="R26" s="40">
        <f>IFERROR(IF(R$4="",0,IF($E26="kWh",VLOOKUP(R$4,'4. Billing Determinants'!$B$19:$R$41,4,0)/'4. Billing Determinants'!$E$41*$D26,IF($E26="kW",VLOOKUP(R$4,'4. Billing Determinants'!$B$19:$R$41,5,0)/'4. Billing Determinants'!$F$41*$D26,IF($E26="Non-RPP kWh",VLOOKUP(R$4,'4. Billing Determinants'!$B$19:$R$41,6,0)/'4. Billing Determinants'!$G$41*$D26,IF($E26="Distribution Rev.",VLOOKUP(R$4,'4. Billing Determinants'!$B$19:$R$41,8,0)/'4. Billing Determinants'!$I$41*$D26, VLOOKUP(R$4,'4. Billing Determinants'!$B$19:$R$41,3,0)/'4. Billing Determinants'!$D$41*$D26))))),0)</f>
        <v>0</v>
      </c>
      <c r="S26" s="40">
        <f>IFERROR(IF(S$4="",0,IF($E26="kWh",VLOOKUP(S$4,'4. Billing Determinants'!$B$19:$R$41,4,0)/'4. Billing Determinants'!$E$41*$D26,IF($E26="kW",VLOOKUP(S$4,'4. Billing Determinants'!$B$19:$R$41,5,0)/'4. Billing Determinants'!$F$41*$D26,IF($E26="Non-RPP kWh",VLOOKUP(S$4,'4. Billing Determinants'!$B$19:$R$41,6,0)/'4. Billing Determinants'!$G$41*$D26,IF($E26="Distribution Rev.",VLOOKUP(S$4,'4. Billing Determinants'!$B$19:$R$41,8,0)/'4. Billing Determinants'!$I$41*$D26, VLOOKUP(S$4,'4. Billing Determinants'!$B$19:$R$41,3,0)/'4. Billing Determinants'!$D$41*$D26))))),0)</f>
        <v>0</v>
      </c>
      <c r="T26" s="40">
        <f>IFERROR(IF(T$4="",0,IF($E26="kWh",VLOOKUP(T$4,'4. Billing Determinants'!$B$19:$R$41,4,0)/'4. Billing Determinants'!$E$41*$D26,IF($E26="kW",VLOOKUP(T$4,'4. Billing Determinants'!$B$19:$R$41,5,0)/'4. Billing Determinants'!$F$41*$D26,IF($E26="Non-RPP kWh",VLOOKUP(T$4,'4. Billing Determinants'!$B$19:$R$41,6,0)/'4. Billing Determinants'!$G$41*$D26,IF($E26="Distribution Rev.",VLOOKUP(T$4,'4. Billing Determinants'!$B$19:$R$41,8,0)/'4. Billing Determinants'!$I$41*$D26, VLOOKUP(T$4,'4. Billing Determinants'!$B$19:$R$41,3,0)/'4. Billing Determinants'!$D$41*$D26))))),0)</f>
        <v>0</v>
      </c>
      <c r="U26" s="40">
        <f>IFERROR(IF(U$4="",0,IF($E26="kWh",VLOOKUP(U$4,'4. Billing Determinants'!$B$19:$R$41,4,0)/'4. Billing Determinants'!$E$41*$D26,IF($E26="kW",VLOOKUP(U$4,'4. Billing Determinants'!$B$19:$R$41,5,0)/'4. Billing Determinants'!$F$41*$D26,IF($E26="Non-RPP kWh",VLOOKUP(U$4,'4. Billing Determinants'!$B$19:$R$41,6,0)/'4. Billing Determinants'!$G$41*$D26,IF($E26="Distribution Rev.",VLOOKUP(U$4,'4. Billing Determinants'!$B$19:$R$41,8,0)/'4. Billing Determinants'!$I$41*$D26, VLOOKUP(U$4,'4. Billing Determinants'!$B$19:$R$41,3,0)/'4. Billing Determinants'!$D$41*$D26))))),0)</f>
        <v>0</v>
      </c>
      <c r="V26" s="40">
        <f>IFERROR(IF(V$4="",0,IF($E26="kWh",VLOOKUP(V$4,'4. Billing Determinants'!$B$19:$R$41,4,0)/'4. Billing Determinants'!$E$41*$D26,IF($E26="kW",VLOOKUP(V$4,'4. Billing Determinants'!$B$19:$R$41,5,0)/'4. Billing Determinants'!$F$41*$D26,IF($E26="Non-RPP kWh",VLOOKUP(V$4,'4. Billing Determinants'!$B$19:$R$41,6,0)/'4. Billing Determinants'!$G$41*$D26,IF($E26="Distribution Rev.",VLOOKUP(V$4,'4. Billing Determinants'!$B$19:$R$41,8,0)/'4. Billing Determinants'!$I$41*$D26, VLOOKUP(V$4,'4. Billing Determinants'!$B$19:$R$41,3,0)/'4. Billing Determinants'!$D$41*$D26))))),0)</f>
        <v>0</v>
      </c>
      <c r="W26" s="40">
        <f>IFERROR(IF(W$4="",0,IF($E26="kWh",VLOOKUP(W$4,'4. Billing Determinants'!$B$19:$R$41,4,0)/'4. Billing Determinants'!$E$41*$D26,IF($E26="kW",VLOOKUP(W$4,'4. Billing Determinants'!$B$19:$R$41,5,0)/'4. Billing Determinants'!$F$41*$D26,IF($E26="Non-RPP kWh",VLOOKUP(W$4,'4. Billing Determinants'!$B$19:$R$41,6,0)/'4. Billing Determinants'!$G$41*$D26,IF($E26="Distribution Rev.",VLOOKUP(W$4,'4. Billing Determinants'!$B$19:$R$41,8,0)/'4. Billing Determinants'!$I$41*$D26, VLOOKUP(W$4,'4. Billing Determinants'!$B$19:$R$41,3,0)/'4. Billing Determinants'!$D$41*$D26))))),0)</f>
        <v>0</v>
      </c>
      <c r="X26" s="40">
        <f>IFERROR(IF(X$4="",0,IF($E26="kWh",VLOOKUP(X$4,'4. Billing Determinants'!$B$19:$R$41,4,0)/'4. Billing Determinants'!$E$41*$D26,IF($E26="kW",VLOOKUP(X$4,'4. Billing Determinants'!$B$19:$R$41,5,0)/'4. Billing Determinants'!$F$41*$D26,IF($E26="Non-RPP kWh",VLOOKUP(X$4,'4. Billing Determinants'!$B$19:$R$41,6,0)/'4. Billing Determinants'!$G$41*$D26,IF($E26="Distribution Rev.",VLOOKUP(X$4,'4. Billing Determinants'!$B$19:$R$41,8,0)/'4. Billing Determinants'!$I$41*$D26, VLOOKUP(X$4,'4. Billing Determinants'!$B$19:$R$41,3,0)/'4. Billing Determinants'!$D$41*$D26))))),0)</f>
        <v>0</v>
      </c>
      <c r="Y26" s="40">
        <f>IFERROR(IF(Y$4="",0,IF($E26="kWh",VLOOKUP(Y$4,'4. Billing Determinants'!$B$19:$R$41,4,0)/'4. Billing Determinants'!$E$41*$D26,IF($E26="kW",VLOOKUP(Y$4,'4. Billing Determinants'!$B$19:$R$41,5,0)/'4. Billing Determinants'!$F$41*$D26,IF($E26="Non-RPP kWh",VLOOKUP(Y$4,'4. Billing Determinants'!$B$19:$R$41,6,0)/'4. Billing Determinants'!$G$41*$D26,IF($E26="Distribution Rev.",VLOOKUP(Y$4,'4. Billing Determinants'!$B$19:$R$41,8,0)/'4. Billing Determinants'!$I$41*$D26, VLOOKUP(Y$4,'4. Billing Determinants'!$B$19:$R$41,3,0)/'4. Billing Determinants'!$D$41*$D26))))),0)</f>
        <v>0</v>
      </c>
    </row>
    <row r="27" spans="1:25" x14ac:dyDescent="0.25">
      <c r="B27" s="345" t="str">
        <f>IF('2b. Continuity Schedule'!C53="","",LEFT('2b. Continuity Schedule'!C53,LEN('2b. Continuity Schedule'!C53)-2))</f>
        <v>Green Button Initiative Costs</v>
      </c>
      <c r="C27" s="39">
        <v>1508</v>
      </c>
      <c r="D27" s="40">
        <f>'2b. Continuity Schedule'!BT53</f>
        <v>0</v>
      </c>
      <c r="E27" s="61" t="s">
        <v>139</v>
      </c>
      <c r="F27" s="40">
        <f>IFERROR(IF(F$4="",0,IF($E27="kWh",VLOOKUP(F$4,'4. Billing Determinants'!$B$19:$R$41,4,0)/'4. Billing Determinants'!$E$41*$D27,IF($E27="kW",VLOOKUP(F$4,'4. Billing Determinants'!$B$19:$R$41,5,0)/'4. Billing Determinants'!$F$41*$D27,IF($E27="Non-RPP kWh",VLOOKUP(F$4,'4. Billing Determinants'!$B$19:$R$41,6,0)/'4. Billing Determinants'!$G$41*$D27,IF($E27="Distribution Rev.",VLOOKUP(F$4,'4. Billing Determinants'!$B$19:$R$41,8,0)/'4. Billing Determinants'!$I$41*$D27, VLOOKUP(F$4,'4. Billing Determinants'!$B$19:$R$41,3,0)/'4. Billing Determinants'!$D$41*$D27))))),0)</f>
        <v>0</v>
      </c>
      <c r="G27" s="40">
        <f>IFERROR(IF(G$4="",0,IF($E27="kWh",VLOOKUP(G$4,'4. Billing Determinants'!$B$19:$R$41,4,0)/'4. Billing Determinants'!$E$41*$D27,IF($E27="kW",VLOOKUP(G$4,'4. Billing Determinants'!$B$19:$R$41,5,0)/'4. Billing Determinants'!$F$41*$D27,IF($E27="Non-RPP kWh",VLOOKUP(G$4,'4. Billing Determinants'!$B$19:$R$41,6,0)/'4. Billing Determinants'!$G$41*$D27,IF($E27="Distribution Rev.",VLOOKUP(G$4,'4. Billing Determinants'!$B$19:$R$41,8,0)/'4. Billing Determinants'!$I$41*$D27, VLOOKUP(G$4,'4. Billing Determinants'!$B$19:$R$41,3,0)/'4. Billing Determinants'!$D$41*$D27))))),0)</f>
        <v>0</v>
      </c>
      <c r="H27" s="40">
        <f>IFERROR(IF(H$4="",0,IF($E27="kWh",VLOOKUP(H$4,'4. Billing Determinants'!$B$19:$R$41,4,0)/'4. Billing Determinants'!$E$41*$D27,IF($E27="kW",VLOOKUP(H$4,'4. Billing Determinants'!$B$19:$R$41,5,0)/'4. Billing Determinants'!$F$41*$D27,IF($E27="Non-RPP kWh",VLOOKUP(H$4,'4. Billing Determinants'!$B$19:$R$41,6,0)/'4. Billing Determinants'!$G$41*$D27,IF($E27="Distribution Rev.",VLOOKUP(H$4,'4. Billing Determinants'!$B$19:$R$41,8,0)/'4. Billing Determinants'!$I$41*$D27, VLOOKUP(H$4,'4. Billing Determinants'!$B$19:$R$41,3,0)/'4. Billing Determinants'!$D$41*$D27))))),0)</f>
        <v>0</v>
      </c>
      <c r="I27" s="40">
        <f>IFERROR(IF(I$4="",0,IF($E27="kWh",VLOOKUP(I$4,'4. Billing Determinants'!$B$19:$R$41,4,0)/'4. Billing Determinants'!$E$41*$D27,IF($E27="kW",VLOOKUP(I$4,'4. Billing Determinants'!$B$19:$R$41,5,0)/'4. Billing Determinants'!$F$41*$D27,IF($E27="Non-RPP kWh",VLOOKUP(I$4,'4. Billing Determinants'!$B$19:$R$41,6,0)/'4. Billing Determinants'!$G$41*$D27,IF($E27="Distribution Rev.",VLOOKUP(I$4,'4. Billing Determinants'!$B$19:$R$41,8,0)/'4. Billing Determinants'!$I$41*$D27, VLOOKUP(I$4,'4. Billing Determinants'!$B$19:$R$41,3,0)/'4. Billing Determinants'!$D$41*$D27))))),0)</f>
        <v>0</v>
      </c>
      <c r="J27" s="40">
        <f>IFERROR(IF(J$4="",0,IF($E27="kWh",VLOOKUP(J$4,'4. Billing Determinants'!$B$19:$R$41,4,0)/'4. Billing Determinants'!$E$41*$D27,IF($E27="kW",VLOOKUP(J$4,'4. Billing Determinants'!$B$19:$R$41,5,0)/'4. Billing Determinants'!$F$41*$D27,IF($E27="Non-RPP kWh",VLOOKUP(J$4,'4. Billing Determinants'!$B$19:$R$41,6,0)/'4. Billing Determinants'!$G$41*$D27,IF($E27="Distribution Rev.",VLOOKUP(J$4,'4. Billing Determinants'!$B$19:$R$41,8,0)/'4. Billing Determinants'!$I$41*$D27, VLOOKUP(J$4,'4. Billing Determinants'!$B$19:$R$41,3,0)/'4. Billing Determinants'!$D$41*$D27))))),0)</f>
        <v>0</v>
      </c>
      <c r="K27" s="40">
        <f>IFERROR(IF(K$4="",0,IF($E27="kWh",VLOOKUP(K$4,'4. Billing Determinants'!$B$19:$R$41,4,0)/'4. Billing Determinants'!$E$41*$D27,IF($E27="kW",VLOOKUP(K$4,'4. Billing Determinants'!$B$19:$R$41,5,0)/'4. Billing Determinants'!$F$41*$D27,IF($E27="Non-RPP kWh",VLOOKUP(K$4,'4. Billing Determinants'!$B$19:$R$41,6,0)/'4. Billing Determinants'!$G$41*$D27,IF($E27="Distribution Rev.",VLOOKUP(K$4,'4. Billing Determinants'!$B$19:$R$41,8,0)/'4. Billing Determinants'!$I$41*$D27, VLOOKUP(K$4,'4. Billing Determinants'!$B$19:$R$41,3,0)/'4. Billing Determinants'!$D$41*$D27))))),0)</f>
        <v>0</v>
      </c>
      <c r="L27" s="40">
        <f>IFERROR(IF(L$4="",0,IF($E27="kWh",VLOOKUP(L$4,'4. Billing Determinants'!$B$19:$R$41,4,0)/'4. Billing Determinants'!$E$41*$D27,IF($E27="kW",VLOOKUP(L$4,'4. Billing Determinants'!$B$19:$R$41,5,0)/'4. Billing Determinants'!$F$41*$D27,IF($E27="Non-RPP kWh",VLOOKUP(L$4,'4. Billing Determinants'!$B$19:$R$41,6,0)/'4. Billing Determinants'!$G$41*$D27,IF($E27="Distribution Rev.",VLOOKUP(L$4,'4. Billing Determinants'!$B$19:$R$41,8,0)/'4. Billing Determinants'!$I$41*$D27, VLOOKUP(L$4,'4. Billing Determinants'!$B$19:$R$41,3,0)/'4. Billing Determinants'!$D$41*$D27))))),0)</f>
        <v>0</v>
      </c>
      <c r="M27" s="40">
        <f>IFERROR(IF(M$4="",0,IF($E27="kWh",VLOOKUP(M$4,'4. Billing Determinants'!$B$19:$R$41,4,0)/'4. Billing Determinants'!$E$41*$D27,IF($E27="kW",VLOOKUP(M$4,'4. Billing Determinants'!$B$19:$R$41,5,0)/'4. Billing Determinants'!$F$41*$D27,IF($E27="Non-RPP kWh",VLOOKUP(M$4,'4. Billing Determinants'!$B$19:$R$41,6,0)/'4. Billing Determinants'!$G$41*$D27,IF($E27="Distribution Rev.",VLOOKUP(M$4,'4. Billing Determinants'!$B$19:$R$41,8,0)/'4. Billing Determinants'!$I$41*$D27, VLOOKUP(M$4,'4. Billing Determinants'!$B$19:$R$41,3,0)/'4. Billing Determinants'!$D$41*$D27))))),0)</f>
        <v>0</v>
      </c>
      <c r="N27" s="40">
        <f>IFERROR(IF(N$4="",0,IF($E27="kWh",VLOOKUP(N$4,'4. Billing Determinants'!$B$19:$R$41,4,0)/'4. Billing Determinants'!$E$41*$D27,IF($E27="kW",VLOOKUP(N$4,'4. Billing Determinants'!$B$19:$R$41,5,0)/'4. Billing Determinants'!$F$41*$D27,IF($E27="Non-RPP kWh",VLOOKUP(N$4,'4. Billing Determinants'!$B$19:$R$41,6,0)/'4. Billing Determinants'!$G$41*$D27,IF($E27="Distribution Rev.",VLOOKUP(N$4,'4. Billing Determinants'!$B$19:$R$41,8,0)/'4. Billing Determinants'!$I$41*$D27, VLOOKUP(N$4,'4. Billing Determinants'!$B$19:$R$41,3,0)/'4. Billing Determinants'!$D$41*$D27))))),0)</f>
        <v>0</v>
      </c>
      <c r="O27" s="40">
        <f>IFERROR(IF(O$4="",0,IF($E27="kWh",VLOOKUP(O$4,'4. Billing Determinants'!$B$19:$R$41,4,0)/'4. Billing Determinants'!$E$41*$D27,IF($E27="kW",VLOOKUP(O$4,'4. Billing Determinants'!$B$19:$R$41,5,0)/'4. Billing Determinants'!$F$41*$D27,IF($E27="Non-RPP kWh",VLOOKUP(O$4,'4. Billing Determinants'!$B$19:$R$41,6,0)/'4. Billing Determinants'!$G$41*$D27,IF($E27="Distribution Rev.",VLOOKUP(O$4,'4. Billing Determinants'!$B$19:$R$41,8,0)/'4. Billing Determinants'!$I$41*$D27, VLOOKUP(O$4,'4. Billing Determinants'!$B$19:$R$41,3,0)/'4. Billing Determinants'!$D$41*$D27))))),0)</f>
        <v>0</v>
      </c>
      <c r="P27" s="40">
        <f>IFERROR(IF(P$4="",0,IF($E27="kWh",VLOOKUP(P$4,'4. Billing Determinants'!$B$19:$R$41,4,0)/'4. Billing Determinants'!$E$41*$D27,IF($E27="kW",VLOOKUP(P$4,'4. Billing Determinants'!$B$19:$R$41,5,0)/'4. Billing Determinants'!$F$41*$D27,IF($E27="Non-RPP kWh",VLOOKUP(P$4,'4. Billing Determinants'!$B$19:$R$41,6,0)/'4. Billing Determinants'!$G$41*$D27,IF($E27="Distribution Rev.",VLOOKUP(P$4,'4. Billing Determinants'!$B$19:$R$41,8,0)/'4. Billing Determinants'!$I$41*$D27, VLOOKUP(P$4,'4. Billing Determinants'!$B$19:$R$41,3,0)/'4. Billing Determinants'!$D$41*$D27))))),0)</f>
        <v>0</v>
      </c>
      <c r="Q27" s="40">
        <f>IFERROR(IF(Q$4="",0,IF($E27="kWh",VLOOKUP(Q$4,'4. Billing Determinants'!$B$19:$R$41,4,0)/'4. Billing Determinants'!$E$41*$D27,IF($E27="kW",VLOOKUP(Q$4,'4. Billing Determinants'!$B$19:$R$41,5,0)/'4. Billing Determinants'!$F$41*$D27,IF($E27="Non-RPP kWh",VLOOKUP(Q$4,'4. Billing Determinants'!$B$19:$R$41,6,0)/'4. Billing Determinants'!$G$41*$D27,IF($E27="Distribution Rev.",VLOOKUP(Q$4,'4. Billing Determinants'!$B$19:$R$41,8,0)/'4. Billing Determinants'!$I$41*$D27, VLOOKUP(Q$4,'4. Billing Determinants'!$B$19:$R$41,3,0)/'4. Billing Determinants'!$D$41*$D27))))),0)</f>
        <v>0</v>
      </c>
      <c r="R27" s="40">
        <f>IFERROR(IF(R$4="",0,IF($E27="kWh",VLOOKUP(R$4,'4. Billing Determinants'!$B$19:$R$41,4,0)/'4. Billing Determinants'!$E$41*$D27,IF($E27="kW",VLOOKUP(R$4,'4. Billing Determinants'!$B$19:$R$41,5,0)/'4. Billing Determinants'!$F$41*$D27,IF($E27="Non-RPP kWh",VLOOKUP(R$4,'4. Billing Determinants'!$B$19:$R$41,6,0)/'4. Billing Determinants'!$G$41*$D27,IF($E27="Distribution Rev.",VLOOKUP(R$4,'4. Billing Determinants'!$B$19:$R$41,8,0)/'4. Billing Determinants'!$I$41*$D27, VLOOKUP(R$4,'4. Billing Determinants'!$B$19:$R$41,3,0)/'4. Billing Determinants'!$D$41*$D27))))),0)</f>
        <v>0</v>
      </c>
      <c r="S27" s="40">
        <f>IFERROR(IF(S$4="",0,IF($E27="kWh",VLOOKUP(S$4,'4. Billing Determinants'!$B$19:$R$41,4,0)/'4. Billing Determinants'!$E$41*$D27,IF($E27="kW",VLOOKUP(S$4,'4. Billing Determinants'!$B$19:$R$41,5,0)/'4. Billing Determinants'!$F$41*$D27,IF($E27="Non-RPP kWh",VLOOKUP(S$4,'4. Billing Determinants'!$B$19:$R$41,6,0)/'4. Billing Determinants'!$G$41*$D27,IF($E27="Distribution Rev.",VLOOKUP(S$4,'4. Billing Determinants'!$B$19:$R$41,8,0)/'4. Billing Determinants'!$I$41*$D27, VLOOKUP(S$4,'4. Billing Determinants'!$B$19:$R$41,3,0)/'4. Billing Determinants'!$D$41*$D27))))),0)</f>
        <v>0</v>
      </c>
      <c r="T27" s="40">
        <f>IFERROR(IF(T$4="",0,IF($E27="kWh",VLOOKUP(T$4,'4. Billing Determinants'!$B$19:$R$41,4,0)/'4. Billing Determinants'!$E$41*$D27,IF($E27="kW",VLOOKUP(T$4,'4. Billing Determinants'!$B$19:$R$41,5,0)/'4. Billing Determinants'!$F$41*$D27,IF($E27="Non-RPP kWh",VLOOKUP(T$4,'4. Billing Determinants'!$B$19:$R$41,6,0)/'4. Billing Determinants'!$G$41*$D27,IF($E27="Distribution Rev.",VLOOKUP(T$4,'4. Billing Determinants'!$B$19:$R$41,8,0)/'4. Billing Determinants'!$I$41*$D27, VLOOKUP(T$4,'4. Billing Determinants'!$B$19:$R$41,3,0)/'4. Billing Determinants'!$D$41*$D27))))),0)</f>
        <v>0</v>
      </c>
      <c r="U27" s="40">
        <f>IFERROR(IF(U$4="",0,IF($E27="kWh",VLOOKUP(U$4,'4. Billing Determinants'!$B$19:$R$41,4,0)/'4. Billing Determinants'!$E$41*$D27,IF($E27="kW",VLOOKUP(U$4,'4. Billing Determinants'!$B$19:$R$41,5,0)/'4. Billing Determinants'!$F$41*$D27,IF($E27="Non-RPP kWh",VLOOKUP(U$4,'4. Billing Determinants'!$B$19:$R$41,6,0)/'4. Billing Determinants'!$G$41*$D27,IF($E27="Distribution Rev.",VLOOKUP(U$4,'4. Billing Determinants'!$B$19:$R$41,8,0)/'4. Billing Determinants'!$I$41*$D27, VLOOKUP(U$4,'4. Billing Determinants'!$B$19:$R$41,3,0)/'4. Billing Determinants'!$D$41*$D27))))),0)</f>
        <v>0</v>
      </c>
      <c r="V27" s="40">
        <f>IFERROR(IF(V$4="",0,IF($E27="kWh",VLOOKUP(V$4,'4. Billing Determinants'!$B$19:$R$41,4,0)/'4. Billing Determinants'!$E$41*$D27,IF($E27="kW",VLOOKUP(V$4,'4. Billing Determinants'!$B$19:$R$41,5,0)/'4. Billing Determinants'!$F$41*$D27,IF($E27="Non-RPP kWh",VLOOKUP(V$4,'4. Billing Determinants'!$B$19:$R$41,6,0)/'4. Billing Determinants'!$G$41*$D27,IF($E27="Distribution Rev.",VLOOKUP(V$4,'4. Billing Determinants'!$B$19:$R$41,8,0)/'4. Billing Determinants'!$I$41*$D27, VLOOKUP(V$4,'4. Billing Determinants'!$B$19:$R$41,3,0)/'4. Billing Determinants'!$D$41*$D27))))),0)</f>
        <v>0</v>
      </c>
      <c r="W27" s="40">
        <f>IFERROR(IF(W$4="",0,IF($E27="kWh",VLOOKUP(W$4,'4. Billing Determinants'!$B$19:$R$41,4,0)/'4. Billing Determinants'!$E$41*$D27,IF($E27="kW",VLOOKUP(W$4,'4. Billing Determinants'!$B$19:$R$41,5,0)/'4. Billing Determinants'!$F$41*$D27,IF($E27="Non-RPP kWh",VLOOKUP(W$4,'4. Billing Determinants'!$B$19:$R$41,6,0)/'4. Billing Determinants'!$G$41*$D27,IF($E27="Distribution Rev.",VLOOKUP(W$4,'4. Billing Determinants'!$B$19:$R$41,8,0)/'4. Billing Determinants'!$I$41*$D27, VLOOKUP(W$4,'4. Billing Determinants'!$B$19:$R$41,3,0)/'4. Billing Determinants'!$D$41*$D27))))),0)</f>
        <v>0</v>
      </c>
      <c r="X27" s="40">
        <f>IFERROR(IF(X$4="",0,IF($E27="kWh",VLOOKUP(X$4,'4. Billing Determinants'!$B$19:$R$41,4,0)/'4. Billing Determinants'!$E$41*$D27,IF($E27="kW",VLOOKUP(X$4,'4. Billing Determinants'!$B$19:$R$41,5,0)/'4. Billing Determinants'!$F$41*$D27,IF($E27="Non-RPP kWh",VLOOKUP(X$4,'4. Billing Determinants'!$B$19:$R$41,6,0)/'4. Billing Determinants'!$G$41*$D27,IF($E27="Distribution Rev.",VLOOKUP(X$4,'4. Billing Determinants'!$B$19:$R$41,8,0)/'4. Billing Determinants'!$I$41*$D27, VLOOKUP(X$4,'4. Billing Determinants'!$B$19:$R$41,3,0)/'4. Billing Determinants'!$D$41*$D27))))),0)</f>
        <v>0</v>
      </c>
      <c r="Y27" s="40">
        <f>IFERROR(IF(Y$4="",0,IF($E27="kWh",VLOOKUP(Y$4,'4. Billing Determinants'!$B$19:$R$41,4,0)/'4. Billing Determinants'!$E$41*$D27,IF($E27="kW",VLOOKUP(Y$4,'4. Billing Determinants'!$B$19:$R$41,5,0)/'4. Billing Determinants'!$F$41*$D27,IF($E27="Non-RPP kWh",VLOOKUP(Y$4,'4. Billing Determinants'!$B$19:$R$41,6,0)/'4. Billing Determinants'!$G$41*$D27,IF($E27="Distribution Rev.",VLOOKUP(Y$4,'4. Billing Determinants'!$B$19:$R$41,8,0)/'4. Billing Determinants'!$I$41*$D27, VLOOKUP(Y$4,'4. Billing Determinants'!$B$19:$R$41,3,0)/'4. Billing Determinants'!$D$41*$D27))))),0)</f>
        <v>0</v>
      </c>
    </row>
    <row r="28" spans="1:25" x14ac:dyDescent="0.25">
      <c r="B28" s="345" t="str">
        <f>IF('2b. Continuity Schedule'!C54="","",'2b. Continuity Schedule'!C54)</f>
        <v>Other Regulatory Assets, Sub-account Designated Broadband Project Impacts13</v>
      </c>
      <c r="C28" s="39">
        <v>1508</v>
      </c>
      <c r="D28" s="40">
        <f>'2b. Continuity Schedule'!BT54</f>
        <v>0</v>
      </c>
      <c r="E28" s="61" t="s">
        <v>139</v>
      </c>
      <c r="F28" s="40">
        <f>IFERROR(IF(F$4="",0,IF($E28="kWh",VLOOKUP(F$4,'4. Billing Determinants'!$B$19:$R$41,4,0)/'4. Billing Determinants'!$E$41*$D28,IF($E28="kW",VLOOKUP(F$4,'4. Billing Determinants'!$B$19:$R$41,5,0)/'4. Billing Determinants'!$F$41*$D28,IF($E28="Non-RPP kWh",VLOOKUP(F$4,'4. Billing Determinants'!$B$19:$R$41,6,0)/'4. Billing Determinants'!$G$41*$D28,IF($E28="Distribution Rev.",VLOOKUP(F$4,'4. Billing Determinants'!$B$19:$R$41,8,0)/'4. Billing Determinants'!$I$41*$D28, VLOOKUP(F$4,'4. Billing Determinants'!$B$19:$R$41,3,0)/'4. Billing Determinants'!$D$41*$D28))))),0)</f>
        <v>0</v>
      </c>
      <c r="G28" s="40">
        <f>IFERROR(IF(G$4="",0,IF($E28="kWh",VLOOKUP(G$4,'4. Billing Determinants'!$B$19:$R$41,4,0)/'4. Billing Determinants'!$E$41*$D28,IF($E28="kW",VLOOKUP(G$4,'4. Billing Determinants'!$B$19:$R$41,5,0)/'4. Billing Determinants'!$F$41*$D28,IF($E28="Non-RPP kWh",VLOOKUP(G$4,'4. Billing Determinants'!$B$19:$R$41,6,0)/'4. Billing Determinants'!$G$41*$D28,IF($E28="Distribution Rev.",VLOOKUP(G$4,'4. Billing Determinants'!$B$19:$R$41,8,0)/'4. Billing Determinants'!$I$41*$D28, VLOOKUP(G$4,'4. Billing Determinants'!$B$19:$R$41,3,0)/'4. Billing Determinants'!$D$41*$D28))))),0)</f>
        <v>0</v>
      </c>
      <c r="H28" s="40">
        <f>IFERROR(IF(H$4="",0,IF($E28="kWh",VLOOKUP(H$4,'4. Billing Determinants'!$B$19:$R$41,4,0)/'4. Billing Determinants'!$E$41*$D28,IF($E28="kW",VLOOKUP(H$4,'4. Billing Determinants'!$B$19:$R$41,5,0)/'4. Billing Determinants'!$F$41*$D28,IF($E28="Non-RPP kWh",VLOOKUP(H$4,'4. Billing Determinants'!$B$19:$R$41,6,0)/'4. Billing Determinants'!$G$41*$D28,IF($E28="Distribution Rev.",VLOOKUP(H$4,'4. Billing Determinants'!$B$19:$R$41,8,0)/'4. Billing Determinants'!$I$41*$D28, VLOOKUP(H$4,'4. Billing Determinants'!$B$19:$R$41,3,0)/'4. Billing Determinants'!$D$41*$D28))))),0)</f>
        <v>0</v>
      </c>
      <c r="I28" s="40">
        <f>IFERROR(IF(I$4="",0,IF($E28="kWh",VLOOKUP(I$4,'4. Billing Determinants'!$B$19:$R$41,4,0)/'4. Billing Determinants'!$E$41*$D28,IF($E28="kW",VLOOKUP(I$4,'4. Billing Determinants'!$B$19:$R$41,5,0)/'4. Billing Determinants'!$F$41*$D28,IF($E28="Non-RPP kWh",VLOOKUP(I$4,'4. Billing Determinants'!$B$19:$R$41,6,0)/'4. Billing Determinants'!$G$41*$D28,IF($E28="Distribution Rev.",VLOOKUP(I$4,'4. Billing Determinants'!$B$19:$R$41,8,0)/'4. Billing Determinants'!$I$41*$D28, VLOOKUP(I$4,'4. Billing Determinants'!$B$19:$R$41,3,0)/'4. Billing Determinants'!$D$41*$D28))))),0)</f>
        <v>0</v>
      </c>
      <c r="J28" s="40">
        <f>IFERROR(IF(J$4="",0,IF($E28="kWh",VLOOKUP(J$4,'4. Billing Determinants'!$B$19:$R$41,4,0)/'4. Billing Determinants'!$E$41*$D28,IF($E28="kW",VLOOKUP(J$4,'4. Billing Determinants'!$B$19:$R$41,5,0)/'4. Billing Determinants'!$F$41*$D28,IF($E28="Non-RPP kWh",VLOOKUP(J$4,'4. Billing Determinants'!$B$19:$R$41,6,0)/'4. Billing Determinants'!$G$41*$D28,IF($E28="Distribution Rev.",VLOOKUP(J$4,'4. Billing Determinants'!$B$19:$R$41,8,0)/'4. Billing Determinants'!$I$41*$D28, VLOOKUP(J$4,'4. Billing Determinants'!$B$19:$R$41,3,0)/'4. Billing Determinants'!$D$41*$D28))))),0)</f>
        <v>0</v>
      </c>
      <c r="K28" s="40">
        <f>IFERROR(IF(K$4="",0,IF($E28="kWh",VLOOKUP(K$4,'4. Billing Determinants'!$B$19:$R$41,4,0)/'4. Billing Determinants'!$E$41*$D28,IF($E28="kW",VLOOKUP(K$4,'4. Billing Determinants'!$B$19:$R$41,5,0)/'4. Billing Determinants'!$F$41*$D28,IF($E28="Non-RPP kWh",VLOOKUP(K$4,'4. Billing Determinants'!$B$19:$R$41,6,0)/'4. Billing Determinants'!$G$41*$D28,IF($E28="Distribution Rev.",VLOOKUP(K$4,'4. Billing Determinants'!$B$19:$R$41,8,0)/'4. Billing Determinants'!$I$41*$D28, VLOOKUP(K$4,'4. Billing Determinants'!$B$19:$R$41,3,0)/'4. Billing Determinants'!$D$41*$D28))))),0)</f>
        <v>0</v>
      </c>
      <c r="L28" s="40">
        <f>IFERROR(IF(L$4="",0,IF($E28="kWh",VLOOKUP(L$4,'4. Billing Determinants'!$B$19:$R$41,4,0)/'4. Billing Determinants'!$E$41*$D28,IF($E28="kW",VLOOKUP(L$4,'4. Billing Determinants'!$B$19:$R$41,5,0)/'4. Billing Determinants'!$F$41*$D28,IF($E28="Non-RPP kWh",VLOOKUP(L$4,'4. Billing Determinants'!$B$19:$R$41,6,0)/'4. Billing Determinants'!$G$41*$D28,IF($E28="Distribution Rev.",VLOOKUP(L$4,'4. Billing Determinants'!$B$19:$R$41,8,0)/'4. Billing Determinants'!$I$41*$D28, VLOOKUP(L$4,'4. Billing Determinants'!$B$19:$R$41,3,0)/'4. Billing Determinants'!$D$41*$D28))))),0)</f>
        <v>0</v>
      </c>
      <c r="M28" s="40">
        <f>IFERROR(IF(M$4="",0,IF($E28="kWh",VLOOKUP(M$4,'4. Billing Determinants'!$B$19:$R$41,4,0)/'4. Billing Determinants'!$E$41*$D28,IF($E28="kW",VLOOKUP(M$4,'4. Billing Determinants'!$B$19:$R$41,5,0)/'4. Billing Determinants'!$F$41*$D28,IF($E28="Non-RPP kWh",VLOOKUP(M$4,'4. Billing Determinants'!$B$19:$R$41,6,0)/'4. Billing Determinants'!$G$41*$D28,IF($E28="Distribution Rev.",VLOOKUP(M$4,'4. Billing Determinants'!$B$19:$R$41,8,0)/'4. Billing Determinants'!$I$41*$D28, VLOOKUP(M$4,'4. Billing Determinants'!$B$19:$R$41,3,0)/'4. Billing Determinants'!$D$41*$D28))))),0)</f>
        <v>0</v>
      </c>
      <c r="N28" s="40">
        <f>IFERROR(IF(N$4="",0,IF($E28="kWh",VLOOKUP(N$4,'4. Billing Determinants'!$B$19:$R$41,4,0)/'4. Billing Determinants'!$E$41*$D28,IF($E28="kW",VLOOKUP(N$4,'4. Billing Determinants'!$B$19:$R$41,5,0)/'4. Billing Determinants'!$F$41*$D28,IF($E28="Non-RPP kWh",VLOOKUP(N$4,'4. Billing Determinants'!$B$19:$R$41,6,0)/'4. Billing Determinants'!$G$41*$D28,IF($E28="Distribution Rev.",VLOOKUP(N$4,'4. Billing Determinants'!$B$19:$R$41,8,0)/'4. Billing Determinants'!$I$41*$D28, VLOOKUP(N$4,'4. Billing Determinants'!$B$19:$R$41,3,0)/'4. Billing Determinants'!$D$41*$D28))))),0)</f>
        <v>0</v>
      </c>
      <c r="O28" s="40">
        <f>IFERROR(IF(O$4="",0,IF($E28="kWh",VLOOKUP(O$4,'4. Billing Determinants'!$B$19:$R$41,4,0)/'4. Billing Determinants'!$E$41*$D28,IF($E28="kW",VLOOKUP(O$4,'4. Billing Determinants'!$B$19:$R$41,5,0)/'4. Billing Determinants'!$F$41*$D28,IF($E28="Non-RPP kWh",VLOOKUP(O$4,'4. Billing Determinants'!$B$19:$R$41,6,0)/'4. Billing Determinants'!$G$41*$D28,IF($E28="Distribution Rev.",VLOOKUP(O$4,'4. Billing Determinants'!$B$19:$R$41,8,0)/'4. Billing Determinants'!$I$41*$D28, VLOOKUP(O$4,'4. Billing Determinants'!$B$19:$R$41,3,0)/'4. Billing Determinants'!$D$41*$D28))))),0)</f>
        <v>0</v>
      </c>
      <c r="P28" s="40">
        <f>IFERROR(IF(P$4="",0,IF($E28="kWh",VLOOKUP(P$4,'4. Billing Determinants'!$B$19:$R$41,4,0)/'4. Billing Determinants'!$E$41*$D28,IF($E28="kW",VLOOKUP(P$4,'4. Billing Determinants'!$B$19:$R$41,5,0)/'4. Billing Determinants'!$F$41*$D28,IF($E28="Non-RPP kWh",VLOOKUP(P$4,'4. Billing Determinants'!$B$19:$R$41,6,0)/'4. Billing Determinants'!$G$41*$D28,IF($E28="Distribution Rev.",VLOOKUP(P$4,'4. Billing Determinants'!$B$19:$R$41,8,0)/'4. Billing Determinants'!$I$41*$D28, VLOOKUP(P$4,'4. Billing Determinants'!$B$19:$R$41,3,0)/'4. Billing Determinants'!$D$41*$D28))))),0)</f>
        <v>0</v>
      </c>
      <c r="Q28" s="40">
        <f>IFERROR(IF(Q$4="",0,IF($E28="kWh",VLOOKUP(Q$4,'4. Billing Determinants'!$B$19:$R$41,4,0)/'4. Billing Determinants'!$E$41*$D28,IF($E28="kW",VLOOKUP(Q$4,'4. Billing Determinants'!$B$19:$R$41,5,0)/'4. Billing Determinants'!$F$41*$D28,IF($E28="Non-RPP kWh",VLOOKUP(Q$4,'4. Billing Determinants'!$B$19:$R$41,6,0)/'4. Billing Determinants'!$G$41*$D28,IF($E28="Distribution Rev.",VLOOKUP(Q$4,'4. Billing Determinants'!$B$19:$R$41,8,0)/'4. Billing Determinants'!$I$41*$D28, VLOOKUP(Q$4,'4. Billing Determinants'!$B$19:$R$41,3,0)/'4. Billing Determinants'!$D$41*$D28))))),0)</f>
        <v>0</v>
      </c>
      <c r="R28" s="40">
        <f>IFERROR(IF(R$4="",0,IF($E28="kWh",VLOOKUP(R$4,'4. Billing Determinants'!$B$19:$R$41,4,0)/'4. Billing Determinants'!$E$41*$D28,IF($E28="kW",VLOOKUP(R$4,'4. Billing Determinants'!$B$19:$R$41,5,0)/'4. Billing Determinants'!$F$41*$D28,IF($E28="Non-RPP kWh",VLOOKUP(R$4,'4. Billing Determinants'!$B$19:$R$41,6,0)/'4. Billing Determinants'!$G$41*$D28,IF($E28="Distribution Rev.",VLOOKUP(R$4,'4. Billing Determinants'!$B$19:$R$41,8,0)/'4. Billing Determinants'!$I$41*$D28, VLOOKUP(R$4,'4. Billing Determinants'!$B$19:$R$41,3,0)/'4. Billing Determinants'!$D$41*$D28))))),0)</f>
        <v>0</v>
      </c>
      <c r="S28" s="40">
        <f>IFERROR(IF(S$4="",0,IF($E28="kWh",VLOOKUP(S$4,'4. Billing Determinants'!$B$19:$R$41,4,0)/'4. Billing Determinants'!$E$41*$D28,IF($E28="kW",VLOOKUP(S$4,'4. Billing Determinants'!$B$19:$R$41,5,0)/'4. Billing Determinants'!$F$41*$D28,IF($E28="Non-RPP kWh",VLOOKUP(S$4,'4. Billing Determinants'!$B$19:$R$41,6,0)/'4. Billing Determinants'!$G$41*$D28,IF($E28="Distribution Rev.",VLOOKUP(S$4,'4. Billing Determinants'!$B$19:$R$41,8,0)/'4. Billing Determinants'!$I$41*$D28, VLOOKUP(S$4,'4. Billing Determinants'!$B$19:$R$41,3,0)/'4. Billing Determinants'!$D$41*$D28))))),0)</f>
        <v>0</v>
      </c>
      <c r="T28" s="40">
        <f>IFERROR(IF(T$4="",0,IF($E28="kWh",VLOOKUP(T$4,'4. Billing Determinants'!$B$19:$R$41,4,0)/'4. Billing Determinants'!$E$41*$D28,IF($E28="kW",VLOOKUP(T$4,'4. Billing Determinants'!$B$19:$R$41,5,0)/'4. Billing Determinants'!$F$41*$D28,IF($E28="Non-RPP kWh",VLOOKUP(T$4,'4. Billing Determinants'!$B$19:$R$41,6,0)/'4. Billing Determinants'!$G$41*$D28,IF($E28="Distribution Rev.",VLOOKUP(T$4,'4. Billing Determinants'!$B$19:$R$41,8,0)/'4. Billing Determinants'!$I$41*$D28, VLOOKUP(T$4,'4. Billing Determinants'!$B$19:$R$41,3,0)/'4. Billing Determinants'!$D$41*$D28))))),0)</f>
        <v>0</v>
      </c>
      <c r="U28" s="40">
        <f>IFERROR(IF(U$4="",0,IF($E28="kWh",VLOOKUP(U$4,'4. Billing Determinants'!$B$19:$R$41,4,0)/'4. Billing Determinants'!$E$41*$D28,IF($E28="kW",VLOOKUP(U$4,'4. Billing Determinants'!$B$19:$R$41,5,0)/'4. Billing Determinants'!$F$41*$D28,IF($E28="Non-RPP kWh",VLOOKUP(U$4,'4. Billing Determinants'!$B$19:$R$41,6,0)/'4. Billing Determinants'!$G$41*$D28,IF($E28="Distribution Rev.",VLOOKUP(U$4,'4. Billing Determinants'!$B$19:$R$41,8,0)/'4. Billing Determinants'!$I$41*$D28, VLOOKUP(U$4,'4. Billing Determinants'!$B$19:$R$41,3,0)/'4. Billing Determinants'!$D$41*$D28))))),0)</f>
        <v>0</v>
      </c>
      <c r="V28" s="40">
        <f>IFERROR(IF(V$4="",0,IF($E28="kWh",VLOOKUP(V$4,'4. Billing Determinants'!$B$19:$R$41,4,0)/'4. Billing Determinants'!$E$41*$D28,IF($E28="kW",VLOOKUP(V$4,'4. Billing Determinants'!$B$19:$R$41,5,0)/'4. Billing Determinants'!$F$41*$D28,IF($E28="Non-RPP kWh",VLOOKUP(V$4,'4. Billing Determinants'!$B$19:$R$41,6,0)/'4. Billing Determinants'!$G$41*$D28,IF($E28="Distribution Rev.",VLOOKUP(V$4,'4. Billing Determinants'!$B$19:$R$41,8,0)/'4. Billing Determinants'!$I$41*$D28, VLOOKUP(V$4,'4. Billing Determinants'!$B$19:$R$41,3,0)/'4. Billing Determinants'!$D$41*$D28))))),0)</f>
        <v>0</v>
      </c>
      <c r="W28" s="40">
        <f>IFERROR(IF(W$4="",0,IF($E28="kWh",VLOOKUP(W$4,'4. Billing Determinants'!$B$19:$R$41,4,0)/'4. Billing Determinants'!$E$41*$D28,IF($E28="kW",VLOOKUP(W$4,'4. Billing Determinants'!$B$19:$R$41,5,0)/'4. Billing Determinants'!$F$41*$D28,IF($E28="Non-RPP kWh",VLOOKUP(W$4,'4. Billing Determinants'!$B$19:$R$41,6,0)/'4. Billing Determinants'!$G$41*$D28,IF($E28="Distribution Rev.",VLOOKUP(W$4,'4. Billing Determinants'!$B$19:$R$41,8,0)/'4. Billing Determinants'!$I$41*$D28, VLOOKUP(W$4,'4. Billing Determinants'!$B$19:$R$41,3,0)/'4. Billing Determinants'!$D$41*$D28))))),0)</f>
        <v>0</v>
      </c>
      <c r="X28" s="40">
        <f>IFERROR(IF(X$4="",0,IF($E28="kWh",VLOOKUP(X$4,'4. Billing Determinants'!$B$19:$R$41,4,0)/'4. Billing Determinants'!$E$41*$D28,IF($E28="kW",VLOOKUP(X$4,'4. Billing Determinants'!$B$19:$R$41,5,0)/'4. Billing Determinants'!$F$41*$D28,IF($E28="Non-RPP kWh",VLOOKUP(X$4,'4. Billing Determinants'!$B$19:$R$41,6,0)/'4. Billing Determinants'!$G$41*$D28,IF($E28="Distribution Rev.",VLOOKUP(X$4,'4. Billing Determinants'!$B$19:$R$41,8,0)/'4. Billing Determinants'!$I$41*$D28, VLOOKUP(X$4,'4. Billing Determinants'!$B$19:$R$41,3,0)/'4. Billing Determinants'!$D$41*$D28))))),0)</f>
        <v>0</v>
      </c>
      <c r="Y28" s="40">
        <f>IFERROR(IF(Y$4="",0,IF($E28="kWh",VLOOKUP(Y$4,'4. Billing Determinants'!$B$19:$R$41,4,0)/'4. Billing Determinants'!$E$41*$D28,IF($E28="kW",VLOOKUP(Y$4,'4. Billing Determinants'!$B$19:$R$41,5,0)/'4. Billing Determinants'!$F$41*$D28,IF($E28="Non-RPP kWh",VLOOKUP(Y$4,'4. Billing Determinants'!$B$19:$R$41,6,0)/'4. Billing Determinants'!$G$41*$D28,IF($E28="Distribution Rev.",VLOOKUP(Y$4,'4. Billing Determinants'!$B$19:$R$41,8,0)/'4. Billing Determinants'!$I$41*$D28, VLOOKUP(Y$4,'4. Billing Determinants'!$B$19:$R$41,3,0)/'4. Billing Determinants'!$D$41*$D28))))),0)</f>
        <v>0</v>
      </c>
    </row>
    <row r="29" spans="1:25" x14ac:dyDescent="0.25">
      <c r="B29" s="345" t="str">
        <f>IF('2b. Continuity Schedule'!C55="","",'2b. Continuity Schedule'!C55)</f>
        <v>Other Regulatory Assets, Sub-account Designated Broadband Project Impacts</v>
      </c>
      <c r="C29" s="39">
        <v>1508</v>
      </c>
      <c r="D29" s="40">
        <f>'2b. Continuity Schedule'!BT55</f>
        <v>0</v>
      </c>
      <c r="E29" s="61" t="s">
        <v>139</v>
      </c>
      <c r="F29" s="40">
        <f>IFERROR(IF(F$4="",0,IF($E29="kWh",VLOOKUP(F$4,'4. Billing Determinants'!$B$19:$R$41,4,0)/'4. Billing Determinants'!$E$41*$D29,IF($E29="kW",VLOOKUP(F$4,'4. Billing Determinants'!$B$19:$R$41,5,0)/'4. Billing Determinants'!$F$41*$D29,IF($E29="Non-RPP kWh",VLOOKUP(F$4,'4. Billing Determinants'!$B$19:$R$41,6,0)/'4. Billing Determinants'!$G$41*$D29,IF($E29="Distribution Rev.",VLOOKUP(F$4,'4. Billing Determinants'!$B$19:$R$41,8,0)/'4. Billing Determinants'!$I$41*$D29, VLOOKUP(F$4,'4. Billing Determinants'!$B$19:$R$41,3,0)/'4. Billing Determinants'!$D$41*$D29))))),0)</f>
        <v>0</v>
      </c>
      <c r="G29" s="40">
        <f>IFERROR(IF(G$4="",0,IF($E29="kWh",VLOOKUP(G$4,'4. Billing Determinants'!$B$19:$R$41,4,0)/'4. Billing Determinants'!$E$41*$D29,IF($E29="kW",VLOOKUP(G$4,'4. Billing Determinants'!$B$19:$R$41,5,0)/'4. Billing Determinants'!$F$41*$D29,IF($E29="Non-RPP kWh",VLOOKUP(G$4,'4. Billing Determinants'!$B$19:$R$41,6,0)/'4. Billing Determinants'!$G$41*$D29,IF($E29="Distribution Rev.",VLOOKUP(G$4,'4. Billing Determinants'!$B$19:$R$41,8,0)/'4. Billing Determinants'!$I$41*$D29, VLOOKUP(G$4,'4. Billing Determinants'!$B$19:$R$41,3,0)/'4. Billing Determinants'!$D$41*$D29))))),0)</f>
        <v>0</v>
      </c>
      <c r="H29" s="40">
        <f>IFERROR(IF(H$4="",0,IF($E29="kWh",VLOOKUP(H$4,'4. Billing Determinants'!$B$19:$R$41,4,0)/'4. Billing Determinants'!$E$41*$D29,IF($E29="kW",VLOOKUP(H$4,'4. Billing Determinants'!$B$19:$R$41,5,0)/'4. Billing Determinants'!$F$41*$D29,IF($E29="Non-RPP kWh",VLOOKUP(H$4,'4. Billing Determinants'!$B$19:$R$41,6,0)/'4. Billing Determinants'!$G$41*$D29,IF($E29="Distribution Rev.",VLOOKUP(H$4,'4. Billing Determinants'!$B$19:$R$41,8,0)/'4. Billing Determinants'!$I$41*$D29, VLOOKUP(H$4,'4. Billing Determinants'!$B$19:$R$41,3,0)/'4. Billing Determinants'!$D$41*$D29))))),0)</f>
        <v>0</v>
      </c>
      <c r="I29" s="40">
        <f>IFERROR(IF(I$4="",0,IF($E29="kWh",VLOOKUP(I$4,'4. Billing Determinants'!$B$19:$R$41,4,0)/'4. Billing Determinants'!$E$41*$D29,IF($E29="kW",VLOOKUP(I$4,'4. Billing Determinants'!$B$19:$R$41,5,0)/'4. Billing Determinants'!$F$41*$D29,IF($E29="Non-RPP kWh",VLOOKUP(I$4,'4. Billing Determinants'!$B$19:$R$41,6,0)/'4. Billing Determinants'!$G$41*$D29,IF($E29="Distribution Rev.",VLOOKUP(I$4,'4. Billing Determinants'!$B$19:$R$41,8,0)/'4. Billing Determinants'!$I$41*$D29, VLOOKUP(I$4,'4. Billing Determinants'!$B$19:$R$41,3,0)/'4. Billing Determinants'!$D$41*$D29))))),0)</f>
        <v>0</v>
      </c>
      <c r="J29" s="40">
        <f>IFERROR(IF(J$4="",0,IF($E29="kWh",VLOOKUP(J$4,'4. Billing Determinants'!$B$19:$R$41,4,0)/'4. Billing Determinants'!$E$41*$D29,IF($E29="kW",VLOOKUP(J$4,'4. Billing Determinants'!$B$19:$R$41,5,0)/'4. Billing Determinants'!$F$41*$D29,IF($E29="Non-RPP kWh",VLOOKUP(J$4,'4. Billing Determinants'!$B$19:$R$41,6,0)/'4. Billing Determinants'!$G$41*$D29,IF($E29="Distribution Rev.",VLOOKUP(J$4,'4. Billing Determinants'!$B$19:$R$41,8,0)/'4. Billing Determinants'!$I$41*$D29, VLOOKUP(J$4,'4. Billing Determinants'!$B$19:$R$41,3,0)/'4. Billing Determinants'!$D$41*$D29))))),0)</f>
        <v>0</v>
      </c>
      <c r="K29" s="40">
        <f>IFERROR(IF(K$4="",0,IF($E29="kWh",VLOOKUP(K$4,'4. Billing Determinants'!$B$19:$R$41,4,0)/'4. Billing Determinants'!$E$41*$D29,IF($E29="kW",VLOOKUP(K$4,'4. Billing Determinants'!$B$19:$R$41,5,0)/'4. Billing Determinants'!$F$41*$D29,IF($E29="Non-RPP kWh",VLOOKUP(K$4,'4. Billing Determinants'!$B$19:$R$41,6,0)/'4. Billing Determinants'!$G$41*$D29,IF($E29="Distribution Rev.",VLOOKUP(K$4,'4. Billing Determinants'!$B$19:$R$41,8,0)/'4. Billing Determinants'!$I$41*$D29, VLOOKUP(K$4,'4. Billing Determinants'!$B$19:$R$41,3,0)/'4. Billing Determinants'!$D$41*$D29))))),0)</f>
        <v>0</v>
      </c>
      <c r="L29" s="40">
        <f>IFERROR(IF(L$4="",0,IF($E29="kWh",VLOOKUP(L$4,'4. Billing Determinants'!$B$19:$R$41,4,0)/'4. Billing Determinants'!$E$41*$D29,IF($E29="kW",VLOOKUP(L$4,'4. Billing Determinants'!$B$19:$R$41,5,0)/'4. Billing Determinants'!$F$41*$D29,IF($E29="Non-RPP kWh",VLOOKUP(L$4,'4. Billing Determinants'!$B$19:$R$41,6,0)/'4. Billing Determinants'!$G$41*$D29,IF($E29="Distribution Rev.",VLOOKUP(L$4,'4. Billing Determinants'!$B$19:$R$41,8,0)/'4. Billing Determinants'!$I$41*$D29, VLOOKUP(L$4,'4. Billing Determinants'!$B$19:$R$41,3,0)/'4. Billing Determinants'!$D$41*$D29))))),0)</f>
        <v>0</v>
      </c>
      <c r="M29" s="40">
        <f>IFERROR(IF(M$4="",0,IF($E29="kWh",VLOOKUP(M$4,'4. Billing Determinants'!$B$19:$R$41,4,0)/'4. Billing Determinants'!$E$41*$D29,IF($E29="kW",VLOOKUP(M$4,'4. Billing Determinants'!$B$19:$R$41,5,0)/'4. Billing Determinants'!$F$41*$D29,IF($E29="Non-RPP kWh",VLOOKUP(M$4,'4. Billing Determinants'!$B$19:$R$41,6,0)/'4. Billing Determinants'!$G$41*$D29,IF($E29="Distribution Rev.",VLOOKUP(M$4,'4. Billing Determinants'!$B$19:$R$41,8,0)/'4. Billing Determinants'!$I$41*$D29, VLOOKUP(M$4,'4. Billing Determinants'!$B$19:$R$41,3,0)/'4. Billing Determinants'!$D$41*$D29))))),0)</f>
        <v>0</v>
      </c>
      <c r="N29" s="40">
        <f>IFERROR(IF(N$4="",0,IF($E29="kWh",VLOOKUP(N$4,'4. Billing Determinants'!$B$19:$R$41,4,0)/'4. Billing Determinants'!$E$41*$D29,IF($E29="kW",VLOOKUP(N$4,'4. Billing Determinants'!$B$19:$R$41,5,0)/'4. Billing Determinants'!$F$41*$D29,IF($E29="Non-RPP kWh",VLOOKUP(N$4,'4. Billing Determinants'!$B$19:$R$41,6,0)/'4. Billing Determinants'!$G$41*$D29,IF($E29="Distribution Rev.",VLOOKUP(N$4,'4. Billing Determinants'!$B$19:$R$41,8,0)/'4. Billing Determinants'!$I$41*$D29, VLOOKUP(N$4,'4. Billing Determinants'!$B$19:$R$41,3,0)/'4. Billing Determinants'!$D$41*$D29))))),0)</f>
        <v>0</v>
      </c>
      <c r="O29" s="40">
        <f>IFERROR(IF(O$4="",0,IF($E29="kWh",VLOOKUP(O$4,'4. Billing Determinants'!$B$19:$R$41,4,0)/'4. Billing Determinants'!$E$41*$D29,IF($E29="kW",VLOOKUP(O$4,'4. Billing Determinants'!$B$19:$R$41,5,0)/'4. Billing Determinants'!$F$41*$D29,IF($E29="Non-RPP kWh",VLOOKUP(O$4,'4. Billing Determinants'!$B$19:$R$41,6,0)/'4. Billing Determinants'!$G$41*$D29,IF($E29="Distribution Rev.",VLOOKUP(O$4,'4. Billing Determinants'!$B$19:$R$41,8,0)/'4. Billing Determinants'!$I$41*$D29, VLOOKUP(O$4,'4. Billing Determinants'!$B$19:$R$41,3,0)/'4. Billing Determinants'!$D$41*$D29))))),0)</f>
        <v>0</v>
      </c>
      <c r="P29" s="40">
        <f>IFERROR(IF(P$4="",0,IF($E29="kWh",VLOOKUP(P$4,'4. Billing Determinants'!$B$19:$R$41,4,0)/'4. Billing Determinants'!$E$41*$D29,IF($E29="kW",VLOOKUP(P$4,'4. Billing Determinants'!$B$19:$R$41,5,0)/'4. Billing Determinants'!$F$41*$D29,IF($E29="Non-RPP kWh",VLOOKUP(P$4,'4. Billing Determinants'!$B$19:$R$41,6,0)/'4. Billing Determinants'!$G$41*$D29,IF($E29="Distribution Rev.",VLOOKUP(P$4,'4. Billing Determinants'!$B$19:$R$41,8,0)/'4. Billing Determinants'!$I$41*$D29, VLOOKUP(P$4,'4. Billing Determinants'!$B$19:$R$41,3,0)/'4. Billing Determinants'!$D$41*$D29))))),0)</f>
        <v>0</v>
      </c>
      <c r="Q29" s="40">
        <f>IFERROR(IF(Q$4="",0,IF($E29="kWh",VLOOKUP(Q$4,'4. Billing Determinants'!$B$19:$R$41,4,0)/'4. Billing Determinants'!$E$41*$D29,IF($E29="kW",VLOOKUP(Q$4,'4. Billing Determinants'!$B$19:$R$41,5,0)/'4. Billing Determinants'!$F$41*$D29,IF($E29="Non-RPP kWh",VLOOKUP(Q$4,'4. Billing Determinants'!$B$19:$R$41,6,0)/'4. Billing Determinants'!$G$41*$D29,IF($E29="Distribution Rev.",VLOOKUP(Q$4,'4. Billing Determinants'!$B$19:$R$41,8,0)/'4. Billing Determinants'!$I$41*$D29, VLOOKUP(Q$4,'4. Billing Determinants'!$B$19:$R$41,3,0)/'4. Billing Determinants'!$D$41*$D29))))),0)</f>
        <v>0</v>
      </c>
      <c r="R29" s="40">
        <f>IFERROR(IF(R$4="",0,IF($E29="kWh",VLOOKUP(R$4,'4. Billing Determinants'!$B$19:$R$41,4,0)/'4. Billing Determinants'!$E$41*$D29,IF($E29="kW",VLOOKUP(R$4,'4. Billing Determinants'!$B$19:$R$41,5,0)/'4. Billing Determinants'!$F$41*$D29,IF($E29="Non-RPP kWh",VLOOKUP(R$4,'4. Billing Determinants'!$B$19:$R$41,6,0)/'4. Billing Determinants'!$G$41*$D29,IF($E29="Distribution Rev.",VLOOKUP(R$4,'4. Billing Determinants'!$B$19:$R$41,8,0)/'4. Billing Determinants'!$I$41*$D29, VLOOKUP(R$4,'4. Billing Determinants'!$B$19:$R$41,3,0)/'4. Billing Determinants'!$D$41*$D29))))),0)</f>
        <v>0</v>
      </c>
      <c r="S29" s="40">
        <f>IFERROR(IF(S$4="",0,IF($E29="kWh",VLOOKUP(S$4,'4. Billing Determinants'!$B$19:$R$41,4,0)/'4. Billing Determinants'!$E$41*$D29,IF($E29="kW",VLOOKUP(S$4,'4. Billing Determinants'!$B$19:$R$41,5,0)/'4. Billing Determinants'!$F$41*$D29,IF($E29="Non-RPP kWh",VLOOKUP(S$4,'4. Billing Determinants'!$B$19:$R$41,6,0)/'4. Billing Determinants'!$G$41*$D29,IF($E29="Distribution Rev.",VLOOKUP(S$4,'4. Billing Determinants'!$B$19:$R$41,8,0)/'4. Billing Determinants'!$I$41*$D29, VLOOKUP(S$4,'4. Billing Determinants'!$B$19:$R$41,3,0)/'4. Billing Determinants'!$D$41*$D29))))),0)</f>
        <v>0</v>
      </c>
      <c r="T29" s="40">
        <f>IFERROR(IF(T$4="",0,IF($E29="kWh",VLOOKUP(T$4,'4. Billing Determinants'!$B$19:$R$41,4,0)/'4. Billing Determinants'!$E$41*$D29,IF($E29="kW",VLOOKUP(T$4,'4. Billing Determinants'!$B$19:$R$41,5,0)/'4. Billing Determinants'!$F$41*$D29,IF($E29="Non-RPP kWh",VLOOKUP(T$4,'4. Billing Determinants'!$B$19:$R$41,6,0)/'4. Billing Determinants'!$G$41*$D29,IF($E29="Distribution Rev.",VLOOKUP(T$4,'4. Billing Determinants'!$B$19:$R$41,8,0)/'4. Billing Determinants'!$I$41*$D29, VLOOKUP(T$4,'4. Billing Determinants'!$B$19:$R$41,3,0)/'4. Billing Determinants'!$D$41*$D29))))),0)</f>
        <v>0</v>
      </c>
      <c r="U29" s="40">
        <f>IFERROR(IF(U$4="",0,IF($E29="kWh",VLOOKUP(U$4,'4. Billing Determinants'!$B$19:$R$41,4,0)/'4. Billing Determinants'!$E$41*$D29,IF($E29="kW",VLOOKUP(U$4,'4. Billing Determinants'!$B$19:$R$41,5,0)/'4. Billing Determinants'!$F$41*$D29,IF($E29="Non-RPP kWh",VLOOKUP(U$4,'4. Billing Determinants'!$B$19:$R$41,6,0)/'4. Billing Determinants'!$G$41*$D29,IF($E29="Distribution Rev.",VLOOKUP(U$4,'4. Billing Determinants'!$B$19:$R$41,8,0)/'4. Billing Determinants'!$I$41*$D29, VLOOKUP(U$4,'4. Billing Determinants'!$B$19:$R$41,3,0)/'4. Billing Determinants'!$D$41*$D29))))),0)</f>
        <v>0</v>
      </c>
      <c r="V29" s="40">
        <f>IFERROR(IF(V$4="",0,IF($E29="kWh",VLOOKUP(V$4,'4. Billing Determinants'!$B$19:$R$41,4,0)/'4. Billing Determinants'!$E$41*$D29,IF($E29="kW",VLOOKUP(V$4,'4. Billing Determinants'!$B$19:$R$41,5,0)/'4. Billing Determinants'!$F$41*$D29,IF($E29="Non-RPP kWh",VLOOKUP(V$4,'4. Billing Determinants'!$B$19:$R$41,6,0)/'4. Billing Determinants'!$G$41*$D29,IF($E29="Distribution Rev.",VLOOKUP(V$4,'4. Billing Determinants'!$B$19:$R$41,8,0)/'4. Billing Determinants'!$I$41*$D29, VLOOKUP(V$4,'4. Billing Determinants'!$B$19:$R$41,3,0)/'4. Billing Determinants'!$D$41*$D29))))),0)</f>
        <v>0</v>
      </c>
      <c r="W29" s="40">
        <f>IFERROR(IF(W$4="",0,IF($E29="kWh",VLOOKUP(W$4,'4. Billing Determinants'!$B$19:$R$41,4,0)/'4. Billing Determinants'!$E$41*$D29,IF($E29="kW",VLOOKUP(W$4,'4. Billing Determinants'!$B$19:$R$41,5,0)/'4. Billing Determinants'!$F$41*$D29,IF($E29="Non-RPP kWh",VLOOKUP(W$4,'4. Billing Determinants'!$B$19:$R$41,6,0)/'4. Billing Determinants'!$G$41*$D29,IF($E29="Distribution Rev.",VLOOKUP(W$4,'4. Billing Determinants'!$B$19:$R$41,8,0)/'4. Billing Determinants'!$I$41*$D29, VLOOKUP(W$4,'4. Billing Determinants'!$B$19:$R$41,3,0)/'4. Billing Determinants'!$D$41*$D29))))),0)</f>
        <v>0</v>
      </c>
      <c r="X29" s="40">
        <f>IFERROR(IF(X$4="",0,IF($E29="kWh",VLOOKUP(X$4,'4. Billing Determinants'!$B$19:$R$41,4,0)/'4. Billing Determinants'!$E$41*$D29,IF($E29="kW",VLOOKUP(X$4,'4. Billing Determinants'!$B$19:$R$41,5,0)/'4. Billing Determinants'!$F$41*$D29,IF($E29="Non-RPP kWh",VLOOKUP(X$4,'4. Billing Determinants'!$B$19:$R$41,6,0)/'4. Billing Determinants'!$G$41*$D29,IF($E29="Distribution Rev.",VLOOKUP(X$4,'4. Billing Determinants'!$B$19:$R$41,8,0)/'4. Billing Determinants'!$I$41*$D29, VLOOKUP(X$4,'4. Billing Determinants'!$B$19:$R$41,3,0)/'4. Billing Determinants'!$D$41*$D29))))),0)</f>
        <v>0</v>
      </c>
      <c r="Y29" s="40">
        <f>IFERROR(IF(Y$4="",0,IF($E29="kWh",VLOOKUP(Y$4,'4. Billing Determinants'!$B$19:$R$41,4,0)/'4. Billing Determinants'!$E$41*$D29,IF($E29="kW",VLOOKUP(Y$4,'4. Billing Determinants'!$B$19:$R$41,5,0)/'4. Billing Determinants'!$F$41*$D29,IF($E29="Non-RPP kWh",VLOOKUP(Y$4,'4. Billing Determinants'!$B$19:$R$41,6,0)/'4. Billing Determinants'!$G$41*$D29,IF($E29="Distribution Rev.",VLOOKUP(Y$4,'4. Billing Determinants'!$B$19:$R$41,8,0)/'4. Billing Determinants'!$I$41*$D29, VLOOKUP(Y$4,'4. Billing Determinants'!$B$19:$R$41,3,0)/'4. Billing Determinants'!$D$41*$D29))))),0)</f>
        <v>0</v>
      </c>
    </row>
    <row r="30" spans="1:25" x14ac:dyDescent="0.25">
      <c r="B30" s="345" t="str">
        <f>IF('2b. Continuity Schedule'!C56="","",'2b. Continuity Schedule'!C56)</f>
        <v/>
      </c>
      <c r="C30" s="39">
        <v>1508</v>
      </c>
      <c r="D30" s="40">
        <f>'2b. Continuity Schedule'!BT56</f>
        <v>0</v>
      </c>
      <c r="E30" s="61" t="s">
        <v>139</v>
      </c>
      <c r="F30" s="40">
        <f>IFERROR(IF(F$4="",0,IF($E30="kWh",VLOOKUP(F$4,'4. Billing Determinants'!$B$19:$R$41,4,0)/'4. Billing Determinants'!$E$41*$D30,IF($E30="kW",VLOOKUP(F$4,'4. Billing Determinants'!$B$19:$R$41,5,0)/'4. Billing Determinants'!$F$41*$D30,IF($E30="Non-RPP kWh",VLOOKUP(F$4,'4. Billing Determinants'!$B$19:$R$41,6,0)/'4. Billing Determinants'!$G$41*$D30,IF($E30="Distribution Rev.",VLOOKUP(F$4,'4. Billing Determinants'!$B$19:$R$41,8,0)/'4. Billing Determinants'!$I$41*$D30, VLOOKUP(F$4,'4. Billing Determinants'!$B$19:$R$41,3,0)/'4. Billing Determinants'!$D$41*$D30))))),0)</f>
        <v>0</v>
      </c>
      <c r="G30" s="40">
        <f>IFERROR(IF(G$4="",0,IF($E30="kWh",VLOOKUP(G$4,'4. Billing Determinants'!$B$19:$R$41,4,0)/'4. Billing Determinants'!$E$41*$D30,IF($E30="kW",VLOOKUP(G$4,'4. Billing Determinants'!$B$19:$R$41,5,0)/'4. Billing Determinants'!$F$41*$D30,IF($E30="Non-RPP kWh",VLOOKUP(G$4,'4. Billing Determinants'!$B$19:$R$41,6,0)/'4. Billing Determinants'!$G$41*$D30,IF($E30="Distribution Rev.",VLOOKUP(G$4,'4. Billing Determinants'!$B$19:$R$41,8,0)/'4. Billing Determinants'!$I$41*$D30, VLOOKUP(G$4,'4. Billing Determinants'!$B$19:$R$41,3,0)/'4. Billing Determinants'!$D$41*$D30))))),0)</f>
        <v>0</v>
      </c>
      <c r="H30" s="40">
        <f>IFERROR(IF(H$4="",0,IF($E30="kWh",VLOOKUP(H$4,'4. Billing Determinants'!$B$19:$R$41,4,0)/'4. Billing Determinants'!$E$41*$D30,IF($E30="kW",VLOOKUP(H$4,'4. Billing Determinants'!$B$19:$R$41,5,0)/'4. Billing Determinants'!$F$41*$D30,IF($E30="Non-RPP kWh",VLOOKUP(H$4,'4. Billing Determinants'!$B$19:$R$41,6,0)/'4. Billing Determinants'!$G$41*$D30,IF($E30="Distribution Rev.",VLOOKUP(H$4,'4. Billing Determinants'!$B$19:$R$41,8,0)/'4. Billing Determinants'!$I$41*$D30, VLOOKUP(H$4,'4. Billing Determinants'!$B$19:$R$41,3,0)/'4. Billing Determinants'!$D$41*$D30))))),0)</f>
        <v>0</v>
      </c>
      <c r="I30" s="40">
        <f>IFERROR(IF(I$4="",0,IF($E30="kWh",VLOOKUP(I$4,'4. Billing Determinants'!$B$19:$R$41,4,0)/'4. Billing Determinants'!$E$41*$D30,IF($E30="kW",VLOOKUP(I$4,'4. Billing Determinants'!$B$19:$R$41,5,0)/'4. Billing Determinants'!$F$41*$D30,IF($E30="Non-RPP kWh",VLOOKUP(I$4,'4. Billing Determinants'!$B$19:$R$41,6,0)/'4. Billing Determinants'!$G$41*$D30,IF($E30="Distribution Rev.",VLOOKUP(I$4,'4. Billing Determinants'!$B$19:$R$41,8,0)/'4. Billing Determinants'!$I$41*$D30, VLOOKUP(I$4,'4. Billing Determinants'!$B$19:$R$41,3,0)/'4. Billing Determinants'!$D$41*$D30))))),0)</f>
        <v>0</v>
      </c>
      <c r="J30" s="40">
        <f>IFERROR(IF(J$4="",0,IF($E30="kWh",VLOOKUP(J$4,'4. Billing Determinants'!$B$19:$R$41,4,0)/'4. Billing Determinants'!$E$41*$D30,IF($E30="kW",VLOOKUP(J$4,'4. Billing Determinants'!$B$19:$R$41,5,0)/'4. Billing Determinants'!$F$41*$D30,IF($E30="Non-RPP kWh",VLOOKUP(J$4,'4. Billing Determinants'!$B$19:$R$41,6,0)/'4. Billing Determinants'!$G$41*$D30,IF($E30="Distribution Rev.",VLOOKUP(J$4,'4. Billing Determinants'!$B$19:$R$41,8,0)/'4. Billing Determinants'!$I$41*$D30, VLOOKUP(J$4,'4. Billing Determinants'!$B$19:$R$41,3,0)/'4. Billing Determinants'!$D$41*$D30))))),0)</f>
        <v>0</v>
      </c>
      <c r="K30" s="40">
        <f>IFERROR(IF(K$4="",0,IF($E30="kWh",VLOOKUP(K$4,'4. Billing Determinants'!$B$19:$R$41,4,0)/'4. Billing Determinants'!$E$41*$D30,IF($E30="kW",VLOOKUP(K$4,'4. Billing Determinants'!$B$19:$R$41,5,0)/'4. Billing Determinants'!$F$41*$D30,IF($E30="Non-RPP kWh",VLOOKUP(K$4,'4. Billing Determinants'!$B$19:$R$41,6,0)/'4. Billing Determinants'!$G$41*$D30,IF($E30="Distribution Rev.",VLOOKUP(K$4,'4. Billing Determinants'!$B$19:$R$41,8,0)/'4. Billing Determinants'!$I$41*$D30, VLOOKUP(K$4,'4. Billing Determinants'!$B$19:$R$41,3,0)/'4. Billing Determinants'!$D$41*$D30))))),0)</f>
        <v>0</v>
      </c>
      <c r="L30" s="40">
        <f>IFERROR(IF(L$4="",0,IF($E30="kWh",VLOOKUP(L$4,'4. Billing Determinants'!$B$19:$R$41,4,0)/'4. Billing Determinants'!$E$41*$D30,IF($E30="kW",VLOOKUP(L$4,'4. Billing Determinants'!$B$19:$R$41,5,0)/'4. Billing Determinants'!$F$41*$D30,IF($E30="Non-RPP kWh",VLOOKUP(L$4,'4. Billing Determinants'!$B$19:$R$41,6,0)/'4. Billing Determinants'!$G$41*$D30,IF($E30="Distribution Rev.",VLOOKUP(L$4,'4. Billing Determinants'!$B$19:$R$41,8,0)/'4. Billing Determinants'!$I$41*$D30, VLOOKUP(L$4,'4. Billing Determinants'!$B$19:$R$41,3,0)/'4. Billing Determinants'!$D$41*$D30))))),0)</f>
        <v>0</v>
      </c>
      <c r="M30" s="40">
        <f>IFERROR(IF(M$4="",0,IF($E30="kWh",VLOOKUP(M$4,'4. Billing Determinants'!$B$19:$R$41,4,0)/'4. Billing Determinants'!$E$41*$D30,IF($E30="kW",VLOOKUP(M$4,'4. Billing Determinants'!$B$19:$R$41,5,0)/'4. Billing Determinants'!$F$41*$D30,IF($E30="Non-RPP kWh",VLOOKUP(M$4,'4. Billing Determinants'!$B$19:$R$41,6,0)/'4. Billing Determinants'!$G$41*$D30,IF($E30="Distribution Rev.",VLOOKUP(M$4,'4. Billing Determinants'!$B$19:$R$41,8,0)/'4. Billing Determinants'!$I$41*$D30, VLOOKUP(M$4,'4. Billing Determinants'!$B$19:$R$41,3,0)/'4. Billing Determinants'!$D$41*$D30))))),0)</f>
        <v>0</v>
      </c>
      <c r="N30" s="40">
        <f>IFERROR(IF(N$4="",0,IF($E30="kWh",VLOOKUP(N$4,'4. Billing Determinants'!$B$19:$R$41,4,0)/'4. Billing Determinants'!$E$41*$D30,IF($E30="kW",VLOOKUP(N$4,'4. Billing Determinants'!$B$19:$R$41,5,0)/'4. Billing Determinants'!$F$41*$D30,IF($E30="Non-RPP kWh",VLOOKUP(N$4,'4. Billing Determinants'!$B$19:$R$41,6,0)/'4. Billing Determinants'!$G$41*$D30,IF($E30="Distribution Rev.",VLOOKUP(N$4,'4. Billing Determinants'!$B$19:$R$41,8,0)/'4. Billing Determinants'!$I$41*$D30, VLOOKUP(N$4,'4. Billing Determinants'!$B$19:$R$41,3,0)/'4. Billing Determinants'!$D$41*$D30))))),0)</f>
        <v>0</v>
      </c>
      <c r="O30" s="40">
        <f>IFERROR(IF(O$4="",0,IF($E30="kWh",VLOOKUP(O$4,'4. Billing Determinants'!$B$19:$R$41,4,0)/'4. Billing Determinants'!$E$41*$D30,IF($E30="kW",VLOOKUP(O$4,'4. Billing Determinants'!$B$19:$R$41,5,0)/'4. Billing Determinants'!$F$41*$D30,IF($E30="Non-RPP kWh",VLOOKUP(O$4,'4. Billing Determinants'!$B$19:$R$41,6,0)/'4. Billing Determinants'!$G$41*$D30,IF($E30="Distribution Rev.",VLOOKUP(O$4,'4. Billing Determinants'!$B$19:$R$41,8,0)/'4. Billing Determinants'!$I$41*$D30, VLOOKUP(O$4,'4. Billing Determinants'!$B$19:$R$41,3,0)/'4. Billing Determinants'!$D$41*$D30))))),0)</f>
        <v>0</v>
      </c>
      <c r="P30" s="40">
        <f>IFERROR(IF(P$4="",0,IF($E30="kWh",VLOOKUP(P$4,'4. Billing Determinants'!$B$19:$R$41,4,0)/'4. Billing Determinants'!$E$41*$D30,IF($E30="kW",VLOOKUP(P$4,'4. Billing Determinants'!$B$19:$R$41,5,0)/'4. Billing Determinants'!$F$41*$D30,IF($E30="Non-RPP kWh",VLOOKUP(P$4,'4. Billing Determinants'!$B$19:$R$41,6,0)/'4. Billing Determinants'!$G$41*$D30,IF($E30="Distribution Rev.",VLOOKUP(P$4,'4. Billing Determinants'!$B$19:$R$41,8,0)/'4. Billing Determinants'!$I$41*$D30, VLOOKUP(P$4,'4. Billing Determinants'!$B$19:$R$41,3,0)/'4. Billing Determinants'!$D$41*$D30))))),0)</f>
        <v>0</v>
      </c>
      <c r="Q30" s="40">
        <f>IFERROR(IF(Q$4="",0,IF($E30="kWh",VLOOKUP(Q$4,'4. Billing Determinants'!$B$19:$R$41,4,0)/'4. Billing Determinants'!$E$41*$D30,IF($E30="kW",VLOOKUP(Q$4,'4. Billing Determinants'!$B$19:$R$41,5,0)/'4. Billing Determinants'!$F$41*$D30,IF($E30="Non-RPP kWh",VLOOKUP(Q$4,'4. Billing Determinants'!$B$19:$R$41,6,0)/'4. Billing Determinants'!$G$41*$D30,IF($E30="Distribution Rev.",VLOOKUP(Q$4,'4. Billing Determinants'!$B$19:$R$41,8,0)/'4. Billing Determinants'!$I$41*$D30, VLOOKUP(Q$4,'4. Billing Determinants'!$B$19:$R$41,3,0)/'4. Billing Determinants'!$D$41*$D30))))),0)</f>
        <v>0</v>
      </c>
      <c r="R30" s="40">
        <f>IFERROR(IF(R$4="",0,IF($E30="kWh",VLOOKUP(R$4,'4. Billing Determinants'!$B$19:$R$41,4,0)/'4. Billing Determinants'!$E$41*$D30,IF($E30="kW",VLOOKUP(R$4,'4. Billing Determinants'!$B$19:$R$41,5,0)/'4. Billing Determinants'!$F$41*$D30,IF($E30="Non-RPP kWh",VLOOKUP(R$4,'4. Billing Determinants'!$B$19:$R$41,6,0)/'4. Billing Determinants'!$G$41*$D30,IF($E30="Distribution Rev.",VLOOKUP(R$4,'4. Billing Determinants'!$B$19:$R$41,8,0)/'4. Billing Determinants'!$I$41*$D30, VLOOKUP(R$4,'4. Billing Determinants'!$B$19:$R$41,3,0)/'4. Billing Determinants'!$D$41*$D30))))),0)</f>
        <v>0</v>
      </c>
      <c r="S30" s="40">
        <f>IFERROR(IF(S$4="",0,IF($E30="kWh",VLOOKUP(S$4,'4. Billing Determinants'!$B$19:$R$41,4,0)/'4. Billing Determinants'!$E$41*$D30,IF($E30="kW",VLOOKUP(S$4,'4. Billing Determinants'!$B$19:$R$41,5,0)/'4. Billing Determinants'!$F$41*$D30,IF($E30="Non-RPP kWh",VLOOKUP(S$4,'4. Billing Determinants'!$B$19:$R$41,6,0)/'4. Billing Determinants'!$G$41*$D30,IF($E30="Distribution Rev.",VLOOKUP(S$4,'4. Billing Determinants'!$B$19:$R$41,8,0)/'4. Billing Determinants'!$I$41*$D30, VLOOKUP(S$4,'4. Billing Determinants'!$B$19:$R$41,3,0)/'4. Billing Determinants'!$D$41*$D30))))),0)</f>
        <v>0</v>
      </c>
      <c r="T30" s="40">
        <f>IFERROR(IF(T$4="",0,IF($E30="kWh",VLOOKUP(T$4,'4. Billing Determinants'!$B$19:$R$41,4,0)/'4. Billing Determinants'!$E$41*$D30,IF($E30="kW",VLOOKUP(T$4,'4. Billing Determinants'!$B$19:$R$41,5,0)/'4. Billing Determinants'!$F$41*$D30,IF($E30="Non-RPP kWh",VLOOKUP(T$4,'4. Billing Determinants'!$B$19:$R$41,6,0)/'4. Billing Determinants'!$G$41*$D30,IF($E30="Distribution Rev.",VLOOKUP(T$4,'4. Billing Determinants'!$B$19:$R$41,8,0)/'4. Billing Determinants'!$I$41*$D30, VLOOKUP(T$4,'4. Billing Determinants'!$B$19:$R$41,3,0)/'4. Billing Determinants'!$D$41*$D30))))),0)</f>
        <v>0</v>
      </c>
      <c r="U30" s="40">
        <f>IFERROR(IF(U$4="",0,IF($E30="kWh",VLOOKUP(U$4,'4. Billing Determinants'!$B$19:$R$41,4,0)/'4. Billing Determinants'!$E$41*$D30,IF($E30="kW",VLOOKUP(U$4,'4. Billing Determinants'!$B$19:$R$41,5,0)/'4. Billing Determinants'!$F$41*$D30,IF($E30="Non-RPP kWh",VLOOKUP(U$4,'4. Billing Determinants'!$B$19:$R$41,6,0)/'4. Billing Determinants'!$G$41*$D30,IF($E30="Distribution Rev.",VLOOKUP(U$4,'4. Billing Determinants'!$B$19:$R$41,8,0)/'4. Billing Determinants'!$I$41*$D30, VLOOKUP(U$4,'4. Billing Determinants'!$B$19:$R$41,3,0)/'4. Billing Determinants'!$D$41*$D30))))),0)</f>
        <v>0</v>
      </c>
      <c r="V30" s="40">
        <f>IFERROR(IF(V$4="",0,IF($E30="kWh",VLOOKUP(V$4,'4. Billing Determinants'!$B$19:$R$41,4,0)/'4. Billing Determinants'!$E$41*$D30,IF($E30="kW",VLOOKUP(V$4,'4. Billing Determinants'!$B$19:$R$41,5,0)/'4. Billing Determinants'!$F$41*$D30,IF($E30="Non-RPP kWh",VLOOKUP(V$4,'4. Billing Determinants'!$B$19:$R$41,6,0)/'4. Billing Determinants'!$G$41*$D30,IF($E30="Distribution Rev.",VLOOKUP(V$4,'4. Billing Determinants'!$B$19:$R$41,8,0)/'4. Billing Determinants'!$I$41*$D30, VLOOKUP(V$4,'4. Billing Determinants'!$B$19:$R$41,3,0)/'4. Billing Determinants'!$D$41*$D30))))),0)</f>
        <v>0</v>
      </c>
      <c r="W30" s="40">
        <f>IFERROR(IF(W$4="",0,IF($E30="kWh",VLOOKUP(W$4,'4. Billing Determinants'!$B$19:$R$41,4,0)/'4. Billing Determinants'!$E$41*$D30,IF($E30="kW",VLOOKUP(W$4,'4. Billing Determinants'!$B$19:$R$41,5,0)/'4. Billing Determinants'!$F$41*$D30,IF($E30="Non-RPP kWh",VLOOKUP(W$4,'4. Billing Determinants'!$B$19:$R$41,6,0)/'4. Billing Determinants'!$G$41*$D30,IF($E30="Distribution Rev.",VLOOKUP(W$4,'4. Billing Determinants'!$B$19:$R$41,8,0)/'4. Billing Determinants'!$I$41*$D30, VLOOKUP(W$4,'4. Billing Determinants'!$B$19:$R$41,3,0)/'4. Billing Determinants'!$D$41*$D30))))),0)</f>
        <v>0</v>
      </c>
      <c r="X30" s="40">
        <f>IFERROR(IF(X$4="",0,IF($E30="kWh",VLOOKUP(X$4,'4. Billing Determinants'!$B$19:$R$41,4,0)/'4. Billing Determinants'!$E$41*$D30,IF($E30="kW",VLOOKUP(X$4,'4. Billing Determinants'!$B$19:$R$41,5,0)/'4. Billing Determinants'!$F$41*$D30,IF($E30="Non-RPP kWh",VLOOKUP(X$4,'4. Billing Determinants'!$B$19:$R$41,6,0)/'4. Billing Determinants'!$G$41*$D30,IF($E30="Distribution Rev.",VLOOKUP(X$4,'4. Billing Determinants'!$B$19:$R$41,8,0)/'4. Billing Determinants'!$I$41*$D30, VLOOKUP(X$4,'4. Billing Determinants'!$B$19:$R$41,3,0)/'4. Billing Determinants'!$D$41*$D30))))),0)</f>
        <v>0</v>
      </c>
      <c r="Y30" s="40">
        <f>IFERROR(IF(Y$4="",0,IF($E30="kWh",VLOOKUP(Y$4,'4. Billing Determinants'!$B$19:$R$41,4,0)/'4. Billing Determinants'!$E$41*$D30,IF($E30="kW",VLOOKUP(Y$4,'4. Billing Determinants'!$B$19:$R$41,5,0)/'4. Billing Determinants'!$F$41*$D30,IF($E30="Non-RPP kWh",VLOOKUP(Y$4,'4. Billing Determinants'!$B$19:$R$41,6,0)/'4. Billing Determinants'!$G$41*$D30,IF($E30="Distribution Rev.",VLOOKUP(Y$4,'4. Billing Determinants'!$B$19:$R$41,8,0)/'4. Billing Determinants'!$I$41*$D30, VLOOKUP(Y$4,'4. Billing Determinants'!$B$19:$R$41,3,0)/'4. Billing Determinants'!$D$41*$D30))))),0)</f>
        <v>0</v>
      </c>
    </row>
    <row r="31" spans="1:25" x14ac:dyDescent="0.25">
      <c r="B31" s="345" t="str">
        <f>IF('2b. Continuity Schedule'!C57="","",'2b. Continuity Schedule'!C57)</f>
        <v/>
      </c>
      <c r="C31" s="39">
        <v>1508</v>
      </c>
      <c r="D31" s="40">
        <f>'2b. Continuity Schedule'!BT57</f>
        <v>0</v>
      </c>
      <c r="E31" s="61" t="s">
        <v>139</v>
      </c>
      <c r="F31" s="40">
        <f>IFERROR(IF(F$4="",0,IF($E31="kWh",VLOOKUP(F$4,'4. Billing Determinants'!$B$19:$R$41,4,0)/'4. Billing Determinants'!$E$41*$D31,IF($E31="kW",VLOOKUP(F$4,'4. Billing Determinants'!$B$19:$R$41,5,0)/'4. Billing Determinants'!$F$41*$D31,IF($E31="Non-RPP kWh",VLOOKUP(F$4,'4. Billing Determinants'!$B$19:$R$41,6,0)/'4. Billing Determinants'!$G$41*$D31,IF($E31="Distribution Rev.",VLOOKUP(F$4,'4. Billing Determinants'!$B$19:$R$41,8,0)/'4. Billing Determinants'!$I$41*$D31, VLOOKUP(F$4,'4. Billing Determinants'!$B$19:$R$41,3,0)/'4. Billing Determinants'!$D$41*$D31))))),0)</f>
        <v>0</v>
      </c>
      <c r="G31" s="40">
        <f>IFERROR(IF(G$4="",0,IF($E31="kWh",VLOOKUP(G$4,'4. Billing Determinants'!$B$19:$R$41,4,0)/'4. Billing Determinants'!$E$41*$D31,IF($E31="kW",VLOOKUP(G$4,'4. Billing Determinants'!$B$19:$R$41,5,0)/'4. Billing Determinants'!$F$41*$D31,IF($E31="Non-RPP kWh",VLOOKUP(G$4,'4. Billing Determinants'!$B$19:$R$41,6,0)/'4. Billing Determinants'!$G$41*$D31,IF($E31="Distribution Rev.",VLOOKUP(G$4,'4. Billing Determinants'!$B$19:$R$41,8,0)/'4. Billing Determinants'!$I$41*$D31, VLOOKUP(G$4,'4. Billing Determinants'!$B$19:$R$41,3,0)/'4. Billing Determinants'!$D$41*$D31))))),0)</f>
        <v>0</v>
      </c>
      <c r="H31" s="40">
        <f>IFERROR(IF(H$4="",0,IF($E31="kWh",VLOOKUP(H$4,'4. Billing Determinants'!$B$19:$R$41,4,0)/'4. Billing Determinants'!$E$41*$D31,IF($E31="kW",VLOOKUP(H$4,'4. Billing Determinants'!$B$19:$R$41,5,0)/'4. Billing Determinants'!$F$41*$D31,IF($E31="Non-RPP kWh",VLOOKUP(H$4,'4. Billing Determinants'!$B$19:$R$41,6,0)/'4. Billing Determinants'!$G$41*$D31,IF($E31="Distribution Rev.",VLOOKUP(H$4,'4. Billing Determinants'!$B$19:$R$41,8,0)/'4. Billing Determinants'!$I$41*$D31, VLOOKUP(H$4,'4. Billing Determinants'!$B$19:$R$41,3,0)/'4. Billing Determinants'!$D$41*$D31))))),0)</f>
        <v>0</v>
      </c>
      <c r="I31" s="40">
        <f>IFERROR(IF(I$4="",0,IF($E31="kWh",VLOOKUP(I$4,'4. Billing Determinants'!$B$19:$R$41,4,0)/'4. Billing Determinants'!$E$41*$D31,IF($E31="kW",VLOOKUP(I$4,'4. Billing Determinants'!$B$19:$R$41,5,0)/'4. Billing Determinants'!$F$41*$D31,IF($E31="Non-RPP kWh",VLOOKUP(I$4,'4. Billing Determinants'!$B$19:$R$41,6,0)/'4. Billing Determinants'!$G$41*$D31,IF($E31="Distribution Rev.",VLOOKUP(I$4,'4. Billing Determinants'!$B$19:$R$41,8,0)/'4. Billing Determinants'!$I$41*$D31, VLOOKUP(I$4,'4. Billing Determinants'!$B$19:$R$41,3,0)/'4. Billing Determinants'!$D$41*$D31))))),0)</f>
        <v>0</v>
      </c>
      <c r="J31" s="40">
        <f>IFERROR(IF(J$4="",0,IF($E31="kWh",VLOOKUP(J$4,'4. Billing Determinants'!$B$19:$R$41,4,0)/'4. Billing Determinants'!$E$41*$D31,IF($E31="kW",VLOOKUP(J$4,'4. Billing Determinants'!$B$19:$R$41,5,0)/'4. Billing Determinants'!$F$41*$D31,IF($E31="Non-RPP kWh",VLOOKUP(J$4,'4. Billing Determinants'!$B$19:$R$41,6,0)/'4. Billing Determinants'!$G$41*$D31,IF($E31="Distribution Rev.",VLOOKUP(J$4,'4. Billing Determinants'!$B$19:$R$41,8,0)/'4. Billing Determinants'!$I$41*$D31, VLOOKUP(J$4,'4. Billing Determinants'!$B$19:$R$41,3,0)/'4. Billing Determinants'!$D$41*$D31))))),0)</f>
        <v>0</v>
      </c>
      <c r="K31" s="40">
        <f>IFERROR(IF(K$4="",0,IF($E31="kWh",VLOOKUP(K$4,'4. Billing Determinants'!$B$19:$R$41,4,0)/'4. Billing Determinants'!$E$41*$D31,IF($E31="kW",VLOOKUP(K$4,'4. Billing Determinants'!$B$19:$R$41,5,0)/'4. Billing Determinants'!$F$41*$D31,IF($E31="Non-RPP kWh",VLOOKUP(K$4,'4. Billing Determinants'!$B$19:$R$41,6,0)/'4. Billing Determinants'!$G$41*$D31,IF($E31="Distribution Rev.",VLOOKUP(K$4,'4. Billing Determinants'!$B$19:$R$41,8,0)/'4. Billing Determinants'!$I$41*$D31, VLOOKUP(K$4,'4. Billing Determinants'!$B$19:$R$41,3,0)/'4. Billing Determinants'!$D$41*$D31))))),0)</f>
        <v>0</v>
      </c>
      <c r="L31" s="40">
        <f>IFERROR(IF(L$4="",0,IF($E31="kWh",VLOOKUP(L$4,'4. Billing Determinants'!$B$19:$R$41,4,0)/'4. Billing Determinants'!$E$41*$D31,IF($E31="kW",VLOOKUP(L$4,'4. Billing Determinants'!$B$19:$R$41,5,0)/'4. Billing Determinants'!$F$41*$D31,IF($E31="Non-RPP kWh",VLOOKUP(L$4,'4. Billing Determinants'!$B$19:$R$41,6,0)/'4. Billing Determinants'!$G$41*$D31,IF($E31="Distribution Rev.",VLOOKUP(L$4,'4. Billing Determinants'!$B$19:$R$41,8,0)/'4. Billing Determinants'!$I$41*$D31, VLOOKUP(L$4,'4. Billing Determinants'!$B$19:$R$41,3,0)/'4. Billing Determinants'!$D$41*$D31))))),0)</f>
        <v>0</v>
      </c>
      <c r="M31" s="40">
        <f>IFERROR(IF(M$4="",0,IF($E31="kWh",VLOOKUP(M$4,'4. Billing Determinants'!$B$19:$R$41,4,0)/'4. Billing Determinants'!$E$41*$D31,IF($E31="kW",VLOOKUP(M$4,'4. Billing Determinants'!$B$19:$R$41,5,0)/'4. Billing Determinants'!$F$41*$D31,IF($E31="Non-RPP kWh",VLOOKUP(M$4,'4. Billing Determinants'!$B$19:$R$41,6,0)/'4. Billing Determinants'!$G$41*$D31,IF($E31="Distribution Rev.",VLOOKUP(M$4,'4. Billing Determinants'!$B$19:$R$41,8,0)/'4. Billing Determinants'!$I$41*$D31, VLOOKUP(M$4,'4. Billing Determinants'!$B$19:$R$41,3,0)/'4. Billing Determinants'!$D$41*$D31))))),0)</f>
        <v>0</v>
      </c>
      <c r="N31" s="40">
        <f>IFERROR(IF(N$4="",0,IF($E31="kWh",VLOOKUP(N$4,'4. Billing Determinants'!$B$19:$R$41,4,0)/'4. Billing Determinants'!$E$41*$D31,IF($E31="kW",VLOOKUP(N$4,'4. Billing Determinants'!$B$19:$R$41,5,0)/'4. Billing Determinants'!$F$41*$D31,IF($E31="Non-RPP kWh",VLOOKUP(N$4,'4. Billing Determinants'!$B$19:$R$41,6,0)/'4. Billing Determinants'!$G$41*$D31,IF($E31="Distribution Rev.",VLOOKUP(N$4,'4. Billing Determinants'!$B$19:$R$41,8,0)/'4. Billing Determinants'!$I$41*$D31, VLOOKUP(N$4,'4. Billing Determinants'!$B$19:$R$41,3,0)/'4. Billing Determinants'!$D$41*$D31))))),0)</f>
        <v>0</v>
      </c>
      <c r="O31" s="40">
        <f>IFERROR(IF(O$4="",0,IF($E31="kWh",VLOOKUP(O$4,'4. Billing Determinants'!$B$19:$R$41,4,0)/'4. Billing Determinants'!$E$41*$D31,IF($E31="kW",VLOOKUP(O$4,'4. Billing Determinants'!$B$19:$R$41,5,0)/'4. Billing Determinants'!$F$41*$D31,IF($E31="Non-RPP kWh",VLOOKUP(O$4,'4. Billing Determinants'!$B$19:$R$41,6,0)/'4. Billing Determinants'!$G$41*$D31,IF($E31="Distribution Rev.",VLOOKUP(O$4,'4. Billing Determinants'!$B$19:$R$41,8,0)/'4. Billing Determinants'!$I$41*$D31, VLOOKUP(O$4,'4. Billing Determinants'!$B$19:$R$41,3,0)/'4. Billing Determinants'!$D$41*$D31))))),0)</f>
        <v>0</v>
      </c>
      <c r="P31" s="40">
        <f>IFERROR(IF(P$4="",0,IF($E31="kWh",VLOOKUP(P$4,'4. Billing Determinants'!$B$19:$R$41,4,0)/'4. Billing Determinants'!$E$41*$D31,IF($E31="kW",VLOOKUP(P$4,'4. Billing Determinants'!$B$19:$R$41,5,0)/'4. Billing Determinants'!$F$41*$D31,IF($E31="Non-RPP kWh",VLOOKUP(P$4,'4. Billing Determinants'!$B$19:$R$41,6,0)/'4. Billing Determinants'!$G$41*$D31,IF($E31="Distribution Rev.",VLOOKUP(P$4,'4. Billing Determinants'!$B$19:$R$41,8,0)/'4. Billing Determinants'!$I$41*$D31, VLOOKUP(P$4,'4. Billing Determinants'!$B$19:$R$41,3,0)/'4. Billing Determinants'!$D$41*$D31))))),0)</f>
        <v>0</v>
      </c>
      <c r="Q31" s="40">
        <f>IFERROR(IF(Q$4="",0,IF($E31="kWh",VLOOKUP(Q$4,'4. Billing Determinants'!$B$19:$R$41,4,0)/'4. Billing Determinants'!$E$41*$D31,IF($E31="kW",VLOOKUP(Q$4,'4. Billing Determinants'!$B$19:$R$41,5,0)/'4. Billing Determinants'!$F$41*$D31,IF($E31="Non-RPP kWh",VLOOKUP(Q$4,'4. Billing Determinants'!$B$19:$R$41,6,0)/'4. Billing Determinants'!$G$41*$D31,IF($E31="Distribution Rev.",VLOOKUP(Q$4,'4. Billing Determinants'!$B$19:$R$41,8,0)/'4. Billing Determinants'!$I$41*$D31, VLOOKUP(Q$4,'4. Billing Determinants'!$B$19:$R$41,3,0)/'4. Billing Determinants'!$D$41*$D31))))),0)</f>
        <v>0</v>
      </c>
      <c r="R31" s="40">
        <f>IFERROR(IF(R$4="",0,IF($E31="kWh",VLOOKUP(R$4,'4. Billing Determinants'!$B$19:$R$41,4,0)/'4. Billing Determinants'!$E$41*$D31,IF($E31="kW",VLOOKUP(R$4,'4. Billing Determinants'!$B$19:$R$41,5,0)/'4. Billing Determinants'!$F$41*$D31,IF($E31="Non-RPP kWh",VLOOKUP(R$4,'4. Billing Determinants'!$B$19:$R$41,6,0)/'4. Billing Determinants'!$G$41*$D31,IF($E31="Distribution Rev.",VLOOKUP(R$4,'4. Billing Determinants'!$B$19:$R$41,8,0)/'4. Billing Determinants'!$I$41*$D31, VLOOKUP(R$4,'4. Billing Determinants'!$B$19:$R$41,3,0)/'4. Billing Determinants'!$D$41*$D31))))),0)</f>
        <v>0</v>
      </c>
      <c r="S31" s="40">
        <f>IFERROR(IF(S$4="",0,IF($E31="kWh",VLOOKUP(S$4,'4. Billing Determinants'!$B$19:$R$41,4,0)/'4. Billing Determinants'!$E$41*$D31,IF($E31="kW",VLOOKUP(S$4,'4. Billing Determinants'!$B$19:$R$41,5,0)/'4. Billing Determinants'!$F$41*$D31,IF($E31="Non-RPP kWh",VLOOKUP(S$4,'4. Billing Determinants'!$B$19:$R$41,6,0)/'4. Billing Determinants'!$G$41*$D31,IF($E31="Distribution Rev.",VLOOKUP(S$4,'4. Billing Determinants'!$B$19:$R$41,8,0)/'4. Billing Determinants'!$I$41*$D31, VLOOKUP(S$4,'4. Billing Determinants'!$B$19:$R$41,3,0)/'4. Billing Determinants'!$D$41*$D31))))),0)</f>
        <v>0</v>
      </c>
      <c r="T31" s="40">
        <f>IFERROR(IF(T$4="",0,IF($E31="kWh",VLOOKUP(T$4,'4. Billing Determinants'!$B$19:$R$41,4,0)/'4. Billing Determinants'!$E$41*$D31,IF($E31="kW",VLOOKUP(T$4,'4. Billing Determinants'!$B$19:$R$41,5,0)/'4. Billing Determinants'!$F$41*$D31,IF($E31="Non-RPP kWh",VLOOKUP(T$4,'4. Billing Determinants'!$B$19:$R$41,6,0)/'4. Billing Determinants'!$G$41*$D31,IF($E31="Distribution Rev.",VLOOKUP(T$4,'4. Billing Determinants'!$B$19:$R$41,8,0)/'4. Billing Determinants'!$I$41*$D31, VLOOKUP(T$4,'4. Billing Determinants'!$B$19:$R$41,3,0)/'4. Billing Determinants'!$D$41*$D31))))),0)</f>
        <v>0</v>
      </c>
      <c r="U31" s="40">
        <f>IFERROR(IF(U$4="",0,IF($E31="kWh",VLOOKUP(U$4,'4. Billing Determinants'!$B$19:$R$41,4,0)/'4. Billing Determinants'!$E$41*$D31,IF($E31="kW",VLOOKUP(U$4,'4. Billing Determinants'!$B$19:$R$41,5,0)/'4. Billing Determinants'!$F$41*$D31,IF($E31="Non-RPP kWh",VLOOKUP(U$4,'4. Billing Determinants'!$B$19:$R$41,6,0)/'4. Billing Determinants'!$G$41*$D31,IF($E31="Distribution Rev.",VLOOKUP(U$4,'4. Billing Determinants'!$B$19:$R$41,8,0)/'4. Billing Determinants'!$I$41*$D31, VLOOKUP(U$4,'4. Billing Determinants'!$B$19:$R$41,3,0)/'4. Billing Determinants'!$D$41*$D31))))),0)</f>
        <v>0</v>
      </c>
      <c r="V31" s="40">
        <f>IFERROR(IF(V$4="",0,IF($E31="kWh",VLOOKUP(V$4,'4. Billing Determinants'!$B$19:$R$41,4,0)/'4. Billing Determinants'!$E$41*$D31,IF($E31="kW",VLOOKUP(V$4,'4. Billing Determinants'!$B$19:$R$41,5,0)/'4. Billing Determinants'!$F$41*$D31,IF($E31="Non-RPP kWh",VLOOKUP(V$4,'4. Billing Determinants'!$B$19:$R$41,6,0)/'4. Billing Determinants'!$G$41*$D31,IF($E31="Distribution Rev.",VLOOKUP(V$4,'4. Billing Determinants'!$B$19:$R$41,8,0)/'4. Billing Determinants'!$I$41*$D31, VLOOKUP(V$4,'4. Billing Determinants'!$B$19:$R$41,3,0)/'4. Billing Determinants'!$D$41*$D31))))),0)</f>
        <v>0</v>
      </c>
      <c r="W31" s="40">
        <f>IFERROR(IF(W$4="",0,IF($E31="kWh",VLOOKUP(W$4,'4. Billing Determinants'!$B$19:$R$41,4,0)/'4. Billing Determinants'!$E$41*$D31,IF($E31="kW",VLOOKUP(W$4,'4. Billing Determinants'!$B$19:$R$41,5,0)/'4. Billing Determinants'!$F$41*$D31,IF($E31="Non-RPP kWh",VLOOKUP(W$4,'4. Billing Determinants'!$B$19:$R$41,6,0)/'4. Billing Determinants'!$G$41*$D31,IF($E31="Distribution Rev.",VLOOKUP(W$4,'4. Billing Determinants'!$B$19:$R$41,8,0)/'4. Billing Determinants'!$I$41*$D31, VLOOKUP(W$4,'4. Billing Determinants'!$B$19:$R$41,3,0)/'4. Billing Determinants'!$D$41*$D31))))),0)</f>
        <v>0</v>
      </c>
      <c r="X31" s="40">
        <f>IFERROR(IF(X$4="",0,IF($E31="kWh",VLOOKUP(X$4,'4. Billing Determinants'!$B$19:$R$41,4,0)/'4. Billing Determinants'!$E$41*$D31,IF($E31="kW",VLOOKUP(X$4,'4. Billing Determinants'!$B$19:$R$41,5,0)/'4. Billing Determinants'!$F$41*$D31,IF($E31="Non-RPP kWh",VLOOKUP(X$4,'4. Billing Determinants'!$B$19:$R$41,6,0)/'4. Billing Determinants'!$G$41*$D31,IF($E31="Distribution Rev.",VLOOKUP(X$4,'4. Billing Determinants'!$B$19:$R$41,8,0)/'4. Billing Determinants'!$I$41*$D31, VLOOKUP(X$4,'4. Billing Determinants'!$B$19:$R$41,3,0)/'4. Billing Determinants'!$D$41*$D31))))),0)</f>
        <v>0</v>
      </c>
      <c r="Y31" s="40">
        <f>IFERROR(IF(Y$4="",0,IF($E31="kWh",VLOOKUP(Y$4,'4. Billing Determinants'!$B$19:$R$41,4,0)/'4. Billing Determinants'!$E$41*$D31,IF($E31="kW",VLOOKUP(Y$4,'4. Billing Determinants'!$B$19:$R$41,5,0)/'4. Billing Determinants'!$F$41*$D31,IF($E31="Non-RPP kWh",VLOOKUP(Y$4,'4. Billing Determinants'!$B$19:$R$41,6,0)/'4. Billing Determinants'!$G$41*$D31,IF($E31="Distribution Rev.",VLOOKUP(Y$4,'4. Billing Determinants'!$B$19:$R$41,8,0)/'4. Billing Determinants'!$I$41*$D31, VLOOKUP(Y$4,'4. Billing Determinants'!$B$19:$R$41,3,0)/'4. Billing Determinants'!$D$41*$D31))))),0)</f>
        <v>0</v>
      </c>
    </row>
    <row r="32" spans="1:25" x14ac:dyDescent="0.25">
      <c r="B32" s="345" t="str">
        <f>IF('2b. Continuity Schedule'!C58="","",'2b. Continuity Schedule'!C58)</f>
        <v/>
      </c>
      <c r="C32" s="39">
        <v>1508</v>
      </c>
      <c r="D32" s="40">
        <f>'2b. Continuity Schedule'!BT58</f>
        <v>0</v>
      </c>
      <c r="E32" s="61" t="s">
        <v>139</v>
      </c>
      <c r="F32" s="40">
        <f>IFERROR(IF(F$4="",0,IF($E32="kWh",VLOOKUP(F$4,'4. Billing Determinants'!$B$19:$R$41,4,0)/'4. Billing Determinants'!$E$41*$D32,IF($E32="kW",VLOOKUP(F$4,'4. Billing Determinants'!$B$19:$R$41,5,0)/'4. Billing Determinants'!$F$41*$D32,IF($E32="Non-RPP kWh",VLOOKUP(F$4,'4. Billing Determinants'!$B$19:$R$41,6,0)/'4. Billing Determinants'!$G$41*$D32,IF($E32="Distribution Rev.",VLOOKUP(F$4,'4. Billing Determinants'!$B$19:$R$41,8,0)/'4. Billing Determinants'!$I$41*$D32, VLOOKUP(F$4,'4. Billing Determinants'!$B$19:$R$41,3,0)/'4. Billing Determinants'!$D$41*$D32))))),0)</f>
        <v>0</v>
      </c>
      <c r="G32" s="40">
        <f>IFERROR(IF(G$4="",0,IF($E32="kWh",VLOOKUP(G$4,'4. Billing Determinants'!$B$19:$R$41,4,0)/'4. Billing Determinants'!$E$41*$D32,IF($E32="kW",VLOOKUP(G$4,'4. Billing Determinants'!$B$19:$R$41,5,0)/'4. Billing Determinants'!$F$41*$D32,IF($E32="Non-RPP kWh",VLOOKUP(G$4,'4. Billing Determinants'!$B$19:$R$41,6,0)/'4. Billing Determinants'!$G$41*$D32,IF($E32="Distribution Rev.",VLOOKUP(G$4,'4. Billing Determinants'!$B$19:$R$41,8,0)/'4. Billing Determinants'!$I$41*$D32, VLOOKUP(G$4,'4. Billing Determinants'!$B$19:$R$41,3,0)/'4. Billing Determinants'!$D$41*$D32))))),0)</f>
        <v>0</v>
      </c>
      <c r="H32" s="40">
        <f>IFERROR(IF(H$4="",0,IF($E32="kWh",VLOOKUP(H$4,'4. Billing Determinants'!$B$19:$R$41,4,0)/'4. Billing Determinants'!$E$41*$D32,IF($E32="kW",VLOOKUP(H$4,'4. Billing Determinants'!$B$19:$R$41,5,0)/'4. Billing Determinants'!$F$41*$D32,IF($E32="Non-RPP kWh",VLOOKUP(H$4,'4. Billing Determinants'!$B$19:$R$41,6,0)/'4. Billing Determinants'!$G$41*$D32,IF($E32="Distribution Rev.",VLOOKUP(H$4,'4. Billing Determinants'!$B$19:$R$41,8,0)/'4. Billing Determinants'!$I$41*$D32, VLOOKUP(H$4,'4. Billing Determinants'!$B$19:$R$41,3,0)/'4. Billing Determinants'!$D$41*$D32))))),0)</f>
        <v>0</v>
      </c>
      <c r="I32" s="40">
        <f>IFERROR(IF(I$4="",0,IF($E32="kWh",VLOOKUP(I$4,'4. Billing Determinants'!$B$19:$R$41,4,0)/'4. Billing Determinants'!$E$41*$D32,IF($E32="kW",VLOOKUP(I$4,'4. Billing Determinants'!$B$19:$R$41,5,0)/'4. Billing Determinants'!$F$41*$D32,IF($E32="Non-RPP kWh",VLOOKUP(I$4,'4. Billing Determinants'!$B$19:$R$41,6,0)/'4. Billing Determinants'!$G$41*$D32,IF($E32="Distribution Rev.",VLOOKUP(I$4,'4. Billing Determinants'!$B$19:$R$41,8,0)/'4. Billing Determinants'!$I$41*$D32, VLOOKUP(I$4,'4. Billing Determinants'!$B$19:$R$41,3,0)/'4. Billing Determinants'!$D$41*$D32))))),0)</f>
        <v>0</v>
      </c>
      <c r="J32" s="40">
        <f>IFERROR(IF(J$4="",0,IF($E32="kWh",VLOOKUP(J$4,'4. Billing Determinants'!$B$19:$R$41,4,0)/'4. Billing Determinants'!$E$41*$D32,IF($E32="kW",VLOOKUP(J$4,'4. Billing Determinants'!$B$19:$R$41,5,0)/'4. Billing Determinants'!$F$41*$D32,IF($E32="Non-RPP kWh",VLOOKUP(J$4,'4. Billing Determinants'!$B$19:$R$41,6,0)/'4. Billing Determinants'!$G$41*$D32,IF($E32="Distribution Rev.",VLOOKUP(J$4,'4. Billing Determinants'!$B$19:$R$41,8,0)/'4. Billing Determinants'!$I$41*$D32, VLOOKUP(J$4,'4. Billing Determinants'!$B$19:$R$41,3,0)/'4. Billing Determinants'!$D$41*$D32))))),0)</f>
        <v>0</v>
      </c>
      <c r="K32" s="40">
        <f>IFERROR(IF(K$4="",0,IF($E32="kWh",VLOOKUP(K$4,'4. Billing Determinants'!$B$19:$R$41,4,0)/'4. Billing Determinants'!$E$41*$D32,IF($E32="kW",VLOOKUP(K$4,'4. Billing Determinants'!$B$19:$R$41,5,0)/'4. Billing Determinants'!$F$41*$D32,IF($E32="Non-RPP kWh",VLOOKUP(K$4,'4. Billing Determinants'!$B$19:$R$41,6,0)/'4. Billing Determinants'!$G$41*$D32,IF($E32="Distribution Rev.",VLOOKUP(K$4,'4. Billing Determinants'!$B$19:$R$41,8,0)/'4. Billing Determinants'!$I$41*$D32, VLOOKUP(K$4,'4. Billing Determinants'!$B$19:$R$41,3,0)/'4. Billing Determinants'!$D$41*$D32))))),0)</f>
        <v>0</v>
      </c>
      <c r="L32" s="40">
        <f>IFERROR(IF(L$4="",0,IF($E32="kWh",VLOOKUP(L$4,'4. Billing Determinants'!$B$19:$R$41,4,0)/'4. Billing Determinants'!$E$41*$D32,IF($E32="kW",VLOOKUP(L$4,'4. Billing Determinants'!$B$19:$R$41,5,0)/'4. Billing Determinants'!$F$41*$D32,IF($E32="Non-RPP kWh",VLOOKUP(L$4,'4. Billing Determinants'!$B$19:$R$41,6,0)/'4. Billing Determinants'!$G$41*$D32,IF($E32="Distribution Rev.",VLOOKUP(L$4,'4. Billing Determinants'!$B$19:$R$41,8,0)/'4. Billing Determinants'!$I$41*$D32, VLOOKUP(L$4,'4. Billing Determinants'!$B$19:$R$41,3,0)/'4. Billing Determinants'!$D$41*$D32))))),0)</f>
        <v>0</v>
      </c>
      <c r="M32" s="40">
        <f>IFERROR(IF(M$4="",0,IF($E32="kWh",VLOOKUP(M$4,'4. Billing Determinants'!$B$19:$R$41,4,0)/'4. Billing Determinants'!$E$41*$D32,IF($E32="kW",VLOOKUP(M$4,'4. Billing Determinants'!$B$19:$R$41,5,0)/'4. Billing Determinants'!$F$41*$D32,IF($E32="Non-RPP kWh",VLOOKUP(M$4,'4. Billing Determinants'!$B$19:$R$41,6,0)/'4. Billing Determinants'!$G$41*$D32,IF($E32="Distribution Rev.",VLOOKUP(M$4,'4. Billing Determinants'!$B$19:$R$41,8,0)/'4. Billing Determinants'!$I$41*$D32, VLOOKUP(M$4,'4. Billing Determinants'!$B$19:$R$41,3,0)/'4. Billing Determinants'!$D$41*$D32))))),0)</f>
        <v>0</v>
      </c>
      <c r="N32" s="40">
        <f>IFERROR(IF(N$4="",0,IF($E32="kWh",VLOOKUP(N$4,'4. Billing Determinants'!$B$19:$R$41,4,0)/'4. Billing Determinants'!$E$41*$D32,IF($E32="kW",VLOOKUP(N$4,'4. Billing Determinants'!$B$19:$R$41,5,0)/'4. Billing Determinants'!$F$41*$D32,IF($E32="Non-RPP kWh",VLOOKUP(N$4,'4. Billing Determinants'!$B$19:$R$41,6,0)/'4. Billing Determinants'!$G$41*$D32,IF($E32="Distribution Rev.",VLOOKUP(N$4,'4. Billing Determinants'!$B$19:$R$41,8,0)/'4. Billing Determinants'!$I$41*$D32, VLOOKUP(N$4,'4. Billing Determinants'!$B$19:$R$41,3,0)/'4. Billing Determinants'!$D$41*$D32))))),0)</f>
        <v>0</v>
      </c>
      <c r="O32" s="40">
        <f>IFERROR(IF(O$4="",0,IF($E32="kWh",VLOOKUP(O$4,'4. Billing Determinants'!$B$19:$R$41,4,0)/'4. Billing Determinants'!$E$41*$D32,IF($E32="kW",VLOOKUP(O$4,'4. Billing Determinants'!$B$19:$R$41,5,0)/'4. Billing Determinants'!$F$41*$D32,IF($E32="Non-RPP kWh",VLOOKUP(O$4,'4. Billing Determinants'!$B$19:$R$41,6,0)/'4. Billing Determinants'!$G$41*$D32,IF($E32="Distribution Rev.",VLOOKUP(O$4,'4. Billing Determinants'!$B$19:$R$41,8,0)/'4. Billing Determinants'!$I$41*$D32, VLOOKUP(O$4,'4. Billing Determinants'!$B$19:$R$41,3,0)/'4. Billing Determinants'!$D$41*$D32))))),0)</f>
        <v>0</v>
      </c>
      <c r="P32" s="40">
        <f>IFERROR(IF(P$4="",0,IF($E32="kWh",VLOOKUP(P$4,'4. Billing Determinants'!$B$19:$R$41,4,0)/'4. Billing Determinants'!$E$41*$D32,IF($E32="kW",VLOOKUP(P$4,'4. Billing Determinants'!$B$19:$R$41,5,0)/'4. Billing Determinants'!$F$41*$D32,IF($E32="Non-RPP kWh",VLOOKUP(P$4,'4. Billing Determinants'!$B$19:$R$41,6,0)/'4. Billing Determinants'!$G$41*$D32,IF($E32="Distribution Rev.",VLOOKUP(P$4,'4. Billing Determinants'!$B$19:$R$41,8,0)/'4. Billing Determinants'!$I$41*$D32, VLOOKUP(P$4,'4. Billing Determinants'!$B$19:$R$41,3,0)/'4. Billing Determinants'!$D$41*$D32))))),0)</f>
        <v>0</v>
      </c>
      <c r="Q32" s="40">
        <f>IFERROR(IF(Q$4="",0,IF($E32="kWh",VLOOKUP(Q$4,'4. Billing Determinants'!$B$19:$R$41,4,0)/'4. Billing Determinants'!$E$41*$D32,IF($E32="kW",VLOOKUP(Q$4,'4. Billing Determinants'!$B$19:$R$41,5,0)/'4. Billing Determinants'!$F$41*$D32,IF($E32="Non-RPP kWh",VLOOKUP(Q$4,'4. Billing Determinants'!$B$19:$R$41,6,0)/'4. Billing Determinants'!$G$41*$D32,IF($E32="Distribution Rev.",VLOOKUP(Q$4,'4. Billing Determinants'!$B$19:$R$41,8,0)/'4. Billing Determinants'!$I$41*$D32, VLOOKUP(Q$4,'4. Billing Determinants'!$B$19:$R$41,3,0)/'4. Billing Determinants'!$D$41*$D32))))),0)</f>
        <v>0</v>
      </c>
      <c r="R32" s="40">
        <f>IFERROR(IF(R$4="",0,IF($E32="kWh",VLOOKUP(R$4,'4. Billing Determinants'!$B$19:$R$41,4,0)/'4. Billing Determinants'!$E$41*$D32,IF($E32="kW",VLOOKUP(R$4,'4. Billing Determinants'!$B$19:$R$41,5,0)/'4. Billing Determinants'!$F$41*$D32,IF($E32="Non-RPP kWh",VLOOKUP(R$4,'4. Billing Determinants'!$B$19:$R$41,6,0)/'4. Billing Determinants'!$G$41*$D32,IF($E32="Distribution Rev.",VLOOKUP(R$4,'4. Billing Determinants'!$B$19:$R$41,8,0)/'4. Billing Determinants'!$I$41*$D32, VLOOKUP(R$4,'4. Billing Determinants'!$B$19:$R$41,3,0)/'4. Billing Determinants'!$D$41*$D32))))),0)</f>
        <v>0</v>
      </c>
      <c r="S32" s="40">
        <f>IFERROR(IF(S$4="",0,IF($E32="kWh",VLOOKUP(S$4,'4. Billing Determinants'!$B$19:$R$41,4,0)/'4. Billing Determinants'!$E$41*$D32,IF($E32="kW",VLOOKUP(S$4,'4. Billing Determinants'!$B$19:$R$41,5,0)/'4. Billing Determinants'!$F$41*$D32,IF($E32="Non-RPP kWh",VLOOKUP(S$4,'4. Billing Determinants'!$B$19:$R$41,6,0)/'4. Billing Determinants'!$G$41*$D32,IF($E32="Distribution Rev.",VLOOKUP(S$4,'4. Billing Determinants'!$B$19:$R$41,8,0)/'4. Billing Determinants'!$I$41*$D32, VLOOKUP(S$4,'4. Billing Determinants'!$B$19:$R$41,3,0)/'4. Billing Determinants'!$D$41*$D32))))),0)</f>
        <v>0</v>
      </c>
      <c r="T32" s="40">
        <f>IFERROR(IF(T$4="",0,IF($E32="kWh",VLOOKUP(T$4,'4. Billing Determinants'!$B$19:$R$41,4,0)/'4. Billing Determinants'!$E$41*$D32,IF($E32="kW",VLOOKUP(T$4,'4. Billing Determinants'!$B$19:$R$41,5,0)/'4. Billing Determinants'!$F$41*$D32,IF($E32="Non-RPP kWh",VLOOKUP(T$4,'4. Billing Determinants'!$B$19:$R$41,6,0)/'4. Billing Determinants'!$G$41*$D32,IF($E32="Distribution Rev.",VLOOKUP(T$4,'4. Billing Determinants'!$B$19:$R$41,8,0)/'4. Billing Determinants'!$I$41*$D32, VLOOKUP(T$4,'4. Billing Determinants'!$B$19:$R$41,3,0)/'4. Billing Determinants'!$D$41*$D32))))),0)</f>
        <v>0</v>
      </c>
      <c r="U32" s="40">
        <f>IFERROR(IF(U$4="",0,IF($E32="kWh",VLOOKUP(U$4,'4. Billing Determinants'!$B$19:$R$41,4,0)/'4. Billing Determinants'!$E$41*$D32,IF($E32="kW",VLOOKUP(U$4,'4. Billing Determinants'!$B$19:$R$41,5,0)/'4. Billing Determinants'!$F$41*$D32,IF($E32="Non-RPP kWh",VLOOKUP(U$4,'4. Billing Determinants'!$B$19:$R$41,6,0)/'4. Billing Determinants'!$G$41*$D32,IF($E32="Distribution Rev.",VLOOKUP(U$4,'4. Billing Determinants'!$B$19:$R$41,8,0)/'4. Billing Determinants'!$I$41*$D32, VLOOKUP(U$4,'4. Billing Determinants'!$B$19:$R$41,3,0)/'4. Billing Determinants'!$D$41*$D32))))),0)</f>
        <v>0</v>
      </c>
      <c r="V32" s="40">
        <f>IFERROR(IF(V$4="",0,IF($E32="kWh",VLOOKUP(V$4,'4. Billing Determinants'!$B$19:$R$41,4,0)/'4. Billing Determinants'!$E$41*$D32,IF($E32="kW",VLOOKUP(V$4,'4. Billing Determinants'!$B$19:$R$41,5,0)/'4. Billing Determinants'!$F$41*$D32,IF($E32="Non-RPP kWh",VLOOKUP(V$4,'4. Billing Determinants'!$B$19:$R$41,6,0)/'4. Billing Determinants'!$G$41*$D32,IF($E32="Distribution Rev.",VLOOKUP(V$4,'4. Billing Determinants'!$B$19:$R$41,8,0)/'4. Billing Determinants'!$I$41*$D32, VLOOKUP(V$4,'4. Billing Determinants'!$B$19:$R$41,3,0)/'4. Billing Determinants'!$D$41*$D32))))),0)</f>
        <v>0</v>
      </c>
      <c r="W32" s="40">
        <f>IFERROR(IF(W$4="",0,IF($E32="kWh",VLOOKUP(W$4,'4. Billing Determinants'!$B$19:$R$41,4,0)/'4. Billing Determinants'!$E$41*$D32,IF($E32="kW",VLOOKUP(W$4,'4. Billing Determinants'!$B$19:$R$41,5,0)/'4. Billing Determinants'!$F$41*$D32,IF($E32="Non-RPP kWh",VLOOKUP(W$4,'4. Billing Determinants'!$B$19:$R$41,6,0)/'4. Billing Determinants'!$G$41*$D32,IF($E32="Distribution Rev.",VLOOKUP(W$4,'4. Billing Determinants'!$B$19:$R$41,8,0)/'4. Billing Determinants'!$I$41*$D32, VLOOKUP(W$4,'4. Billing Determinants'!$B$19:$R$41,3,0)/'4. Billing Determinants'!$D$41*$D32))))),0)</f>
        <v>0</v>
      </c>
      <c r="X32" s="40">
        <f>IFERROR(IF(X$4="",0,IF($E32="kWh",VLOOKUP(X$4,'4. Billing Determinants'!$B$19:$R$41,4,0)/'4. Billing Determinants'!$E$41*$D32,IF($E32="kW",VLOOKUP(X$4,'4. Billing Determinants'!$B$19:$R$41,5,0)/'4. Billing Determinants'!$F$41*$D32,IF($E32="Non-RPP kWh",VLOOKUP(X$4,'4. Billing Determinants'!$B$19:$R$41,6,0)/'4. Billing Determinants'!$G$41*$D32,IF($E32="Distribution Rev.",VLOOKUP(X$4,'4. Billing Determinants'!$B$19:$R$41,8,0)/'4. Billing Determinants'!$I$41*$D32, VLOOKUP(X$4,'4. Billing Determinants'!$B$19:$R$41,3,0)/'4. Billing Determinants'!$D$41*$D32))))),0)</f>
        <v>0</v>
      </c>
      <c r="Y32" s="40">
        <f>IFERROR(IF(Y$4="",0,IF($E32="kWh",VLOOKUP(Y$4,'4. Billing Determinants'!$B$19:$R$41,4,0)/'4. Billing Determinants'!$E$41*$D32,IF($E32="kW",VLOOKUP(Y$4,'4. Billing Determinants'!$B$19:$R$41,5,0)/'4. Billing Determinants'!$F$41*$D32,IF($E32="Non-RPP kWh",VLOOKUP(Y$4,'4. Billing Determinants'!$B$19:$R$41,6,0)/'4. Billing Determinants'!$G$41*$D32,IF($E32="Distribution Rev.",VLOOKUP(Y$4,'4. Billing Determinants'!$B$19:$R$41,8,0)/'4. Billing Determinants'!$I$41*$D32, VLOOKUP(Y$4,'4. Billing Determinants'!$B$19:$R$41,3,0)/'4. Billing Determinants'!$D$41*$D32))))),0)</f>
        <v>0</v>
      </c>
    </row>
    <row r="33" spans="1:25" x14ac:dyDescent="0.25">
      <c r="B33" s="345" t="str">
        <f>IF('2b. Continuity Schedule'!C59="","",'2b. Continuity Schedule'!C59)</f>
        <v/>
      </c>
      <c r="C33" s="39">
        <v>1508</v>
      </c>
      <c r="D33" s="40">
        <f>'2b. Continuity Schedule'!BT59</f>
        <v>0</v>
      </c>
      <c r="E33" s="61" t="s">
        <v>139</v>
      </c>
      <c r="F33" s="40">
        <f>IFERROR(IF(F$4="",0,IF($E33="kWh",VLOOKUP(F$4,'4. Billing Determinants'!$B$19:$R$41,4,0)/'4. Billing Determinants'!$E$41*$D33,IF($E33="kW",VLOOKUP(F$4,'4. Billing Determinants'!$B$19:$R$41,5,0)/'4. Billing Determinants'!$F$41*$D33,IF($E33="Non-RPP kWh",VLOOKUP(F$4,'4. Billing Determinants'!$B$19:$R$41,6,0)/'4. Billing Determinants'!$G$41*$D33,IF($E33="Distribution Rev.",VLOOKUP(F$4,'4. Billing Determinants'!$B$19:$R$41,8,0)/'4. Billing Determinants'!$I$41*$D33, VLOOKUP(F$4,'4. Billing Determinants'!$B$19:$R$41,3,0)/'4. Billing Determinants'!$D$41*$D33))))),0)</f>
        <v>0</v>
      </c>
      <c r="G33" s="40">
        <f>IFERROR(IF(G$4="",0,IF($E33="kWh",VLOOKUP(G$4,'4. Billing Determinants'!$B$19:$R$41,4,0)/'4. Billing Determinants'!$E$41*$D33,IF($E33="kW",VLOOKUP(G$4,'4. Billing Determinants'!$B$19:$R$41,5,0)/'4. Billing Determinants'!$F$41*$D33,IF($E33="Non-RPP kWh",VLOOKUP(G$4,'4. Billing Determinants'!$B$19:$R$41,6,0)/'4. Billing Determinants'!$G$41*$D33,IF($E33="Distribution Rev.",VLOOKUP(G$4,'4. Billing Determinants'!$B$19:$R$41,8,0)/'4. Billing Determinants'!$I$41*$D33, VLOOKUP(G$4,'4. Billing Determinants'!$B$19:$R$41,3,0)/'4. Billing Determinants'!$D$41*$D33))))),0)</f>
        <v>0</v>
      </c>
      <c r="H33" s="40">
        <f>IFERROR(IF(H$4="",0,IF($E33="kWh",VLOOKUP(H$4,'4. Billing Determinants'!$B$19:$R$41,4,0)/'4. Billing Determinants'!$E$41*$D33,IF($E33="kW",VLOOKUP(H$4,'4. Billing Determinants'!$B$19:$R$41,5,0)/'4. Billing Determinants'!$F$41*$D33,IF($E33="Non-RPP kWh",VLOOKUP(H$4,'4. Billing Determinants'!$B$19:$R$41,6,0)/'4. Billing Determinants'!$G$41*$D33,IF($E33="Distribution Rev.",VLOOKUP(H$4,'4. Billing Determinants'!$B$19:$R$41,8,0)/'4. Billing Determinants'!$I$41*$D33, VLOOKUP(H$4,'4. Billing Determinants'!$B$19:$R$41,3,0)/'4. Billing Determinants'!$D$41*$D33))))),0)</f>
        <v>0</v>
      </c>
      <c r="I33" s="40">
        <f>IFERROR(IF(I$4="",0,IF($E33="kWh",VLOOKUP(I$4,'4. Billing Determinants'!$B$19:$R$41,4,0)/'4. Billing Determinants'!$E$41*$D33,IF($E33="kW",VLOOKUP(I$4,'4. Billing Determinants'!$B$19:$R$41,5,0)/'4. Billing Determinants'!$F$41*$D33,IF($E33="Non-RPP kWh",VLOOKUP(I$4,'4. Billing Determinants'!$B$19:$R$41,6,0)/'4. Billing Determinants'!$G$41*$D33,IF($E33="Distribution Rev.",VLOOKUP(I$4,'4. Billing Determinants'!$B$19:$R$41,8,0)/'4. Billing Determinants'!$I$41*$D33, VLOOKUP(I$4,'4. Billing Determinants'!$B$19:$R$41,3,0)/'4. Billing Determinants'!$D$41*$D33))))),0)</f>
        <v>0</v>
      </c>
      <c r="J33" s="40">
        <f>IFERROR(IF(J$4="",0,IF($E33="kWh",VLOOKUP(J$4,'4. Billing Determinants'!$B$19:$R$41,4,0)/'4. Billing Determinants'!$E$41*$D33,IF($E33="kW",VLOOKUP(J$4,'4. Billing Determinants'!$B$19:$R$41,5,0)/'4. Billing Determinants'!$F$41*$D33,IF($E33="Non-RPP kWh",VLOOKUP(J$4,'4. Billing Determinants'!$B$19:$R$41,6,0)/'4. Billing Determinants'!$G$41*$D33,IF($E33="Distribution Rev.",VLOOKUP(J$4,'4. Billing Determinants'!$B$19:$R$41,8,0)/'4. Billing Determinants'!$I$41*$D33, VLOOKUP(J$4,'4. Billing Determinants'!$B$19:$R$41,3,0)/'4. Billing Determinants'!$D$41*$D33))))),0)</f>
        <v>0</v>
      </c>
      <c r="K33" s="40">
        <f>IFERROR(IF(K$4="",0,IF($E33="kWh",VLOOKUP(K$4,'4. Billing Determinants'!$B$19:$R$41,4,0)/'4. Billing Determinants'!$E$41*$D33,IF($E33="kW",VLOOKUP(K$4,'4. Billing Determinants'!$B$19:$R$41,5,0)/'4. Billing Determinants'!$F$41*$D33,IF($E33="Non-RPP kWh",VLOOKUP(K$4,'4. Billing Determinants'!$B$19:$R$41,6,0)/'4. Billing Determinants'!$G$41*$D33,IF($E33="Distribution Rev.",VLOOKUP(K$4,'4. Billing Determinants'!$B$19:$R$41,8,0)/'4. Billing Determinants'!$I$41*$D33, VLOOKUP(K$4,'4. Billing Determinants'!$B$19:$R$41,3,0)/'4. Billing Determinants'!$D$41*$D33))))),0)</f>
        <v>0</v>
      </c>
      <c r="L33" s="40">
        <f>IFERROR(IF(L$4="",0,IF($E33="kWh",VLOOKUP(L$4,'4. Billing Determinants'!$B$19:$R$41,4,0)/'4. Billing Determinants'!$E$41*$D33,IF($E33="kW",VLOOKUP(L$4,'4. Billing Determinants'!$B$19:$R$41,5,0)/'4. Billing Determinants'!$F$41*$D33,IF($E33="Non-RPP kWh",VLOOKUP(L$4,'4. Billing Determinants'!$B$19:$R$41,6,0)/'4. Billing Determinants'!$G$41*$D33,IF($E33="Distribution Rev.",VLOOKUP(L$4,'4. Billing Determinants'!$B$19:$R$41,8,0)/'4. Billing Determinants'!$I$41*$D33, VLOOKUP(L$4,'4. Billing Determinants'!$B$19:$R$41,3,0)/'4. Billing Determinants'!$D$41*$D33))))),0)</f>
        <v>0</v>
      </c>
      <c r="M33" s="40">
        <f>IFERROR(IF(M$4="",0,IF($E33="kWh",VLOOKUP(M$4,'4. Billing Determinants'!$B$19:$R$41,4,0)/'4. Billing Determinants'!$E$41*$D33,IF($E33="kW",VLOOKUP(M$4,'4. Billing Determinants'!$B$19:$R$41,5,0)/'4. Billing Determinants'!$F$41*$D33,IF($E33="Non-RPP kWh",VLOOKUP(M$4,'4. Billing Determinants'!$B$19:$R$41,6,0)/'4. Billing Determinants'!$G$41*$D33,IF($E33="Distribution Rev.",VLOOKUP(M$4,'4. Billing Determinants'!$B$19:$R$41,8,0)/'4. Billing Determinants'!$I$41*$D33, VLOOKUP(M$4,'4. Billing Determinants'!$B$19:$R$41,3,0)/'4. Billing Determinants'!$D$41*$D33))))),0)</f>
        <v>0</v>
      </c>
      <c r="N33" s="40">
        <f>IFERROR(IF(N$4="",0,IF($E33="kWh",VLOOKUP(N$4,'4. Billing Determinants'!$B$19:$R$41,4,0)/'4. Billing Determinants'!$E$41*$D33,IF($E33="kW",VLOOKUP(N$4,'4. Billing Determinants'!$B$19:$R$41,5,0)/'4. Billing Determinants'!$F$41*$D33,IF($E33="Non-RPP kWh",VLOOKUP(N$4,'4. Billing Determinants'!$B$19:$R$41,6,0)/'4. Billing Determinants'!$G$41*$D33,IF($E33="Distribution Rev.",VLOOKUP(N$4,'4. Billing Determinants'!$B$19:$R$41,8,0)/'4. Billing Determinants'!$I$41*$D33, VLOOKUP(N$4,'4. Billing Determinants'!$B$19:$R$41,3,0)/'4. Billing Determinants'!$D$41*$D33))))),0)</f>
        <v>0</v>
      </c>
      <c r="O33" s="40">
        <f>IFERROR(IF(O$4="",0,IF($E33="kWh",VLOOKUP(O$4,'4. Billing Determinants'!$B$19:$R$41,4,0)/'4. Billing Determinants'!$E$41*$D33,IF($E33="kW",VLOOKUP(O$4,'4. Billing Determinants'!$B$19:$R$41,5,0)/'4. Billing Determinants'!$F$41*$D33,IF($E33="Non-RPP kWh",VLOOKUP(O$4,'4. Billing Determinants'!$B$19:$R$41,6,0)/'4. Billing Determinants'!$G$41*$D33,IF($E33="Distribution Rev.",VLOOKUP(O$4,'4. Billing Determinants'!$B$19:$R$41,8,0)/'4. Billing Determinants'!$I$41*$D33, VLOOKUP(O$4,'4. Billing Determinants'!$B$19:$R$41,3,0)/'4. Billing Determinants'!$D$41*$D33))))),0)</f>
        <v>0</v>
      </c>
      <c r="P33" s="40">
        <f>IFERROR(IF(P$4="",0,IF($E33="kWh",VLOOKUP(P$4,'4. Billing Determinants'!$B$19:$R$41,4,0)/'4. Billing Determinants'!$E$41*$D33,IF($E33="kW",VLOOKUP(P$4,'4. Billing Determinants'!$B$19:$R$41,5,0)/'4. Billing Determinants'!$F$41*$D33,IF($E33="Non-RPP kWh",VLOOKUP(P$4,'4. Billing Determinants'!$B$19:$R$41,6,0)/'4. Billing Determinants'!$G$41*$D33,IF($E33="Distribution Rev.",VLOOKUP(P$4,'4. Billing Determinants'!$B$19:$R$41,8,0)/'4. Billing Determinants'!$I$41*$D33, VLOOKUP(P$4,'4. Billing Determinants'!$B$19:$R$41,3,0)/'4. Billing Determinants'!$D$41*$D33))))),0)</f>
        <v>0</v>
      </c>
      <c r="Q33" s="40">
        <f>IFERROR(IF(Q$4="",0,IF($E33="kWh",VLOOKUP(Q$4,'4. Billing Determinants'!$B$19:$R$41,4,0)/'4. Billing Determinants'!$E$41*$D33,IF($E33="kW",VLOOKUP(Q$4,'4. Billing Determinants'!$B$19:$R$41,5,0)/'4. Billing Determinants'!$F$41*$D33,IF($E33="Non-RPP kWh",VLOOKUP(Q$4,'4. Billing Determinants'!$B$19:$R$41,6,0)/'4. Billing Determinants'!$G$41*$D33,IF($E33="Distribution Rev.",VLOOKUP(Q$4,'4. Billing Determinants'!$B$19:$R$41,8,0)/'4. Billing Determinants'!$I$41*$D33, VLOOKUP(Q$4,'4. Billing Determinants'!$B$19:$R$41,3,0)/'4. Billing Determinants'!$D$41*$D33))))),0)</f>
        <v>0</v>
      </c>
      <c r="R33" s="40">
        <f>IFERROR(IF(R$4="",0,IF($E33="kWh",VLOOKUP(R$4,'4. Billing Determinants'!$B$19:$R$41,4,0)/'4. Billing Determinants'!$E$41*$D33,IF($E33="kW",VLOOKUP(R$4,'4. Billing Determinants'!$B$19:$R$41,5,0)/'4. Billing Determinants'!$F$41*$D33,IF($E33="Non-RPP kWh",VLOOKUP(R$4,'4. Billing Determinants'!$B$19:$R$41,6,0)/'4. Billing Determinants'!$G$41*$D33,IF($E33="Distribution Rev.",VLOOKUP(R$4,'4. Billing Determinants'!$B$19:$R$41,8,0)/'4. Billing Determinants'!$I$41*$D33, VLOOKUP(R$4,'4. Billing Determinants'!$B$19:$R$41,3,0)/'4. Billing Determinants'!$D$41*$D33))))),0)</f>
        <v>0</v>
      </c>
      <c r="S33" s="40">
        <f>IFERROR(IF(S$4="",0,IF($E33="kWh",VLOOKUP(S$4,'4. Billing Determinants'!$B$19:$R$41,4,0)/'4. Billing Determinants'!$E$41*$D33,IF($E33="kW",VLOOKUP(S$4,'4. Billing Determinants'!$B$19:$R$41,5,0)/'4. Billing Determinants'!$F$41*$D33,IF($E33="Non-RPP kWh",VLOOKUP(S$4,'4. Billing Determinants'!$B$19:$R$41,6,0)/'4. Billing Determinants'!$G$41*$D33,IF($E33="Distribution Rev.",VLOOKUP(S$4,'4. Billing Determinants'!$B$19:$R$41,8,0)/'4. Billing Determinants'!$I$41*$D33, VLOOKUP(S$4,'4. Billing Determinants'!$B$19:$R$41,3,0)/'4. Billing Determinants'!$D$41*$D33))))),0)</f>
        <v>0</v>
      </c>
      <c r="T33" s="40">
        <f>IFERROR(IF(T$4="",0,IF($E33="kWh",VLOOKUP(T$4,'4. Billing Determinants'!$B$19:$R$41,4,0)/'4. Billing Determinants'!$E$41*$D33,IF($E33="kW",VLOOKUP(T$4,'4. Billing Determinants'!$B$19:$R$41,5,0)/'4. Billing Determinants'!$F$41*$D33,IF($E33="Non-RPP kWh",VLOOKUP(T$4,'4. Billing Determinants'!$B$19:$R$41,6,0)/'4. Billing Determinants'!$G$41*$D33,IF($E33="Distribution Rev.",VLOOKUP(T$4,'4. Billing Determinants'!$B$19:$R$41,8,0)/'4. Billing Determinants'!$I$41*$D33, VLOOKUP(T$4,'4. Billing Determinants'!$B$19:$R$41,3,0)/'4. Billing Determinants'!$D$41*$D33))))),0)</f>
        <v>0</v>
      </c>
      <c r="U33" s="40">
        <f>IFERROR(IF(U$4="",0,IF($E33="kWh",VLOOKUP(U$4,'4. Billing Determinants'!$B$19:$R$41,4,0)/'4. Billing Determinants'!$E$41*$D33,IF($E33="kW",VLOOKUP(U$4,'4. Billing Determinants'!$B$19:$R$41,5,0)/'4. Billing Determinants'!$F$41*$D33,IF($E33="Non-RPP kWh",VLOOKUP(U$4,'4. Billing Determinants'!$B$19:$R$41,6,0)/'4. Billing Determinants'!$G$41*$D33,IF($E33="Distribution Rev.",VLOOKUP(U$4,'4. Billing Determinants'!$B$19:$R$41,8,0)/'4. Billing Determinants'!$I$41*$D33, VLOOKUP(U$4,'4. Billing Determinants'!$B$19:$R$41,3,0)/'4. Billing Determinants'!$D$41*$D33))))),0)</f>
        <v>0</v>
      </c>
      <c r="V33" s="40">
        <f>IFERROR(IF(V$4="",0,IF($E33="kWh",VLOOKUP(V$4,'4. Billing Determinants'!$B$19:$R$41,4,0)/'4. Billing Determinants'!$E$41*$D33,IF($E33="kW",VLOOKUP(V$4,'4. Billing Determinants'!$B$19:$R$41,5,0)/'4. Billing Determinants'!$F$41*$D33,IF($E33="Non-RPP kWh",VLOOKUP(V$4,'4. Billing Determinants'!$B$19:$R$41,6,0)/'4. Billing Determinants'!$G$41*$D33,IF($E33="Distribution Rev.",VLOOKUP(V$4,'4. Billing Determinants'!$B$19:$R$41,8,0)/'4. Billing Determinants'!$I$41*$D33, VLOOKUP(V$4,'4. Billing Determinants'!$B$19:$R$41,3,0)/'4. Billing Determinants'!$D$41*$D33))))),0)</f>
        <v>0</v>
      </c>
      <c r="W33" s="40">
        <f>IFERROR(IF(W$4="",0,IF($E33="kWh",VLOOKUP(W$4,'4. Billing Determinants'!$B$19:$R$41,4,0)/'4. Billing Determinants'!$E$41*$D33,IF($E33="kW",VLOOKUP(W$4,'4. Billing Determinants'!$B$19:$R$41,5,0)/'4. Billing Determinants'!$F$41*$D33,IF($E33="Non-RPP kWh",VLOOKUP(W$4,'4. Billing Determinants'!$B$19:$R$41,6,0)/'4. Billing Determinants'!$G$41*$D33,IF($E33="Distribution Rev.",VLOOKUP(W$4,'4. Billing Determinants'!$B$19:$R$41,8,0)/'4. Billing Determinants'!$I$41*$D33, VLOOKUP(W$4,'4. Billing Determinants'!$B$19:$R$41,3,0)/'4. Billing Determinants'!$D$41*$D33))))),0)</f>
        <v>0</v>
      </c>
      <c r="X33" s="40">
        <f>IFERROR(IF(X$4="",0,IF($E33="kWh",VLOOKUP(X$4,'4. Billing Determinants'!$B$19:$R$41,4,0)/'4. Billing Determinants'!$E$41*$D33,IF($E33="kW",VLOOKUP(X$4,'4. Billing Determinants'!$B$19:$R$41,5,0)/'4. Billing Determinants'!$F$41*$D33,IF($E33="Non-RPP kWh",VLOOKUP(X$4,'4. Billing Determinants'!$B$19:$R$41,6,0)/'4. Billing Determinants'!$G$41*$D33,IF($E33="Distribution Rev.",VLOOKUP(X$4,'4. Billing Determinants'!$B$19:$R$41,8,0)/'4. Billing Determinants'!$I$41*$D33, VLOOKUP(X$4,'4. Billing Determinants'!$B$19:$R$41,3,0)/'4. Billing Determinants'!$D$41*$D33))))),0)</f>
        <v>0</v>
      </c>
      <c r="Y33" s="40">
        <f>IFERROR(IF(Y$4="",0,IF($E33="kWh",VLOOKUP(Y$4,'4. Billing Determinants'!$B$19:$R$41,4,0)/'4. Billing Determinants'!$E$41*$D33,IF($E33="kW",VLOOKUP(Y$4,'4. Billing Determinants'!$B$19:$R$41,5,0)/'4. Billing Determinants'!$F$41*$D33,IF($E33="Non-RPP kWh",VLOOKUP(Y$4,'4. Billing Determinants'!$B$19:$R$41,6,0)/'4. Billing Determinants'!$G$41*$D33,IF($E33="Distribution Rev.",VLOOKUP(Y$4,'4. Billing Determinants'!$B$19:$R$41,8,0)/'4. Billing Determinants'!$I$41*$D33, VLOOKUP(Y$4,'4. Billing Determinants'!$B$19:$R$41,3,0)/'4. Billing Determinants'!$D$41*$D33))))),0)</f>
        <v>0</v>
      </c>
    </row>
    <row r="34" spans="1:25" x14ac:dyDescent="0.25">
      <c r="B34" s="345" t="str">
        <f>IF('2b. Continuity Schedule'!C60="","",'2b. Continuity Schedule'!C60)</f>
        <v/>
      </c>
      <c r="C34" s="39">
        <v>1508</v>
      </c>
      <c r="D34" s="40">
        <f>'2b. Continuity Schedule'!BT60</f>
        <v>0</v>
      </c>
      <c r="E34" s="61" t="s">
        <v>139</v>
      </c>
      <c r="F34" s="40">
        <f>IFERROR(IF(F$4="",0,IF($E34="kWh",VLOOKUP(F$4,'4. Billing Determinants'!$B$19:$R$41,4,0)/'4. Billing Determinants'!$E$41*$D34,IF($E34="kW",VLOOKUP(F$4,'4. Billing Determinants'!$B$19:$R$41,5,0)/'4. Billing Determinants'!$F$41*$D34,IF($E34="Non-RPP kWh",VLOOKUP(F$4,'4. Billing Determinants'!$B$19:$R$41,6,0)/'4. Billing Determinants'!$G$41*$D34,IF($E34="Distribution Rev.",VLOOKUP(F$4,'4. Billing Determinants'!$B$19:$R$41,8,0)/'4. Billing Determinants'!$I$41*$D34, VLOOKUP(F$4,'4. Billing Determinants'!$B$19:$R$41,3,0)/'4. Billing Determinants'!$D$41*$D34))))),0)</f>
        <v>0</v>
      </c>
      <c r="G34" s="40">
        <f>IFERROR(IF(G$4="",0,IF($E34="kWh",VLOOKUP(G$4,'4. Billing Determinants'!$B$19:$R$41,4,0)/'4. Billing Determinants'!$E$41*$D34,IF($E34="kW",VLOOKUP(G$4,'4. Billing Determinants'!$B$19:$R$41,5,0)/'4. Billing Determinants'!$F$41*$D34,IF($E34="Non-RPP kWh",VLOOKUP(G$4,'4. Billing Determinants'!$B$19:$R$41,6,0)/'4. Billing Determinants'!$G$41*$D34,IF($E34="Distribution Rev.",VLOOKUP(G$4,'4. Billing Determinants'!$B$19:$R$41,8,0)/'4. Billing Determinants'!$I$41*$D34, VLOOKUP(G$4,'4. Billing Determinants'!$B$19:$R$41,3,0)/'4. Billing Determinants'!$D$41*$D34))))),0)</f>
        <v>0</v>
      </c>
      <c r="H34" s="40">
        <f>IFERROR(IF(H$4="",0,IF($E34="kWh",VLOOKUP(H$4,'4. Billing Determinants'!$B$19:$R$41,4,0)/'4. Billing Determinants'!$E$41*$D34,IF($E34="kW",VLOOKUP(H$4,'4. Billing Determinants'!$B$19:$R$41,5,0)/'4. Billing Determinants'!$F$41*$D34,IF($E34="Non-RPP kWh",VLOOKUP(H$4,'4. Billing Determinants'!$B$19:$R$41,6,0)/'4. Billing Determinants'!$G$41*$D34,IF($E34="Distribution Rev.",VLOOKUP(H$4,'4. Billing Determinants'!$B$19:$R$41,8,0)/'4. Billing Determinants'!$I$41*$D34, VLOOKUP(H$4,'4. Billing Determinants'!$B$19:$R$41,3,0)/'4. Billing Determinants'!$D$41*$D34))))),0)</f>
        <v>0</v>
      </c>
      <c r="I34" s="40">
        <f>IFERROR(IF(I$4="",0,IF($E34="kWh",VLOOKUP(I$4,'4. Billing Determinants'!$B$19:$R$41,4,0)/'4. Billing Determinants'!$E$41*$D34,IF($E34="kW",VLOOKUP(I$4,'4. Billing Determinants'!$B$19:$R$41,5,0)/'4. Billing Determinants'!$F$41*$D34,IF($E34="Non-RPP kWh",VLOOKUP(I$4,'4. Billing Determinants'!$B$19:$R$41,6,0)/'4. Billing Determinants'!$G$41*$D34,IF($E34="Distribution Rev.",VLOOKUP(I$4,'4. Billing Determinants'!$B$19:$R$41,8,0)/'4. Billing Determinants'!$I$41*$D34, VLOOKUP(I$4,'4. Billing Determinants'!$B$19:$R$41,3,0)/'4. Billing Determinants'!$D$41*$D34))))),0)</f>
        <v>0</v>
      </c>
      <c r="J34" s="40">
        <f>IFERROR(IF(J$4="",0,IF($E34="kWh",VLOOKUP(J$4,'4. Billing Determinants'!$B$19:$R$41,4,0)/'4. Billing Determinants'!$E$41*$D34,IF($E34="kW",VLOOKUP(J$4,'4. Billing Determinants'!$B$19:$R$41,5,0)/'4. Billing Determinants'!$F$41*$D34,IF($E34="Non-RPP kWh",VLOOKUP(J$4,'4. Billing Determinants'!$B$19:$R$41,6,0)/'4. Billing Determinants'!$G$41*$D34,IF($E34="Distribution Rev.",VLOOKUP(J$4,'4. Billing Determinants'!$B$19:$R$41,8,0)/'4. Billing Determinants'!$I$41*$D34, VLOOKUP(J$4,'4. Billing Determinants'!$B$19:$R$41,3,0)/'4. Billing Determinants'!$D$41*$D34))))),0)</f>
        <v>0</v>
      </c>
      <c r="K34" s="40">
        <f>IFERROR(IF(K$4="",0,IF($E34="kWh",VLOOKUP(K$4,'4. Billing Determinants'!$B$19:$R$41,4,0)/'4. Billing Determinants'!$E$41*$D34,IF($E34="kW",VLOOKUP(K$4,'4. Billing Determinants'!$B$19:$R$41,5,0)/'4. Billing Determinants'!$F$41*$D34,IF($E34="Non-RPP kWh",VLOOKUP(K$4,'4. Billing Determinants'!$B$19:$R$41,6,0)/'4. Billing Determinants'!$G$41*$D34,IF($E34="Distribution Rev.",VLOOKUP(K$4,'4. Billing Determinants'!$B$19:$R$41,8,0)/'4. Billing Determinants'!$I$41*$D34, VLOOKUP(K$4,'4. Billing Determinants'!$B$19:$R$41,3,0)/'4. Billing Determinants'!$D$41*$D34))))),0)</f>
        <v>0</v>
      </c>
      <c r="L34" s="40">
        <f>IFERROR(IF(L$4="",0,IF($E34="kWh",VLOOKUP(L$4,'4. Billing Determinants'!$B$19:$R$41,4,0)/'4. Billing Determinants'!$E$41*$D34,IF($E34="kW",VLOOKUP(L$4,'4. Billing Determinants'!$B$19:$R$41,5,0)/'4. Billing Determinants'!$F$41*$D34,IF($E34="Non-RPP kWh",VLOOKUP(L$4,'4. Billing Determinants'!$B$19:$R$41,6,0)/'4. Billing Determinants'!$G$41*$D34,IF($E34="Distribution Rev.",VLOOKUP(L$4,'4. Billing Determinants'!$B$19:$R$41,8,0)/'4. Billing Determinants'!$I$41*$D34, VLOOKUP(L$4,'4. Billing Determinants'!$B$19:$R$41,3,0)/'4. Billing Determinants'!$D$41*$D34))))),0)</f>
        <v>0</v>
      </c>
      <c r="M34" s="40">
        <f>IFERROR(IF(M$4="",0,IF($E34="kWh",VLOOKUP(M$4,'4. Billing Determinants'!$B$19:$R$41,4,0)/'4. Billing Determinants'!$E$41*$D34,IF($E34="kW",VLOOKUP(M$4,'4. Billing Determinants'!$B$19:$R$41,5,0)/'4. Billing Determinants'!$F$41*$D34,IF($E34="Non-RPP kWh",VLOOKUP(M$4,'4. Billing Determinants'!$B$19:$R$41,6,0)/'4. Billing Determinants'!$G$41*$D34,IF($E34="Distribution Rev.",VLOOKUP(M$4,'4. Billing Determinants'!$B$19:$R$41,8,0)/'4. Billing Determinants'!$I$41*$D34, VLOOKUP(M$4,'4. Billing Determinants'!$B$19:$R$41,3,0)/'4. Billing Determinants'!$D$41*$D34))))),0)</f>
        <v>0</v>
      </c>
      <c r="N34" s="40">
        <f>IFERROR(IF(N$4="",0,IF($E34="kWh",VLOOKUP(N$4,'4. Billing Determinants'!$B$19:$R$41,4,0)/'4. Billing Determinants'!$E$41*$D34,IF($E34="kW",VLOOKUP(N$4,'4. Billing Determinants'!$B$19:$R$41,5,0)/'4. Billing Determinants'!$F$41*$D34,IF($E34="Non-RPP kWh",VLOOKUP(N$4,'4. Billing Determinants'!$B$19:$R$41,6,0)/'4. Billing Determinants'!$G$41*$D34,IF($E34="Distribution Rev.",VLOOKUP(N$4,'4. Billing Determinants'!$B$19:$R$41,8,0)/'4. Billing Determinants'!$I$41*$D34, VLOOKUP(N$4,'4. Billing Determinants'!$B$19:$R$41,3,0)/'4. Billing Determinants'!$D$41*$D34))))),0)</f>
        <v>0</v>
      </c>
      <c r="O34" s="40">
        <f>IFERROR(IF(O$4="",0,IF($E34="kWh",VLOOKUP(O$4,'4. Billing Determinants'!$B$19:$R$41,4,0)/'4. Billing Determinants'!$E$41*$D34,IF($E34="kW",VLOOKUP(O$4,'4. Billing Determinants'!$B$19:$R$41,5,0)/'4. Billing Determinants'!$F$41*$D34,IF($E34="Non-RPP kWh",VLOOKUP(O$4,'4. Billing Determinants'!$B$19:$R$41,6,0)/'4. Billing Determinants'!$G$41*$D34,IF($E34="Distribution Rev.",VLOOKUP(O$4,'4. Billing Determinants'!$B$19:$R$41,8,0)/'4. Billing Determinants'!$I$41*$D34, VLOOKUP(O$4,'4. Billing Determinants'!$B$19:$R$41,3,0)/'4. Billing Determinants'!$D$41*$D34))))),0)</f>
        <v>0</v>
      </c>
      <c r="P34" s="40">
        <f>IFERROR(IF(P$4="",0,IF($E34="kWh",VLOOKUP(P$4,'4. Billing Determinants'!$B$19:$R$41,4,0)/'4. Billing Determinants'!$E$41*$D34,IF($E34="kW",VLOOKUP(P$4,'4. Billing Determinants'!$B$19:$R$41,5,0)/'4. Billing Determinants'!$F$41*$D34,IF($E34="Non-RPP kWh",VLOOKUP(P$4,'4. Billing Determinants'!$B$19:$R$41,6,0)/'4. Billing Determinants'!$G$41*$D34,IF($E34="Distribution Rev.",VLOOKUP(P$4,'4. Billing Determinants'!$B$19:$R$41,8,0)/'4. Billing Determinants'!$I$41*$D34, VLOOKUP(P$4,'4. Billing Determinants'!$B$19:$R$41,3,0)/'4. Billing Determinants'!$D$41*$D34))))),0)</f>
        <v>0</v>
      </c>
      <c r="Q34" s="40">
        <f>IFERROR(IF(Q$4="",0,IF($E34="kWh",VLOOKUP(Q$4,'4. Billing Determinants'!$B$19:$R$41,4,0)/'4. Billing Determinants'!$E$41*$D34,IF($E34="kW",VLOOKUP(Q$4,'4. Billing Determinants'!$B$19:$R$41,5,0)/'4. Billing Determinants'!$F$41*$D34,IF($E34="Non-RPP kWh",VLOOKUP(Q$4,'4. Billing Determinants'!$B$19:$R$41,6,0)/'4. Billing Determinants'!$G$41*$D34,IF($E34="Distribution Rev.",VLOOKUP(Q$4,'4. Billing Determinants'!$B$19:$R$41,8,0)/'4. Billing Determinants'!$I$41*$D34, VLOOKUP(Q$4,'4. Billing Determinants'!$B$19:$R$41,3,0)/'4. Billing Determinants'!$D$41*$D34))))),0)</f>
        <v>0</v>
      </c>
      <c r="R34" s="40">
        <f>IFERROR(IF(R$4="",0,IF($E34="kWh",VLOOKUP(R$4,'4. Billing Determinants'!$B$19:$R$41,4,0)/'4. Billing Determinants'!$E$41*$D34,IF($E34="kW",VLOOKUP(R$4,'4. Billing Determinants'!$B$19:$R$41,5,0)/'4. Billing Determinants'!$F$41*$D34,IF($E34="Non-RPP kWh",VLOOKUP(R$4,'4. Billing Determinants'!$B$19:$R$41,6,0)/'4. Billing Determinants'!$G$41*$D34,IF($E34="Distribution Rev.",VLOOKUP(R$4,'4. Billing Determinants'!$B$19:$R$41,8,0)/'4. Billing Determinants'!$I$41*$D34, VLOOKUP(R$4,'4. Billing Determinants'!$B$19:$R$41,3,0)/'4. Billing Determinants'!$D$41*$D34))))),0)</f>
        <v>0</v>
      </c>
      <c r="S34" s="40">
        <f>IFERROR(IF(S$4="",0,IF($E34="kWh",VLOOKUP(S$4,'4. Billing Determinants'!$B$19:$R$41,4,0)/'4. Billing Determinants'!$E$41*$D34,IF($E34="kW",VLOOKUP(S$4,'4. Billing Determinants'!$B$19:$R$41,5,0)/'4. Billing Determinants'!$F$41*$D34,IF($E34="Non-RPP kWh",VLOOKUP(S$4,'4. Billing Determinants'!$B$19:$R$41,6,0)/'4. Billing Determinants'!$G$41*$D34,IF($E34="Distribution Rev.",VLOOKUP(S$4,'4. Billing Determinants'!$B$19:$R$41,8,0)/'4. Billing Determinants'!$I$41*$D34, VLOOKUP(S$4,'4. Billing Determinants'!$B$19:$R$41,3,0)/'4. Billing Determinants'!$D$41*$D34))))),0)</f>
        <v>0</v>
      </c>
      <c r="T34" s="40">
        <f>IFERROR(IF(T$4="",0,IF($E34="kWh",VLOOKUP(T$4,'4. Billing Determinants'!$B$19:$R$41,4,0)/'4. Billing Determinants'!$E$41*$D34,IF($E34="kW",VLOOKUP(T$4,'4. Billing Determinants'!$B$19:$R$41,5,0)/'4. Billing Determinants'!$F$41*$D34,IF($E34="Non-RPP kWh",VLOOKUP(T$4,'4. Billing Determinants'!$B$19:$R$41,6,0)/'4. Billing Determinants'!$G$41*$D34,IF($E34="Distribution Rev.",VLOOKUP(T$4,'4. Billing Determinants'!$B$19:$R$41,8,0)/'4. Billing Determinants'!$I$41*$D34, VLOOKUP(T$4,'4. Billing Determinants'!$B$19:$R$41,3,0)/'4. Billing Determinants'!$D$41*$D34))))),0)</f>
        <v>0</v>
      </c>
      <c r="U34" s="40">
        <f>IFERROR(IF(U$4="",0,IF($E34="kWh",VLOOKUP(U$4,'4. Billing Determinants'!$B$19:$R$41,4,0)/'4. Billing Determinants'!$E$41*$D34,IF($E34="kW",VLOOKUP(U$4,'4. Billing Determinants'!$B$19:$R$41,5,0)/'4. Billing Determinants'!$F$41*$D34,IF($E34="Non-RPP kWh",VLOOKUP(U$4,'4. Billing Determinants'!$B$19:$R$41,6,0)/'4. Billing Determinants'!$G$41*$D34,IF($E34="Distribution Rev.",VLOOKUP(U$4,'4. Billing Determinants'!$B$19:$R$41,8,0)/'4. Billing Determinants'!$I$41*$D34, VLOOKUP(U$4,'4. Billing Determinants'!$B$19:$R$41,3,0)/'4. Billing Determinants'!$D$41*$D34))))),0)</f>
        <v>0</v>
      </c>
      <c r="V34" s="40">
        <f>IFERROR(IF(V$4="",0,IF($E34="kWh",VLOOKUP(V$4,'4. Billing Determinants'!$B$19:$R$41,4,0)/'4. Billing Determinants'!$E$41*$D34,IF($E34="kW",VLOOKUP(V$4,'4. Billing Determinants'!$B$19:$R$41,5,0)/'4. Billing Determinants'!$F$41*$D34,IF($E34="Non-RPP kWh",VLOOKUP(V$4,'4. Billing Determinants'!$B$19:$R$41,6,0)/'4. Billing Determinants'!$G$41*$D34,IF($E34="Distribution Rev.",VLOOKUP(V$4,'4. Billing Determinants'!$B$19:$R$41,8,0)/'4. Billing Determinants'!$I$41*$D34, VLOOKUP(V$4,'4. Billing Determinants'!$B$19:$R$41,3,0)/'4. Billing Determinants'!$D$41*$D34))))),0)</f>
        <v>0</v>
      </c>
      <c r="W34" s="40">
        <f>IFERROR(IF(W$4="",0,IF($E34="kWh",VLOOKUP(W$4,'4. Billing Determinants'!$B$19:$R$41,4,0)/'4. Billing Determinants'!$E$41*$D34,IF($E34="kW",VLOOKUP(W$4,'4. Billing Determinants'!$B$19:$R$41,5,0)/'4. Billing Determinants'!$F$41*$D34,IF($E34="Non-RPP kWh",VLOOKUP(W$4,'4. Billing Determinants'!$B$19:$R$41,6,0)/'4. Billing Determinants'!$G$41*$D34,IF($E34="Distribution Rev.",VLOOKUP(W$4,'4. Billing Determinants'!$B$19:$R$41,8,0)/'4. Billing Determinants'!$I$41*$D34, VLOOKUP(W$4,'4. Billing Determinants'!$B$19:$R$41,3,0)/'4. Billing Determinants'!$D$41*$D34))))),0)</f>
        <v>0</v>
      </c>
      <c r="X34" s="40">
        <f>IFERROR(IF(X$4="",0,IF($E34="kWh",VLOOKUP(X$4,'4. Billing Determinants'!$B$19:$R$41,4,0)/'4. Billing Determinants'!$E$41*$D34,IF($E34="kW",VLOOKUP(X$4,'4. Billing Determinants'!$B$19:$R$41,5,0)/'4. Billing Determinants'!$F$41*$D34,IF($E34="Non-RPP kWh",VLOOKUP(X$4,'4. Billing Determinants'!$B$19:$R$41,6,0)/'4. Billing Determinants'!$G$41*$D34,IF($E34="Distribution Rev.",VLOOKUP(X$4,'4. Billing Determinants'!$B$19:$R$41,8,0)/'4. Billing Determinants'!$I$41*$D34, VLOOKUP(X$4,'4. Billing Determinants'!$B$19:$R$41,3,0)/'4. Billing Determinants'!$D$41*$D34))))),0)</f>
        <v>0</v>
      </c>
      <c r="Y34" s="40">
        <f>IFERROR(IF(Y$4="",0,IF($E34="kWh",VLOOKUP(Y$4,'4. Billing Determinants'!$B$19:$R$41,4,0)/'4. Billing Determinants'!$E$41*$D34,IF($E34="kW",VLOOKUP(Y$4,'4. Billing Determinants'!$B$19:$R$41,5,0)/'4. Billing Determinants'!$F$41*$D34,IF($E34="Non-RPP kWh",VLOOKUP(Y$4,'4. Billing Determinants'!$B$19:$R$41,6,0)/'4. Billing Determinants'!$G$41*$D34,IF($E34="Distribution Rev.",VLOOKUP(Y$4,'4. Billing Determinants'!$B$19:$R$41,8,0)/'4. Billing Determinants'!$I$41*$D34, VLOOKUP(Y$4,'4. Billing Determinants'!$B$19:$R$41,3,0)/'4. Billing Determinants'!$D$41*$D34))))),0)</f>
        <v>0</v>
      </c>
    </row>
    <row r="35" spans="1:25" x14ac:dyDescent="0.25">
      <c r="B35" s="345" t="str">
        <f>IF('2b. Continuity Schedule'!C61="","",'2b. Continuity Schedule'!C61)</f>
        <v/>
      </c>
      <c r="C35" s="39">
        <v>1508</v>
      </c>
      <c r="D35" s="40">
        <f>'2b. Continuity Schedule'!BT61</f>
        <v>0</v>
      </c>
      <c r="E35" s="61" t="s">
        <v>139</v>
      </c>
      <c r="F35" s="40">
        <f>IFERROR(IF(F$4="",0,IF($E35="kWh",VLOOKUP(F$4,'4. Billing Determinants'!$B$19:$R$41,4,0)/'4. Billing Determinants'!$E$41*$D35,IF($E35="kW",VLOOKUP(F$4,'4. Billing Determinants'!$B$19:$R$41,5,0)/'4. Billing Determinants'!$F$41*$D35,IF($E35="Non-RPP kWh",VLOOKUP(F$4,'4. Billing Determinants'!$B$19:$R$41,6,0)/'4. Billing Determinants'!$G$41*$D35,IF($E35="Distribution Rev.",VLOOKUP(F$4,'4. Billing Determinants'!$B$19:$R$41,8,0)/'4. Billing Determinants'!$I$41*$D35, VLOOKUP(F$4,'4. Billing Determinants'!$B$19:$R$41,3,0)/'4. Billing Determinants'!$D$41*$D35))))),0)</f>
        <v>0</v>
      </c>
      <c r="G35" s="40">
        <f>IFERROR(IF(G$4="",0,IF($E35="kWh",VLOOKUP(G$4,'4. Billing Determinants'!$B$19:$R$41,4,0)/'4. Billing Determinants'!$E$41*$D35,IF($E35="kW",VLOOKUP(G$4,'4. Billing Determinants'!$B$19:$R$41,5,0)/'4. Billing Determinants'!$F$41*$D35,IF($E35="Non-RPP kWh",VLOOKUP(G$4,'4. Billing Determinants'!$B$19:$R$41,6,0)/'4. Billing Determinants'!$G$41*$D35,IF($E35="Distribution Rev.",VLOOKUP(G$4,'4. Billing Determinants'!$B$19:$R$41,8,0)/'4. Billing Determinants'!$I$41*$D35, VLOOKUP(G$4,'4. Billing Determinants'!$B$19:$R$41,3,0)/'4. Billing Determinants'!$D$41*$D35))))),0)</f>
        <v>0</v>
      </c>
      <c r="H35" s="40">
        <f>IFERROR(IF(H$4="",0,IF($E35="kWh",VLOOKUP(H$4,'4. Billing Determinants'!$B$19:$R$41,4,0)/'4. Billing Determinants'!$E$41*$D35,IF($E35="kW",VLOOKUP(H$4,'4. Billing Determinants'!$B$19:$R$41,5,0)/'4. Billing Determinants'!$F$41*$D35,IF($E35="Non-RPP kWh",VLOOKUP(H$4,'4. Billing Determinants'!$B$19:$R$41,6,0)/'4. Billing Determinants'!$G$41*$D35,IF($E35="Distribution Rev.",VLOOKUP(H$4,'4. Billing Determinants'!$B$19:$R$41,8,0)/'4. Billing Determinants'!$I$41*$D35, VLOOKUP(H$4,'4. Billing Determinants'!$B$19:$R$41,3,0)/'4. Billing Determinants'!$D$41*$D35))))),0)</f>
        <v>0</v>
      </c>
      <c r="I35" s="40">
        <f>IFERROR(IF(I$4="",0,IF($E35="kWh",VLOOKUP(I$4,'4. Billing Determinants'!$B$19:$R$41,4,0)/'4. Billing Determinants'!$E$41*$D35,IF($E35="kW",VLOOKUP(I$4,'4. Billing Determinants'!$B$19:$R$41,5,0)/'4. Billing Determinants'!$F$41*$D35,IF($E35="Non-RPP kWh",VLOOKUP(I$4,'4. Billing Determinants'!$B$19:$R$41,6,0)/'4. Billing Determinants'!$G$41*$D35,IF($E35="Distribution Rev.",VLOOKUP(I$4,'4. Billing Determinants'!$B$19:$R$41,8,0)/'4. Billing Determinants'!$I$41*$D35, VLOOKUP(I$4,'4. Billing Determinants'!$B$19:$R$41,3,0)/'4. Billing Determinants'!$D$41*$D35))))),0)</f>
        <v>0</v>
      </c>
      <c r="J35" s="40">
        <f>IFERROR(IF(J$4="",0,IF($E35="kWh",VLOOKUP(J$4,'4. Billing Determinants'!$B$19:$R$41,4,0)/'4. Billing Determinants'!$E$41*$D35,IF($E35="kW",VLOOKUP(J$4,'4. Billing Determinants'!$B$19:$R$41,5,0)/'4. Billing Determinants'!$F$41*$D35,IF($E35="Non-RPP kWh",VLOOKUP(J$4,'4. Billing Determinants'!$B$19:$R$41,6,0)/'4. Billing Determinants'!$G$41*$D35,IF($E35="Distribution Rev.",VLOOKUP(J$4,'4. Billing Determinants'!$B$19:$R$41,8,0)/'4. Billing Determinants'!$I$41*$D35, VLOOKUP(J$4,'4. Billing Determinants'!$B$19:$R$41,3,0)/'4. Billing Determinants'!$D$41*$D35))))),0)</f>
        <v>0</v>
      </c>
      <c r="K35" s="40">
        <f>IFERROR(IF(K$4="",0,IF($E35="kWh",VLOOKUP(K$4,'4. Billing Determinants'!$B$19:$R$41,4,0)/'4. Billing Determinants'!$E$41*$D35,IF($E35="kW",VLOOKUP(K$4,'4. Billing Determinants'!$B$19:$R$41,5,0)/'4. Billing Determinants'!$F$41*$D35,IF($E35="Non-RPP kWh",VLOOKUP(K$4,'4. Billing Determinants'!$B$19:$R$41,6,0)/'4. Billing Determinants'!$G$41*$D35,IF($E35="Distribution Rev.",VLOOKUP(K$4,'4. Billing Determinants'!$B$19:$R$41,8,0)/'4. Billing Determinants'!$I$41*$D35, VLOOKUP(K$4,'4. Billing Determinants'!$B$19:$R$41,3,0)/'4. Billing Determinants'!$D$41*$D35))))),0)</f>
        <v>0</v>
      </c>
      <c r="L35" s="40">
        <f>IFERROR(IF(L$4="",0,IF($E35="kWh",VLOOKUP(L$4,'4. Billing Determinants'!$B$19:$R$41,4,0)/'4. Billing Determinants'!$E$41*$D35,IF($E35="kW",VLOOKUP(L$4,'4. Billing Determinants'!$B$19:$R$41,5,0)/'4. Billing Determinants'!$F$41*$D35,IF($E35="Non-RPP kWh",VLOOKUP(L$4,'4. Billing Determinants'!$B$19:$R$41,6,0)/'4. Billing Determinants'!$G$41*$D35,IF($E35="Distribution Rev.",VLOOKUP(L$4,'4. Billing Determinants'!$B$19:$R$41,8,0)/'4. Billing Determinants'!$I$41*$D35, VLOOKUP(L$4,'4. Billing Determinants'!$B$19:$R$41,3,0)/'4. Billing Determinants'!$D$41*$D35))))),0)</f>
        <v>0</v>
      </c>
      <c r="M35" s="40">
        <f>IFERROR(IF(M$4="",0,IF($E35="kWh",VLOOKUP(M$4,'4. Billing Determinants'!$B$19:$R$41,4,0)/'4. Billing Determinants'!$E$41*$D35,IF($E35="kW",VLOOKUP(M$4,'4. Billing Determinants'!$B$19:$R$41,5,0)/'4. Billing Determinants'!$F$41*$D35,IF($E35="Non-RPP kWh",VLOOKUP(M$4,'4. Billing Determinants'!$B$19:$R$41,6,0)/'4. Billing Determinants'!$G$41*$D35,IF($E35="Distribution Rev.",VLOOKUP(M$4,'4. Billing Determinants'!$B$19:$R$41,8,0)/'4. Billing Determinants'!$I$41*$D35, VLOOKUP(M$4,'4. Billing Determinants'!$B$19:$R$41,3,0)/'4. Billing Determinants'!$D$41*$D35))))),0)</f>
        <v>0</v>
      </c>
      <c r="N35" s="40">
        <f>IFERROR(IF(N$4="",0,IF($E35="kWh",VLOOKUP(N$4,'4. Billing Determinants'!$B$19:$R$41,4,0)/'4. Billing Determinants'!$E$41*$D35,IF($E35="kW",VLOOKUP(N$4,'4. Billing Determinants'!$B$19:$R$41,5,0)/'4. Billing Determinants'!$F$41*$D35,IF($E35="Non-RPP kWh",VLOOKUP(N$4,'4. Billing Determinants'!$B$19:$R$41,6,0)/'4. Billing Determinants'!$G$41*$D35,IF($E35="Distribution Rev.",VLOOKUP(N$4,'4. Billing Determinants'!$B$19:$R$41,8,0)/'4. Billing Determinants'!$I$41*$D35, VLOOKUP(N$4,'4. Billing Determinants'!$B$19:$R$41,3,0)/'4. Billing Determinants'!$D$41*$D35))))),0)</f>
        <v>0</v>
      </c>
      <c r="O35" s="40">
        <f>IFERROR(IF(O$4="",0,IF($E35="kWh",VLOOKUP(O$4,'4. Billing Determinants'!$B$19:$R$41,4,0)/'4. Billing Determinants'!$E$41*$D35,IF($E35="kW",VLOOKUP(O$4,'4. Billing Determinants'!$B$19:$R$41,5,0)/'4. Billing Determinants'!$F$41*$D35,IF($E35="Non-RPP kWh",VLOOKUP(O$4,'4. Billing Determinants'!$B$19:$R$41,6,0)/'4. Billing Determinants'!$G$41*$D35,IF($E35="Distribution Rev.",VLOOKUP(O$4,'4. Billing Determinants'!$B$19:$R$41,8,0)/'4. Billing Determinants'!$I$41*$D35, VLOOKUP(O$4,'4. Billing Determinants'!$B$19:$R$41,3,0)/'4. Billing Determinants'!$D$41*$D35))))),0)</f>
        <v>0</v>
      </c>
      <c r="P35" s="40">
        <f>IFERROR(IF(P$4="",0,IF($E35="kWh",VLOOKUP(P$4,'4. Billing Determinants'!$B$19:$R$41,4,0)/'4. Billing Determinants'!$E$41*$D35,IF($E35="kW",VLOOKUP(P$4,'4. Billing Determinants'!$B$19:$R$41,5,0)/'4. Billing Determinants'!$F$41*$D35,IF($E35="Non-RPP kWh",VLOOKUP(P$4,'4. Billing Determinants'!$B$19:$R$41,6,0)/'4. Billing Determinants'!$G$41*$D35,IF($E35="Distribution Rev.",VLOOKUP(P$4,'4. Billing Determinants'!$B$19:$R$41,8,0)/'4. Billing Determinants'!$I$41*$D35, VLOOKUP(P$4,'4. Billing Determinants'!$B$19:$R$41,3,0)/'4. Billing Determinants'!$D$41*$D35))))),0)</f>
        <v>0</v>
      </c>
      <c r="Q35" s="40">
        <f>IFERROR(IF(Q$4="",0,IF($E35="kWh",VLOOKUP(Q$4,'4. Billing Determinants'!$B$19:$R$41,4,0)/'4. Billing Determinants'!$E$41*$D35,IF($E35="kW",VLOOKUP(Q$4,'4. Billing Determinants'!$B$19:$R$41,5,0)/'4. Billing Determinants'!$F$41*$D35,IF($E35="Non-RPP kWh",VLOOKUP(Q$4,'4. Billing Determinants'!$B$19:$R$41,6,0)/'4. Billing Determinants'!$G$41*$D35,IF($E35="Distribution Rev.",VLOOKUP(Q$4,'4. Billing Determinants'!$B$19:$R$41,8,0)/'4. Billing Determinants'!$I$41*$D35, VLOOKUP(Q$4,'4. Billing Determinants'!$B$19:$R$41,3,0)/'4. Billing Determinants'!$D$41*$D35))))),0)</f>
        <v>0</v>
      </c>
      <c r="R35" s="40">
        <f>IFERROR(IF(R$4="",0,IF($E35="kWh",VLOOKUP(R$4,'4. Billing Determinants'!$B$19:$R$41,4,0)/'4. Billing Determinants'!$E$41*$D35,IF($E35="kW",VLOOKUP(R$4,'4. Billing Determinants'!$B$19:$R$41,5,0)/'4. Billing Determinants'!$F$41*$D35,IF($E35="Non-RPP kWh",VLOOKUP(R$4,'4. Billing Determinants'!$B$19:$R$41,6,0)/'4. Billing Determinants'!$G$41*$D35,IF($E35="Distribution Rev.",VLOOKUP(R$4,'4. Billing Determinants'!$B$19:$R$41,8,0)/'4. Billing Determinants'!$I$41*$D35, VLOOKUP(R$4,'4. Billing Determinants'!$B$19:$R$41,3,0)/'4. Billing Determinants'!$D$41*$D35))))),0)</f>
        <v>0</v>
      </c>
      <c r="S35" s="40">
        <f>IFERROR(IF(S$4="",0,IF($E35="kWh",VLOOKUP(S$4,'4. Billing Determinants'!$B$19:$R$41,4,0)/'4. Billing Determinants'!$E$41*$D35,IF($E35="kW",VLOOKUP(S$4,'4. Billing Determinants'!$B$19:$R$41,5,0)/'4. Billing Determinants'!$F$41*$D35,IF($E35="Non-RPP kWh",VLOOKUP(S$4,'4. Billing Determinants'!$B$19:$R$41,6,0)/'4. Billing Determinants'!$G$41*$D35,IF($E35="Distribution Rev.",VLOOKUP(S$4,'4. Billing Determinants'!$B$19:$R$41,8,0)/'4. Billing Determinants'!$I$41*$D35, VLOOKUP(S$4,'4. Billing Determinants'!$B$19:$R$41,3,0)/'4. Billing Determinants'!$D$41*$D35))))),0)</f>
        <v>0</v>
      </c>
      <c r="T35" s="40">
        <f>IFERROR(IF(T$4="",0,IF($E35="kWh",VLOOKUP(T$4,'4. Billing Determinants'!$B$19:$R$41,4,0)/'4. Billing Determinants'!$E$41*$D35,IF($E35="kW",VLOOKUP(T$4,'4. Billing Determinants'!$B$19:$R$41,5,0)/'4. Billing Determinants'!$F$41*$D35,IF($E35="Non-RPP kWh",VLOOKUP(T$4,'4. Billing Determinants'!$B$19:$R$41,6,0)/'4. Billing Determinants'!$G$41*$D35,IF($E35="Distribution Rev.",VLOOKUP(T$4,'4. Billing Determinants'!$B$19:$R$41,8,0)/'4. Billing Determinants'!$I$41*$D35, VLOOKUP(T$4,'4. Billing Determinants'!$B$19:$R$41,3,0)/'4. Billing Determinants'!$D$41*$D35))))),0)</f>
        <v>0</v>
      </c>
      <c r="U35" s="40">
        <f>IFERROR(IF(U$4="",0,IF($E35="kWh",VLOOKUP(U$4,'4. Billing Determinants'!$B$19:$R$41,4,0)/'4. Billing Determinants'!$E$41*$D35,IF($E35="kW",VLOOKUP(U$4,'4. Billing Determinants'!$B$19:$R$41,5,0)/'4. Billing Determinants'!$F$41*$D35,IF($E35="Non-RPP kWh",VLOOKUP(U$4,'4. Billing Determinants'!$B$19:$R$41,6,0)/'4. Billing Determinants'!$G$41*$D35,IF($E35="Distribution Rev.",VLOOKUP(U$4,'4. Billing Determinants'!$B$19:$R$41,8,0)/'4. Billing Determinants'!$I$41*$D35, VLOOKUP(U$4,'4. Billing Determinants'!$B$19:$R$41,3,0)/'4. Billing Determinants'!$D$41*$D35))))),0)</f>
        <v>0</v>
      </c>
      <c r="V35" s="40">
        <f>IFERROR(IF(V$4="",0,IF($E35="kWh",VLOOKUP(V$4,'4. Billing Determinants'!$B$19:$R$41,4,0)/'4. Billing Determinants'!$E$41*$D35,IF($E35="kW",VLOOKUP(V$4,'4. Billing Determinants'!$B$19:$R$41,5,0)/'4. Billing Determinants'!$F$41*$D35,IF($E35="Non-RPP kWh",VLOOKUP(V$4,'4. Billing Determinants'!$B$19:$R$41,6,0)/'4. Billing Determinants'!$G$41*$D35,IF($E35="Distribution Rev.",VLOOKUP(V$4,'4. Billing Determinants'!$B$19:$R$41,8,0)/'4. Billing Determinants'!$I$41*$D35, VLOOKUP(V$4,'4. Billing Determinants'!$B$19:$R$41,3,0)/'4. Billing Determinants'!$D$41*$D35))))),0)</f>
        <v>0</v>
      </c>
      <c r="W35" s="40">
        <f>IFERROR(IF(W$4="",0,IF($E35="kWh",VLOOKUP(W$4,'4. Billing Determinants'!$B$19:$R$41,4,0)/'4. Billing Determinants'!$E$41*$D35,IF($E35="kW",VLOOKUP(W$4,'4. Billing Determinants'!$B$19:$R$41,5,0)/'4. Billing Determinants'!$F$41*$D35,IF($E35="Non-RPP kWh",VLOOKUP(W$4,'4. Billing Determinants'!$B$19:$R$41,6,0)/'4. Billing Determinants'!$G$41*$D35,IF($E35="Distribution Rev.",VLOOKUP(W$4,'4. Billing Determinants'!$B$19:$R$41,8,0)/'4. Billing Determinants'!$I$41*$D35, VLOOKUP(W$4,'4. Billing Determinants'!$B$19:$R$41,3,0)/'4. Billing Determinants'!$D$41*$D35))))),0)</f>
        <v>0</v>
      </c>
      <c r="X35" s="40">
        <f>IFERROR(IF(X$4="",0,IF($E35="kWh",VLOOKUP(X$4,'4. Billing Determinants'!$B$19:$R$41,4,0)/'4. Billing Determinants'!$E$41*$D35,IF($E35="kW",VLOOKUP(X$4,'4. Billing Determinants'!$B$19:$R$41,5,0)/'4. Billing Determinants'!$F$41*$D35,IF($E35="Non-RPP kWh",VLOOKUP(X$4,'4. Billing Determinants'!$B$19:$R$41,6,0)/'4. Billing Determinants'!$G$41*$D35,IF($E35="Distribution Rev.",VLOOKUP(X$4,'4. Billing Determinants'!$B$19:$R$41,8,0)/'4. Billing Determinants'!$I$41*$D35, VLOOKUP(X$4,'4. Billing Determinants'!$B$19:$R$41,3,0)/'4. Billing Determinants'!$D$41*$D35))))),0)</f>
        <v>0</v>
      </c>
      <c r="Y35" s="40">
        <f>IFERROR(IF(Y$4="",0,IF($E35="kWh",VLOOKUP(Y$4,'4. Billing Determinants'!$B$19:$R$41,4,0)/'4. Billing Determinants'!$E$41*$D35,IF($E35="kW",VLOOKUP(Y$4,'4. Billing Determinants'!$B$19:$R$41,5,0)/'4. Billing Determinants'!$F$41*$D35,IF($E35="Non-RPP kWh",VLOOKUP(Y$4,'4. Billing Determinants'!$B$19:$R$41,6,0)/'4. Billing Determinants'!$G$41*$D35,IF($E35="Distribution Rev.",VLOOKUP(Y$4,'4. Billing Determinants'!$B$19:$R$41,8,0)/'4. Billing Determinants'!$I$41*$D35, VLOOKUP(Y$4,'4. Billing Determinants'!$B$19:$R$41,3,0)/'4. Billing Determinants'!$D$41*$D35))))),0)</f>
        <v>0</v>
      </c>
    </row>
    <row r="36" spans="1:25" x14ac:dyDescent="0.25">
      <c r="B36" s="345" t="str">
        <f>IF('2b. Continuity Schedule'!C62="","",'2b. Continuity Schedule'!C62)</f>
        <v/>
      </c>
      <c r="C36" s="39">
        <v>1508</v>
      </c>
      <c r="D36" s="40">
        <f>'2b. Continuity Schedule'!BT62</f>
        <v>0</v>
      </c>
      <c r="E36" s="61" t="s">
        <v>139</v>
      </c>
      <c r="F36" s="40">
        <f>IFERROR(IF(F$4="",0,IF($E36="kWh",VLOOKUP(F$4,'4. Billing Determinants'!$B$19:$R$41,4,0)/'4. Billing Determinants'!$E$41*$D36,IF($E36="kW",VLOOKUP(F$4,'4. Billing Determinants'!$B$19:$R$41,5,0)/'4. Billing Determinants'!$F$41*$D36,IF($E36="Non-RPP kWh",VLOOKUP(F$4,'4. Billing Determinants'!$B$19:$R$41,6,0)/'4. Billing Determinants'!$G$41*$D36,IF($E36="Distribution Rev.",VLOOKUP(F$4,'4. Billing Determinants'!$B$19:$R$41,8,0)/'4. Billing Determinants'!$I$41*$D36, VLOOKUP(F$4,'4. Billing Determinants'!$B$19:$R$41,3,0)/'4. Billing Determinants'!$D$41*$D36))))),0)</f>
        <v>0</v>
      </c>
      <c r="G36" s="40">
        <f>IFERROR(IF(G$4="",0,IF($E36="kWh",VLOOKUP(G$4,'4. Billing Determinants'!$B$19:$R$41,4,0)/'4. Billing Determinants'!$E$41*$D36,IF($E36="kW",VLOOKUP(G$4,'4. Billing Determinants'!$B$19:$R$41,5,0)/'4. Billing Determinants'!$F$41*$D36,IF($E36="Non-RPP kWh",VLOOKUP(G$4,'4. Billing Determinants'!$B$19:$R$41,6,0)/'4. Billing Determinants'!$G$41*$D36,IF($E36="Distribution Rev.",VLOOKUP(G$4,'4. Billing Determinants'!$B$19:$R$41,8,0)/'4. Billing Determinants'!$I$41*$D36, VLOOKUP(G$4,'4. Billing Determinants'!$B$19:$R$41,3,0)/'4. Billing Determinants'!$D$41*$D36))))),0)</f>
        <v>0</v>
      </c>
      <c r="H36" s="40">
        <f>IFERROR(IF(H$4="",0,IF($E36="kWh",VLOOKUP(H$4,'4. Billing Determinants'!$B$19:$R$41,4,0)/'4. Billing Determinants'!$E$41*$D36,IF($E36="kW",VLOOKUP(H$4,'4. Billing Determinants'!$B$19:$R$41,5,0)/'4. Billing Determinants'!$F$41*$D36,IF($E36="Non-RPP kWh",VLOOKUP(H$4,'4. Billing Determinants'!$B$19:$R$41,6,0)/'4. Billing Determinants'!$G$41*$D36,IF($E36="Distribution Rev.",VLOOKUP(H$4,'4. Billing Determinants'!$B$19:$R$41,8,0)/'4. Billing Determinants'!$I$41*$D36, VLOOKUP(H$4,'4. Billing Determinants'!$B$19:$R$41,3,0)/'4. Billing Determinants'!$D$41*$D36))))),0)</f>
        <v>0</v>
      </c>
      <c r="I36" s="40">
        <f>IFERROR(IF(I$4="",0,IF($E36="kWh",VLOOKUP(I$4,'4. Billing Determinants'!$B$19:$R$41,4,0)/'4. Billing Determinants'!$E$41*$D36,IF($E36="kW",VLOOKUP(I$4,'4. Billing Determinants'!$B$19:$R$41,5,0)/'4. Billing Determinants'!$F$41*$D36,IF($E36="Non-RPP kWh",VLOOKUP(I$4,'4. Billing Determinants'!$B$19:$R$41,6,0)/'4. Billing Determinants'!$G$41*$D36,IF($E36="Distribution Rev.",VLOOKUP(I$4,'4. Billing Determinants'!$B$19:$R$41,8,0)/'4. Billing Determinants'!$I$41*$D36, VLOOKUP(I$4,'4. Billing Determinants'!$B$19:$R$41,3,0)/'4. Billing Determinants'!$D$41*$D36))))),0)</f>
        <v>0</v>
      </c>
      <c r="J36" s="40">
        <f>IFERROR(IF(J$4="",0,IF($E36="kWh",VLOOKUP(J$4,'4. Billing Determinants'!$B$19:$R$41,4,0)/'4. Billing Determinants'!$E$41*$D36,IF($E36="kW",VLOOKUP(J$4,'4. Billing Determinants'!$B$19:$R$41,5,0)/'4. Billing Determinants'!$F$41*$D36,IF($E36="Non-RPP kWh",VLOOKUP(J$4,'4. Billing Determinants'!$B$19:$R$41,6,0)/'4. Billing Determinants'!$G$41*$D36,IF($E36="Distribution Rev.",VLOOKUP(J$4,'4. Billing Determinants'!$B$19:$R$41,8,0)/'4. Billing Determinants'!$I$41*$D36, VLOOKUP(J$4,'4. Billing Determinants'!$B$19:$R$41,3,0)/'4. Billing Determinants'!$D$41*$D36))))),0)</f>
        <v>0</v>
      </c>
      <c r="K36" s="40">
        <f>IFERROR(IF(K$4="",0,IF($E36="kWh",VLOOKUP(K$4,'4. Billing Determinants'!$B$19:$R$41,4,0)/'4. Billing Determinants'!$E$41*$D36,IF($E36="kW",VLOOKUP(K$4,'4. Billing Determinants'!$B$19:$R$41,5,0)/'4. Billing Determinants'!$F$41*$D36,IF($E36="Non-RPP kWh",VLOOKUP(K$4,'4. Billing Determinants'!$B$19:$R$41,6,0)/'4. Billing Determinants'!$G$41*$D36,IF($E36="Distribution Rev.",VLOOKUP(K$4,'4. Billing Determinants'!$B$19:$R$41,8,0)/'4. Billing Determinants'!$I$41*$D36, VLOOKUP(K$4,'4. Billing Determinants'!$B$19:$R$41,3,0)/'4. Billing Determinants'!$D$41*$D36))))),0)</f>
        <v>0</v>
      </c>
      <c r="L36" s="40">
        <f>IFERROR(IF(L$4="",0,IF($E36="kWh",VLOOKUP(L$4,'4. Billing Determinants'!$B$19:$R$41,4,0)/'4. Billing Determinants'!$E$41*$D36,IF($E36="kW",VLOOKUP(L$4,'4. Billing Determinants'!$B$19:$R$41,5,0)/'4. Billing Determinants'!$F$41*$D36,IF($E36="Non-RPP kWh",VLOOKUP(L$4,'4. Billing Determinants'!$B$19:$R$41,6,0)/'4. Billing Determinants'!$G$41*$D36,IF($E36="Distribution Rev.",VLOOKUP(L$4,'4. Billing Determinants'!$B$19:$R$41,8,0)/'4. Billing Determinants'!$I$41*$D36, VLOOKUP(L$4,'4. Billing Determinants'!$B$19:$R$41,3,0)/'4. Billing Determinants'!$D$41*$D36))))),0)</f>
        <v>0</v>
      </c>
      <c r="M36" s="40">
        <f>IFERROR(IF(M$4="",0,IF($E36="kWh",VLOOKUP(M$4,'4. Billing Determinants'!$B$19:$R$41,4,0)/'4. Billing Determinants'!$E$41*$D36,IF($E36="kW",VLOOKUP(M$4,'4. Billing Determinants'!$B$19:$R$41,5,0)/'4. Billing Determinants'!$F$41*$D36,IF($E36="Non-RPP kWh",VLOOKUP(M$4,'4. Billing Determinants'!$B$19:$R$41,6,0)/'4. Billing Determinants'!$G$41*$D36,IF($E36="Distribution Rev.",VLOOKUP(M$4,'4. Billing Determinants'!$B$19:$R$41,8,0)/'4. Billing Determinants'!$I$41*$D36, VLOOKUP(M$4,'4. Billing Determinants'!$B$19:$R$41,3,0)/'4. Billing Determinants'!$D$41*$D36))))),0)</f>
        <v>0</v>
      </c>
      <c r="N36" s="40">
        <f>IFERROR(IF(N$4="",0,IF($E36="kWh",VLOOKUP(N$4,'4. Billing Determinants'!$B$19:$R$41,4,0)/'4. Billing Determinants'!$E$41*$D36,IF($E36="kW",VLOOKUP(N$4,'4. Billing Determinants'!$B$19:$R$41,5,0)/'4. Billing Determinants'!$F$41*$D36,IF($E36="Non-RPP kWh",VLOOKUP(N$4,'4. Billing Determinants'!$B$19:$R$41,6,0)/'4. Billing Determinants'!$G$41*$D36,IF($E36="Distribution Rev.",VLOOKUP(N$4,'4. Billing Determinants'!$B$19:$R$41,8,0)/'4. Billing Determinants'!$I$41*$D36, VLOOKUP(N$4,'4. Billing Determinants'!$B$19:$R$41,3,0)/'4. Billing Determinants'!$D$41*$D36))))),0)</f>
        <v>0</v>
      </c>
      <c r="O36" s="40">
        <f>IFERROR(IF(O$4="",0,IF($E36="kWh",VLOOKUP(O$4,'4. Billing Determinants'!$B$19:$R$41,4,0)/'4. Billing Determinants'!$E$41*$D36,IF($E36="kW",VLOOKUP(O$4,'4. Billing Determinants'!$B$19:$R$41,5,0)/'4. Billing Determinants'!$F$41*$D36,IF($E36="Non-RPP kWh",VLOOKUP(O$4,'4. Billing Determinants'!$B$19:$R$41,6,0)/'4. Billing Determinants'!$G$41*$D36,IF($E36="Distribution Rev.",VLOOKUP(O$4,'4. Billing Determinants'!$B$19:$R$41,8,0)/'4. Billing Determinants'!$I$41*$D36, VLOOKUP(O$4,'4. Billing Determinants'!$B$19:$R$41,3,0)/'4. Billing Determinants'!$D$41*$D36))))),0)</f>
        <v>0</v>
      </c>
      <c r="P36" s="40">
        <f>IFERROR(IF(P$4="",0,IF($E36="kWh",VLOOKUP(P$4,'4. Billing Determinants'!$B$19:$R$41,4,0)/'4. Billing Determinants'!$E$41*$D36,IF($E36="kW",VLOOKUP(P$4,'4. Billing Determinants'!$B$19:$R$41,5,0)/'4. Billing Determinants'!$F$41*$D36,IF($E36="Non-RPP kWh",VLOOKUP(P$4,'4. Billing Determinants'!$B$19:$R$41,6,0)/'4. Billing Determinants'!$G$41*$D36,IF($E36="Distribution Rev.",VLOOKUP(P$4,'4. Billing Determinants'!$B$19:$R$41,8,0)/'4. Billing Determinants'!$I$41*$D36, VLOOKUP(P$4,'4. Billing Determinants'!$B$19:$R$41,3,0)/'4. Billing Determinants'!$D$41*$D36))))),0)</f>
        <v>0</v>
      </c>
      <c r="Q36" s="40">
        <f>IFERROR(IF(Q$4="",0,IF($E36="kWh",VLOOKUP(Q$4,'4. Billing Determinants'!$B$19:$R$41,4,0)/'4. Billing Determinants'!$E$41*$D36,IF($E36="kW",VLOOKUP(Q$4,'4. Billing Determinants'!$B$19:$R$41,5,0)/'4. Billing Determinants'!$F$41*$D36,IF($E36="Non-RPP kWh",VLOOKUP(Q$4,'4. Billing Determinants'!$B$19:$R$41,6,0)/'4. Billing Determinants'!$G$41*$D36,IF($E36="Distribution Rev.",VLOOKUP(Q$4,'4. Billing Determinants'!$B$19:$R$41,8,0)/'4. Billing Determinants'!$I$41*$D36, VLOOKUP(Q$4,'4. Billing Determinants'!$B$19:$R$41,3,0)/'4. Billing Determinants'!$D$41*$D36))))),0)</f>
        <v>0</v>
      </c>
      <c r="R36" s="40">
        <f>IFERROR(IF(R$4="",0,IF($E36="kWh",VLOOKUP(R$4,'4. Billing Determinants'!$B$19:$R$41,4,0)/'4. Billing Determinants'!$E$41*$D36,IF($E36="kW",VLOOKUP(R$4,'4. Billing Determinants'!$B$19:$R$41,5,0)/'4. Billing Determinants'!$F$41*$D36,IF($E36="Non-RPP kWh",VLOOKUP(R$4,'4. Billing Determinants'!$B$19:$R$41,6,0)/'4. Billing Determinants'!$G$41*$D36,IF($E36="Distribution Rev.",VLOOKUP(R$4,'4. Billing Determinants'!$B$19:$R$41,8,0)/'4. Billing Determinants'!$I$41*$D36, VLOOKUP(R$4,'4. Billing Determinants'!$B$19:$R$41,3,0)/'4. Billing Determinants'!$D$41*$D36))))),0)</f>
        <v>0</v>
      </c>
      <c r="S36" s="40">
        <f>IFERROR(IF(S$4="",0,IF($E36="kWh",VLOOKUP(S$4,'4. Billing Determinants'!$B$19:$R$41,4,0)/'4. Billing Determinants'!$E$41*$D36,IF($E36="kW",VLOOKUP(S$4,'4. Billing Determinants'!$B$19:$R$41,5,0)/'4. Billing Determinants'!$F$41*$D36,IF($E36="Non-RPP kWh",VLOOKUP(S$4,'4. Billing Determinants'!$B$19:$R$41,6,0)/'4. Billing Determinants'!$G$41*$D36,IF($E36="Distribution Rev.",VLOOKUP(S$4,'4. Billing Determinants'!$B$19:$R$41,8,0)/'4. Billing Determinants'!$I$41*$D36, VLOOKUP(S$4,'4. Billing Determinants'!$B$19:$R$41,3,0)/'4. Billing Determinants'!$D$41*$D36))))),0)</f>
        <v>0</v>
      </c>
      <c r="T36" s="40">
        <f>IFERROR(IF(T$4="",0,IF($E36="kWh",VLOOKUP(T$4,'4. Billing Determinants'!$B$19:$R$41,4,0)/'4. Billing Determinants'!$E$41*$D36,IF($E36="kW",VLOOKUP(T$4,'4. Billing Determinants'!$B$19:$R$41,5,0)/'4. Billing Determinants'!$F$41*$D36,IF($E36="Non-RPP kWh",VLOOKUP(T$4,'4. Billing Determinants'!$B$19:$R$41,6,0)/'4. Billing Determinants'!$G$41*$D36,IF($E36="Distribution Rev.",VLOOKUP(T$4,'4. Billing Determinants'!$B$19:$R$41,8,0)/'4. Billing Determinants'!$I$41*$D36, VLOOKUP(T$4,'4. Billing Determinants'!$B$19:$R$41,3,0)/'4. Billing Determinants'!$D$41*$D36))))),0)</f>
        <v>0</v>
      </c>
      <c r="U36" s="40">
        <f>IFERROR(IF(U$4="",0,IF($E36="kWh",VLOOKUP(U$4,'4. Billing Determinants'!$B$19:$R$41,4,0)/'4. Billing Determinants'!$E$41*$D36,IF($E36="kW",VLOOKUP(U$4,'4. Billing Determinants'!$B$19:$R$41,5,0)/'4. Billing Determinants'!$F$41*$D36,IF($E36="Non-RPP kWh",VLOOKUP(U$4,'4. Billing Determinants'!$B$19:$R$41,6,0)/'4. Billing Determinants'!$G$41*$D36,IF($E36="Distribution Rev.",VLOOKUP(U$4,'4. Billing Determinants'!$B$19:$R$41,8,0)/'4. Billing Determinants'!$I$41*$D36, VLOOKUP(U$4,'4. Billing Determinants'!$B$19:$R$41,3,0)/'4. Billing Determinants'!$D$41*$D36))))),0)</f>
        <v>0</v>
      </c>
      <c r="V36" s="40">
        <f>IFERROR(IF(V$4="",0,IF($E36="kWh",VLOOKUP(V$4,'4. Billing Determinants'!$B$19:$R$41,4,0)/'4. Billing Determinants'!$E$41*$D36,IF($E36="kW",VLOOKUP(V$4,'4. Billing Determinants'!$B$19:$R$41,5,0)/'4. Billing Determinants'!$F$41*$D36,IF($E36="Non-RPP kWh",VLOOKUP(V$4,'4. Billing Determinants'!$B$19:$R$41,6,0)/'4. Billing Determinants'!$G$41*$D36,IF($E36="Distribution Rev.",VLOOKUP(V$4,'4. Billing Determinants'!$B$19:$R$41,8,0)/'4. Billing Determinants'!$I$41*$D36, VLOOKUP(V$4,'4. Billing Determinants'!$B$19:$R$41,3,0)/'4. Billing Determinants'!$D$41*$D36))))),0)</f>
        <v>0</v>
      </c>
      <c r="W36" s="40">
        <f>IFERROR(IF(W$4="",0,IF($E36="kWh",VLOOKUP(W$4,'4. Billing Determinants'!$B$19:$R$41,4,0)/'4. Billing Determinants'!$E$41*$D36,IF($E36="kW",VLOOKUP(W$4,'4. Billing Determinants'!$B$19:$R$41,5,0)/'4. Billing Determinants'!$F$41*$D36,IF($E36="Non-RPP kWh",VLOOKUP(W$4,'4. Billing Determinants'!$B$19:$R$41,6,0)/'4. Billing Determinants'!$G$41*$D36,IF($E36="Distribution Rev.",VLOOKUP(W$4,'4. Billing Determinants'!$B$19:$R$41,8,0)/'4. Billing Determinants'!$I$41*$D36, VLOOKUP(W$4,'4. Billing Determinants'!$B$19:$R$41,3,0)/'4. Billing Determinants'!$D$41*$D36))))),0)</f>
        <v>0</v>
      </c>
      <c r="X36" s="40">
        <f>IFERROR(IF(X$4="",0,IF($E36="kWh",VLOOKUP(X$4,'4. Billing Determinants'!$B$19:$R$41,4,0)/'4. Billing Determinants'!$E$41*$D36,IF($E36="kW",VLOOKUP(X$4,'4. Billing Determinants'!$B$19:$R$41,5,0)/'4. Billing Determinants'!$F$41*$D36,IF($E36="Non-RPP kWh",VLOOKUP(X$4,'4. Billing Determinants'!$B$19:$R$41,6,0)/'4. Billing Determinants'!$G$41*$D36,IF($E36="Distribution Rev.",VLOOKUP(X$4,'4. Billing Determinants'!$B$19:$R$41,8,0)/'4. Billing Determinants'!$I$41*$D36, VLOOKUP(X$4,'4. Billing Determinants'!$B$19:$R$41,3,0)/'4. Billing Determinants'!$D$41*$D36))))),0)</f>
        <v>0</v>
      </c>
      <c r="Y36" s="40">
        <f>IFERROR(IF(Y$4="",0,IF($E36="kWh",VLOOKUP(Y$4,'4. Billing Determinants'!$B$19:$R$41,4,0)/'4. Billing Determinants'!$E$41*$D36,IF($E36="kW",VLOOKUP(Y$4,'4. Billing Determinants'!$B$19:$R$41,5,0)/'4. Billing Determinants'!$F$41*$D36,IF($E36="Non-RPP kWh",VLOOKUP(Y$4,'4. Billing Determinants'!$B$19:$R$41,6,0)/'4. Billing Determinants'!$G$41*$D36,IF($E36="Distribution Rev.",VLOOKUP(Y$4,'4. Billing Determinants'!$B$19:$R$41,8,0)/'4. Billing Determinants'!$I$41*$D36, VLOOKUP(Y$4,'4. Billing Determinants'!$B$19:$R$41,3,0)/'4. Billing Determinants'!$D$41*$D36))))),0)</f>
        <v>0</v>
      </c>
    </row>
    <row r="37" spans="1:25" x14ac:dyDescent="0.25">
      <c r="B37" s="345" t="str">
        <f>IF('2b. Continuity Schedule'!C63="","",'2b. Continuity Schedule'!C63)</f>
        <v/>
      </c>
      <c r="C37" s="39">
        <v>1508</v>
      </c>
      <c r="D37" s="40">
        <f>'2b. Continuity Schedule'!BT63</f>
        <v>0</v>
      </c>
      <c r="E37" s="61" t="s">
        <v>139</v>
      </c>
      <c r="F37" s="40">
        <f>IFERROR(IF(F$4="",0,IF($E37="kWh",VLOOKUP(F$4,'4. Billing Determinants'!$B$19:$R$41,4,0)/'4. Billing Determinants'!$E$41*$D37,IF($E37="kW",VLOOKUP(F$4,'4. Billing Determinants'!$B$19:$R$41,5,0)/'4. Billing Determinants'!$F$41*$D37,IF($E37="Non-RPP kWh",VLOOKUP(F$4,'4. Billing Determinants'!$B$19:$R$41,6,0)/'4. Billing Determinants'!$G$41*$D37,IF($E37="Distribution Rev.",VLOOKUP(F$4,'4. Billing Determinants'!$B$19:$R$41,8,0)/'4. Billing Determinants'!$I$41*$D37, VLOOKUP(F$4,'4. Billing Determinants'!$B$19:$R$41,3,0)/'4. Billing Determinants'!$D$41*$D37))))),0)</f>
        <v>0</v>
      </c>
      <c r="G37" s="40">
        <f>IFERROR(IF(G$4="",0,IF($E37="kWh",VLOOKUP(G$4,'4. Billing Determinants'!$B$19:$R$41,4,0)/'4. Billing Determinants'!$E$41*$D37,IF($E37="kW",VLOOKUP(G$4,'4. Billing Determinants'!$B$19:$R$41,5,0)/'4. Billing Determinants'!$F$41*$D37,IF($E37="Non-RPP kWh",VLOOKUP(G$4,'4. Billing Determinants'!$B$19:$R$41,6,0)/'4. Billing Determinants'!$G$41*$D37,IF($E37="Distribution Rev.",VLOOKUP(G$4,'4. Billing Determinants'!$B$19:$R$41,8,0)/'4. Billing Determinants'!$I$41*$D37, VLOOKUP(G$4,'4. Billing Determinants'!$B$19:$R$41,3,0)/'4. Billing Determinants'!$D$41*$D37))))),0)</f>
        <v>0</v>
      </c>
      <c r="H37" s="40">
        <f>IFERROR(IF(H$4="",0,IF($E37="kWh",VLOOKUP(H$4,'4. Billing Determinants'!$B$19:$R$41,4,0)/'4. Billing Determinants'!$E$41*$D37,IF($E37="kW",VLOOKUP(H$4,'4. Billing Determinants'!$B$19:$R$41,5,0)/'4. Billing Determinants'!$F$41*$D37,IF($E37="Non-RPP kWh",VLOOKUP(H$4,'4. Billing Determinants'!$B$19:$R$41,6,0)/'4. Billing Determinants'!$G$41*$D37,IF($E37="Distribution Rev.",VLOOKUP(H$4,'4. Billing Determinants'!$B$19:$R$41,8,0)/'4. Billing Determinants'!$I$41*$D37, VLOOKUP(H$4,'4. Billing Determinants'!$B$19:$R$41,3,0)/'4. Billing Determinants'!$D$41*$D37))))),0)</f>
        <v>0</v>
      </c>
      <c r="I37" s="40">
        <f>IFERROR(IF(I$4="",0,IF($E37="kWh",VLOOKUP(I$4,'4. Billing Determinants'!$B$19:$R$41,4,0)/'4. Billing Determinants'!$E$41*$D37,IF($E37="kW",VLOOKUP(I$4,'4. Billing Determinants'!$B$19:$R$41,5,0)/'4. Billing Determinants'!$F$41*$D37,IF($E37="Non-RPP kWh",VLOOKUP(I$4,'4. Billing Determinants'!$B$19:$R$41,6,0)/'4. Billing Determinants'!$G$41*$D37,IF($E37="Distribution Rev.",VLOOKUP(I$4,'4. Billing Determinants'!$B$19:$R$41,8,0)/'4. Billing Determinants'!$I$41*$D37, VLOOKUP(I$4,'4. Billing Determinants'!$B$19:$R$41,3,0)/'4. Billing Determinants'!$D$41*$D37))))),0)</f>
        <v>0</v>
      </c>
      <c r="J37" s="40">
        <f>IFERROR(IF(J$4="",0,IF($E37="kWh",VLOOKUP(J$4,'4. Billing Determinants'!$B$19:$R$41,4,0)/'4. Billing Determinants'!$E$41*$D37,IF($E37="kW",VLOOKUP(J$4,'4. Billing Determinants'!$B$19:$R$41,5,0)/'4. Billing Determinants'!$F$41*$D37,IF($E37="Non-RPP kWh",VLOOKUP(J$4,'4. Billing Determinants'!$B$19:$R$41,6,0)/'4. Billing Determinants'!$G$41*$D37,IF($E37="Distribution Rev.",VLOOKUP(J$4,'4. Billing Determinants'!$B$19:$R$41,8,0)/'4. Billing Determinants'!$I$41*$D37, VLOOKUP(J$4,'4. Billing Determinants'!$B$19:$R$41,3,0)/'4. Billing Determinants'!$D$41*$D37))))),0)</f>
        <v>0</v>
      </c>
      <c r="K37" s="40">
        <f>IFERROR(IF(K$4="",0,IF($E37="kWh",VLOOKUP(K$4,'4. Billing Determinants'!$B$19:$R$41,4,0)/'4. Billing Determinants'!$E$41*$D37,IF($E37="kW",VLOOKUP(K$4,'4. Billing Determinants'!$B$19:$R$41,5,0)/'4. Billing Determinants'!$F$41*$D37,IF($E37="Non-RPP kWh",VLOOKUP(K$4,'4. Billing Determinants'!$B$19:$R$41,6,0)/'4. Billing Determinants'!$G$41*$D37,IF($E37="Distribution Rev.",VLOOKUP(K$4,'4. Billing Determinants'!$B$19:$R$41,8,0)/'4. Billing Determinants'!$I$41*$D37, VLOOKUP(K$4,'4. Billing Determinants'!$B$19:$R$41,3,0)/'4. Billing Determinants'!$D$41*$D37))))),0)</f>
        <v>0</v>
      </c>
      <c r="L37" s="40">
        <f>IFERROR(IF(L$4="",0,IF($E37="kWh",VLOOKUP(L$4,'4. Billing Determinants'!$B$19:$R$41,4,0)/'4. Billing Determinants'!$E$41*$D37,IF($E37="kW",VLOOKUP(L$4,'4. Billing Determinants'!$B$19:$R$41,5,0)/'4. Billing Determinants'!$F$41*$D37,IF($E37="Non-RPP kWh",VLOOKUP(L$4,'4. Billing Determinants'!$B$19:$R$41,6,0)/'4. Billing Determinants'!$G$41*$D37,IF($E37="Distribution Rev.",VLOOKUP(L$4,'4. Billing Determinants'!$B$19:$R$41,8,0)/'4. Billing Determinants'!$I$41*$D37, VLOOKUP(L$4,'4. Billing Determinants'!$B$19:$R$41,3,0)/'4. Billing Determinants'!$D$41*$D37))))),0)</f>
        <v>0</v>
      </c>
      <c r="M37" s="40">
        <f>IFERROR(IF(M$4="",0,IF($E37="kWh",VLOOKUP(M$4,'4. Billing Determinants'!$B$19:$R$41,4,0)/'4. Billing Determinants'!$E$41*$D37,IF($E37="kW",VLOOKUP(M$4,'4. Billing Determinants'!$B$19:$R$41,5,0)/'4. Billing Determinants'!$F$41*$D37,IF($E37="Non-RPP kWh",VLOOKUP(M$4,'4. Billing Determinants'!$B$19:$R$41,6,0)/'4. Billing Determinants'!$G$41*$D37,IF($E37="Distribution Rev.",VLOOKUP(M$4,'4. Billing Determinants'!$B$19:$R$41,8,0)/'4. Billing Determinants'!$I$41*$D37, VLOOKUP(M$4,'4. Billing Determinants'!$B$19:$R$41,3,0)/'4. Billing Determinants'!$D$41*$D37))))),0)</f>
        <v>0</v>
      </c>
      <c r="N37" s="40">
        <f>IFERROR(IF(N$4="",0,IF($E37="kWh",VLOOKUP(N$4,'4. Billing Determinants'!$B$19:$R$41,4,0)/'4. Billing Determinants'!$E$41*$D37,IF($E37="kW",VLOOKUP(N$4,'4. Billing Determinants'!$B$19:$R$41,5,0)/'4. Billing Determinants'!$F$41*$D37,IF($E37="Non-RPP kWh",VLOOKUP(N$4,'4. Billing Determinants'!$B$19:$R$41,6,0)/'4. Billing Determinants'!$G$41*$D37,IF($E37="Distribution Rev.",VLOOKUP(N$4,'4. Billing Determinants'!$B$19:$R$41,8,0)/'4. Billing Determinants'!$I$41*$D37, VLOOKUP(N$4,'4. Billing Determinants'!$B$19:$R$41,3,0)/'4. Billing Determinants'!$D$41*$D37))))),0)</f>
        <v>0</v>
      </c>
      <c r="O37" s="40">
        <f>IFERROR(IF(O$4="",0,IF($E37="kWh",VLOOKUP(O$4,'4. Billing Determinants'!$B$19:$R$41,4,0)/'4. Billing Determinants'!$E$41*$D37,IF($E37="kW",VLOOKUP(O$4,'4. Billing Determinants'!$B$19:$R$41,5,0)/'4. Billing Determinants'!$F$41*$D37,IF($E37="Non-RPP kWh",VLOOKUP(O$4,'4. Billing Determinants'!$B$19:$R$41,6,0)/'4. Billing Determinants'!$G$41*$D37,IF($E37="Distribution Rev.",VLOOKUP(O$4,'4. Billing Determinants'!$B$19:$R$41,8,0)/'4. Billing Determinants'!$I$41*$D37, VLOOKUP(O$4,'4. Billing Determinants'!$B$19:$R$41,3,0)/'4. Billing Determinants'!$D$41*$D37))))),0)</f>
        <v>0</v>
      </c>
      <c r="P37" s="40">
        <f>IFERROR(IF(P$4="",0,IF($E37="kWh",VLOOKUP(P$4,'4. Billing Determinants'!$B$19:$R$41,4,0)/'4. Billing Determinants'!$E$41*$D37,IF($E37="kW",VLOOKUP(P$4,'4. Billing Determinants'!$B$19:$R$41,5,0)/'4. Billing Determinants'!$F$41*$D37,IF($E37="Non-RPP kWh",VLOOKUP(P$4,'4. Billing Determinants'!$B$19:$R$41,6,0)/'4. Billing Determinants'!$G$41*$D37,IF($E37="Distribution Rev.",VLOOKUP(P$4,'4. Billing Determinants'!$B$19:$R$41,8,0)/'4. Billing Determinants'!$I$41*$D37, VLOOKUP(P$4,'4. Billing Determinants'!$B$19:$R$41,3,0)/'4. Billing Determinants'!$D$41*$D37))))),0)</f>
        <v>0</v>
      </c>
      <c r="Q37" s="40">
        <f>IFERROR(IF(Q$4="",0,IF($E37="kWh",VLOOKUP(Q$4,'4. Billing Determinants'!$B$19:$R$41,4,0)/'4. Billing Determinants'!$E$41*$D37,IF($E37="kW",VLOOKUP(Q$4,'4. Billing Determinants'!$B$19:$R$41,5,0)/'4. Billing Determinants'!$F$41*$D37,IF($E37="Non-RPP kWh",VLOOKUP(Q$4,'4. Billing Determinants'!$B$19:$R$41,6,0)/'4. Billing Determinants'!$G$41*$D37,IF($E37="Distribution Rev.",VLOOKUP(Q$4,'4. Billing Determinants'!$B$19:$R$41,8,0)/'4. Billing Determinants'!$I$41*$D37, VLOOKUP(Q$4,'4. Billing Determinants'!$B$19:$R$41,3,0)/'4. Billing Determinants'!$D$41*$D37))))),0)</f>
        <v>0</v>
      </c>
      <c r="R37" s="40">
        <f>IFERROR(IF(R$4="",0,IF($E37="kWh",VLOOKUP(R$4,'4. Billing Determinants'!$B$19:$R$41,4,0)/'4. Billing Determinants'!$E$41*$D37,IF($E37="kW",VLOOKUP(R$4,'4. Billing Determinants'!$B$19:$R$41,5,0)/'4. Billing Determinants'!$F$41*$D37,IF($E37="Non-RPP kWh",VLOOKUP(R$4,'4. Billing Determinants'!$B$19:$R$41,6,0)/'4. Billing Determinants'!$G$41*$D37,IF($E37="Distribution Rev.",VLOOKUP(R$4,'4. Billing Determinants'!$B$19:$R$41,8,0)/'4. Billing Determinants'!$I$41*$D37, VLOOKUP(R$4,'4. Billing Determinants'!$B$19:$R$41,3,0)/'4. Billing Determinants'!$D$41*$D37))))),0)</f>
        <v>0</v>
      </c>
      <c r="S37" s="40">
        <f>IFERROR(IF(S$4="",0,IF($E37="kWh",VLOOKUP(S$4,'4. Billing Determinants'!$B$19:$R$41,4,0)/'4. Billing Determinants'!$E$41*$D37,IF($E37="kW",VLOOKUP(S$4,'4. Billing Determinants'!$B$19:$R$41,5,0)/'4. Billing Determinants'!$F$41*$D37,IF($E37="Non-RPP kWh",VLOOKUP(S$4,'4. Billing Determinants'!$B$19:$R$41,6,0)/'4. Billing Determinants'!$G$41*$D37,IF($E37="Distribution Rev.",VLOOKUP(S$4,'4. Billing Determinants'!$B$19:$R$41,8,0)/'4. Billing Determinants'!$I$41*$D37, VLOOKUP(S$4,'4. Billing Determinants'!$B$19:$R$41,3,0)/'4. Billing Determinants'!$D$41*$D37))))),0)</f>
        <v>0</v>
      </c>
      <c r="T37" s="40">
        <f>IFERROR(IF(T$4="",0,IF($E37="kWh",VLOOKUP(T$4,'4. Billing Determinants'!$B$19:$R$41,4,0)/'4. Billing Determinants'!$E$41*$D37,IF($E37="kW",VLOOKUP(T$4,'4. Billing Determinants'!$B$19:$R$41,5,0)/'4. Billing Determinants'!$F$41*$D37,IF($E37="Non-RPP kWh",VLOOKUP(T$4,'4. Billing Determinants'!$B$19:$R$41,6,0)/'4. Billing Determinants'!$G$41*$D37,IF($E37="Distribution Rev.",VLOOKUP(T$4,'4. Billing Determinants'!$B$19:$R$41,8,0)/'4. Billing Determinants'!$I$41*$D37, VLOOKUP(T$4,'4. Billing Determinants'!$B$19:$R$41,3,0)/'4. Billing Determinants'!$D$41*$D37))))),0)</f>
        <v>0</v>
      </c>
      <c r="U37" s="40">
        <f>IFERROR(IF(U$4="",0,IF($E37="kWh",VLOOKUP(U$4,'4. Billing Determinants'!$B$19:$R$41,4,0)/'4. Billing Determinants'!$E$41*$D37,IF($E37="kW",VLOOKUP(U$4,'4. Billing Determinants'!$B$19:$R$41,5,0)/'4. Billing Determinants'!$F$41*$D37,IF($E37="Non-RPP kWh",VLOOKUP(U$4,'4. Billing Determinants'!$B$19:$R$41,6,0)/'4. Billing Determinants'!$G$41*$D37,IF($E37="Distribution Rev.",VLOOKUP(U$4,'4. Billing Determinants'!$B$19:$R$41,8,0)/'4. Billing Determinants'!$I$41*$D37, VLOOKUP(U$4,'4. Billing Determinants'!$B$19:$R$41,3,0)/'4. Billing Determinants'!$D$41*$D37))))),0)</f>
        <v>0</v>
      </c>
      <c r="V37" s="40">
        <f>IFERROR(IF(V$4="",0,IF($E37="kWh",VLOOKUP(V$4,'4. Billing Determinants'!$B$19:$R$41,4,0)/'4. Billing Determinants'!$E$41*$D37,IF($E37="kW",VLOOKUP(V$4,'4. Billing Determinants'!$B$19:$R$41,5,0)/'4. Billing Determinants'!$F$41*$D37,IF($E37="Non-RPP kWh",VLOOKUP(V$4,'4. Billing Determinants'!$B$19:$R$41,6,0)/'4. Billing Determinants'!$G$41*$D37,IF($E37="Distribution Rev.",VLOOKUP(V$4,'4. Billing Determinants'!$B$19:$R$41,8,0)/'4. Billing Determinants'!$I$41*$D37, VLOOKUP(V$4,'4. Billing Determinants'!$B$19:$R$41,3,0)/'4. Billing Determinants'!$D$41*$D37))))),0)</f>
        <v>0</v>
      </c>
      <c r="W37" s="40">
        <f>IFERROR(IF(W$4="",0,IF($E37="kWh",VLOOKUP(W$4,'4. Billing Determinants'!$B$19:$R$41,4,0)/'4. Billing Determinants'!$E$41*$D37,IF($E37="kW",VLOOKUP(W$4,'4. Billing Determinants'!$B$19:$R$41,5,0)/'4. Billing Determinants'!$F$41*$D37,IF($E37="Non-RPP kWh",VLOOKUP(W$4,'4. Billing Determinants'!$B$19:$R$41,6,0)/'4. Billing Determinants'!$G$41*$D37,IF($E37="Distribution Rev.",VLOOKUP(W$4,'4. Billing Determinants'!$B$19:$R$41,8,0)/'4. Billing Determinants'!$I$41*$D37, VLOOKUP(W$4,'4. Billing Determinants'!$B$19:$R$41,3,0)/'4. Billing Determinants'!$D$41*$D37))))),0)</f>
        <v>0</v>
      </c>
      <c r="X37" s="40">
        <f>IFERROR(IF(X$4="",0,IF($E37="kWh",VLOOKUP(X$4,'4. Billing Determinants'!$B$19:$R$41,4,0)/'4. Billing Determinants'!$E$41*$D37,IF($E37="kW",VLOOKUP(X$4,'4. Billing Determinants'!$B$19:$R$41,5,0)/'4. Billing Determinants'!$F$41*$D37,IF($E37="Non-RPP kWh",VLOOKUP(X$4,'4. Billing Determinants'!$B$19:$R$41,6,0)/'4. Billing Determinants'!$G$41*$D37,IF($E37="Distribution Rev.",VLOOKUP(X$4,'4. Billing Determinants'!$B$19:$R$41,8,0)/'4. Billing Determinants'!$I$41*$D37, VLOOKUP(X$4,'4. Billing Determinants'!$B$19:$R$41,3,0)/'4. Billing Determinants'!$D$41*$D37))))),0)</f>
        <v>0</v>
      </c>
      <c r="Y37" s="40">
        <f>IFERROR(IF(Y$4="",0,IF($E37="kWh",VLOOKUP(Y$4,'4. Billing Determinants'!$B$19:$R$41,4,0)/'4. Billing Determinants'!$E$41*$D37,IF($E37="kW",VLOOKUP(Y$4,'4. Billing Determinants'!$B$19:$R$41,5,0)/'4. Billing Determinants'!$F$41*$D37,IF($E37="Non-RPP kWh",VLOOKUP(Y$4,'4. Billing Determinants'!$B$19:$R$41,6,0)/'4. Billing Determinants'!$G$41*$D37,IF($E37="Distribution Rev.",VLOOKUP(Y$4,'4. Billing Determinants'!$B$19:$R$41,8,0)/'4. Billing Determinants'!$I$41*$D37, VLOOKUP(Y$4,'4. Billing Determinants'!$B$19:$R$41,3,0)/'4. Billing Determinants'!$D$41*$D37))))),0)</f>
        <v>0</v>
      </c>
    </row>
    <row r="38" spans="1:25" x14ac:dyDescent="0.25">
      <c r="B38" s="345" t="str">
        <f>IF('2b. Continuity Schedule'!C64="","",'2b. Continuity Schedule'!C64)</f>
        <v/>
      </c>
      <c r="C38" s="39">
        <v>1508</v>
      </c>
      <c r="D38" s="40">
        <f>'2b. Continuity Schedule'!BT64</f>
        <v>0</v>
      </c>
      <c r="E38" s="61" t="s">
        <v>139</v>
      </c>
      <c r="F38" s="40">
        <f>IFERROR(IF(F$4="",0,IF($E38="kWh",VLOOKUP(F$4,'4. Billing Determinants'!$B$19:$R$41,4,0)/'4. Billing Determinants'!$E$41*$D38,IF($E38="kW",VLOOKUP(F$4,'4. Billing Determinants'!$B$19:$R$41,5,0)/'4. Billing Determinants'!$F$41*$D38,IF($E38="Non-RPP kWh",VLOOKUP(F$4,'4. Billing Determinants'!$B$19:$R$41,6,0)/'4. Billing Determinants'!$G$41*$D38,IF($E38="Distribution Rev.",VLOOKUP(F$4,'4. Billing Determinants'!$B$19:$R$41,8,0)/'4. Billing Determinants'!$I$41*$D38, VLOOKUP(F$4,'4. Billing Determinants'!$B$19:$R$41,3,0)/'4. Billing Determinants'!$D$41*$D38))))),0)</f>
        <v>0</v>
      </c>
      <c r="G38" s="40">
        <f>IFERROR(IF(G$4="",0,IF($E38="kWh",VLOOKUP(G$4,'4. Billing Determinants'!$B$19:$R$41,4,0)/'4. Billing Determinants'!$E$41*$D38,IF($E38="kW",VLOOKUP(G$4,'4. Billing Determinants'!$B$19:$R$41,5,0)/'4. Billing Determinants'!$F$41*$D38,IF($E38="Non-RPP kWh",VLOOKUP(G$4,'4. Billing Determinants'!$B$19:$R$41,6,0)/'4. Billing Determinants'!$G$41*$D38,IF($E38="Distribution Rev.",VLOOKUP(G$4,'4. Billing Determinants'!$B$19:$R$41,8,0)/'4. Billing Determinants'!$I$41*$D38, VLOOKUP(G$4,'4. Billing Determinants'!$B$19:$R$41,3,0)/'4. Billing Determinants'!$D$41*$D38))))),0)</f>
        <v>0</v>
      </c>
      <c r="H38" s="40">
        <f>IFERROR(IF(H$4="",0,IF($E38="kWh",VLOOKUP(H$4,'4. Billing Determinants'!$B$19:$R$41,4,0)/'4. Billing Determinants'!$E$41*$D38,IF($E38="kW",VLOOKUP(H$4,'4. Billing Determinants'!$B$19:$R$41,5,0)/'4. Billing Determinants'!$F$41*$D38,IF($E38="Non-RPP kWh",VLOOKUP(H$4,'4. Billing Determinants'!$B$19:$R$41,6,0)/'4. Billing Determinants'!$G$41*$D38,IF($E38="Distribution Rev.",VLOOKUP(H$4,'4. Billing Determinants'!$B$19:$R$41,8,0)/'4. Billing Determinants'!$I$41*$D38, VLOOKUP(H$4,'4. Billing Determinants'!$B$19:$R$41,3,0)/'4. Billing Determinants'!$D$41*$D38))))),0)</f>
        <v>0</v>
      </c>
      <c r="I38" s="40">
        <f>IFERROR(IF(I$4="",0,IF($E38="kWh",VLOOKUP(I$4,'4. Billing Determinants'!$B$19:$R$41,4,0)/'4. Billing Determinants'!$E$41*$D38,IF($E38="kW",VLOOKUP(I$4,'4. Billing Determinants'!$B$19:$R$41,5,0)/'4. Billing Determinants'!$F$41*$D38,IF($E38="Non-RPP kWh",VLOOKUP(I$4,'4. Billing Determinants'!$B$19:$R$41,6,0)/'4. Billing Determinants'!$G$41*$D38,IF($E38="Distribution Rev.",VLOOKUP(I$4,'4. Billing Determinants'!$B$19:$R$41,8,0)/'4. Billing Determinants'!$I$41*$D38, VLOOKUP(I$4,'4. Billing Determinants'!$B$19:$R$41,3,0)/'4. Billing Determinants'!$D$41*$D38))))),0)</f>
        <v>0</v>
      </c>
      <c r="J38" s="40">
        <f>IFERROR(IF(J$4="",0,IF($E38="kWh",VLOOKUP(J$4,'4. Billing Determinants'!$B$19:$R$41,4,0)/'4. Billing Determinants'!$E$41*$D38,IF($E38="kW",VLOOKUP(J$4,'4. Billing Determinants'!$B$19:$R$41,5,0)/'4. Billing Determinants'!$F$41*$D38,IF($E38="Non-RPP kWh",VLOOKUP(J$4,'4. Billing Determinants'!$B$19:$R$41,6,0)/'4. Billing Determinants'!$G$41*$D38,IF($E38="Distribution Rev.",VLOOKUP(J$4,'4. Billing Determinants'!$B$19:$R$41,8,0)/'4. Billing Determinants'!$I$41*$D38, VLOOKUP(J$4,'4. Billing Determinants'!$B$19:$R$41,3,0)/'4. Billing Determinants'!$D$41*$D38))))),0)</f>
        <v>0</v>
      </c>
      <c r="K38" s="40">
        <f>IFERROR(IF(K$4="",0,IF($E38="kWh",VLOOKUP(K$4,'4. Billing Determinants'!$B$19:$R$41,4,0)/'4. Billing Determinants'!$E$41*$D38,IF($E38="kW",VLOOKUP(K$4,'4. Billing Determinants'!$B$19:$R$41,5,0)/'4. Billing Determinants'!$F$41*$D38,IF($E38="Non-RPP kWh",VLOOKUP(K$4,'4. Billing Determinants'!$B$19:$R$41,6,0)/'4. Billing Determinants'!$G$41*$D38,IF($E38="Distribution Rev.",VLOOKUP(K$4,'4. Billing Determinants'!$B$19:$R$41,8,0)/'4. Billing Determinants'!$I$41*$D38, VLOOKUP(K$4,'4. Billing Determinants'!$B$19:$R$41,3,0)/'4. Billing Determinants'!$D$41*$D38))))),0)</f>
        <v>0</v>
      </c>
      <c r="L38" s="40">
        <f>IFERROR(IF(L$4="",0,IF($E38="kWh",VLOOKUP(L$4,'4. Billing Determinants'!$B$19:$R$41,4,0)/'4. Billing Determinants'!$E$41*$D38,IF($E38="kW",VLOOKUP(L$4,'4. Billing Determinants'!$B$19:$R$41,5,0)/'4. Billing Determinants'!$F$41*$D38,IF($E38="Non-RPP kWh",VLOOKUP(L$4,'4. Billing Determinants'!$B$19:$R$41,6,0)/'4. Billing Determinants'!$G$41*$D38,IF($E38="Distribution Rev.",VLOOKUP(L$4,'4. Billing Determinants'!$B$19:$R$41,8,0)/'4. Billing Determinants'!$I$41*$D38, VLOOKUP(L$4,'4. Billing Determinants'!$B$19:$R$41,3,0)/'4. Billing Determinants'!$D$41*$D38))))),0)</f>
        <v>0</v>
      </c>
      <c r="M38" s="40">
        <f>IFERROR(IF(M$4="",0,IF($E38="kWh",VLOOKUP(M$4,'4. Billing Determinants'!$B$19:$R$41,4,0)/'4. Billing Determinants'!$E$41*$D38,IF($E38="kW",VLOOKUP(M$4,'4. Billing Determinants'!$B$19:$R$41,5,0)/'4. Billing Determinants'!$F$41*$D38,IF($E38="Non-RPP kWh",VLOOKUP(M$4,'4. Billing Determinants'!$B$19:$R$41,6,0)/'4. Billing Determinants'!$G$41*$D38,IF($E38="Distribution Rev.",VLOOKUP(M$4,'4. Billing Determinants'!$B$19:$R$41,8,0)/'4. Billing Determinants'!$I$41*$D38, VLOOKUP(M$4,'4. Billing Determinants'!$B$19:$R$41,3,0)/'4. Billing Determinants'!$D$41*$D38))))),0)</f>
        <v>0</v>
      </c>
      <c r="N38" s="40">
        <f>IFERROR(IF(N$4="",0,IF($E38="kWh",VLOOKUP(N$4,'4. Billing Determinants'!$B$19:$R$41,4,0)/'4. Billing Determinants'!$E$41*$D38,IF($E38="kW",VLOOKUP(N$4,'4. Billing Determinants'!$B$19:$R$41,5,0)/'4. Billing Determinants'!$F$41*$D38,IF($E38="Non-RPP kWh",VLOOKUP(N$4,'4. Billing Determinants'!$B$19:$R$41,6,0)/'4. Billing Determinants'!$G$41*$D38,IF($E38="Distribution Rev.",VLOOKUP(N$4,'4. Billing Determinants'!$B$19:$R$41,8,0)/'4. Billing Determinants'!$I$41*$D38, VLOOKUP(N$4,'4. Billing Determinants'!$B$19:$R$41,3,0)/'4. Billing Determinants'!$D$41*$D38))))),0)</f>
        <v>0</v>
      </c>
      <c r="O38" s="40">
        <f>IFERROR(IF(O$4="",0,IF($E38="kWh",VLOOKUP(O$4,'4. Billing Determinants'!$B$19:$R$41,4,0)/'4. Billing Determinants'!$E$41*$D38,IF($E38="kW",VLOOKUP(O$4,'4. Billing Determinants'!$B$19:$R$41,5,0)/'4. Billing Determinants'!$F$41*$D38,IF($E38="Non-RPP kWh",VLOOKUP(O$4,'4. Billing Determinants'!$B$19:$R$41,6,0)/'4. Billing Determinants'!$G$41*$D38,IF($E38="Distribution Rev.",VLOOKUP(O$4,'4. Billing Determinants'!$B$19:$R$41,8,0)/'4. Billing Determinants'!$I$41*$D38, VLOOKUP(O$4,'4. Billing Determinants'!$B$19:$R$41,3,0)/'4. Billing Determinants'!$D$41*$D38))))),0)</f>
        <v>0</v>
      </c>
      <c r="P38" s="40">
        <f>IFERROR(IF(P$4="",0,IF($E38="kWh",VLOOKUP(P$4,'4. Billing Determinants'!$B$19:$R$41,4,0)/'4. Billing Determinants'!$E$41*$D38,IF($E38="kW",VLOOKUP(P$4,'4. Billing Determinants'!$B$19:$R$41,5,0)/'4. Billing Determinants'!$F$41*$D38,IF($E38="Non-RPP kWh",VLOOKUP(P$4,'4. Billing Determinants'!$B$19:$R$41,6,0)/'4. Billing Determinants'!$G$41*$D38,IF($E38="Distribution Rev.",VLOOKUP(P$4,'4. Billing Determinants'!$B$19:$R$41,8,0)/'4. Billing Determinants'!$I$41*$D38, VLOOKUP(P$4,'4. Billing Determinants'!$B$19:$R$41,3,0)/'4. Billing Determinants'!$D$41*$D38))))),0)</f>
        <v>0</v>
      </c>
      <c r="Q38" s="40">
        <f>IFERROR(IF(Q$4="",0,IF($E38="kWh",VLOOKUP(Q$4,'4. Billing Determinants'!$B$19:$R$41,4,0)/'4. Billing Determinants'!$E$41*$D38,IF($E38="kW",VLOOKUP(Q$4,'4. Billing Determinants'!$B$19:$R$41,5,0)/'4. Billing Determinants'!$F$41*$D38,IF($E38="Non-RPP kWh",VLOOKUP(Q$4,'4. Billing Determinants'!$B$19:$R$41,6,0)/'4. Billing Determinants'!$G$41*$D38,IF($E38="Distribution Rev.",VLOOKUP(Q$4,'4. Billing Determinants'!$B$19:$R$41,8,0)/'4. Billing Determinants'!$I$41*$D38, VLOOKUP(Q$4,'4. Billing Determinants'!$B$19:$R$41,3,0)/'4. Billing Determinants'!$D$41*$D38))))),0)</f>
        <v>0</v>
      </c>
      <c r="R38" s="40">
        <f>IFERROR(IF(R$4="",0,IF($E38="kWh",VLOOKUP(R$4,'4. Billing Determinants'!$B$19:$R$41,4,0)/'4. Billing Determinants'!$E$41*$D38,IF($E38="kW",VLOOKUP(R$4,'4. Billing Determinants'!$B$19:$R$41,5,0)/'4. Billing Determinants'!$F$41*$D38,IF($E38="Non-RPP kWh",VLOOKUP(R$4,'4. Billing Determinants'!$B$19:$R$41,6,0)/'4. Billing Determinants'!$G$41*$D38,IF($E38="Distribution Rev.",VLOOKUP(R$4,'4. Billing Determinants'!$B$19:$R$41,8,0)/'4. Billing Determinants'!$I$41*$D38, VLOOKUP(R$4,'4. Billing Determinants'!$B$19:$R$41,3,0)/'4. Billing Determinants'!$D$41*$D38))))),0)</f>
        <v>0</v>
      </c>
      <c r="S38" s="40">
        <f>IFERROR(IF(S$4="",0,IF($E38="kWh",VLOOKUP(S$4,'4. Billing Determinants'!$B$19:$R$41,4,0)/'4. Billing Determinants'!$E$41*$D38,IF($E38="kW",VLOOKUP(S$4,'4. Billing Determinants'!$B$19:$R$41,5,0)/'4. Billing Determinants'!$F$41*$D38,IF($E38="Non-RPP kWh",VLOOKUP(S$4,'4. Billing Determinants'!$B$19:$R$41,6,0)/'4. Billing Determinants'!$G$41*$D38,IF($E38="Distribution Rev.",VLOOKUP(S$4,'4. Billing Determinants'!$B$19:$R$41,8,0)/'4. Billing Determinants'!$I$41*$D38, VLOOKUP(S$4,'4. Billing Determinants'!$B$19:$R$41,3,0)/'4. Billing Determinants'!$D$41*$D38))))),0)</f>
        <v>0</v>
      </c>
      <c r="T38" s="40">
        <f>IFERROR(IF(T$4="",0,IF($E38="kWh",VLOOKUP(T$4,'4. Billing Determinants'!$B$19:$R$41,4,0)/'4. Billing Determinants'!$E$41*$D38,IF($E38="kW",VLOOKUP(T$4,'4. Billing Determinants'!$B$19:$R$41,5,0)/'4. Billing Determinants'!$F$41*$D38,IF($E38="Non-RPP kWh",VLOOKUP(T$4,'4. Billing Determinants'!$B$19:$R$41,6,0)/'4. Billing Determinants'!$G$41*$D38,IF($E38="Distribution Rev.",VLOOKUP(T$4,'4. Billing Determinants'!$B$19:$R$41,8,0)/'4. Billing Determinants'!$I$41*$D38, VLOOKUP(T$4,'4. Billing Determinants'!$B$19:$R$41,3,0)/'4. Billing Determinants'!$D$41*$D38))))),0)</f>
        <v>0</v>
      </c>
      <c r="U38" s="40">
        <f>IFERROR(IF(U$4="",0,IF($E38="kWh",VLOOKUP(U$4,'4. Billing Determinants'!$B$19:$R$41,4,0)/'4. Billing Determinants'!$E$41*$D38,IF($E38="kW",VLOOKUP(U$4,'4. Billing Determinants'!$B$19:$R$41,5,0)/'4. Billing Determinants'!$F$41*$D38,IF($E38="Non-RPP kWh",VLOOKUP(U$4,'4. Billing Determinants'!$B$19:$R$41,6,0)/'4. Billing Determinants'!$G$41*$D38,IF($E38="Distribution Rev.",VLOOKUP(U$4,'4. Billing Determinants'!$B$19:$R$41,8,0)/'4. Billing Determinants'!$I$41*$D38, VLOOKUP(U$4,'4. Billing Determinants'!$B$19:$R$41,3,0)/'4. Billing Determinants'!$D$41*$D38))))),0)</f>
        <v>0</v>
      </c>
      <c r="V38" s="40">
        <f>IFERROR(IF(V$4="",0,IF($E38="kWh",VLOOKUP(V$4,'4. Billing Determinants'!$B$19:$R$41,4,0)/'4. Billing Determinants'!$E$41*$D38,IF($E38="kW",VLOOKUP(V$4,'4. Billing Determinants'!$B$19:$R$41,5,0)/'4. Billing Determinants'!$F$41*$D38,IF($E38="Non-RPP kWh",VLOOKUP(V$4,'4. Billing Determinants'!$B$19:$R$41,6,0)/'4. Billing Determinants'!$G$41*$D38,IF($E38="Distribution Rev.",VLOOKUP(V$4,'4. Billing Determinants'!$B$19:$R$41,8,0)/'4. Billing Determinants'!$I$41*$D38, VLOOKUP(V$4,'4. Billing Determinants'!$B$19:$R$41,3,0)/'4. Billing Determinants'!$D$41*$D38))))),0)</f>
        <v>0</v>
      </c>
      <c r="W38" s="40">
        <f>IFERROR(IF(W$4="",0,IF($E38="kWh",VLOOKUP(W$4,'4. Billing Determinants'!$B$19:$R$41,4,0)/'4. Billing Determinants'!$E$41*$D38,IF($E38="kW",VLOOKUP(W$4,'4. Billing Determinants'!$B$19:$R$41,5,0)/'4. Billing Determinants'!$F$41*$D38,IF($E38="Non-RPP kWh",VLOOKUP(W$4,'4. Billing Determinants'!$B$19:$R$41,6,0)/'4. Billing Determinants'!$G$41*$D38,IF($E38="Distribution Rev.",VLOOKUP(W$4,'4. Billing Determinants'!$B$19:$R$41,8,0)/'4. Billing Determinants'!$I$41*$D38, VLOOKUP(W$4,'4. Billing Determinants'!$B$19:$R$41,3,0)/'4. Billing Determinants'!$D$41*$D38))))),0)</f>
        <v>0</v>
      </c>
      <c r="X38" s="40">
        <f>IFERROR(IF(X$4="",0,IF($E38="kWh",VLOOKUP(X$4,'4. Billing Determinants'!$B$19:$R$41,4,0)/'4. Billing Determinants'!$E$41*$D38,IF($E38="kW",VLOOKUP(X$4,'4. Billing Determinants'!$B$19:$R$41,5,0)/'4. Billing Determinants'!$F$41*$D38,IF($E38="Non-RPP kWh",VLOOKUP(X$4,'4. Billing Determinants'!$B$19:$R$41,6,0)/'4. Billing Determinants'!$G$41*$D38,IF($E38="Distribution Rev.",VLOOKUP(X$4,'4. Billing Determinants'!$B$19:$R$41,8,0)/'4. Billing Determinants'!$I$41*$D38, VLOOKUP(X$4,'4. Billing Determinants'!$B$19:$R$41,3,0)/'4. Billing Determinants'!$D$41*$D38))))),0)</f>
        <v>0</v>
      </c>
      <c r="Y38" s="40">
        <f>IFERROR(IF(Y$4="",0,IF($E38="kWh",VLOOKUP(Y$4,'4. Billing Determinants'!$B$19:$R$41,4,0)/'4. Billing Determinants'!$E$41*$D38,IF($E38="kW",VLOOKUP(Y$4,'4. Billing Determinants'!$B$19:$R$41,5,0)/'4. Billing Determinants'!$F$41*$D38,IF($E38="Non-RPP kWh",VLOOKUP(Y$4,'4. Billing Determinants'!$B$19:$R$41,6,0)/'4. Billing Determinants'!$G$41*$D38,IF($E38="Distribution Rev.",VLOOKUP(Y$4,'4. Billing Determinants'!$B$19:$R$41,8,0)/'4. Billing Determinants'!$I$41*$D38, VLOOKUP(Y$4,'4. Billing Determinants'!$B$19:$R$41,3,0)/'4. Billing Determinants'!$D$41*$D38))))),0)</f>
        <v>0</v>
      </c>
    </row>
    <row r="39" spans="1:25" x14ac:dyDescent="0.25">
      <c r="B39" s="345" t="str">
        <f>IF('2b. Continuity Schedule'!C65="","",'2b. Continuity Schedule'!C65)</f>
        <v/>
      </c>
      <c r="C39" s="39">
        <v>1508</v>
      </c>
      <c r="D39" s="40">
        <f>'2b. Continuity Schedule'!BT65</f>
        <v>0</v>
      </c>
      <c r="E39" s="61" t="s">
        <v>139</v>
      </c>
      <c r="F39" s="40">
        <f>IFERROR(IF(F$4="",0,IF($E39="kWh",VLOOKUP(F$4,'4. Billing Determinants'!$B$19:$R$41,4,0)/'4. Billing Determinants'!$E$41*$D39,IF($E39="kW",VLOOKUP(F$4,'4. Billing Determinants'!$B$19:$R$41,5,0)/'4. Billing Determinants'!$F$41*$D39,IF($E39="Non-RPP kWh",VLOOKUP(F$4,'4. Billing Determinants'!$B$19:$R$41,6,0)/'4. Billing Determinants'!$G$41*$D39,IF($E39="Distribution Rev.",VLOOKUP(F$4,'4. Billing Determinants'!$B$19:$R$41,8,0)/'4. Billing Determinants'!$I$41*$D39, VLOOKUP(F$4,'4. Billing Determinants'!$B$19:$R$41,3,0)/'4. Billing Determinants'!$D$41*$D39))))),0)</f>
        <v>0</v>
      </c>
      <c r="G39" s="40">
        <f>IFERROR(IF(G$4="",0,IF($E39="kWh",VLOOKUP(G$4,'4. Billing Determinants'!$B$19:$R$41,4,0)/'4. Billing Determinants'!$E$41*$D39,IF($E39="kW",VLOOKUP(G$4,'4. Billing Determinants'!$B$19:$R$41,5,0)/'4. Billing Determinants'!$F$41*$D39,IF($E39="Non-RPP kWh",VLOOKUP(G$4,'4. Billing Determinants'!$B$19:$R$41,6,0)/'4. Billing Determinants'!$G$41*$D39,IF($E39="Distribution Rev.",VLOOKUP(G$4,'4. Billing Determinants'!$B$19:$R$41,8,0)/'4. Billing Determinants'!$I$41*$D39, VLOOKUP(G$4,'4. Billing Determinants'!$B$19:$R$41,3,0)/'4. Billing Determinants'!$D$41*$D39))))),0)</f>
        <v>0</v>
      </c>
      <c r="H39" s="40">
        <f>IFERROR(IF(H$4="",0,IF($E39="kWh",VLOOKUP(H$4,'4. Billing Determinants'!$B$19:$R$41,4,0)/'4. Billing Determinants'!$E$41*$D39,IF($E39="kW",VLOOKUP(H$4,'4. Billing Determinants'!$B$19:$R$41,5,0)/'4. Billing Determinants'!$F$41*$D39,IF($E39="Non-RPP kWh",VLOOKUP(H$4,'4. Billing Determinants'!$B$19:$R$41,6,0)/'4. Billing Determinants'!$G$41*$D39,IF($E39="Distribution Rev.",VLOOKUP(H$4,'4. Billing Determinants'!$B$19:$R$41,8,0)/'4. Billing Determinants'!$I$41*$D39, VLOOKUP(H$4,'4. Billing Determinants'!$B$19:$R$41,3,0)/'4. Billing Determinants'!$D$41*$D39))))),0)</f>
        <v>0</v>
      </c>
      <c r="I39" s="40">
        <f>IFERROR(IF(I$4="",0,IF($E39="kWh",VLOOKUP(I$4,'4. Billing Determinants'!$B$19:$R$41,4,0)/'4. Billing Determinants'!$E$41*$D39,IF($E39="kW",VLOOKUP(I$4,'4. Billing Determinants'!$B$19:$R$41,5,0)/'4. Billing Determinants'!$F$41*$D39,IF($E39="Non-RPP kWh",VLOOKUP(I$4,'4. Billing Determinants'!$B$19:$R$41,6,0)/'4. Billing Determinants'!$G$41*$D39,IF($E39="Distribution Rev.",VLOOKUP(I$4,'4. Billing Determinants'!$B$19:$R$41,8,0)/'4. Billing Determinants'!$I$41*$D39, VLOOKUP(I$4,'4. Billing Determinants'!$B$19:$R$41,3,0)/'4. Billing Determinants'!$D$41*$D39))))),0)</f>
        <v>0</v>
      </c>
      <c r="J39" s="40">
        <f>IFERROR(IF(J$4="",0,IF($E39="kWh",VLOOKUP(J$4,'4. Billing Determinants'!$B$19:$R$41,4,0)/'4. Billing Determinants'!$E$41*$D39,IF($E39="kW",VLOOKUP(J$4,'4. Billing Determinants'!$B$19:$R$41,5,0)/'4. Billing Determinants'!$F$41*$D39,IF($E39="Non-RPP kWh",VLOOKUP(J$4,'4. Billing Determinants'!$B$19:$R$41,6,0)/'4. Billing Determinants'!$G$41*$D39,IF($E39="Distribution Rev.",VLOOKUP(J$4,'4. Billing Determinants'!$B$19:$R$41,8,0)/'4. Billing Determinants'!$I$41*$D39, VLOOKUP(J$4,'4. Billing Determinants'!$B$19:$R$41,3,0)/'4. Billing Determinants'!$D$41*$D39))))),0)</f>
        <v>0</v>
      </c>
      <c r="K39" s="40">
        <f>IFERROR(IF(K$4="",0,IF($E39="kWh",VLOOKUP(K$4,'4. Billing Determinants'!$B$19:$R$41,4,0)/'4. Billing Determinants'!$E$41*$D39,IF($E39="kW",VLOOKUP(K$4,'4. Billing Determinants'!$B$19:$R$41,5,0)/'4. Billing Determinants'!$F$41*$D39,IF($E39="Non-RPP kWh",VLOOKUP(K$4,'4. Billing Determinants'!$B$19:$R$41,6,0)/'4. Billing Determinants'!$G$41*$D39,IF($E39="Distribution Rev.",VLOOKUP(K$4,'4. Billing Determinants'!$B$19:$R$41,8,0)/'4. Billing Determinants'!$I$41*$D39, VLOOKUP(K$4,'4. Billing Determinants'!$B$19:$R$41,3,0)/'4. Billing Determinants'!$D$41*$D39))))),0)</f>
        <v>0</v>
      </c>
      <c r="L39" s="40">
        <f>IFERROR(IF(L$4="",0,IF($E39="kWh",VLOOKUP(L$4,'4. Billing Determinants'!$B$19:$R$41,4,0)/'4. Billing Determinants'!$E$41*$D39,IF($E39="kW",VLOOKUP(L$4,'4. Billing Determinants'!$B$19:$R$41,5,0)/'4. Billing Determinants'!$F$41*$D39,IF($E39="Non-RPP kWh",VLOOKUP(L$4,'4. Billing Determinants'!$B$19:$R$41,6,0)/'4. Billing Determinants'!$G$41*$D39,IF($E39="Distribution Rev.",VLOOKUP(L$4,'4. Billing Determinants'!$B$19:$R$41,8,0)/'4. Billing Determinants'!$I$41*$D39, VLOOKUP(L$4,'4. Billing Determinants'!$B$19:$R$41,3,0)/'4. Billing Determinants'!$D$41*$D39))))),0)</f>
        <v>0</v>
      </c>
      <c r="M39" s="40">
        <f>IFERROR(IF(M$4="",0,IF($E39="kWh",VLOOKUP(M$4,'4. Billing Determinants'!$B$19:$R$41,4,0)/'4. Billing Determinants'!$E$41*$D39,IF($E39="kW",VLOOKUP(M$4,'4. Billing Determinants'!$B$19:$R$41,5,0)/'4. Billing Determinants'!$F$41*$D39,IF($E39="Non-RPP kWh",VLOOKUP(M$4,'4. Billing Determinants'!$B$19:$R$41,6,0)/'4. Billing Determinants'!$G$41*$D39,IF($E39="Distribution Rev.",VLOOKUP(M$4,'4. Billing Determinants'!$B$19:$R$41,8,0)/'4. Billing Determinants'!$I$41*$D39, VLOOKUP(M$4,'4. Billing Determinants'!$B$19:$R$41,3,0)/'4. Billing Determinants'!$D$41*$D39))))),0)</f>
        <v>0</v>
      </c>
      <c r="N39" s="40">
        <f>IFERROR(IF(N$4="",0,IF($E39="kWh",VLOOKUP(N$4,'4. Billing Determinants'!$B$19:$R$41,4,0)/'4. Billing Determinants'!$E$41*$D39,IF($E39="kW",VLOOKUP(N$4,'4. Billing Determinants'!$B$19:$R$41,5,0)/'4. Billing Determinants'!$F$41*$D39,IF($E39="Non-RPP kWh",VLOOKUP(N$4,'4. Billing Determinants'!$B$19:$R$41,6,0)/'4. Billing Determinants'!$G$41*$D39,IF($E39="Distribution Rev.",VLOOKUP(N$4,'4. Billing Determinants'!$B$19:$R$41,8,0)/'4. Billing Determinants'!$I$41*$D39, VLOOKUP(N$4,'4. Billing Determinants'!$B$19:$R$41,3,0)/'4. Billing Determinants'!$D$41*$D39))))),0)</f>
        <v>0</v>
      </c>
      <c r="O39" s="40">
        <f>IFERROR(IF(O$4="",0,IF($E39="kWh",VLOOKUP(O$4,'4. Billing Determinants'!$B$19:$R$41,4,0)/'4. Billing Determinants'!$E$41*$D39,IF($E39="kW",VLOOKUP(O$4,'4. Billing Determinants'!$B$19:$R$41,5,0)/'4. Billing Determinants'!$F$41*$D39,IF($E39="Non-RPP kWh",VLOOKUP(O$4,'4. Billing Determinants'!$B$19:$R$41,6,0)/'4. Billing Determinants'!$G$41*$D39,IF($E39="Distribution Rev.",VLOOKUP(O$4,'4. Billing Determinants'!$B$19:$R$41,8,0)/'4. Billing Determinants'!$I$41*$D39, VLOOKUP(O$4,'4. Billing Determinants'!$B$19:$R$41,3,0)/'4. Billing Determinants'!$D$41*$D39))))),0)</f>
        <v>0</v>
      </c>
      <c r="P39" s="40">
        <f>IFERROR(IF(P$4="",0,IF($E39="kWh",VLOOKUP(P$4,'4. Billing Determinants'!$B$19:$R$41,4,0)/'4. Billing Determinants'!$E$41*$D39,IF($E39="kW",VLOOKUP(P$4,'4. Billing Determinants'!$B$19:$R$41,5,0)/'4. Billing Determinants'!$F$41*$D39,IF($E39="Non-RPP kWh",VLOOKUP(P$4,'4. Billing Determinants'!$B$19:$R$41,6,0)/'4. Billing Determinants'!$G$41*$D39,IF($E39="Distribution Rev.",VLOOKUP(P$4,'4. Billing Determinants'!$B$19:$R$41,8,0)/'4. Billing Determinants'!$I$41*$D39, VLOOKUP(P$4,'4. Billing Determinants'!$B$19:$R$41,3,0)/'4. Billing Determinants'!$D$41*$D39))))),0)</f>
        <v>0</v>
      </c>
      <c r="Q39" s="40">
        <f>IFERROR(IF(Q$4="",0,IF($E39="kWh",VLOOKUP(Q$4,'4. Billing Determinants'!$B$19:$R$41,4,0)/'4. Billing Determinants'!$E$41*$D39,IF($E39="kW",VLOOKUP(Q$4,'4. Billing Determinants'!$B$19:$R$41,5,0)/'4. Billing Determinants'!$F$41*$D39,IF($E39="Non-RPP kWh",VLOOKUP(Q$4,'4. Billing Determinants'!$B$19:$R$41,6,0)/'4. Billing Determinants'!$G$41*$D39,IF($E39="Distribution Rev.",VLOOKUP(Q$4,'4. Billing Determinants'!$B$19:$R$41,8,0)/'4. Billing Determinants'!$I$41*$D39, VLOOKUP(Q$4,'4. Billing Determinants'!$B$19:$R$41,3,0)/'4. Billing Determinants'!$D$41*$D39))))),0)</f>
        <v>0</v>
      </c>
      <c r="R39" s="40">
        <f>IFERROR(IF(R$4="",0,IF($E39="kWh",VLOOKUP(R$4,'4. Billing Determinants'!$B$19:$R$41,4,0)/'4. Billing Determinants'!$E$41*$D39,IF($E39="kW",VLOOKUP(R$4,'4. Billing Determinants'!$B$19:$R$41,5,0)/'4. Billing Determinants'!$F$41*$D39,IF($E39="Non-RPP kWh",VLOOKUP(R$4,'4. Billing Determinants'!$B$19:$R$41,6,0)/'4. Billing Determinants'!$G$41*$D39,IF($E39="Distribution Rev.",VLOOKUP(R$4,'4. Billing Determinants'!$B$19:$R$41,8,0)/'4. Billing Determinants'!$I$41*$D39, VLOOKUP(R$4,'4. Billing Determinants'!$B$19:$R$41,3,0)/'4. Billing Determinants'!$D$41*$D39))))),0)</f>
        <v>0</v>
      </c>
      <c r="S39" s="40">
        <f>IFERROR(IF(S$4="",0,IF($E39="kWh",VLOOKUP(S$4,'4. Billing Determinants'!$B$19:$R$41,4,0)/'4. Billing Determinants'!$E$41*$D39,IF($E39="kW",VLOOKUP(S$4,'4. Billing Determinants'!$B$19:$R$41,5,0)/'4. Billing Determinants'!$F$41*$D39,IF($E39="Non-RPP kWh",VLOOKUP(S$4,'4. Billing Determinants'!$B$19:$R$41,6,0)/'4. Billing Determinants'!$G$41*$D39,IF($E39="Distribution Rev.",VLOOKUP(S$4,'4. Billing Determinants'!$B$19:$R$41,8,0)/'4. Billing Determinants'!$I$41*$D39, VLOOKUP(S$4,'4. Billing Determinants'!$B$19:$R$41,3,0)/'4. Billing Determinants'!$D$41*$D39))))),0)</f>
        <v>0</v>
      </c>
      <c r="T39" s="40">
        <f>IFERROR(IF(T$4="",0,IF($E39="kWh",VLOOKUP(T$4,'4. Billing Determinants'!$B$19:$R$41,4,0)/'4. Billing Determinants'!$E$41*$D39,IF($E39="kW",VLOOKUP(T$4,'4. Billing Determinants'!$B$19:$R$41,5,0)/'4. Billing Determinants'!$F$41*$D39,IF($E39="Non-RPP kWh",VLOOKUP(T$4,'4. Billing Determinants'!$B$19:$R$41,6,0)/'4. Billing Determinants'!$G$41*$D39,IF($E39="Distribution Rev.",VLOOKUP(T$4,'4. Billing Determinants'!$B$19:$R$41,8,0)/'4. Billing Determinants'!$I$41*$D39, VLOOKUP(T$4,'4. Billing Determinants'!$B$19:$R$41,3,0)/'4. Billing Determinants'!$D$41*$D39))))),0)</f>
        <v>0</v>
      </c>
      <c r="U39" s="40">
        <f>IFERROR(IF(U$4="",0,IF($E39="kWh",VLOOKUP(U$4,'4. Billing Determinants'!$B$19:$R$41,4,0)/'4. Billing Determinants'!$E$41*$D39,IF($E39="kW",VLOOKUP(U$4,'4. Billing Determinants'!$B$19:$R$41,5,0)/'4. Billing Determinants'!$F$41*$D39,IF($E39="Non-RPP kWh",VLOOKUP(U$4,'4. Billing Determinants'!$B$19:$R$41,6,0)/'4. Billing Determinants'!$G$41*$D39,IF($E39="Distribution Rev.",VLOOKUP(U$4,'4. Billing Determinants'!$B$19:$R$41,8,0)/'4. Billing Determinants'!$I$41*$D39, VLOOKUP(U$4,'4. Billing Determinants'!$B$19:$R$41,3,0)/'4. Billing Determinants'!$D$41*$D39))))),0)</f>
        <v>0</v>
      </c>
      <c r="V39" s="40">
        <f>IFERROR(IF(V$4="",0,IF($E39="kWh",VLOOKUP(V$4,'4. Billing Determinants'!$B$19:$R$41,4,0)/'4. Billing Determinants'!$E$41*$D39,IF($E39="kW",VLOOKUP(V$4,'4. Billing Determinants'!$B$19:$R$41,5,0)/'4. Billing Determinants'!$F$41*$D39,IF($E39="Non-RPP kWh",VLOOKUP(V$4,'4. Billing Determinants'!$B$19:$R$41,6,0)/'4. Billing Determinants'!$G$41*$D39,IF($E39="Distribution Rev.",VLOOKUP(V$4,'4. Billing Determinants'!$B$19:$R$41,8,0)/'4. Billing Determinants'!$I$41*$D39, VLOOKUP(V$4,'4. Billing Determinants'!$B$19:$R$41,3,0)/'4. Billing Determinants'!$D$41*$D39))))),0)</f>
        <v>0</v>
      </c>
      <c r="W39" s="40">
        <f>IFERROR(IF(W$4="",0,IF($E39="kWh",VLOOKUP(W$4,'4. Billing Determinants'!$B$19:$R$41,4,0)/'4. Billing Determinants'!$E$41*$D39,IF($E39="kW",VLOOKUP(W$4,'4. Billing Determinants'!$B$19:$R$41,5,0)/'4. Billing Determinants'!$F$41*$D39,IF($E39="Non-RPP kWh",VLOOKUP(W$4,'4. Billing Determinants'!$B$19:$R$41,6,0)/'4. Billing Determinants'!$G$41*$D39,IF($E39="Distribution Rev.",VLOOKUP(W$4,'4. Billing Determinants'!$B$19:$R$41,8,0)/'4. Billing Determinants'!$I$41*$D39, VLOOKUP(W$4,'4. Billing Determinants'!$B$19:$R$41,3,0)/'4. Billing Determinants'!$D$41*$D39))))),0)</f>
        <v>0</v>
      </c>
      <c r="X39" s="40">
        <f>IFERROR(IF(X$4="",0,IF($E39="kWh",VLOOKUP(X$4,'4. Billing Determinants'!$B$19:$R$41,4,0)/'4. Billing Determinants'!$E$41*$D39,IF($E39="kW",VLOOKUP(X$4,'4. Billing Determinants'!$B$19:$R$41,5,0)/'4. Billing Determinants'!$F$41*$D39,IF($E39="Non-RPP kWh",VLOOKUP(X$4,'4. Billing Determinants'!$B$19:$R$41,6,0)/'4. Billing Determinants'!$G$41*$D39,IF($E39="Distribution Rev.",VLOOKUP(X$4,'4. Billing Determinants'!$B$19:$R$41,8,0)/'4. Billing Determinants'!$I$41*$D39, VLOOKUP(X$4,'4. Billing Determinants'!$B$19:$R$41,3,0)/'4. Billing Determinants'!$D$41*$D39))))),0)</f>
        <v>0</v>
      </c>
      <c r="Y39" s="40">
        <f>IFERROR(IF(Y$4="",0,IF($E39="kWh",VLOOKUP(Y$4,'4. Billing Determinants'!$B$19:$R$41,4,0)/'4. Billing Determinants'!$E$41*$D39,IF($E39="kW",VLOOKUP(Y$4,'4. Billing Determinants'!$B$19:$R$41,5,0)/'4. Billing Determinants'!$F$41*$D39,IF($E39="Non-RPP kWh",VLOOKUP(Y$4,'4. Billing Determinants'!$B$19:$R$41,6,0)/'4. Billing Determinants'!$G$41*$D39,IF($E39="Distribution Rev.",VLOOKUP(Y$4,'4. Billing Determinants'!$B$19:$R$41,8,0)/'4. Billing Determinants'!$I$41*$D39, VLOOKUP(Y$4,'4. Billing Determinants'!$B$19:$R$41,3,0)/'4. Billing Determinants'!$D$41*$D39))))),0)</f>
        <v>0</v>
      </c>
    </row>
    <row r="40" spans="1:25" x14ac:dyDescent="0.25">
      <c r="B40" s="345" t="str">
        <f>IF('2b. Continuity Schedule'!C66="","",'2b. Continuity Schedule'!C66)</f>
        <v/>
      </c>
      <c r="C40" s="39">
        <v>1508</v>
      </c>
      <c r="D40" s="40">
        <f>'2b. Continuity Schedule'!BT66</f>
        <v>0</v>
      </c>
      <c r="E40" s="61" t="s">
        <v>139</v>
      </c>
      <c r="F40" s="40">
        <f>IFERROR(IF(F$4="",0,IF($E40="kWh",VLOOKUP(F$4,'4. Billing Determinants'!$B$19:$R$41,4,0)/'4. Billing Determinants'!$E$41*$D40,IF($E40="kW",VLOOKUP(F$4,'4. Billing Determinants'!$B$19:$R$41,5,0)/'4. Billing Determinants'!$F$41*$D40,IF($E40="Non-RPP kWh",VLOOKUP(F$4,'4. Billing Determinants'!$B$19:$R$41,6,0)/'4. Billing Determinants'!$G$41*$D40,IF($E40="Distribution Rev.",VLOOKUP(F$4,'4. Billing Determinants'!$B$19:$R$41,8,0)/'4. Billing Determinants'!$I$41*$D40, VLOOKUP(F$4,'4. Billing Determinants'!$B$19:$R$41,3,0)/'4. Billing Determinants'!$D$41*$D40))))),0)</f>
        <v>0</v>
      </c>
      <c r="G40" s="40">
        <f>IFERROR(IF(G$4="",0,IF($E40="kWh",VLOOKUP(G$4,'4. Billing Determinants'!$B$19:$R$41,4,0)/'4. Billing Determinants'!$E$41*$D40,IF($E40="kW",VLOOKUP(G$4,'4. Billing Determinants'!$B$19:$R$41,5,0)/'4. Billing Determinants'!$F$41*$D40,IF($E40="Non-RPP kWh",VLOOKUP(G$4,'4. Billing Determinants'!$B$19:$R$41,6,0)/'4. Billing Determinants'!$G$41*$D40,IF($E40="Distribution Rev.",VLOOKUP(G$4,'4. Billing Determinants'!$B$19:$R$41,8,0)/'4. Billing Determinants'!$I$41*$D40, VLOOKUP(G$4,'4. Billing Determinants'!$B$19:$R$41,3,0)/'4. Billing Determinants'!$D$41*$D40))))),0)</f>
        <v>0</v>
      </c>
      <c r="H40" s="40">
        <f>IFERROR(IF(H$4="",0,IF($E40="kWh",VLOOKUP(H$4,'4. Billing Determinants'!$B$19:$R$41,4,0)/'4. Billing Determinants'!$E$41*$D40,IF($E40="kW",VLOOKUP(H$4,'4. Billing Determinants'!$B$19:$R$41,5,0)/'4. Billing Determinants'!$F$41*$D40,IF($E40="Non-RPP kWh",VLOOKUP(H$4,'4. Billing Determinants'!$B$19:$R$41,6,0)/'4. Billing Determinants'!$G$41*$D40,IF($E40="Distribution Rev.",VLOOKUP(H$4,'4. Billing Determinants'!$B$19:$R$41,8,0)/'4. Billing Determinants'!$I$41*$D40, VLOOKUP(H$4,'4. Billing Determinants'!$B$19:$R$41,3,0)/'4. Billing Determinants'!$D$41*$D40))))),0)</f>
        <v>0</v>
      </c>
      <c r="I40" s="40">
        <f>IFERROR(IF(I$4="",0,IF($E40="kWh",VLOOKUP(I$4,'4. Billing Determinants'!$B$19:$R$41,4,0)/'4. Billing Determinants'!$E$41*$D40,IF($E40="kW",VLOOKUP(I$4,'4. Billing Determinants'!$B$19:$R$41,5,0)/'4. Billing Determinants'!$F$41*$D40,IF($E40="Non-RPP kWh",VLOOKUP(I$4,'4. Billing Determinants'!$B$19:$R$41,6,0)/'4. Billing Determinants'!$G$41*$D40,IF($E40="Distribution Rev.",VLOOKUP(I$4,'4. Billing Determinants'!$B$19:$R$41,8,0)/'4. Billing Determinants'!$I$41*$D40, VLOOKUP(I$4,'4. Billing Determinants'!$B$19:$R$41,3,0)/'4. Billing Determinants'!$D$41*$D40))))),0)</f>
        <v>0</v>
      </c>
      <c r="J40" s="40">
        <f>IFERROR(IF(J$4="",0,IF($E40="kWh",VLOOKUP(J$4,'4. Billing Determinants'!$B$19:$R$41,4,0)/'4. Billing Determinants'!$E$41*$D40,IF($E40="kW",VLOOKUP(J$4,'4. Billing Determinants'!$B$19:$R$41,5,0)/'4. Billing Determinants'!$F$41*$D40,IF($E40="Non-RPP kWh",VLOOKUP(J$4,'4. Billing Determinants'!$B$19:$R$41,6,0)/'4. Billing Determinants'!$G$41*$D40,IF($E40="Distribution Rev.",VLOOKUP(J$4,'4. Billing Determinants'!$B$19:$R$41,8,0)/'4. Billing Determinants'!$I$41*$D40, VLOOKUP(J$4,'4. Billing Determinants'!$B$19:$R$41,3,0)/'4. Billing Determinants'!$D$41*$D40))))),0)</f>
        <v>0</v>
      </c>
      <c r="K40" s="40">
        <f>IFERROR(IF(K$4="",0,IF($E40="kWh",VLOOKUP(K$4,'4. Billing Determinants'!$B$19:$R$41,4,0)/'4. Billing Determinants'!$E$41*$D40,IF($E40="kW",VLOOKUP(K$4,'4. Billing Determinants'!$B$19:$R$41,5,0)/'4. Billing Determinants'!$F$41*$D40,IF($E40="Non-RPP kWh",VLOOKUP(K$4,'4. Billing Determinants'!$B$19:$R$41,6,0)/'4. Billing Determinants'!$G$41*$D40,IF($E40="Distribution Rev.",VLOOKUP(K$4,'4. Billing Determinants'!$B$19:$R$41,8,0)/'4. Billing Determinants'!$I$41*$D40, VLOOKUP(K$4,'4. Billing Determinants'!$B$19:$R$41,3,0)/'4. Billing Determinants'!$D$41*$D40))))),0)</f>
        <v>0</v>
      </c>
      <c r="L40" s="40">
        <f>IFERROR(IF(L$4="",0,IF($E40="kWh",VLOOKUP(L$4,'4. Billing Determinants'!$B$19:$R$41,4,0)/'4. Billing Determinants'!$E$41*$D40,IF($E40="kW",VLOOKUP(L$4,'4. Billing Determinants'!$B$19:$R$41,5,0)/'4. Billing Determinants'!$F$41*$D40,IF($E40="Non-RPP kWh",VLOOKUP(L$4,'4. Billing Determinants'!$B$19:$R$41,6,0)/'4. Billing Determinants'!$G$41*$D40,IF($E40="Distribution Rev.",VLOOKUP(L$4,'4. Billing Determinants'!$B$19:$R$41,8,0)/'4. Billing Determinants'!$I$41*$D40, VLOOKUP(L$4,'4. Billing Determinants'!$B$19:$R$41,3,0)/'4. Billing Determinants'!$D$41*$D40))))),0)</f>
        <v>0</v>
      </c>
      <c r="M40" s="40">
        <f>IFERROR(IF(M$4="",0,IF($E40="kWh",VLOOKUP(M$4,'4. Billing Determinants'!$B$19:$R$41,4,0)/'4. Billing Determinants'!$E$41*$D40,IF($E40="kW",VLOOKUP(M$4,'4. Billing Determinants'!$B$19:$R$41,5,0)/'4. Billing Determinants'!$F$41*$D40,IF($E40="Non-RPP kWh",VLOOKUP(M$4,'4. Billing Determinants'!$B$19:$R$41,6,0)/'4. Billing Determinants'!$G$41*$D40,IF($E40="Distribution Rev.",VLOOKUP(M$4,'4. Billing Determinants'!$B$19:$R$41,8,0)/'4. Billing Determinants'!$I$41*$D40, VLOOKUP(M$4,'4. Billing Determinants'!$B$19:$R$41,3,0)/'4. Billing Determinants'!$D$41*$D40))))),0)</f>
        <v>0</v>
      </c>
      <c r="N40" s="40">
        <f>IFERROR(IF(N$4="",0,IF($E40="kWh",VLOOKUP(N$4,'4. Billing Determinants'!$B$19:$R$41,4,0)/'4. Billing Determinants'!$E$41*$D40,IF($E40="kW",VLOOKUP(N$4,'4. Billing Determinants'!$B$19:$R$41,5,0)/'4. Billing Determinants'!$F$41*$D40,IF($E40="Non-RPP kWh",VLOOKUP(N$4,'4. Billing Determinants'!$B$19:$R$41,6,0)/'4. Billing Determinants'!$G$41*$D40,IF($E40="Distribution Rev.",VLOOKUP(N$4,'4. Billing Determinants'!$B$19:$R$41,8,0)/'4. Billing Determinants'!$I$41*$D40, VLOOKUP(N$4,'4. Billing Determinants'!$B$19:$R$41,3,0)/'4. Billing Determinants'!$D$41*$D40))))),0)</f>
        <v>0</v>
      </c>
      <c r="O40" s="40">
        <f>IFERROR(IF(O$4="",0,IF($E40="kWh",VLOOKUP(O$4,'4. Billing Determinants'!$B$19:$R$41,4,0)/'4. Billing Determinants'!$E$41*$D40,IF($E40="kW",VLOOKUP(O$4,'4. Billing Determinants'!$B$19:$R$41,5,0)/'4. Billing Determinants'!$F$41*$D40,IF($E40="Non-RPP kWh",VLOOKUP(O$4,'4. Billing Determinants'!$B$19:$R$41,6,0)/'4. Billing Determinants'!$G$41*$D40,IF($E40="Distribution Rev.",VLOOKUP(O$4,'4. Billing Determinants'!$B$19:$R$41,8,0)/'4. Billing Determinants'!$I$41*$D40, VLOOKUP(O$4,'4. Billing Determinants'!$B$19:$R$41,3,0)/'4. Billing Determinants'!$D$41*$D40))))),0)</f>
        <v>0</v>
      </c>
      <c r="P40" s="40">
        <f>IFERROR(IF(P$4="",0,IF($E40="kWh",VLOOKUP(P$4,'4. Billing Determinants'!$B$19:$R$41,4,0)/'4. Billing Determinants'!$E$41*$D40,IF($E40="kW",VLOOKUP(P$4,'4. Billing Determinants'!$B$19:$R$41,5,0)/'4. Billing Determinants'!$F$41*$D40,IF($E40="Non-RPP kWh",VLOOKUP(P$4,'4. Billing Determinants'!$B$19:$R$41,6,0)/'4. Billing Determinants'!$G$41*$D40,IF($E40="Distribution Rev.",VLOOKUP(P$4,'4. Billing Determinants'!$B$19:$R$41,8,0)/'4. Billing Determinants'!$I$41*$D40, VLOOKUP(P$4,'4. Billing Determinants'!$B$19:$R$41,3,0)/'4. Billing Determinants'!$D$41*$D40))))),0)</f>
        <v>0</v>
      </c>
      <c r="Q40" s="40">
        <f>IFERROR(IF(Q$4="",0,IF($E40="kWh",VLOOKUP(Q$4,'4. Billing Determinants'!$B$19:$R$41,4,0)/'4. Billing Determinants'!$E$41*$D40,IF($E40="kW",VLOOKUP(Q$4,'4. Billing Determinants'!$B$19:$R$41,5,0)/'4. Billing Determinants'!$F$41*$D40,IF($E40="Non-RPP kWh",VLOOKUP(Q$4,'4. Billing Determinants'!$B$19:$R$41,6,0)/'4. Billing Determinants'!$G$41*$D40,IF($E40="Distribution Rev.",VLOOKUP(Q$4,'4. Billing Determinants'!$B$19:$R$41,8,0)/'4. Billing Determinants'!$I$41*$D40, VLOOKUP(Q$4,'4. Billing Determinants'!$B$19:$R$41,3,0)/'4. Billing Determinants'!$D$41*$D40))))),0)</f>
        <v>0</v>
      </c>
      <c r="R40" s="40">
        <f>IFERROR(IF(R$4="",0,IF($E40="kWh",VLOOKUP(R$4,'4. Billing Determinants'!$B$19:$R$41,4,0)/'4. Billing Determinants'!$E$41*$D40,IF($E40="kW",VLOOKUP(R$4,'4. Billing Determinants'!$B$19:$R$41,5,0)/'4. Billing Determinants'!$F$41*$D40,IF($E40="Non-RPP kWh",VLOOKUP(R$4,'4. Billing Determinants'!$B$19:$R$41,6,0)/'4. Billing Determinants'!$G$41*$D40,IF($E40="Distribution Rev.",VLOOKUP(R$4,'4. Billing Determinants'!$B$19:$R$41,8,0)/'4. Billing Determinants'!$I$41*$D40, VLOOKUP(R$4,'4. Billing Determinants'!$B$19:$R$41,3,0)/'4. Billing Determinants'!$D$41*$D40))))),0)</f>
        <v>0</v>
      </c>
      <c r="S40" s="40">
        <f>IFERROR(IF(S$4="",0,IF($E40="kWh",VLOOKUP(S$4,'4. Billing Determinants'!$B$19:$R$41,4,0)/'4. Billing Determinants'!$E$41*$D40,IF($E40="kW",VLOOKUP(S$4,'4. Billing Determinants'!$B$19:$R$41,5,0)/'4. Billing Determinants'!$F$41*$D40,IF($E40="Non-RPP kWh",VLOOKUP(S$4,'4. Billing Determinants'!$B$19:$R$41,6,0)/'4. Billing Determinants'!$G$41*$D40,IF($E40="Distribution Rev.",VLOOKUP(S$4,'4. Billing Determinants'!$B$19:$R$41,8,0)/'4. Billing Determinants'!$I$41*$D40, VLOOKUP(S$4,'4. Billing Determinants'!$B$19:$R$41,3,0)/'4. Billing Determinants'!$D$41*$D40))))),0)</f>
        <v>0</v>
      </c>
      <c r="T40" s="40">
        <f>IFERROR(IF(T$4="",0,IF($E40="kWh",VLOOKUP(T$4,'4. Billing Determinants'!$B$19:$R$41,4,0)/'4. Billing Determinants'!$E$41*$D40,IF($E40="kW",VLOOKUP(T$4,'4. Billing Determinants'!$B$19:$R$41,5,0)/'4. Billing Determinants'!$F$41*$D40,IF($E40="Non-RPP kWh",VLOOKUP(T$4,'4. Billing Determinants'!$B$19:$R$41,6,0)/'4. Billing Determinants'!$G$41*$D40,IF($E40="Distribution Rev.",VLOOKUP(T$4,'4. Billing Determinants'!$B$19:$R$41,8,0)/'4. Billing Determinants'!$I$41*$D40, VLOOKUP(T$4,'4. Billing Determinants'!$B$19:$R$41,3,0)/'4. Billing Determinants'!$D$41*$D40))))),0)</f>
        <v>0</v>
      </c>
      <c r="U40" s="40">
        <f>IFERROR(IF(U$4="",0,IF($E40="kWh",VLOOKUP(U$4,'4. Billing Determinants'!$B$19:$R$41,4,0)/'4. Billing Determinants'!$E$41*$D40,IF($E40="kW",VLOOKUP(U$4,'4. Billing Determinants'!$B$19:$R$41,5,0)/'4. Billing Determinants'!$F$41*$D40,IF($E40="Non-RPP kWh",VLOOKUP(U$4,'4. Billing Determinants'!$B$19:$R$41,6,0)/'4. Billing Determinants'!$G$41*$D40,IF($E40="Distribution Rev.",VLOOKUP(U$4,'4. Billing Determinants'!$B$19:$R$41,8,0)/'4. Billing Determinants'!$I$41*$D40, VLOOKUP(U$4,'4. Billing Determinants'!$B$19:$R$41,3,0)/'4. Billing Determinants'!$D$41*$D40))))),0)</f>
        <v>0</v>
      </c>
      <c r="V40" s="40">
        <f>IFERROR(IF(V$4="",0,IF($E40="kWh",VLOOKUP(V$4,'4. Billing Determinants'!$B$19:$R$41,4,0)/'4. Billing Determinants'!$E$41*$D40,IF($E40="kW",VLOOKUP(V$4,'4. Billing Determinants'!$B$19:$R$41,5,0)/'4. Billing Determinants'!$F$41*$D40,IF($E40="Non-RPP kWh",VLOOKUP(V$4,'4. Billing Determinants'!$B$19:$R$41,6,0)/'4. Billing Determinants'!$G$41*$D40,IF($E40="Distribution Rev.",VLOOKUP(V$4,'4. Billing Determinants'!$B$19:$R$41,8,0)/'4. Billing Determinants'!$I$41*$D40, VLOOKUP(V$4,'4. Billing Determinants'!$B$19:$R$41,3,0)/'4. Billing Determinants'!$D$41*$D40))))),0)</f>
        <v>0</v>
      </c>
      <c r="W40" s="40">
        <f>IFERROR(IF(W$4="",0,IF($E40="kWh",VLOOKUP(W$4,'4. Billing Determinants'!$B$19:$R$41,4,0)/'4. Billing Determinants'!$E$41*$D40,IF($E40="kW",VLOOKUP(W$4,'4. Billing Determinants'!$B$19:$R$41,5,0)/'4. Billing Determinants'!$F$41*$D40,IF($E40="Non-RPP kWh",VLOOKUP(W$4,'4. Billing Determinants'!$B$19:$R$41,6,0)/'4. Billing Determinants'!$G$41*$D40,IF($E40="Distribution Rev.",VLOOKUP(W$4,'4. Billing Determinants'!$B$19:$R$41,8,0)/'4. Billing Determinants'!$I$41*$D40, VLOOKUP(W$4,'4. Billing Determinants'!$B$19:$R$41,3,0)/'4. Billing Determinants'!$D$41*$D40))))),0)</f>
        <v>0</v>
      </c>
      <c r="X40" s="40">
        <f>IFERROR(IF(X$4="",0,IF($E40="kWh",VLOOKUP(X$4,'4. Billing Determinants'!$B$19:$R$41,4,0)/'4. Billing Determinants'!$E$41*$D40,IF($E40="kW",VLOOKUP(X$4,'4. Billing Determinants'!$B$19:$R$41,5,0)/'4. Billing Determinants'!$F$41*$D40,IF($E40="Non-RPP kWh",VLOOKUP(X$4,'4. Billing Determinants'!$B$19:$R$41,6,0)/'4. Billing Determinants'!$G$41*$D40,IF($E40="Distribution Rev.",VLOOKUP(X$4,'4. Billing Determinants'!$B$19:$R$41,8,0)/'4. Billing Determinants'!$I$41*$D40, VLOOKUP(X$4,'4. Billing Determinants'!$B$19:$R$41,3,0)/'4. Billing Determinants'!$D$41*$D40))))),0)</f>
        <v>0</v>
      </c>
      <c r="Y40" s="40">
        <f>IFERROR(IF(Y$4="",0,IF($E40="kWh",VLOOKUP(Y$4,'4. Billing Determinants'!$B$19:$R$41,4,0)/'4. Billing Determinants'!$E$41*$D40,IF($E40="kW",VLOOKUP(Y$4,'4. Billing Determinants'!$B$19:$R$41,5,0)/'4. Billing Determinants'!$F$41*$D40,IF($E40="Non-RPP kWh",VLOOKUP(Y$4,'4. Billing Determinants'!$B$19:$R$41,6,0)/'4. Billing Determinants'!$G$41*$D40,IF($E40="Distribution Rev.",VLOOKUP(Y$4,'4. Billing Determinants'!$B$19:$R$41,8,0)/'4. Billing Determinants'!$I$41*$D40, VLOOKUP(Y$4,'4. Billing Determinants'!$B$19:$R$41,3,0)/'4. Billing Determinants'!$D$41*$D40))))),0)</f>
        <v>0</v>
      </c>
    </row>
    <row r="41" spans="1:25" x14ac:dyDescent="0.25">
      <c r="B41" s="345" t="str">
        <f>IF('2b. Continuity Schedule'!C67="","",'2b. Continuity Schedule'!C67)</f>
        <v/>
      </c>
      <c r="C41" s="39">
        <v>1508</v>
      </c>
      <c r="D41" s="40">
        <f>'2b. Continuity Schedule'!BT67</f>
        <v>0</v>
      </c>
      <c r="E41" s="61" t="s">
        <v>139</v>
      </c>
      <c r="F41" s="40">
        <f>IFERROR(IF(F$4="",0,IF($E41="kWh",VLOOKUP(F$4,'4. Billing Determinants'!$B$19:$R$41,4,0)/'4. Billing Determinants'!$E$41*$D41,IF($E41="kW",VLOOKUP(F$4,'4. Billing Determinants'!$B$19:$R$41,5,0)/'4. Billing Determinants'!$F$41*$D41,IF($E41="Non-RPP kWh",VLOOKUP(F$4,'4. Billing Determinants'!$B$19:$R$41,6,0)/'4. Billing Determinants'!$G$41*$D41,IF($E41="Distribution Rev.",VLOOKUP(F$4,'4. Billing Determinants'!$B$19:$R$41,8,0)/'4. Billing Determinants'!$I$41*$D41, VLOOKUP(F$4,'4. Billing Determinants'!$B$19:$R$41,3,0)/'4. Billing Determinants'!$D$41*$D41))))),0)</f>
        <v>0</v>
      </c>
      <c r="G41" s="40">
        <f>IFERROR(IF(G$4="",0,IF($E41="kWh",VLOOKUP(G$4,'4. Billing Determinants'!$B$19:$R$41,4,0)/'4. Billing Determinants'!$E$41*$D41,IF($E41="kW",VLOOKUP(G$4,'4. Billing Determinants'!$B$19:$R$41,5,0)/'4. Billing Determinants'!$F$41*$D41,IF($E41="Non-RPP kWh",VLOOKUP(G$4,'4. Billing Determinants'!$B$19:$R$41,6,0)/'4. Billing Determinants'!$G$41*$D41,IF($E41="Distribution Rev.",VLOOKUP(G$4,'4. Billing Determinants'!$B$19:$R$41,8,0)/'4. Billing Determinants'!$I$41*$D41, VLOOKUP(G$4,'4. Billing Determinants'!$B$19:$R$41,3,0)/'4. Billing Determinants'!$D$41*$D41))))),0)</f>
        <v>0</v>
      </c>
      <c r="H41" s="40">
        <f>IFERROR(IF(H$4="",0,IF($E41="kWh",VLOOKUP(H$4,'4. Billing Determinants'!$B$19:$R$41,4,0)/'4. Billing Determinants'!$E$41*$D41,IF($E41="kW",VLOOKUP(H$4,'4. Billing Determinants'!$B$19:$R$41,5,0)/'4. Billing Determinants'!$F$41*$D41,IF($E41="Non-RPP kWh",VLOOKUP(H$4,'4. Billing Determinants'!$B$19:$R$41,6,0)/'4. Billing Determinants'!$G$41*$D41,IF($E41="Distribution Rev.",VLOOKUP(H$4,'4. Billing Determinants'!$B$19:$R$41,8,0)/'4. Billing Determinants'!$I$41*$D41, VLOOKUP(H$4,'4. Billing Determinants'!$B$19:$R$41,3,0)/'4. Billing Determinants'!$D$41*$D41))))),0)</f>
        <v>0</v>
      </c>
      <c r="I41" s="40">
        <f>IFERROR(IF(I$4="",0,IF($E41="kWh",VLOOKUP(I$4,'4. Billing Determinants'!$B$19:$R$41,4,0)/'4. Billing Determinants'!$E$41*$D41,IF($E41="kW",VLOOKUP(I$4,'4. Billing Determinants'!$B$19:$R$41,5,0)/'4. Billing Determinants'!$F$41*$D41,IF($E41="Non-RPP kWh",VLOOKUP(I$4,'4. Billing Determinants'!$B$19:$R$41,6,0)/'4. Billing Determinants'!$G$41*$D41,IF($E41="Distribution Rev.",VLOOKUP(I$4,'4. Billing Determinants'!$B$19:$R$41,8,0)/'4. Billing Determinants'!$I$41*$D41, VLOOKUP(I$4,'4. Billing Determinants'!$B$19:$R$41,3,0)/'4. Billing Determinants'!$D$41*$D41))))),0)</f>
        <v>0</v>
      </c>
      <c r="J41" s="40">
        <f>IFERROR(IF(J$4="",0,IF($E41="kWh",VLOOKUP(J$4,'4. Billing Determinants'!$B$19:$R$41,4,0)/'4. Billing Determinants'!$E$41*$D41,IF($E41="kW",VLOOKUP(J$4,'4. Billing Determinants'!$B$19:$R$41,5,0)/'4. Billing Determinants'!$F$41*$D41,IF($E41="Non-RPP kWh",VLOOKUP(J$4,'4. Billing Determinants'!$B$19:$R$41,6,0)/'4. Billing Determinants'!$G$41*$D41,IF($E41="Distribution Rev.",VLOOKUP(J$4,'4. Billing Determinants'!$B$19:$R$41,8,0)/'4. Billing Determinants'!$I$41*$D41, VLOOKUP(J$4,'4. Billing Determinants'!$B$19:$R$41,3,0)/'4. Billing Determinants'!$D$41*$D41))))),0)</f>
        <v>0</v>
      </c>
      <c r="K41" s="40">
        <f>IFERROR(IF(K$4="",0,IF($E41="kWh",VLOOKUP(K$4,'4. Billing Determinants'!$B$19:$R$41,4,0)/'4. Billing Determinants'!$E$41*$D41,IF($E41="kW",VLOOKUP(K$4,'4. Billing Determinants'!$B$19:$R$41,5,0)/'4. Billing Determinants'!$F$41*$D41,IF($E41="Non-RPP kWh",VLOOKUP(K$4,'4. Billing Determinants'!$B$19:$R$41,6,0)/'4. Billing Determinants'!$G$41*$D41,IF($E41="Distribution Rev.",VLOOKUP(K$4,'4. Billing Determinants'!$B$19:$R$41,8,0)/'4. Billing Determinants'!$I$41*$D41, VLOOKUP(K$4,'4. Billing Determinants'!$B$19:$R$41,3,0)/'4. Billing Determinants'!$D$41*$D41))))),0)</f>
        <v>0</v>
      </c>
      <c r="L41" s="40">
        <f>IFERROR(IF(L$4="",0,IF($E41="kWh",VLOOKUP(L$4,'4. Billing Determinants'!$B$19:$R$41,4,0)/'4. Billing Determinants'!$E$41*$D41,IF($E41="kW",VLOOKUP(L$4,'4. Billing Determinants'!$B$19:$R$41,5,0)/'4. Billing Determinants'!$F$41*$D41,IF($E41="Non-RPP kWh",VLOOKUP(L$4,'4. Billing Determinants'!$B$19:$R$41,6,0)/'4. Billing Determinants'!$G$41*$D41,IF($E41="Distribution Rev.",VLOOKUP(L$4,'4. Billing Determinants'!$B$19:$R$41,8,0)/'4. Billing Determinants'!$I$41*$D41, VLOOKUP(L$4,'4. Billing Determinants'!$B$19:$R$41,3,0)/'4. Billing Determinants'!$D$41*$D41))))),0)</f>
        <v>0</v>
      </c>
      <c r="M41" s="40">
        <f>IFERROR(IF(M$4="",0,IF($E41="kWh",VLOOKUP(M$4,'4. Billing Determinants'!$B$19:$R$41,4,0)/'4. Billing Determinants'!$E$41*$D41,IF($E41="kW",VLOOKUP(M$4,'4. Billing Determinants'!$B$19:$R$41,5,0)/'4. Billing Determinants'!$F$41*$D41,IF($E41="Non-RPP kWh",VLOOKUP(M$4,'4. Billing Determinants'!$B$19:$R$41,6,0)/'4. Billing Determinants'!$G$41*$D41,IF($E41="Distribution Rev.",VLOOKUP(M$4,'4. Billing Determinants'!$B$19:$R$41,8,0)/'4. Billing Determinants'!$I$41*$D41, VLOOKUP(M$4,'4. Billing Determinants'!$B$19:$R$41,3,0)/'4. Billing Determinants'!$D$41*$D41))))),0)</f>
        <v>0</v>
      </c>
      <c r="N41" s="40">
        <f>IFERROR(IF(N$4="",0,IF($E41="kWh",VLOOKUP(N$4,'4. Billing Determinants'!$B$19:$R$41,4,0)/'4. Billing Determinants'!$E$41*$D41,IF($E41="kW",VLOOKUP(N$4,'4. Billing Determinants'!$B$19:$R$41,5,0)/'4. Billing Determinants'!$F$41*$D41,IF($E41="Non-RPP kWh",VLOOKUP(N$4,'4. Billing Determinants'!$B$19:$R$41,6,0)/'4. Billing Determinants'!$G$41*$D41,IF($E41="Distribution Rev.",VLOOKUP(N$4,'4. Billing Determinants'!$B$19:$R$41,8,0)/'4. Billing Determinants'!$I$41*$D41, VLOOKUP(N$4,'4. Billing Determinants'!$B$19:$R$41,3,0)/'4. Billing Determinants'!$D$41*$D41))))),0)</f>
        <v>0</v>
      </c>
      <c r="O41" s="40">
        <f>IFERROR(IF(O$4="",0,IF($E41="kWh",VLOOKUP(O$4,'4. Billing Determinants'!$B$19:$R$41,4,0)/'4. Billing Determinants'!$E$41*$D41,IF($E41="kW",VLOOKUP(O$4,'4. Billing Determinants'!$B$19:$R$41,5,0)/'4. Billing Determinants'!$F$41*$D41,IF($E41="Non-RPP kWh",VLOOKUP(O$4,'4. Billing Determinants'!$B$19:$R$41,6,0)/'4. Billing Determinants'!$G$41*$D41,IF($E41="Distribution Rev.",VLOOKUP(O$4,'4. Billing Determinants'!$B$19:$R$41,8,0)/'4. Billing Determinants'!$I$41*$D41, VLOOKUP(O$4,'4. Billing Determinants'!$B$19:$R$41,3,0)/'4. Billing Determinants'!$D$41*$D41))))),0)</f>
        <v>0</v>
      </c>
      <c r="P41" s="40">
        <f>IFERROR(IF(P$4="",0,IF($E41="kWh",VLOOKUP(P$4,'4. Billing Determinants'!$B$19:$R$41,4,0)/'4. Billing Determinants'!$E$41*$D41,IF($E41="kW",VLOOKUP(P$4,'4. Billing Determinants'!$B$19:$R$41,5,0)/'4. Billing Determinants'!$F$41*$D41,IF($E41="Non-RPP kWh",VLOOKUP(P$4,'4. Billing Determinants'!$B$19:$R$41,6,0)/'4. Billing Determinants'!$G$41*$D41,IF($E41="Distribution Rev.",VLOOKUP(P$4,'4. Billing Determinants'!$B$19:$R$41,8,0)/'4. Billing Determinants'!$I$41*$D41, VLOOKUP(P$4,'4. Billing Determinants'!$B$19:$R$41,3,0)/'4. Billing Determinants'!$D$41*$D41))))),0)</f>
        <v>0</v>
      </c>
      <c r="Q41" s="40">
        <f>IFERROR(IF(Q$4="",0,IF($E41="kWh",VLOOKUP(Q$4,'4. Billing Determinants'!$B$19:$R$41,4,0)/'4. Billing Determinants'!$E$41*$D41,IF($E41="kW",VLOOKUP(Q$4,'4. Billing Determinants'!$B$19:$R$41,5,0)/'4. Billing Determinants'!$F$41*$D41,IF($E41="Non-RPP kWh",VLOOKUP(Q$4,'4. Billing Determinants'!$B$19:$R$41,6,0)/'4. Billing Determinants'!$G$41*$D41,IF($E41="Distribution Rev.",VLOOKUP(Q$4,'4. Billing Determinants'!$B$19:$R$41,8,0)/'4. Billing Determinants'!$I$41*$D41, VLOOKUP(Q$4,'4. Billing Determinants'!$B$19:$R$41,3,0)/'4. Billing Determinants'!$D$41*$D41))))),0)</f>
        <v>0</v>
      </c>
      <c r="R41" s="40">
        <f>IFERROR(IF(R$4="",0,IF($E41="kWh",VLOOKUP(R$4,'4. Billing Determinants'!$B$19:$R$41,4,0)/'4. Billing Determinants'!$E$41*$D41,IF($E41="kW",VLOOKUP(R$4,'4. Billing Determinants'!$B$19:$R$41,5,0)/'4. Billing Determinants'!$F$41*$D41,IF($E41="Non-RPP kWh",VLOOKUP(R$4,'4. Billing Determinants'!$B$19:$R$41,6,0)/'4. Billing Determinants'!$G$41*$D41,IF($E41="Distribution Rev.",VLOOKUP(R$4,'4. Billing Determinants'!$B$19:$R$41,8,0)/'4. Billing Determinants'!$I$41*$D41, VLOOKUP(R$4,'4. Billing Determinants'!$B$19:$R$41,3,0)/'4. Billing Determinants'!$D$41*$D41))))),0)</f>
        <v>0</v>
      </c>
      <c r="S41" s="40">
        <f>IFERROR(IF(S$4="",0,IF($E41="kWh",VLOOKUP(S$4,'4. Billing Determinants'!$B$19:$R$41,4,0)/'4. Billing Determinants'!$E$41*$D41,IF($E41="kW",VLOOKUP(S$4,'4. Billing Determinants'!$B$19:$R$41,5,0)/'4. Billing Determinants'!$F$41*$D41,IF($E41="Non-RPP kWh",VLOOKUP(S$4,'4. Billing Determinants'!$B$19:$R$41,6,0)/'4. Billing Determinants'!$G$41*$D41,IF($E41="Distribution Rev.",VLOOKUP(S$4,'4. Billing Determinants'!$B$19:$R$41,8,0)/'4. Billing Determinants'!$I$41*$D41, VLOOKUP(S$4,'4. Billing Determinants'!$B$19:$R$41,3,0)/'4. Billing Determinants'!$D$41*$D41))))),0)</f>
        <v>0</v>
      </c>
      <c r="T41" s="40">
        <f>IFERROR(IF(T$4="",0,IF($E41="kWh",VLOOKUP(T$4,'4. Billing Determinants'!$B$19:$R$41,4,0)/'4. Billing Determinants'!$E$41*$D41,IF($E41="kW",VLOOKUP(T$4,'4. Billing Determinants'!$B$19:$R$41,5,0)/'4. Billing Determinants'!$F$41*$D41,IF($E41="Non-RPP kWh",VLOOKUP(T$4,'4. Billing Determinants'!$B$19:$R$41,6,0)/'4. Billing Determinants'!$G$41*$D41,IF($E41="Distribution Rev.",VLOOKUP(T$4,'4. Billing Determinants'!$B$19:$R$41,8,0)/'4. Billing Determinants'!$I$41*$D41, VLOOKUP(T$4,'4. Billing Determinants'!$B$19:$R$41,3,0)/'4. Billing Determinants'!$D$41*$D41))))),0)</f>
        <v>0</v>
      </c>
      <c r="U41" s="40">
        <f>IFERROR(IF(U$4="",0,IF($E41="kWh",VLOOKUP(U$4,'4. Billing Determinants'!$B$19:$R$41,4,0)/'4. Billing Determinants'!$E$41*$D41,IF($E41="kW",VLOOKUP(U$4,'4. Billing Determinants'!$B$19:$R$41,5,0)/'4. Billing Determinants'!$F$41*$D41,IF($E41="Non-RPP kWh",VLOOKUP(U$4,'4. Billing Determinants'!$B$19:$R$41,6,0)/'4. Billing Determinants'!$G$41*$D41,IF($E41="Distribution Rev.",VLOOKUP(U$4,'4. Billing Determinants'!$B$19:$R$41,8,0)/'4. Billing Determinants'!$I$41*$D41, VLOOKUP(U$4,'4. Billing Determinants'!$B$19:$R$41,3,0)/'4. Billing Determinants'!$D$41*$D41))))),0)</f>
        <v>0</v>
      </c>
      <c r="V41" s="40">
        <f>IFERROR(IF(V$4="",0,IF($E41="kWh",VLOOKUP(V$4,'4. Billing Determinants'!$B$19:$R$41,4,0)/'4. Billing Determinants'!$E$41*$D41,IF($E41="kW",VLOOKUP(V$4,'4. Billing Determinants'!$B$19:$R$41,5,0)/'4. Billing Determinants'!$F$41*$D41,IF($E41="Non-RPP kWh",VLOOKUP(V$4,'4. Billing Determinants'!$B$19:$R$41,6,0)/'4. Billing Determinants'!$G$41*$D41,IF($E41="Distribution Rev.",VLOOKUP(V$4,'4. Billing Determinants'!$B$19:$R$41,8,0)/'4. Billing Determinants'!$I$41*$D41, VLOOKUP(V$4,'4. Billing Determinants'!$B$19:$R$41,3,0)/'4. Billing Determinants'!$D$41*$D41))))),0)</f>
        <v>0</v>
      </c>
      <c r="W41" s="40">
        <f>IFERROR(IF(W$4="",0,IF($E41="kWh",VLOOKUP(W$4,'4. Billing Determinants'!$B$19:$R$41,4,0)/'4. Billing Determinants'!$E$41*$D41,IF($E41="kW",VLOOKUP(W$4,'4. Billing Determinants'!$B$19:$R$41,5,0)/'4. Billing Determinants'!$F$41*$D41,IF($E41="Non-RPP kWh",VLOOKUP(W$4,'4. Billing Determinants'!$B$19:$R$41,6,0)/'4. Billing Determinants'!$G$41*$D41,IF($E41="Distribution Rev.",VLOOKUP(W$4,'4. Billing Determinants'!$B$19:$R$41,8,0)/'4. Billing Determinants'!$I$41*$D41, VLOOKUP(W$4,'4. Billing Determinants'!$B$19:$R$41,3,0)/'4. Billing Determinants'!$D$41*$D41))))),0)</f>
        <v>0</v>
      </c>
      <c r="X41" s="40">
        <f>IFERROR(IF(X$4="",0,IF($E41="kWh",VLOOKUP(X$4,'4. Billing Determinants'!$B$19:$R$41,4,0)/'4. Billing Determinants'!$E$41*$D41,IF($E41="kW",VLOOKUP(X$4,'4. Billing Determinants'!$B$19:$R$41,5,0)/'4. Billing Determinants'!$F$41*$D41,IF($E41="Non-RPP kWh",VLOOKUP(X$4,'4. Billing Determinants'!$B$19:$R$41,6,0)/'4. Billing Determinants'!$G$41*$D41,IF($E41="Distribution Rev.",VLOOKUP(X$4,'4. Billing Determinants'!$B$19:$R$41,8,0)/'4. Billing Determinants'!$I$41*$D41, VLOOKUP(X$4,'4. Billing Determinants'!$B$19:$R$41,3,0)/'4. Billing Determinants'!$D$41*$D41))))),0)</f>
        <v>0</v>
      </c>
      <c r="Y41" s="40">
        <f>IFERROR(IF(Y$4="",0,IF($E41="kWh",VLOOKUP(Y$4,'4. Billing Determinants'!$B$19:$R$41,4,0)/'4. Billing Determinants'!$E$41*$D41,IF($E41="kW",VLOOKUP(Y$4,'4. Billing Determinants'!$B$19:$R$41,5,0)/'4. Billing Determinants'!$F$41*$D41,IF($E41="Non-RPP kWh",VLOOKUP(Y$4,'4. Billing Determinants'!$B$19:$R$41,6,0)/'4. Billing Determinants'!$G$41*$D41,IF($E41="Distribution Rev.",VLOOKUP(Y$4,'4. Billing Determinants'!$B$19:$R$41,8,0)/'4. Billing Determinants'!$I$41*$D41, VLOOKUP(Y$4,'4. Billing Determinants'!$B$19:$R$41,3,0)/'4. Billing Determinants'!$D$41*$D41))))),0)</f>
        <v>0</v>
      </c>
    </row>
    <row r="42" spans="1:25" x14ac:dyDescent="0.25">
      <c r="B42" s="345" t="str">
        <f>IF('2b. Continuity Schedule'!C68="","",'2b. Continuity Schedule'!C68)</f>
        <v/>
      </c>
      <c r="C42" s="39">
        <v>1508</v>
      </c>
      <c r="D42" s="40">
        <f>'2b. Continuity Schedule'!BT68</f>
        <v>0</v>
      </c>
      <c r="E42" s="61" t="s">
        <v>139</v>
      </c>
      <c r="F42" s="40">
        <f>IFERROR(IF(F$4="",0,IF($E42="kWh",VLOOKUP(F$4,'4. Billing Determinants'!$B$19:$R$41,4,0)/'4. Billing Determinants'!$E$41*$D42,IF($E42="kW",VLOOKUP(F$4,'4. Billing Determinants'!$B$19:$R$41,5,0)/'4. Billing Determinants'!$F$41*$D42,IF($E42="Non-RPP kWh",VLOOKUP(F$4,'4. Billing Determinants'!$B$19:$R$41,6,0)/'4. Billing Determinants'!$G$41*$D42,IF($E42="Distribution Rev.",VLOOKUP(F$4,'4. Billing Determinants'!$B$19:$R$41,8,0)/'4. Billing Determinants'!$I$41*$D42, VLOOKUP(F$4,'4. Billing Determinants'!$B$19:$R$41,3,0)/'4. Billing Determinants'!$D$41*$D42))))),0)</f>
        <v>0</v>
      </c>
      <c r="G42" s="40">
        <f>IFERROR(IF(G$4="",0,IF($E42="kWh",VLOOKUP(G$4,'4. Billing Determinants'!$B$19:$R$41,4,0)/'4. Billing Determinants'!$E$41*$D42,IF($E42="kW",VLOOKUP(G$4,'4. Billing Determinants'!$B$19:$R$41,5,0)/'4. Billing Determinants'!$F$41*$D42,IF($E42="Non-RPP kWh",VLOOKUP(G$4,'4. Billing Determinants'!$B$19:$R$41,6,0)/'4. Billing Determinants'!$G$41*$D42,IF($E42="Distribution Rev.",VLOOKUP(G$4,'4. Billing Determinants'!$B$19:$R$41,8,0)/'4. Billing Determinants'!$I$41*$D42, VLOOKUP(G$4,'4. Billing Determinants'!$B$19:$R$41,3,0)/'4. Billing Determinants'!$D$41*$D42))))),0)</f>
        <v>0</v>
      </c>
      <c r="H42" s="40">
        <f>IFERROR(IF(H$4="",0,IF($E42="kWh",VLOOKUP(H$4,'4. Billing Determinants'!$B$19:$R$41,4,0)/'4. Billing Determinants'!$E$41*$D42,IF($E42="kW",VLOOKUP(H$4,'4. Billing Determinants'!$B$19:$R$41,5,0)/'4. Billing Determinants'!$F$41*$D42,IF($E42="Non-RPP kWh",VLOOKUP(H$4,'4. Billing Determinants'!$B$19:$R$41,6,0)/'4. Billing Determinants'!$G$41*$D42,IF($E42="Distribution Rev.",VLOOKUP(H$4,'4. Billing Determinants'!$B$19:$R$41,8,0)/'4. Billing Determinants'!$I$41*$D42, VLOOKUP(H$4,'4. Billing Determinants'!$B$19:$R$41,3,0)/'4. Billing Determinants'!$D$41*$D42))))),0)</f>
        <v>0</v>
      </c>
      <c r="I42" s="40">
        <f>IFERROR(IF(I$4="",0,IF($E42="kWh",VLOOKUP(I$4,'4. Billing Determinants'!$B$19:$R$41,4,0)/'4. Billing Determinants'!$E$41*$D42,IF($E42="kW",VLOOKUP(I$4,'4. Billing Determinants'!$B$19:$R$41,5,0)/'4. Billing Determinants'!$F$41*$D42,IF($E42="Non-RPP kWh",VLOOKUP(I$4,'4. Billing Determinants'!$B$19:$R$41,6,0)/'4. Billing Determinants'!$G$41*$D42,IF($E42="Distribution Rev.",VLOOKUP(I$4,'4. Billing Determinants'!$B$19:$R$41,8,0)/'4. Billing Determinants'!$I$41*$D42, VLOOKUP(I$4,'4. Billing Determinants'!$B$19:$R$41,3,0)/'4. Billing Determinants'!$D$41*$D42))))),0)</f>
        <v>0</v>
      </c>
      <c r="J42" s="40">
        <f>IFERROR(IF(J$4="",0,IF($E42="kWh",VLOOKUP(J$4,'4. Billing Determinants'!$B$19:$R$41,4,0)/'4. Billing Determinants'!$E$41*$D42,IF($E42="kW",VLOOKUP(J$4,'4. Billing Determinants'!$B$19:$R$41,5,0)/'4. Billing Determinants'!$F$41*$D42,IF($E42="Non-RPP kWh",VLOOKUP(J$4,'4. Billing Determinants'!$B$19:$R$41,6,0)/'4. Billing Determinants'!$G$41*$D42,IF($E42="Distribution Rev.",VLOOKUP(J$4,'4. Billing Determinants'!$B$19:$R$41,8,0)/'4. Billing Determinants'!$I$41*$D42, VLOOKUP(J$4,'4. Billing Determinants'!$B$19:$R$41,3,0)/'4. Billing Determinants'!$D$41*$D42))))),0)</f>
        <v>0</v>
      </c>
      <c r="K42" s="40">
        <f>IFERROR(IF(K$4="",0,IF($E42="kWh",VLOOKUP(K$4,'4. Billing Determinants'!$B$19:$R$41,4,0)/'4. Billing Determinants'!$E$41*$D42,IF($E42="kW",VLOOKUP(K$4,'4. Billing Determinants'!$B$19:$R$41,5,0)/'4. Billing Determinants'!$F$41*$D42,IF($E42="Non-RPP kWh",VLOOKUP(K$4,'4. Billing Determinants'!$B$19:$R$41,6,0)/'4. Billing Determinants'!$G$41*$D42,IF($E42="Distribution Rev.",VLOOKUP(K$4,'4. Billing Determinants'!$B$19:$R$41,8,0)/'4. Billing Determinants'!$I$41*$D42, VLOOKUP(K$4,'4. Billing Determinants'!$B$19:$R$41,3,0)/'4. Billing Determinants'!$D$41*$D42))))),0)</f>
        <v>0</v>
      </c>
      <c r="L42" s="40">
        <f>IFERROR(IF(L$4="",0,IF($E42="kWh",VLOOKUP(L$4,'4. Billing Determinants'!$B$19:$R$41,4,0)/'4. Billing Determinants'!$E$41*$D42,IF($E42="kW",VLOOKUP(L$4,'4. Billing Determinants'!$B$19:$R$41,5,0)/'4. Billing Determinants'!$F$41*$D42,IF($E42="Non-RPP kWh",VLOOKUP(L$4,'4. Billing Determinants'!$B$19:$R$41,6,0)/'4. Billing Determinants'!$G$41*$D42,IF($E42="Distribution Rev.",VLOOKUP(L$4,'4. Billing Determinants'!$B$19:$R$41,8,0)/'4. Billing Determinants'!$I$41*$D42, VLOOKUP(L$4,'4. Billing Determinants'!$B$19:$R$41,3,0)/'4. Billing Determinants'!$D$41*$D42))))),0)</f>
        <v>0</v>
      </c>
      <c r="M42" s="40">
        <f>IFERROR(IF(M$4="",0,IF($E42="kWh",VLOOKUP(M$4,'4. Billing Determinants'!$B$19:$R$41,4,0)/'4. Billing Determinants'!$E$41*$D42,IF($E42="kW",VLOOKUP(M$4,'4. Billing Determinants'!$B$19:$R$41,5,0)/'4. Billing Determinants'!$F$41*$D42,IF($E42="Non-RPP kWh",VLOOKUP(M$4,'4. Billing Determinants'!$B$19:$R$41,6,0)/'4. Billing Determinants'!$G$41*$D42,IF($E42="Distribution Rev.",VLOOKUP(M$4,'4. Billing Determinants'!$B$19:$R$41,8,0)/'4. Billing Determinants'!$I$41*$D42, VLOOKUP(M$4,'4. Billing Determinants'!$B$19:$R$41,3,0)/'4. Billing Determinants'!$D$41*$D42))))),0)</f>
        <v>0</v>
      </c>
      <c r="N42" s="40">
        <f>IFERROR(IF(N$4="",0,IF($E42="kWh",VLOOKUP(N$4,'4. Billing Determinants'!$B$19:$R$41,4,0)/'4. Billing Determinants'!$E$41*$D42,IF($E42="kW",VLOOKUP(N$4,'4. Billing Determinants'!$B$19:$R$41,5,0)/'4. Billing Determinants'!$F$41*$D42,IF($E42="Non-RPP kWh",VLOOKUP(N$4,'4. Billing Determinants'!$B$19:$R$41,6,0)/'4. Billing Determinants'!$G$41*$D42,IF($E42="Distribution Rev.",VLOOKUP(N$4,'4. Billing Determinants'!$B$19:$R$41,8,0)/'4. Billing Determinants'!$I$41*$D42, VLOOKUP(N$4,'4. Billing Determinants'!$B$19:$R$41,3,0)/'4. Billing Determinants'!$D$41*$D42))))),0)</f>
        <v>0</v>
      </c>
      <c r="O42" s="40">
        <f>IFERROR(IF(O$4="",0,IF($E42="kWh",VLOOKUP(O$4,'4. Billing Determinants'!$B$19:$R$41,4,0)/'4. Billing Determinants'!$E$41*$D42,IF($E42="kW",VLOOKUP(O$4,'4. Billing Determinants'!$B$19:$R$41,5,0)/'4. Billing Determinants'!$F$41*$D42,IF($E42="Non-RPP kWh",VLOOKUP(O$4,'4. Billing Determinants'!$B$19:$R$41,6,0)/'4. Billing Determinants'!$G$41*$D42,IF($E42="Distribution Rev.",VLOOKUP(O$4,'4. Billing Determinants'!$B$19:$R$41,8,0)/'4. Billing Determinants'!$I$41*$D42, VLOOKUP(O$4,'4. Billing Determinants'!$B$19:$R$41,3,0)/'4. Billing Determinants'!$D$41*$D42))))),0)</f>
        <v>0</v>
      </c>
      <c r="P42" s="40">
        <f>IFERROR(IF(P$4="",0,IF($E42="kWh",VLOOKUP(P$4,'4. Billing Determinants'!$B$19:$R$41,4,0)/'4. Billing Determinants'!$E$41*$D42,IF($E42="kW",VLOOKUP(P$4,'4. Billing Determinants'!$B$19:$R$41,5,0)/'4. Billing Determinants'!$F$41*$D42,IF($E42="Non-RPP kWh",VLOOKUP(P$4,'4. Billing Determinants'!$B$19:$R$41,6,0)/'4. Billing Determinants'!$G$41*$D42,IF($E42="Distribution Rev.",VLOOKUP(P$4,'4. Billing Determinants'!$B$19:$R$41,8,0)/'4. Billing Determinants'!$I$41*$D42, VLOOKUP(P$4,'4. Billing Determinants'!$B$19:$R$41,3,0)/'4. Billing Determinants'!$D$41*$D42))))),0)</f>
        <v>0</v>
      </c>
      <c r="Q42" s="40">
        <f>IFERROR(IF(Q$4="",0,IF($E42="kWh",VLOOKUP(Q$4,'4. Billing Determinants'!$B$19:$R$41,4,0)/'4. Billing Determinants'!$E$41*$D42,IF($E42="kW",VLOOKUP(Q$4,'4. Billing Determinants'!$B$19:$R$41,5,0)/'4. Billing Determinants'!$F$41*$D42,IF($E42="Non-RPP kWh",VLOOKUP(Q$4,'4. Billing Determinants'!$B$19:$R$41,6,0)/'4. Billing Determinants'!$G$41*$D42,IF($E42="Distribution Rev.",VLOOKUP(Q$4,'4. Billing Determinants'!$B$19:$R$41,8,0)/'4. Billing Determinants'!$I$41*$D42, VLOOKUP(Q$4,'4. Billing Determinants'!$B$19:$R$41,3,0)/'4. Billing Determinants'!$D$41*$D42))))),0)</f>
        <v>0</v>
      </c>
      <c r="R42" s="40">
        <f>IFERROR(IF(R$4="",0,IF($E42="kWh",VLOOKUP(R$4,'4. Billing Determinants'!$B$19:$R$41,4,0)/'4. Billing Determinants'!$E$41*$D42,IF($E42="kW",VLOOKUP(R$4,'4. Billing Determinants'!$B$19:$R$41,5,0)/'4. Billing Determinants'!$F$41*$D42,IF($E42="Non-RPP kWh",VLOOKUP(R$4,'4. Billing Determinants'!$B$19:$R$41,6,0)/'4. Billing Determinants'!$G$41*$D42,IF($E42="Distribution Rev.",VLOOKUP(R$4,'4. Billing Determinants'!$B$19:$R$41,8,0)/'4. Billing Determinants'!$I$41*$D42, VLOOKUP(R$4,'4. Billing Determinants'!$B$19:$R$41,3,0)/'4. Billing Determinants'!$D$41*$D42))))),0)</f>
        <v>0</v>
      </c>
      <c r="S42" s="40">
        <f>IFERROR(IF(S$4="",0,IF($E42="kWh",VLOOKUP(S$4,'4. Billing Determinants'!$B$19:$R$41,4,0)/'4. Billing Determinants'!$E$41*$D42,IF($E42="kW",VLOOKUP(S$4,'4. Billing Determinants'!$B$19:$R$41,5,0)/'4. Billing Determinants'!$F$41*$D42,IF($E42="Non-RPP kWh",VLOOKUP(S$4,'4. Billing Determinants'!$B$19:$R$41,6,0)/'4. Billing Determinants'!$G$41*$D42,IF($E42="Distribution Rev.",VLOOKUP(S$4,'4. Billing Determinants'!$B$19:$R$41,8,0)/'4. Billing Determinants'!$I$41*$D42, VLOOKUP(S$4,'4. Billing Determinants'!$B$19:$R$41,3,0)/'4. Billing Determinants'!$D$41*$D42))))),0)</f>
        <v>0</v>
      </c>
      <c r="T42" s="40">
        <f>IFERROR(IF(T$4="",0,IF($E42="kWh",VLOOKUP(T$4,'4. Billing Determinants'!$B$19:$R$41,4,0)/'4. Billing Determinants'!$E$41*$D42,IF($E42="kW",VLOOKUP(T$4,'4. Billing Determinants'!$B$19:$R$41,5,0)/'4. Billing Determinants'!$F$41*$D42,IF($E42="Non-RPP kWh",VLOOKUP(T$4,'4. Billing Determinants'!$B$19:$R$41,6,0)/'4. Billing Determinants'!$G$41*$D42,IF($E42="Distribution Rev.",VLOOKUP(T$4,'4. Billing Determinants'!$B$19:$R$41,8,0)/'4. Billing Determinants'!$I$41*$D42, VLOOKUP(T$4,'4. Billing Determinants'!$B$19:$R$41,3,0)/'4. Billing Determinants'!$D$41*$D42))))),0)</f>
        <v>0</v>
      </c>
      <c r="U42" s="40">
        <f>IFERROR(IF(U$4="",0,IF($E42="kWh",VLOOKUP(U$4,'4. Billing Determinants'!$B$19:$R$41,4,0)/'4. Billing Determinants'!$E$41*$D42,IF($E42="kW",VLOOKUP(U$4,'4. Billing Determinants'!$B$19:$R$41,5,0)/'4. Billing Determinants'!$F$41*$D42,IF($E42="Non-RPP kWh",VLOOKUP(U$4,'4. Billing Determinants'!$B$19:$R$41,6,0)/'4. Billing Determinants'!$G$41*$D42,IF($E42="Distribution Rev.",VLOOKUP(U$4,'4. Billing Determinants'!$B$19:$R$41,8,0)/'4. Billing Determinants'!$I$41*$D42, VLOOKUP(U$4,'4. Billing Determinants'!$B$19:$R$41,3,0)/'4. Billing Determinants'!$D$41*$D42))))),0)</f>
        <v>0</v>
      </c>
      <c r="V42" s="40">
        <f>IFERROR(IF(V$4="",0,IF($E42="kWh",VLOOKUP(V$4,'4. Billing Determinants'!$B$19:$R$41,4,0)/'4. Billing Determinants'!$E$41*$D42,IF($E42="kW",VLOOKUP(V$4,'4. Billing Determinants'!$B$19:$R$41,5,0)/'4. Billing Determinants'!$F$41*$D42,IF($E42="Non-RPP kWh",VLOOKUP(V$4,'4. Billing Determinants'!$B$19:$R$41,6,0)/'4. Billing Determinants'!$G$41*$D42,IF($E42="Distribution Rev.",VLOOKUP(V$4,'4. Billing Determinants'!$B$19:$R$41,8,0)/'4. Billing Determinants'!$I$41*$D42, VLOOKUP(V$4,'4. Billing Determinants'!$B$19:$R$41,3,0)/'4. Billing Determinants'!$D$41*$D42))))),0)</f>
        <v>0</v>
      </c>
      <c r="W42" s="40">
        <f>IFERROR(IF(W$4="",0,IF($E42="kWh",VLOOKUP(W$4,'4. Billing Determinants'!$B$19:$R$41,4,0)/'4. Billing Determinants'!$E$41*$D42,IF($E42="kW",VLOOKUP(W$4,'4. Billing Determinants'!$B$19:$R$41,5,0)/'4. Billing Determinants'!$F$41*$D42,IF($E42="Non-RPP kWh",VLOOKUP(W$4,'4. Billing Determinants'!$B$19:$R$41,6,0)/'4. Billing Determinants'!$G$41*$D42,IF($E42="Distribution Rev.",VLOOKUP(W$4,'4. Billing Determinants'!$B$19:$R$41,8,0)/'4. Billing Determinants'!$I$41*$D42, VLOOKUP(W$4,'4. Billing Determinants'!$B$19:$R$41,3,0)/'4. Billing Determinants'!$D$41*$D42))))),0)</f>
        <v>0</v>
      </c>
      <c r="X42" s="40">
        <f>IFERROR(IF(X$4="",0,IF($E42="kWh",VLOOKUP(X$4,'4. Billing Determinants'!$B$19:$R$41,4,0)/'4. Billing Determinants'!$E$41*$D42,IF($E42="kW",VLOOKUP(X$4,'4. Billing Determinants'!$B$19:$R$41,5,0)/'4. Billing Determinants'!$F$41*$D42,IF($E42="Non-RPP kWh",VLOOKUP(X$4,'4. Billing Determinants'!$B$19:$R$41,6,0)/'4. Billing Determinants'!$G$41*$D42,IF($E42="Distribution Rev.",VLOOKUP(X$4,'4. Billing Determinants'!$B$19:$R$41,8,0)/'4. Billing Determinants'!$I$41*$D42, VLOOKUP(X$4,'4. Billing Determinants'!$B$19:$R$41,3,0)/'4. Billing Determinants'!$D$41*$D42))))),0)</f>
        <v>0</v>
      </c>
      <c r="Y42" s="40">
        <f>IFERROR(IF(Y$4="",0,IF($E42="kWh",VLOOKUP(Y$4,'4. Billing Determinants'!$B$19:$R$41,4,0)/'4. Billing Determinants'!$E$41*$D42,IF($E42="kW",VLOOKUP(Y$4,'4. Billing Determinants'!$B$19:$R$41,5,0)/'4. Billing Determinants'!$F$41*$D42,IF($E42="Non-RPP kWh",VLOOKUP(Y$4,'4. Billing Determinants'!$B$19:$R$41,6,0)/'4. Billing Determinants'!$G$41*$D42,IF($E42="Distribution Rev.",VLOOKUP(Y$4,'4. Billing Determinants'!$B$19:$R$41,8,0)/'4. Billing Determinants'!$I$41*$D42, VLOOKUP(Y$4,'4. Billing Determinants'!$B$19:$R$41,3,0)/'4. Billing Determinants'!$D$41*$D42))))),0)</f>
        <v>0</v>
      </c>
    </row>
    <row r="43" spans="1:25" x14ac:dyDescent="0.25">
      <c r="B43" s="345" t="str">
        <f>IF('2b. Continuity Schedule'!C69="","",'2b. Continuity Schedule'!C69)</f>
        <v/>
      </c>
      <c r="C43" s="39">
        <v>1508</v>
      </c>
      <c r="D43" s="40">
        <f>'2b. Continuity Schedule'!BT69</f>
        <v>0</v>
      </c>
      <c r="E43" s="61" t="s">
        <v>139</v>
      </c>
      <c r="F43" s="40">
        <f>IFERROR(IF(F$4="",0,IF($E43="kWh",VLOOKUP(F$4,'4. Billing Determinants'!$B$19:$R$41,4,0)/'4. Billing Determinants'!$E$41*$D43,IF($E43="kW",VLOOKUP(F$4,'4. Billing Determinants'!$B$19:$R$41,5,0)/'4. Billing Determinants'!$F$41*$D43,IF($E43="Non-RPP kWh",VLOOKUP(F$4,'4. Billing Determinants'!$B$19:$R$41,6,0)/'4. Billing Determinants'!$G$41*$D43,IF($E43="Distribution Rev.",VLOOKUP(F$4,'4. Billing Determinants'!$B$19:$R$41,8,0)/'4. Billing Determinants'!$I$41*$D43, VLOOKUP(F$4,'4. Billing Determinants'!$B$19:$R$41,3,0)/'4. Billing Determinants'!$D$41*$D43))))),0)</f>
        <v>0</v>
      </c>
      <c r="G43" s="40">
        <f>IFERROR(IF(G$4="",0,IF($E43="kWh",VLOOKUP(G$4,'4. Billing Determinants'!$B$19:$R$41,4,0)/'4. Billing Determinants'!$E$41*$D43,IF($E43="kW",VLOOKUP(G$4,'4. Billing Determinants'!$B$19:$R$41,5,0)/'4. Billing Determinants'!$F$41*$D43,IF($E43="Non-RPP kWh",VLOOKUP(G$4,'4. Billing Determinants'!$B$19:$R$41,6,0)/'4. Billing Determinants'!$G$41*$D43,IF($E43="Distribution Rev.",VLOOKUP(G$4,'4. Billing Determinants'!$B$19:$R$41,8,0)/'4. Billing Determinants'!$I$41*$D43, VLOOKUP(G$4,'4. Billing Determinants'!$B$19:$R$41,3,0)/'4. Billing Determinants'!$D$41*$D43))))),0)</f>
        <v>0</v>
      </c>
      <c r="H43" s="40">
        <f>IFERROR(IF(H$4="",0,IF($E43="kWh",VLOOKUP(H$4,'4. Billing Determinants'!$B$19:$R$41,4,0)/'4. Billing Determinants'!$E$41*$D43,IF($E43="kW",VLOOKUP(H$4,'4. Billing Determinants'!$B$19:$R$41,5,0)/'4. Billing Determinants'!$F$41*$D43,IF($E43="Non-RPP kWh",VLOOKUP(H$4,'4. Billing Determinants'!$B$19:$R$41,6,0)/'4. Billing Determinants'!$G$41*$D43,IF($E43="Distribution Rev.",VLOOKUP(H$4,'4. Billing Determinants'!$B$19:$R$41,8,0)/'4. Billing Determinants'!$I$41*$D43, VLOOKUP(H$4,'4. Billing Determinants'!$B$19:$R$41,3,0)/'4. Billing Determinants'!$D$41*$D43))))),0)</f>
        <v>0</v>
      </c>
      <c r="I43" s="40">
        <f>IFERROR(IF(I$4="",0,IF($E43="kWh",VLOOKUP(I$4,'4. Billing Determinants'!$B$19:$R$41,4,0)/'4. Billing Determinants'!$E$41*$D43,IF($E43="kW",VLOOKUP(I$4,'4. Billing Determinants'!$B$19:$R$41,5,0)/'4. Billing Determinants'!$F$41*$D43,IF($E43="Non-RPP kWh",VLOOKUP(I$4,'4. Billing Determinants'!$B$19:$R$41,6,0)/'4. Billing Determinants'!$G$41*$D43,IF($E43="Distribution Rev.",VLOOKUP(I$4,'4. Billing Determinants'!$B$19:$R$41,8,0)/'4. Billing Determinants'!$I$41*$D43, VLOOKUP(I$4,'4. Billing Determinants'!$B$19:$R$41,3,0)/'4. Billing Determinants'!$D$41*$D43))))),0)</f>
        <v>0</v>
      </c>
      <c r="J43" s="40">
        <f>IFERROR(IF(J$4="",0,IF($E43="kWh",VLOOKUP(J$4,'4. Billing Determinants'!$B$19:$R$41,4,0)/'4. Billing Determinants'!$E$41*$D43,IF($E43="kW",VLOOKUP(J$4,'4. Billing Determinants'!$B$19:$R$41,5,0)/'4. Billing Determinants'!$F$41*$D43,IF($E43="Non-RPP kWh",VLOOKUP(J$4,'4. Billing Determinants'!$B$19:$R$41,6,0)/'4. Billing Determinants'!$G$41*$D43,IF($E43="Distribution Rev.",VLOOKUP(J$4,'4. Billing Determinants'!$B$19:$R$41,8,0)/'4. Billing Determinants'!$I$41*$D43, VLOOKUP(J$4,'4. Billing Determinants'!$B$19:$R$41,3,0)/'4. Billing Determinants'!$D$41*$D43))))),0)</f>
        <v>0</v>
      </c>
      <c r="K43" s="40">
        <f>IFERROR(IF(K$4="",0,IF($E43="kWh",VLOOKUP(K$4,'4. Billing Determinants'!$B$19:$R$41,4,0)/'4. Billing Determinants'!$E$41*$D43,IF($E43="kW",VLOOKUP(K$4,'4. Billing Determinants'!$B$19:$R$41,5,0)/'4. Billing Determinants'!$F$41*$D43,IF($E43="Non-RPP kWh",VLOOKUP(K$4,'4. Billing Determinants'!$B$19:$R$41,6,0)/'4. Billing Determinants'!$G$41*$D43,IF($E43="Distribution Rev.",VLOOKUP(K$4,'4. Billing Determinants'!$B$19:$R$41,8,0)/'4. Billing Determinants'!$I$41*$D43, VLOOKUP(K$4,'4. Billing Determinants'!$B$19:$R$41,3,0)/'4. Billing Determinants'!$D$41*$D43))))),0)</f>
        <v>0</v>
      </c>
      <c r="L43" s="40">
        <f>IFERROR(IF(L$4="",0,IF($E43="kWh",VLOOKUP(L$4,'4. Billing Determinants'!$B$19:$R$41,4,0)/'4. Billing Determinants'!$E$41*$D43,IF($E43="kW",VLOOKUP(L$4,'4. Billing Determinants'!$B$19:$R$41,5,0)/'4. Billing Determinants'!$F$41*$D43,IF($E43="Non-RPP kWh",VLOOKUP(L$4,'4. Billing Determinants'!$B$19:$R$41,6,0)/'4. Billing Determinants'!$G$41*$D43,IF($E43="Distribution Rev.",VLOOKUP(L$4,'4. Billing Determinants'!$B$19:$R$41,8,0)/'4. Billing Determinants'!$I$41*$D43, VLOOKUP(L$4,'4. Billing Determinants'!$B$19:$R$41,3,0)/'4. Billing Determinants'!$D$41*$D43))))),0)</f>
        <v>0</v>
      </c>
      <c r="M43" s="40">
        <f>IFERROR(IF(M$4="",0,IF($E43="kWh",VLOOKUP(M$4,'4. Billing Determinants'!$B$19:$R$41,4,0)/'4. Billing Determinants'!$E$41*$D43,IF($E43="kW",VLOOKUP(M$4,'4. Billing Determinants'!$B$19:$R$41,5,0)/'4. Billing Determinants'!$F$41*$D43,IF($E43="Non-RPP kWh",VLOOKUP(M$4,'4. Billing Determinants'!$B$19:$R$41,6,0)/'4. Billing Determinants'!$G$41*$D43,IF($E43="Distribution Rev.",VLOOKUP(M$4,'4. Billing Determinants'!$B$19:$R$41,8,0)/'4. Billing Determinants'!$I$41*$D43, VLOOKUP(M$4,'4. Billing Determinants'!$B$19:$R$41,3,0)/'4. Billing Determinants'!$D$41*$D43))))),0)</f>
        <v>0</v>
      </c>
      <c r="N43" s="40">
        <f>IFERROR(IF(N$4="",0,IF($E43="kWh",VLOOKUP(N$4,'4. Billing Determinants'!$B$19:$R$41,4,0)/'4. Billing Determinants'!$E$41*$D43,IF($E43="kW",VLOOKUP(N$4,'4. Billing Determinants'!$B$19:$R$41,5,0)/'4. Billing Determinants'!$F$41*$D43,IF($E43="Non-RPP kWh",VLOOKUP(N$4,'4. Billing Determinants'!$B$19:$R$41,6,0)/'4. Billing Determinants'!$G$41*$D43,IF($E43="Distribution Rev.",VLOOKUP(N$4,'4. Billing Determinants'!$B$19:$R$41,8,0)/'4. Billing Determinants'!$I$41*$D43, VLOOKUP(N$4,'4. Billing Determinants'!$B$19:$R$41,3,0)/'4. Billing Determinants'!$D$41*$D43))))),0)</f>
        <v>0</v>
      </c>
      <c r="O43" s="40">
        <f>IFERROR(IF(O$4="",0,IF($E43="kWh",VLOOKUP(O$4,'4. Billing Determinants'!$B$19:$R$41,4,0)/'4. Billing Determinants'!$E$41*$D43,IF($E43="kW",VLOOKUP(O$4,'4. Billing Determinants'!$B$19:$R$41,5,0)/'4. Billing Determinants'!$F$41*$D43,IF($E43="Non-RPP kWh",VLOOKUP(O$4,'4. Billing Determinants'!$B$19:$R$41,6,0)/'4. Billing Determinants'!$G$41*$D43,IF($E43="Distribution Rev.",VLOOKUP(O$4,'4. Billing Determinants'!$B$19:$R$41,8,0)/'4. Billing Determinants'!$I$41*$D43, VLOOKUP(O$4,'4. Billing Determinants'!$B$19:$R$41,3,0)/'4. Billing Determinants'!$D$41*$D43))))),0)</f>
        <v>0</v>
      </c>
      <c r="P43" s="40">
        <f>IFERROR(IF(P$4="",0,IF($E43="kWh",VLOOKUP(P$4,'4. Billing Determinants'!$B$19:$R$41,4,0)/'4. Billing Determinants'!$E$41*$D43,IF($E43="kW",VLOOKUP(P$4,'4. Billing Determinants'!$B$19:$R$41,5,0)/'4. Billing Determinants'!$F$41*$D43,IF($E43="Non-RPP kWh",VLOOKUP(P$4,'4. Billing Determinants'!$B$19:$R$41,6,0)/'4. Billing Determinants'!$G$41*$D43,IF($E43="Distribution Rev.",VLOOKUP(P$4,'4. Billing Determinants'!$B$19:$R$41,8,0)/'4. Billing Determinants'!$I$41*$D43, VLOOKUP(P$4,'4. Billing Determinants'!$B$19:$R$41,3,0)/'4. Billing Determinants'!$D$41*$D43))))),0)</f>
        <v>0</v>
      </c>
      <c r="Q43" s="40">
        <f>IFERROR(IF(Q$4="",0,IF($E43="kWh",VLOOKUP(Q$4,'4. Billing Determinants'!$B$19:$R$41,4,0)/'4. Billing Determinants'!$E$41*$D43,IF($E43="kW",VLOOKUP(Q$4,'4. Billing Determinants'!$B$19:$R$41,5,0)/'4. Billing Determinants'!$F$41*$D43,IF($E43="Non-RPP kWh",VLOOKUP(Q$4,'4. Billing Determinants'!$B$19:$R$41,6,0)/'4. Billing Determinants'!$G$41*$D43,IF($E43="Distribution Rev.",VLOOKUP(Q$4,'4. Billing Determinants'!$B$19:$R$41,8,0)/'4. Billing Determinants'!$I$41*$D43, VLOOKUP(Q$4,'4. Billing Determinants'!$B$19:$R$41,3,0)/'4. Billing Determinants'!$D$41*$D43))))),0)</f>
        <v>0</v>
      </c>
      <c r="R43" s="40">
        <f>IFERROR(IF(R$4="",0,IF($E43="kWh",VLOOKUP(R$4,'4. Billing Determinants'!$B$19:$R$41,4,0)/'4. Billing Determinants'!$E$41*$D43,IF($E43="kW",VLOOKUP(R$4,'4. Billing Determinants'!$B$19:$R$41,5,0)/'4. Billing Determinants'!$F$41*$D43,IF($E43="Non-RPP kWh",VLOOKUP(R$4,'4. Billing Determinants'!$B$19:$R$41,6,0)/'4. Billing Determinants'!$G$41*$D43,IF($E43="Distribution Rev.",VLOOKUP(R$4,'4. Billing Determinants'!$B$19:$R$41,8,0)/'4. Billing Determinants'!$I$41*$D43, VLOOKUP(R$4,'4. Billing Determinants'!$B$19:$R$41,3,0)/'4. Billing Determinants'!$D$41*$D43))))),0)</f>
        <v>0</v>
      </c>
      <c r="S43" s="40">
        <f>IFERROR(IF(S$4="",0,IF($E43="kWh",VLOOKUP(S$4,'4. Billing Determinants'!$B$19:$R$41,4,0)/'4. Billing Determinants'!$E$41*$D43,IF($E43="kW",VLOOKUP(S$4,'4. Billing Determinants'!$B$19:$R$41,5,0)/'4. Billing Determinants'!$F$41*$D43,IF($E43="Non-RPP kWh",VLOOKUP(S$4,'4. Billing Determinants'!$B$19:$R$41,6,0)/'4. Billing Determinants'!$G$41*$D43,IF($E43="Distribution Rev.",VLOOKUP(S$4,'4. Billing Determinants'!$B$19:$R$41,8,0)/'4. Billing Determinants'!$I$41*$D43, VLOOKUP(S$4,'4. Billing Determinants'!$B$19:$R$41,3,0)/'4. Billing Determinants'!$D$41*$D43))))),0)</f>
        <v>0</v>
      </c>
      <c r="T43" s="40">
        <f>IFERROR(IF(T$4="",0,IF($E43="kWh",VLOOKUP(T$4,'4. Billing Determinants'!$B$19:$R$41,4,0)/'4. Billing Determinants'!$E$41*$D43,IF($E43="kW",VLOOKUP(T$4,'4. Billing Determinants'!$B$19:$R$41,5,0)/'4. Billing Determinants'!$F$41*$D43,IF($E43="Non-RPP kWh",VLOOKUP(T$4,'4. Billing Determinants'!$B$19:$R$41,6,0)/'4. Billing Determinants'!$G$41*$D43,IF($E43="Distribution Rev.",VLOOKUP(T$4,'4. Billing Determinants'!$B$19:$R$41,8,0)/'4. Billing Determinants'!$I$41*$D43, VLOOKUP(T$4,'4. Billing Determinants'!$B$19:$R$41,3,0)/'4. Billing Determinants'!$D$41*$D43))))),0)</f>
        <v>0</v>
      </c>
      <c r="U43" s="40">
        <f>IFERROR(IF(U$4="",0,IF($E43="kWh",VLOOKUP(U$4,'4. Billing Determinants'!$B$19:$R$41,4,0)/'4. Billing Determinants'!$E$41*$D43,IF($E43="kW",VLOOKUP(U$4,'4. Billing Determinants'!$B$19:$R$41,5,0)/'4. Billing Determinants'!$F$41*$D43,IF($E43="Non-RPP kWh",VLOOKUP(U$4,'4. Billing Determinants'!$B$19:$R$41,6,0)/'4. Billing Determinants'!$G$41*$D43,IF($E43="Distribution Rev.",VLOOKUP(U$4,'4. Billing Determinants'!$B$19:$R$41,8,0)/'4. Billing Determinants'!$I$41*$D43, VLOOKUP(U$4,'4. Billing Determinants'!$B$19:$R$41,3,0)/'4. Billing Determinants'!$D$41*$D43))))),0)</f>
        <v>0</v>
      </c>
      <c r="V43" s="40">
        <f>IFERROR(IF(V$4="",0,IF($E43="kWh",VLOOKUP(V$4,'4. Billing Determinants'!$B$19:$R$41,4,0)/'4. Billing Determinants'!$E$41*$D43,IF($E43="kW",VLOOKUP(V$4,'4. Billing Determinants'!$B$19:$R$41,5,0)/'4. Billing Determinants'!$F$41*$D43,IF($E43="Non-RPP kWh",VLOOKUP(V$4,'4. Billing Determinants'!$B$19:$R$41,6,0)/'4. Billing Determinants'!$G$41*$D43,IF($E43="Distribution Rev.",VLOOKUP(V$4,'4. Billing Determinants'!$B$19:$R$41,8,0)/'4. Billing Determinants'!$I$41*$D43, VLOOKUP(V$4,'4. Billing Determinants'!$B$19:$R$41,3,0)/'4. Billing Determinants'!$D$41*$D43))))),0)</f>
        <v>0</v>
      </c>
      <c r="W43" s="40">
        <f>IFERROR(IF(W$4="",0,IF($E43="kWh",VLOOKUP(W$4,'4. Billing Determinants'!$B$19:$R$41,4,0)/'4. Billing Determinants'!$E$41*$D43,IF($E43="kW",VLOOKUP(W$4,'4. Billing Determinants'!$B$19:$R$41,5,0)/'4. Billing Determinants'!$F$41*$D43,IF($E43="Non-RPP kWh",VLOOKUP(W$4,'4. Billing Determinants'!$B$19:$R$41,6,0)/'4. Billing Determinants'!$G$41*$D43,IF($E43="Distribution Rev.",VLOOKUP(W$4,'4. Billing Determinants'!$B$19:$R$41,8,0)/'4. Billing Determinants'!$I$41*$D43, VLOOKUP(W$4,'4. Billing Determinants'!$B$19:$R$41,3,0)/'4. Billing Determinants'!$D$41*$D43))))),0)</f>
        <v>0</v>
      </c>
      <c r="X43" s="40">
        <f>IFERROR(IF(X$4="",0,IF($E43="kWh",VLOOKUP(X$4,'4. Billing Determinants'!$B$19:$R$41,4,0)/'4. Billing Determinants'!$E$41*$D43,IF($E43="kW",VLOOKUP(X$4,'4. Billing Determinants'!$B$19:$R$41,5,0)/'4. Billing Determinants'!$F$41*$D43,IF($E43="Non-RPP kWh",VLOOKUP(X$4,'4. Billing Determinants'!$B$19:$R$41,6,0)/'4. Billing Determinants'!$G$41*$D43,IF($E43="Distribution Rev.",VLOOKUP(X$4,'4. Billing Determinants'!$B$19:$R$41,8,0)/'4. Billing Determinants'!$I$41*$D43, VLOOKUP(X$4,'4. Billing Determinants'!$B$19:$R$41,3,0)/'4. Billing Determinants'!$D$41*$D43))))),0)</f>
        <v>0</v>
      </c>
      <c r="Y43" s="40">
        <f>IFERROR(IF(Y$4="",0,IF($E43="kWh",VLOOKUP(Y$4,'4. Billing Determinants'!$B$19:$R$41,4,0)/'4. Billing Determinants'!$E$41*$D43,IF($E43="kW",VLOOKUP(Y$4,'4. Billing Determinants'!$B$19:$R$41,5,0)/'4. Billing Determinants'!$F$41*$D43,IF($E43="Non-RPP kWh",VLOOKUP(Y$4,'4. Billing Determinants'!$B$19:$R$41,6,0)/'4. Billing Determinants'!$G$41*$D43,IF($E43="Distribution Rev.",VLOOKUP(Y$4,'4. Billing Determinants'!$B$19:$R$41,8,0)/'4. Billing Determinants'!$I$41*$D43, VLOOKUP(Y$4,'4. Billing Determinants'!$B$19:$R$41,3,0)/'4. Billing Determinants'!$D$41*$D43))))),0)</f>
        <v>0</v>
      </c>
    </row>
    <row r="44" spans="1:25" x14ac:dyDescent="0.25">
      <c r="B44" s="345" t="str">
        <f>IF('2b. Continuity Schedule'!C70="","",'2b. Continuity Schedule'!C70)</f>
        <v/>
      </c>
      <c r="C44" s="39">
        <v>1508</v>
      </c>
      <c r="D44" s="40">
        <f>'2b. Continuity Schedule'!BT70</f>
        <v>0</v>
      </c>
      <c r="E44" s="61" t="s">
        <v>139</v>
      </c>
      <c r="F44" s="40">
        <f>IFERROR(IF(F$4="",0,IF($E44="kWh",VLOOKUP(F$4,'4. Billing Determinants'!$B$19:$R$41,4,0)/'4. Billing Determinants'!$E$41*$D44,IF($E44="kW",VLOOKUP(F$4,'4. Billing Determinants'!$B$19:$R$41,5,0)/'4. Billing Determinants'!$F$41*$D44,IF($E44="Non-RPP kWh",VLOOKUP(F$4,'4. Billing Determinants'!$B$19:$R$41,6,0)/'4. Billing Determinants'!$G$41*$D44,IF($E44="Distribution Rev.",VLOOKUP(F$4,'4. Billing Determinants'!$B$19:$R$41,8,0)/'4. Billing Determinants'!$I$41*$D44, VLOOKUP(F$4,'4. Billing Determinants'!$B$19:$R$41,3,0)/'4. Billing Determinants'!$D$41*$D44))))),0)</f>
        <v>0</v>
      </c>
      <c r="G44" s="40">
        <f>IFERROR(IF(G$4="",0,IF($E44="kWh",VLOOKUP(G$4,'4. Billing Determinants'!$B$19:$R$41,4,0)/'4. Billing Determinants'!$E$41*$D44,IF($E44="kW",VLOOKUP(G$4,'4. Billing Determinants'!$B$19:$R$41,5,0)/'4. Billing Determinants'!$F$41*$D44,IF($E44="Non-RPP kWh",VLOOKUP(G$4,'4. Billing Determinants'!$B$19:$R$41,6,0)/'4. Billing Determinants'!$G$41*$D44,IF($E44="Distribution Rev.",VLOOKUP(G$4,'4. Billing Determinants'!$B$19:$R$41,8,0)/'4. Billing Determinants'!$I$41*$D44, VLOOKUP(G$4,'4. Billing Determinants'!$B$19:$R$41,3,0)/'4. Billing Determinants'!$D$41*$D44))))),0)</f>
        <v>0</v>
      </c>
      <c r="H44" s="40">
        <f>IFERROR(IF(H$4="",0,IF($E44="kWh",VLOOKUP(H$4,'4. Billing Determinants'!$B$19:$R$41,4,0)/'4. Billing Determinants'!$E$41*$D44,IF($E44="kW",VLOOKUP(H$4,'4. Billing Determinants'!$B$19:$R$41,5,0)/'4. Billing Determinants'!$F$41*$D44,IF($E44="Non-RPP kWh",VLOOKUP(H$4,'4. Billing Determinants'!$B$19:$R$41,6,0)/'4. Billing Determinants'!$G$41*$D44,IF($E44="Distribution Rev.",VLOOKUP(H$4,'4. Billing Determinants'!$B$19:$R$41,8,0)/'4. Billing Determinants'!$I$41*$D44, VLOOKUP(H$4,'4. Billing Determinants'!$B$19:$R$41,3,0)/'4. Billing Determinants'!$D$41*$D44))))),0)</f>
        <v>0</v>
      </c>
      <c r="I44" s="40">
        <f>IFERROR(IF(I$4="",0,IF($E44="kWh",VLOOKUP(I$4,'4. Billing Determinants'!$B$19:$R$41,4,0)/'4. Billing Determinants'!$E$41*$D44,IF($E44="kW",VLOOKUP(I$4,'4. Billing Determinants'!$B$19:$R$41,5,0)/'4. Billing Determinants'!$F$41*$D44,IF($E44="Non-RPP kWh",VLOOKUP(I$4,'4. Billing Determinants'!$B$19:$R$41,6,0)/'4. Billing Determinants'!$G$41*$D44,IF($E44="Distribution Rev.",VLOOKUP(I$4,'4. Billing Determinants'!$B$19:$R$41,8,0)/'4. Billing Determinants'!$I$41*$D44, VLOOKUP(I$4,'4. Billing Determinants'!$B$19:$R$41,3,0)/'4. Billing Determinants'!$D$41*$D44))))),0)</f>
        <v>0</v>
      </c>
      <c r="J44" s="40">
        <f>IFERROR(IF(J$4="",0,IF($E44="kWh",VLOOKUP(J$4,'4. Billing Determinants'!$B$19:$R$41,4,0)/'4. Billing Determinants'!$E$41*$D44,IF($E44="kW",VLOOKUP(J$4,'4. Billing Determinants'!$B$19:$R$41,5,0)/'4. Billing Determinants'!$F$41*$D44,IF($E44="Non-RPP kWh",VLOOKUP(J$4,'4. Billing Determinants'!$B$19:$R$41,6,0)/'4. Billing Determinants'!$G$41*$D44,IF($E44="Distribution Rev.",VLOOKUP(J$4,'4. Billing Determinants'!$B$19:$R$41,8,0)/'4. Billing Determinants'!$I$41*$D44, VLOOKUP(J$4,'4. Billing Determinants'!$B$19:$R$41,3,0)/'4. Billing Determinants'!$D$41*$D44))))),0)</f>
        <v>0</v>
      </c>
      <c r="K44" s="40">
        <f>IFERROR(IF(K$4="",0,IF($E44="kWh",VLOOKUP(K$4,'4. Billing Determinants'!$B$19:$R$41,4,0)/'4. Billing Determinants'!$E$41*$D44,IF($E44="kW",VLOOKUP(K$4,'4. Billing Determinants'!$B$19:$R$41,5,0)/'4. Billing Determinants'!$F$41*$D44,IF($E44="Non-RPP kWh",VLOOKUP(K$4,'4. Billing Determinants'!$B$19:$R$41,6,0)/'4. Billing Determinants'!$G$41*$D44,IF($E44="Distribution Rev.",VLOOKUP(K$4,'4. Billing Determinants'!$B$19:$R$41,8,0)/'4. Billing Determinants'!$I$41*$D44, VLOOKUP(K$4,'4. Billing Determinants'!$B$19:$R$41,3,0)/'4. Billing Determinants'!$D$41*$D44))))),0)</f>
        <v>0</v>
      </c>
      <c r="L44" s="40">
        <f>IFERROR(IF(L$4="",0,IF($E44="kWh",VLOOKUP(L$4,'4. Billing Determinants'!$B$19:$R$41,4,0)/'4. Billing Determinants'!$E$41*$D44,IF($E44="kW",VLOOKUP(L$4,'4. Billing Determinants'!$B$19:$R$41,5,0)/'4. Billing Determinants'!$F$41*$D44,IF($E44="Non-RPP kWh",VLOOKUP(L$4,'4. Billing Determinants'!$B$19:$R$41,6,0)/'4. Billing Determinants'!$G$41*$D44,IF($E44="Distribution Rev.",VLOOKUP(L$4,'4. Billing Determinants'!$B$19:$R$41,8,0)/'4. Billing Determinants'!$I$41*$D44, VLOOKUP(L$4,'4. Billing Determinants'!$B$19:$R$41,3,0)/'4. Billing Determinants'!$D$41*$D44))))),0)</f>
        <v>0</v>
      </c>
      <c r="M44" s="40">
        <f>IFERROR(IF(M$4="",0,IF($E44="kWh",VLOOKUP(M$4,'4. Billing Determinants'!$B$19:$R$41,4,0)/'4. Billing Determinants'!$E$41*$D44,IF($E44="kW",VLOOKUP(M$4,'4. Billing Determinants'!$B$19:$R$41,5,0)/'4. Billing Determinants'!$F$41*$D44,IF($E44="Non-RPP kWh",VLOOKUP(M$4,'4. Billing Determinants'!$B$19:$R$41,6,0)/'4. Billing Determinants'!$G$41*$D44,IF($E44="Distribution Rev.",VLOOKUP(M$4,'4. Billing Determinants'!$B$19:$R$41,8,0)/'4. Billing Determinants'!$I$41*$D44, VLOOKUP(M$4,'4. Billing Determinants'!$B$19:$R$41,3,0)/'4. Billing Determinants'!$D$41*$D44))))),0)</f>
        <v>0</v>
      </c>
      <c r="N44" s="40">
        <f>IFERROR(IF(N$4="",0,IF($E44="kWh",VLOOKUP(N$4,'4. Billing Determinants'!$B$19:$R$41,4,0)/'4. Billing Determinants'!$E$41*$D44,IF($E44="kW",VLOOKUP(N$4,'4. Billing Determinants'!$B$19:$R$41,5,0)/'4. Billing Determinants'!$F$41*$D44,IF($E44="Non-RPP kWh",VLOOKUP(N$4,'4. Billing Determinants'!$B$19:$R$41,6,0)/'4. Billing Determinants'!$G$41*$D44,IF($E44="Distribution Rev.",VLOOKUP(N$4,'4. Billing Determinants'!$B$19:$R$41,8,0)/'4. Billing Determinants'!$I$41*$D44, VLOOKUP(N$4,'4. Billing Determinants'!$B$19:$R$41,3,0)/'4. Billing Determinants'!$D$41*$D44))))),0)</f>
        <v>0</v>
      </c>
      <c r="O44" s="40">
        <f>IFERROR(IF(O$4="",0,IF($E44="kWh",VLOOKUP(O$4,'4. Billing Determinants'!$B$19:$R$41,4,0)/'4. Billing Determinants'!$E$41*$D44,IF($E44="kW",VLOOKUP(O$4,'4. Billing Determinants'!$B$19:$R$41,5,0)/'4. Billing Determinants'!$F$41*$D44,IF($E44="Non-RPP kWh",VLOOKUP(O$4,'4. Billing Determinants'!$B$19:$R$41,6,0)/'4. Billing Determinants'!$G$41*$D44,IF($E44="Distribution Rev.",VLOOKUP(O$4,'4. Billing Determinants'!$B$19:$R$41,8,0)/'4. Billing Determinants'!$I$41*$D44, VLOOKUP(O$4,'4. Billing Determinants'!$B$19:$R$41,3,0)/'4. Billing Determinants'!$D$41*$D44))))),0)</f>
        <v>0</v>
      </c>
      <c r="P44" s="40">
        <f>IFERROR(IF(P$4="",0,IF($E44="kWh",VLOOKUP(P$4,'4. Billing Determinants'!$B$19:$R$41,4,0)/'4. Billing Determinants'!$E$41*$D44,IF($E44="kW",VLOOKUP(P$4,'4. Billing Determinants'!$B$19:$R$41,5,0)/'4. Billing Determinants'!$F$41*$D44,IF($E44="Non-RPP kWh",VLOOKUP(P$4,'4. Billing Determinants'!$B$19:$R$41,6,0)/'4. Billing Determinants'!$G$41*$D44,IF($E44="Distribution Rev.",VLOOKUP(P$4,'4. Billing Determinants'!$B$19:$R$41,8,0)/'4. Billing Determinants'!$I$41*$D44, VLOOKUP(P$4,'4. Billing Determinants'!$B$19:$R$41,3,0)/'4. Billing Determinants'!$D$41*$D44))))),0)</f>
        <v>0</v>
      </c>
      <c r="Q44" s="40">
        <f>IFERROR(IF(Q$4="",0,IF($E44="kWh",VLOOKUP(Q$4,'4. Billing Determinants'!$B$19:$R$41,4,0)/'4. Billing Determinants'!$E$41*$D44,IF($E44="kW",VLOOKUP(Q$4,'4. Billing Determinants'!$B$19:$R$41,5,0)/'4. Billing Determinants'!$F$41*$D44,IF($E44="Non-RPP kWh",VLOOKUP(Q$4,'4. Billing Determinants'!$B$19:$R$41,6,0)/'4. Billing Determinants'!$G$41*$D44,IF($E44="Distribution Rev.",VLOOKUP(Q$4,'4. Billing Determinants'!$B$19:$R$41,8,0)/'4. Billing Determinants'!$I$41*$D44, VLOOKUP(Q$4,'4. Billing Determinants'!$B$19:$R$41,3,0)/'4. Billing Determinants'!$D$41*$D44))))),0)</f>
        <v>0</v>
      </c>
      <c r="R44" s="40">
        <f>IFERROR(IF(R$4="",0,IF($E44="kWh",VLOOKUP(R$4,'4. Billing Determinants'!$B$19:$R$41,4,0)/'4. Billing Determinants'!$E$41*$D44,IF($E44="kW",VLOOKUP(R$4,'4. Billing Determinants'!$B$19:$R$41,5,0)/'4. Billing Determinants'!$F$41*$D44,IF($E44="Non-RPP kWh",VLOOKUP(R$4,'4. Billing Determinants'!$B$19:$R$41,6,0)/'4. Billing Determinants'!$G$41*$D44,IF($E44="Distribution Rev.",VLOOKUP(R$4,'4. Billing Determinants'!$B$19:$R$41,8,0)/'4. Billing Determinants'!$I$41*$D44, VLOOKUP(R$4,'4. Billing Determinants'!$B$19:$R$41,3,0)/'4. Billing Determinants'!$D$41*$D44))))),0)</f>
        <v>0</v>
      </c>
      <c r="S44" s="40">
        <f>IFERROR(IF(S$4="",0,IF($E44="kWh",VLOOKUP(S$4,'4. Billing Determinants'!$B$19:$R$41,4,0)/'4. Billing Determinants'!$E$41*$D44,IF($E44="kW",VLOOKUP(S$4,'4. Billing Determinants'!$B$19:$R$41,5,0)/'4. Billing Determinants'!$F$41*$D44,IF($E44="Non-RPP kWh",VLOOKUP(S$4,'4. Billing Determinants'!$B$19:$R$41,6,0)/'4. Billing Determinants'!$G$41*$D44,IF($E44="Distribution Rev.",VLOOKUP(S$4,'4. Billing Determinants'!$B$19:$R$41,8,0)/'4. Billing Determinants'!$I$41*$D44, VLOOKUP(S$4,'4. Billing Determinants'!$B$19:$R$41,3,0)/'4. Billing Determinants'!$D$41*$D44))))),0)</f>
        <v>0</v>
      </c>
      <c r="T44" s="40">
        <f>IFERROR(IF(T$4="",0,IF($E44="kWh",VLOOKUP(T$4,'4. Billing Determinants'!$B$19:$R$41,4,0)/'4. Billing Determinants'!$E$41*$D44,IF($E44="kW",VLOOKUP(T$4,'4. Billing Determinants'!$B$19:$R$41,5,0)/'4. Billing Determinants'!$F$41*$D44,IF($E44="Non-RPP kWh",VLOOKUP(T$4,'4. Billing Determinants'!$B$19:$R$41,6,0)/'4. Billing Determinants'!$G$41*$D44,IF($E44="Distribution Rev.",VLOOKUP(T$4,'4. Billing Determinants'!$B$19:$R$41,8,0)/'4. Billing Determinants'!$I$41*$D44, VLOOKUP(T$4,'4. Billing Determinants'!$B$19:$R$41,3,0)/'4. Billing Determinants'!$D$41*$D44))))),0)</f>
        <v>0</v>
      </c>
      <c r="U44" s="40">
        <f>IFERROR(IF(U$4="",0,IF($E44="kWh",VLOOKUP(U$4,'4. Billing Determinants'!$B$19:$R$41,4,0)/'4. Billing Determinants'!$E$41*$D44,IF($E44="kW",VLOOKUP(U$4,'4. Billing Determinants'!$B$19:$R$41,5,0)/'4. Billing Determinants'!$F$41*$D44,IF($E44="Non-RPP kWh",VLOOKUP(U$4,'4. Billing Determinants'!$B$19:$R$41,6,0)/'4. Billing Determinants'!$G$41*$D44,IF($E44="Distribution Rev.",VLOOKUP(U$4,'4. Billing Determinants'!$B$19:$R$41,8,0)/'4. Billing Determinants'!$I$41*$D44, VLOOKUP(U$4,'4. Billing Determinants'!$B$19:$R$41,3,0)/'4. Billing Determinants'!$D$41*$D44))))),0)</f>
        <v>0</v>
      </c>
      <c r="V44" s="40">
        <f>IFERROR(IF(V$4="",0,IF($E44="kWh",VLOOKUP(V$4,'4. Billing Determinants'!$B$19:$R$41,4,0)/'4. Billing Determinants'!$E$41*$D44,IF($E44="kW",VLOOKUP(V$4,'4. Billing Determinants'!$B$19:$R$41,5,0)/'4. Billing Determinants'!$F$41*$D44,IF($E44="Non-RPP kWh",VLOOKUP(V$4,'4. Billing Determinants'!$B$19:$R$41,6,0)/'4. Billing Determinants'!$G$41*$D44,IF($E44="Distribution Rev.",VLOOKUP(V$4,'4. Billing Determinants'!$B$19:$R$41,8,0)/'4. Billing Determinants'!$I$41*$D44, VLOOKUP(V$4,'4. Billing Determinants'!$B$19:$R$41,3,0)/'4. Billing Determinants'!$D$41*$D44))))),0)</f>
        <v>0</v>
      </c>
      <c r="W44" s="40">
        <f>IFERROR(IF(W$4="",0,IF($E44="kWh",VLOOKUP(W$4,'4. Billing Determinants'!$B$19:$R$41,4,0)/'4. Billing Determinants'!$E$41*$D44,IF($E44="kW",VLOOKUP(W$4,'4. Billing Determinants'!$B$19:$R$41,5,0)/'4. Billing Determinants'!$F$41*$D44,IF($E44="Non-RPP kWh",VLOOKUP(W$4,'4. Billing Determinants'!$B$19:$R$41,6,0)/'4. Billing Determinants'!$G$41*$D44,IF($E44="Distribution Rev.",VLOOKUP(W$4,'4. Billing Determinants'!$B$19:$R$41,8,0)/'4. Billing Determinants'!$I$41*$D44, VLOOKUP(W$4,'4. Billing Determinants'!$B$19:$R$41,3,0)/'4. Billing Determinants'!$D$41*$D44))))),0)</f>
        <v>0</v>
      </c>
      <c r="X44" s="40">
        <f>IFERROR(IF(X$4="",0,IF($E44="kWh",VLOOKUP(X$4,'4. Billing Determinants'!$B$19:$R$41,4,0)/'4. Billing Determinants'!$E$41*$D44,IF($E44="kW",VLOOKUP(X$4,'4. Billing Determinants'!$B$19:$R$41,5,0)/'4. Billing Determinants'!$F$41*$D44,IF($E44="Non-RPP kWh",VLOOKUP(X$4,'4. Billing Determinants'!$B$19:$R$41,6,0)/'4. Billing Determinants'!$G$41*$D44,IF($E44="Distribution Rev.",VLOOKUP(X$4,'4. Billing Determinants'!$B$19:$R$41,8,0)/'4. Billing Determinants'!$I$41*$D44, VLOOKUP(X$4,'4. Billing Determinants'!$B$19:$R$41,3,0)/'4. Billing Determinants'!$D$41*$D44))))),0)</f>
        <v>0</v>
      </c>
      <c r="Y44" s="40">
        <f>IFERROR(IF(Y$4="",0,IF($E44="kWh",VLOOKUP(Y$4,'4. Billing Determinants'!$B$19:$R$41,4,0)/'4. Billing Determinants'!$E$41*$D44,IF($E44="kW",VLOOKUP(Y$4,'4. Billing Determinants'!$B$19:$R$41,5,0)/'4. Billing Determinants'!$F$41*$D44,IF($E44="Non-RPP kWh",VLOOKUP(Y$4,'4. Billing Determinants'!$B$19:$R$41,6,0)/'4. Billing Determinants'!$G$41*$D44,IF($E44="Distribution Rev.",VLOOKUP(Y$4,'4. Billing Determinants'!$B$19:$R$41,8,0)/'4. Billing Determinants'!$I$41*$D44, VLOOKUP(Y$4,'4. Billing Determinants'!$B$19:$R$41,3,0)/'4. Billing Determinants'!$D$41*$D44))))),0)</f>
        <v>0</v>
      </c>
    </row>
    <row r="45" spans="1:25" x14ac:dyDescent="0.25">
      <c r="A45" s="122">
        <v>22</v>
      </c>
      <c r="B45" s="44" t="s">
        <v>4</v>
      </c>
      <c r="C45" s="39">
        <v>1518</v>
      </c>
      <c r="D45" s="40">
        <f>'2b. Continuity Schedule'!BT71</f>
        <v>0</v>
      </c>
      <c r="E45" s="61" t="s">
        <v>59</v>
      </c>
      <c r="F45" s="40">
        <f>IFERROR(IF(F$4="",0,IF($E45="kWh",VLOOKUP(F$4,'4. Billing Determinants'!$B$19:$R$41,4,0)/'4. Billing Determinants'!$E$41*$D45,IF($E45="kW",VLOOKUP(F$4,'4. Billing Determinants'!$B$19:$R$41,5,0)/'4. Billing Determinants'!$F$41*$D45,IF($E45="Non-RPP kWh",VLOOKUP(F$4,'4. Billing Determinants'!$B$19:$R$41,6,0)/'4. Billing Determinants'!$G$41*$D45,IF($E45="Distribution Rev.",VLOOKUP(F$4,'4. Billing Determinants'!$B$19:$R$41,8,0)/'4. Billing Determinants'!$I$41*$D45, VLOOKUP(F$4,'4. Billing Determinants'!$B$19:$R$41,3,0)/'4. Billing Determinants'!$D$41*$D45))))),0)</f>
        <v>0</v>
      </c>
      <c r="G45" s="40">
        <f>IFERROR(IF(G$4="",0,IF($E45="kWh",VLOOKUP(G$4,'4. Billing Determinants'!$B$19:$R$41,4,0)/'4. Billing Determinants'!$E$41*$D45,IF($E45="kW",VLOOKUP(G$4,'4. Billing Determinants'!$B$19:$R$41,5,0)/'4. Billing Determinants'!$F$41*$D45,IF($E45="Non-RPP kWh",VLOOKUP(G$4,'4. Billing Determinants'!$B$19:$R$41,6,0)/'4. Billing Determinants'!$G$41*$D45,IF($E45="Distribution Rev.",VLOOKUP(G$4,'4. Billing Determinants'!$B$19:$R$41,8,0)/'4. Billing Determinants'!$I$41*$D45, VLOOKUP(G$4,'4. Billing Determinants'!$B$19:$R$41,3,0)/'4. Billing Determinants'!$D$41*$D45))))),0)</f>
        <v>0</v>
      </c>
      <c r="H45" s="40">
        <f>IFERROR(IF(H$4="",0,IF($E45="kWh",VLOOKUP(H$4,'4. Billing Determinants'!$B$19:$R$41,4,0)/'4. Billing Determinants'!$E$41*$D45,IF($E45="kW",VLOOKUP(H$4,'4. Billing Determinants'!$B$19:$R$41,5,0)/'4. Billing Determinants'!$F$41*$D45,IF($E45="Non-RPP kWh",VLOOKUP(H$4,'4. Billing Determinants'!$B$19:$R$41,6,0)/'4. Billing Determinants'!$G$41*$D45,IF($E45="Distribution Rev.",VLOOKUP(H$4,'4. Billing Determinants'!$B$19:$R$41,8,0)/'4. Billing Determinants'!$I$41*$D45, VLOOKUP(H$4,'4. Billing Determinants'!$B$19:$R$41,3,0)/'4. Billing Determinants'!$D$41*$D45))))),0)</f>
        <v>0</v>
      </c>
      <c r="I45" s="40">
        <f>IFERROR(IF(I$4="",0,IF($E45="kWh",VLOOKUP(I$4,'4. Billing Determinants'!$B$19:$R$41,4,0)/'4. Billing Determinants'!$E$41*$D45,IF($E45="kW",VLOOKUP(I$4,'4. Billing Determinants'!$B$19:$R$41,5,0)/'4. Billing Determinants'!$F$41*$D45,IF($E45="Non-RPP kWh",VLOOKUP(I$4,'4. Billing Determinants'!$B$19:$R$41,6,0)/'4. Billing Determinants'!$G$41*$D45,IF($E45="Distribution Rev.",VLOOKUP(I$4,'4. Billing Determinants'!$B$19:$R$41,8,0)/'4. Billing Determinants'!$I$41*$D45, VLOOKUP(I$4,'4. Billing Determinants'!$B$19:$R$41,3,0)/'4. Billing Determinants'!$D$41*$D45))))),0)</f>
        <v>0</v>
      </c>
      <c r="J45" s="40">
        <f>IFERROR(IF(J$4="",0,IF($E45="kWh",VLOOKUP(J$4,'4. Billing Determinants'!$B$19:$R$41,4,0)/'4. Billing Determinants'!$E$41*$D45,IF($E45="kW",VLOOKUP(J$4,'4. Billing Determinants'!$B$19:$R$41,5,0)/'4. Billing Determinants'!$F$41*$D45,IF($E45="Non-RPP kWh",VLOOKUP(J$4,'4. Billing Determinants'!$B$19:$R$41,6,0)/'4. Billing Determinants'!$G$41*$D45,IF($E45="Distribution Rev.",VLOOKUP(J$4,'4. Billing Determinants'!$B$19:$R$41,8,0)/'4. Billing Determinants'!$I$41*$D45, VLOOKUP(J$4,'4. Billing Determinants'!$B$19:$R$41,3,0)/'4. Billing Determinants'!$D$41*$D45))))),0)</f>
        <v>0</v>
      </c>
      <c r="K45" s="40">
        <f>IFERROR(IF(K$4="",0,IF($E45="kWh",VLOOKUP(K$4,'4. Billing Determinants'!$B$19:$R$41,4,0)/'4. Billing Determinants'!$E$41*$D45,IF($E45="kW",VLOOKUP(K$4,'4. Billing Determinants'!$B$19:$R$41,5,0)/'4. Billing Determinants'!$F$41*$D45,IF($E45="Non-RPP kWh",VLOOKUP(K$4,'4. Billing Determinants'!$B$19:$R$41,6,0)/'4. Billing Determinants'!$G$41*$D45,IF($E45="Distribution Rev.",VLOOKUP(K$4,'4. Billing Determinants'!$B$19:$R$41,8,0)/'4. Billing Determinants'!$I$41*$D45, VLOOKUP(K$4,'4. Billing Determinants'!$B$19:$R$41,3,0)/'4. Billing Determinants'!$D$41*$D45))))),0)</f>
        <v>0</v>
      </c>
      <c r="L45" s="40">
        <f>IFERROR(IF(L$4="",0,IF($E45="kWh",VLOOKUP(L$4,'4. Billing Determinants'!$B$19:$R$41,4,0)/'4. Billing Determinants'!$E$41*$D45,IF($E45="kW",VLOOKUP(L$4,'4. Billing Determinants'!$B$19:$R$41,5,0)/'4. Billing Determinants'!$F$41*$D45,IF($E45="Non-RPP kWh",VLOOKUP(L$4,'4. Billing Determinants'!$B$19:$R$41,6,0)/'4. Billing Determinants'!$G$41*$D45,IF($E45="Distribution Rev.",VLOOKUP(L$4,'4. Billing Determinants'!$B$19:$R$41,8,0)/'4. Billing Determinants'!$I$41*$D45, VLOOKUP(L$4,'4. Billing Determinants'!$B$19:$R$41,3,0)/'4. Billing Determinants'!$D$41*$D45))))),0)</f>
        <v>0</v>
      </c>
      <c r="M45" s="40">
        <f>IFERROR(IF(M$4="",0,IF($E45="kWh",VLOOKUP(M$4,'4. Billing Determinants'!$B$19:$R$41,4,0)/'4. Billing Determinants'!$E$41*$D45,IF($E45="kW",VLOOKUP(M$4,'4. Billing Determinants'!$B$19:$R$41,5,0)/'4. Billing Determinants'!$F$41*$D45,IF($E45="Non-RPP kWh",VLOOKUP(M$4,'4. Billing Determinants'!$B$19:$R$41,6,0)/'4. Billing Determinants'!$G$41*$D45,IF($E45="Distribution Rev.",VLOOKUP(M$4,'4. Billing Determinants'!$B$19:$R$41,8,0)/'4. Billing Determinants'!$I$41*$D45, VLOOKUP(M$4,'4. Billing Determinants'!$B$19:$R$41,3,0)/'4. Billing Determinants'!$D$41*$D45))))),0)</f>
        <v>0</v>
      </c>
      <c r="N45" s="40">
        <f>IFERROR(IF(N$4="",0,IF($E45="kWh",VLOOKUP(N$4,'4. Billing Determinants'!$B$19:$R$41,4,0)/'4. Billing Determinants'!$E$41*$D45,IF($E45="kW",VLOOKUP(N$4,'4. Billing Determinants'!$B$19:$R$41,5,0)/'4. Billing Determinants'!$F$41*$D45,IF($E45="Non-RPP kWh",VLOOKUP(N$4,'4. Billing Determinants'!$B$19:$R$41,6,0)/'4. Billing Determinants'!$G$41*$D45,IF($E45="Distribution Rev.",VLOOKUP(N$4,'4. Billing Determinants'!$B$19:$R$41,8,0)/'4. Billing Determinants'!$I$41*$D45, VLOOKUP(N$4,'4. Billing Determinants'!$B$19:$R$41,3,0)/'4. Billing Determinants'!$D$41*$D45))))),0)</f>
        <v>0</v>
      </c>
      <c r="O45" s="40">
        <f>IFERROR(IF(O$4="",0,IF($E45="kWh",VLOOKUP(O$4,'4. Billing Determinants'!$B$19:$R$41,4,0)/'4. Billing Determinants'!$E$41*$D45,IF($E45="kW",VLOOKUP(O$4,'4. Billing Determinants'!$B$19:$R$41,5,0)/'4. Billing Determinants'!$F$41*$D45,IF($E45="Non-RPP kWh",VLOOKUP(O$4,'4. Billing Determinants'!$B$19:$R$41,6,0)/'4. Billing Determinants'!$G$41*$D45,IF($E45="Distribution Rev.",VLOOKUP(O$4,'4. Billing Determinants'!$B$19:$R$41,8,0)/'4. Billing Determinants'!$I$41*$D45, VLOOKUP(O$4,'4. Billing Determinants'!$B$19:$R$41,3,0)/'4. Billing Determinants'!$D$41*$D45))))),0)</f>
        <v>0</v>
      </c>
      <c r="P45" s="40">
        <f>IFERROR(IF(P$4="",0,IF($E45="kWh",VLOOKUP(P$4,'4. Billing Determinants'!$B$19:$R$41,4,0)/'4. Billing Determinants'!$E$41*$D45,IF($E45="kW",VLOOKUP(P$4,'4. Billing Determinants'!$B$19:$R$41,5,0)/'4. Billing Determinants'!$F$41*$D45,IF($E45="Non-RPP kWh",VLOOKUP(P$4,'4. Billing Determinants'!$B$19:$R$41,6,0)/'4. Billing Determinants'!$G$41*$D45,IF($E45="Distribution Rev.",VLOOKUP(P$4,'4. Billing Determinants'!$B$19:$R$41,8,0)/'4. Billing Determinants'!$I$41*$D45, VLOOKUP(P$4,'4. Billing Determinants'!$B$19:$R$41,3,0)/'4. Billing Determinants'!$D$41*$D45))))),0)</f>
        <v>0</v>
      </c>
      <c r="Q45" s="40">
        <f>IFERROR(IF(Q$4="",0,IF($E45="kWh",VLOOKUP(Q$4,'4. Billing Determinants'!$B$19:$R$41,4,0)/'4. Billing Determinants'!$E$41*$D45,IF($E45="kW",VLOOKUP(Q$4,'4. Billing Determinants'!$B$19:$R$41,5,0)/'4. Billing Determinants'!$F$41*$D45,IF($E45="Non-RPP kWh",VLOOKUP(Q$4,'4. Billing Determinants'!$B$19:$R$41,6,0)/'4. Billing Determinants'!$G$41*$D45,IF($E45="Distribution Rev.",VLOOKUP(Q$4,'4. Billing Determinants'!$B$19:$R$41,8,0)/'4. Billing Determinants'!$I$41*$D45, VLOOKUP(Q$4,'4. Billing Determinants'!$B$19:$R$41,3,0)/'4. Billing Determinants'!$D$41*$D45))))),0)</f>
        <v>0</v>
      </c>
      <c r="R45" s="40">
        <f>IFERROR(IF(R$4="",0,IF($E45="kWh",VLOOKUP(R$4,'4. Billing Determinants'!$B$19:$R$41,4,0)/'4. Billing Determinants'!$E$41*$D45,IF($E45="kW",VLOOKUP(R$4,'4. Billing Determinants'!$B$19:$R$41,5,0)/'4. Billing Determinants'!$F$41*$D45,IF($E45="Non-RPP kWh",VLOOKUP(R$4,'4. Billing Determinants'!$B$19:$R$41,6,0)/'4. Billing Determinants'!$G$41*$D45,IF($E45="Distribution Rev.",VLOOKUP(R$4,'4. Billing Determinants'!$B$19:$R$41,8,0)/'4. Billing Determinants'!$I$41*$D45, VLOOKUP(R$4,'4. Billing Determinants'!$B$19:$R$41,3,0)/'4. Billing Determinants'!$D$41*$D45))))),0)</f>
        <v>0</v>
      </c>
      <c r="S45" s="40">
        <f>IFERROR(IF(S$4="",0,IF($E45="kWh",VLOOKUP(S$4,'4. Billing Determinants'!$B$19:$R$41,4,0)/'4. Billing Determinants'!$E$41*$D45,IF($E45="kW",VLOOKUP(S$4,'4. Billing Determinants'!$B$19:$R$41,5,0)/'4. Billing Determinants'!$F$41*$D45,IF($E45="Non-RPP kWh",VLOOKUP(S$4,'4. Billing Determinants'!$B$19:$R$41,6,0)/'4. Billing Determinants'!$G$41*$D45,IF($E45="Distribution Rev.",VLOOKUP(S$4,'4. Billing Determinants'!$B$19:$R$41,8,0)/'4. Billing Determinants'!$I$41*$D45, VLOOKUP(S$4,'4. Billing Determinants'!$B$19:$R$41,3,0)/'4. Billing Determinants'!$D$41*$D45))))),0)</f>
        <v>0</v>
      </c>
      <c r="T45" s="40">
        <f>IFERROR(IF(T$4="",0,IF($E45="kWh",VLOOKUP(T$4,'4. Billing Determinants'!$B$19:$R$41,4,0)/'4. Billing Determinants'!$E$41*$D45,IF($E45="kW",VLOOKUP(T$4,'4. Billing Determinants'!$B$19:$R$41,5,0)/'4. Billing Determinants'!$F$41*$D45,IF($E45="Non-RPP kWh",VLOOKUP(T$4,'4. Billing Determinants'!$B$19:$R$41,6,0)/'4. Billing Determinants'!$G$41*$D45,IF($E45="Distribution Rev.",VLOOKUP(T$4,'4. Billing Determinants'!$B$19:$R$41,8,0)/'4. Billing Determinants'!$I$41*$D45, VLOOKUP(T$4,'4. Billing Determinants'!$B$19:$R$41,3,0)/'4. Billing Determinants'!$D$41*$D45))))),0)</f>
        <v>0</v>
      </c>
      <c r="U45" s="40">
        <f>IFERROR(IF(U$4="",0,IF($E45="kWh",VLOOKUP(U$4,'4. Billing Determinants'!$B$19:$R$41,4,0)/'4. Billing Determinants'!$E$41*$D45,IF($E45="kW",VLOOKUP(U$4,'4. Billing Determinants'!$B$19:$R$41,5,0)/'4. Billing Determinants'!$F$41*$D45,IF($E45="Non-RPP kWh",VLOOKUP(U$4,'4. Billing Determinants'!$B$19:$R$41,6,0)/'4. Billing Determinants'!$G$41*$D45,IF($E45="Distribution Rev.",VLOOKUP(U$4,'4. Billing Determinants'!$B$19:$R$41,8,0)/'4. Billing Determinants'!$I$41*$D45, VLOOKUP(U$4,'4. Billing Determinants'!$B$19:$R$41,3,0)/'4. Billing Determinants'!$D$41*$D45))))),0)</f>
        <v>0</v>
      </c>
      <c r="V45" s="40">
        <f>IFERROR(IF(V$4="",0,IF($E45="kWh",VLOOKUP(V$4,'4. Billing Determinants'!$B$19:$R$41,4,0)/'4. Billing Determinants'!$E$41*$D45,IF($E45="kW",VLOOKUP(V$4,'4. Billing Determinants'!$B$19:$R$41,5,0)/'4. Billing Determinants'!$F$41*$D45,IF($E45="Non-RPP kWh",VLOOKUP(V$4,'4. Billing Determinants'!$B$19:$R$41,6,0)/'4. Billing Determinants'!$G$41*$D45,IF($E45="Distribution Rev.",VLOOKUP(V$4,'4. Billing Determinants'!$B$19:$R$41,8,0)/'4. Billing Determinants'!$I$41*$D45, VLOOKUP(V$4,'4. Billing Determinants'!$B$19:$R$41,3,0)/'4. Billing Determinants'!$D$41*$D45))))),0)</f>
        <v>0</v>
      </c>
      <c r="W45" s="40">
        <f>IFERROR(IF(W$4="",0,IF($E45="kWh",VLOOKUP(W$4,'4. Billing Determinants'!$B$19:$R$41,4,0)/'4. Billing Determinants'!$E$41*$D45,IF($E45="kW",VLOOKUP(W$4,'4. Billing Determinants'!$B$19:$R$41,5,0)/'4. Billing Determinants'!$F$41*$D45,IF($E45="Non-RPP kWh",VLOOKUP(W$4,'4. Billing Determinants'!$B$19:$R$41,6,0)/'4. Billing Determinants'!$G$41*$D45,IF($E45="Distribution Rev.",VLOOKUP(W$4,'4. Billing Determinants'!$B$19:$R$41,8,0)/'4. Billing Determinants'!$I$41*$D45, VLOOKUP(W$4,'4. Billing Determinants'!$B$19:$R$41,3,0)/'4. Billing Determinants'!$D$41*$D45))))),0)</f>
        <v>0</v>
      </c>
      <c r="X45" s="40">
        <f>IFERROR(IF(X$4="",0,IF($E45="kWh",VLOOKUP(X$4,'4. Billing Determinants'!$B$19:$R$41,4,0)/'4. Billing Determinants'!$E$41*$D45,IF($E45="kW",VLOOKUP(X$4,'4. Billing Determinants'!$B$19:$R$41,5,0)/'4. Billing Determinants'!$F$41*$D45,IF($E45="Non-RPP kWh",VLOOKUP(X$4,'4. Billing Determinants'!$B$19:$R$41,6,0)/'4. Billing Determinants'!$G$41*$D45,IF($E45="Distribution Rev.",VLOOKUP(X$4,'4. Billing Determinants'!$B$19:$R$41,8,0)/'4. Billing Determinants'!$I$41*$D45, VLOOKUP(X$4,'4. Billing Determinants'!$B$19:$R$41,3,0)/'4. Billing Determinants'!$D$41*$D45))))),0)</f>
        <v>0</v>
      </c>
      <c r="Y45" s="40">
        <f>IFERROR(IF(Y$4="",0,IF($E45="kWh",VLOOKUP(Y$4,'4. Billing Determinants'!$B$19:$R$41,4,0)/'4. Billing Determinants'!$E$41*$D45,IF($E45="kW",VLOOKUP(Y$4,'4. Billing Determinants'!$B$19:$R$41,5,0)/'4. Billing Determinants'!$F$41*$D45,IF($E45="Non-RPP kWh",VLOOKUP(Y$4,'4. Billing Determinants'!$B$19:$R$41,6,0)/'4. Billing Determinants'!$G$41*$D45,IF($E45="Distribution Rev.",VLOOKUP(Y$4,'4. Billing Determinants'!$B$19:$R$41,8,0)/'4. Billing Determinants'!$I$41*$D45, VLOOKUP(Y$4,'4. Billing Determinants'!$B$19:$R$41,3,0)/'4. Billing Determinants'!$D$41*$D45))))),0)</f>
        <v>0</v>
      </c>
    </row>
    <row r="46" spans="1:25" ht="14.25" customHeight="1" x14ac:dyDescent="0.25">
      <c r="A46" s="122">
        <v>23</v>
      </c>
      <c r="B46" s="44" t="s">
        <v>444</v>
      </c>
      <c r="C46" s="39">
        <v>1522</v>
      </c>
      <c r="D46" s="40">
        <f>'2b. Continuity Schedule'!BT72</f>
        <v>0</v>
      </c>
      <c r="E46" s="61" t="s">
        <v>139</v>
      </c>
      <c r="F46" s="40">
        <f>IFERROR(IF(F$4="",0,IF($E46="kWh",VLOOKUP(F$4,'4. Billing Determinants'!$B$19:$R$41,4,0)/'4. Billing Determinants'!$E$41*$D46,IF($E46="kW",VLOOKUP(F$4,'4. Billing Determinants'!$B$19:$R$41,5,0)/'4. Billing Determinants'!$F$41*$D46,IF($E46="Non-RPP kWh",VLOOKUP(F$4,'4. Billing Determinants'!$B$19:$R$41,6,0)/'4. Billing Determinants'!$G$41*$D46,IF($E46="Distribution Rev.",VLOOKUP(F$4,'4. Billing Determinants'!$B$19:$R$41,8,0)/'4. Billing Determinants'!$I$41*$D46, VLOOKUP(F$4,'4. Billing Determinants'!$B$19:$R$41,3,0)/'4. Billing Determinants'!$D$41*$D46))))),0)</f>
        <v>0</v>
      </c>
      <c r="G46" s="40">
        <f>IFERROR(IF(G$4="",0,IF($E46="kWh",VLOOKUP(G$4,'4. Billing Determinants'!$B$19:$R$41,4,0)/'4. Billing Determinants'!$E$41*$D46,IF($E46="kW",VLOOKUP(G$4,'4. Billing Determinants'!$B$19:$R$41,5,0)/'4. Billing Determinants'!$F$41*$D46,IF($E46="Non-RPP kWh",VLOOKUP(G$4,'4. Billing Determinants'!$B$19:$R$41,6,0)/'4. Billing Determinants'!$G$41*$D46,IF($E46="Distribution Rev.",VLOOKUP(G$4,'4. Billing Determinants'!$B$19:$R$41,8,0)/'4. Billing Determinants'!$I$41*$D46, VLOOKUP(G$4,'4. Billing Determinants'!$B$19:$R$41,3,0)/'4. Billing Determinants'!$D$41*$D46))))),0)</f>
        <v>0</v>
      </c>
      <c r="H46" s="40">
        <f>IFERROR(IF(H$4="",0,IF($E46="kWh",VLOOKUP(H$4,'4. Billing Determinants'!$B$19:$R$41,4,0)/'4. Billing Determinants'!$E$41*$D46,IF($E46="kW",VLOOKUP(H$4,'4. Billing Determinants'!$B$19:$R$41,5,0)/'4. Billing Determinants'!$F$41*$D46,IF($E46="Non-RPP kWh",VLOOKUP(H$4,'4. Billing Determinants'!$B$19:$R$41,6,0)/'4. Billing Determinants'!$G$41*$D46,IF($E46="Distribution Rev.",VLOOKUP(H$4,'4. Billing Determinants'!$B$19:$R$41,8,0)/'4. Billing Determinants'!$I$41*$D46, VLOOKUP(H$4,'4. Billing Determinants'!$B$19:$R$41,3,0)/'4. Billing Determinants'!$D$41*$D46))))),0)</f>
        <v>0</v>
      </c>
      <c r="I46" s="40">
        <f>IFERROR(IF(I$4="",0,IF($E46="kWh",VLOOKUP(I$4,'4. Billing Determinants'!$B$19:$R$41,4,0)/'4. Billing Determinants'!$E$41*$D46,IF($E46="kW",VLOOKUP(I$4,'4. Billing Determinants'!$B$19:$R$41,5,0)/'4. Billing Determinants'!$F$41*$D46,IF($E46="Non-RPP kWh",VLOOKUP(I$4,'4. Billing Determinants'!$B$19:$R$41,6,0)/'4. Billing Determinants'!$G$41*$D46,IF($E46="Distribution Rev.",VLOOKUP(I$4,'4. Billing Determinants'!$B$19:$R$41,8,0)/'4. Billing Determinants'!$I$41*$D46, VLOOKUP(I$4,'4. Billing Determinants'!$B$19:$R$41,3,0)/'4. Billing Determinants'!$D$41*$D46))))),0)</f>
        <v>0</v>
      </c>
      <c r="J46" s="40">
        <f>IFERROR(IF(J$4="",0,IF($E46="kWh",VLOOKUP(J$4,'4. Billing Determinants'!$B$19:$R$41,4,0)/'4. Billing Determinants'!$E$41*$D46,IF($E46="kW",VLOOKUP(J$4,'4. Billing Determinants'!$B$19:$R$41,5,0)/'4. Billing Determinants'!$F$41*$D46,IF($E46="Non-RPP kWh",VLOOKUP(J$4,'4. Billing Determinants'!$B$19:$R$41,6,0)/'4. Billing Determinants'!$G$41*$D46,IF($E46="Distribution Rev.",VLOOKUP(J$4,'4. Billing Determinants'!$B$19:$R$41,8,0)/'4. Billing Determinants'!$I$41*$D46, VLOOKUP(J$4,'4. Billing Determinants'!$B$19:$R$41,3,0)/'4. Billing Determinants'!$D$41*$D46))))),0)</f>
        <v>0</v>
      </c>
      <c r="K46" s="40">
        <f>IFERROR(IF(K$4="",0,IF($E46="kWh",VLOOKUP(K$4,'4. Billing Determinants'!$B$19:$R$41,4,0)/'4. Billing Determinants'!$E$41*$D46,IF($E46="kW",VLOOKUP(K$4,'4. Billing Determinants'!$B$19:$R$41,5,0)/'4. Billing Determinants'!$F$41*$D46,IF($E46="Non-RPP kWh",VLOOKUP(K$4,'4. Billing Determinants'!$B$19:$R$41,6,0)/'4. Billing Determinants'!$G$41*$D46,IF($E46="Distribution Rev.",VLOOKUP(K$4,'4. Billing Determinants'!$B$19:$R$41,8,0)/'4. Billing Determinants'!$I$41*$D46, VLOOKUP(K$4,'4. Billing Determinants'!$B$19:$R$41,3,0)/'4. Billing Determinants'!$D$41*$D46))))),0)</f>
        <v>0</v>
      </c>
      <c r="L46" s="40">
        <f>IFERROR(IF(L$4="",0,IF($E46="kWh",VLOOKUP(L$4,'4. Billing Determinants'!$B$19:$R$41,4,0)/'4. Billing Determinants'!$E$41*$D46,IF($E46="kW",VLOOKUP(L$4,'4. Billing Determinants'!$B$19:$R$41,5,0)/'4. Billing Determinants'!$F$41*$D46,IF($E46="Non-RPP kWh",VLOOKUP(L$4,'4. Billing Determinants'!$B$19:$R$41,6,0)/'4. Billing Determinants'!$G$41*$D46,IF($E46="Distribution Rev.",VLOOKUP(L$4,'4. Billing Determinants'!$B$19:$R$41,8,0)/'4. Billing Determinants'!$I$41*$D46, VLOOKUP(L$4,'4. Billing Determinants'!$B$19:$R$41,3,0)/'4. Billing Determinants'!$D$41*$D46))))),0)</f>
        <v>0</v>
      </c>
      <c r="M46" s="40">
        <f>IFERROR(IF(M$4="",0,IF($E46="kWh",VLOOKUP(M$4,'4. Billing Determinants'!$B$19:$R$41,4,0)/'4. Billing Determinants'!$E$41*$D46,IF($E46="kW",VLOOKUP(M$4,'4. Billing Determinants'!$B$19:$R$41,5,0)/'4. Billing Determinants'!$F$41*$D46,IF($E46="Non-RPP kWh",VLOOKUP(M$4,'4. Billing Determinants'!$B$19:$R$41,6,0)/'4. Billing Determinants'!$G$41*$D46,IF($E46="Distribution Rev.",VLOOKUP(M$4,'4. Billing Determinants'!$B$19:$R$41,8,0)/'4. Billing Determinants'!$I$41*$D46, VLOOKUP(M$4,'4. Billing Determinants'!$B$19:$R$41,3,0)/'4. Billing Determinants'!$D$41*$D46))))),0)</f>
        <v>0</v>
      </c>
      <c r="N46" s="40">
        <f>IFERROR(IF(N$4="",0,IF($E46="kWh",VLOOKUP(N$4,'4. Billing Determinants'!$B$19:$R$41,4,0)/'4. Billing Determinants'!$E$41*$D46,IF($E46="kW",VLOOKUP(N$4,'4. Billing Determinants'!$B$19:$R$41,5,0)/'4. Billing Determinants'!$F$41*$D46,IF($E46="Non-RPP kWh",VLOOKUP(N$4,'4. Billing Determinants'!$B$19:$R$41,6,0)/'4. Billing Determinants'!$G$41*$D46,IF($E46="Distribution Rev.",VLOOKUP(N$4,'4. Billing Determinants'!$B$19:$R$41,8,0)/'4. Billing Determinants'!$I$41*$D46, VLOOKUP(N$4,'4. Billing Determinants'!$B$19:$R$41,3,0)/'4. Billing Determinants'!$D$41*$D46))))),0)</f>
        <v>0</v>
      </c>
      <c r="O46" s="40">
        <f>IFERROR(IF(O$4="",0,IF($E46="kWh",VLOOKUP(O$4,'4. Billing Determinants'!$B$19:$R$41,4,0)/'4. Billing Determinants'!$E$41*$D46,IF($E46="kW",VLOOKUP(O$4,'4. Billing Determinants'!$B$19:$R$41,5,0)/'4. Billing Determinants'!$F$41*$D46,IF($E46="Non-RPP kWh",VLOOKUP(O$4,'4. Billing Determinants'!$B$19:$R$41,6,0)/'4. Billing Determinants'!$G$41*$D46,IF($E46="Distribution Rev.",VLOOKUP(O$4,'4. Billing Determinants'!$B$19:$R$41,8,0)/'4. Billing Determinants'!$I$41*$D46, VLOOKUP(O$4,'4. Billing Determinants'!$B$19:$R$41,3,0)/'4. Billing Determinants'!$D$41*$D46))))),0)</f>
        <v>0</v>
      </c>
      <c r="P46" s="40">
        <f>IFERROR(IF(P$4="",0,IF($E46="kWh",VLOOKUP(P$4,'4. Billing Determinants'!$B$19:$R$41,4,0)/'4. Billing Determinants'!$E$41*$D46,IF($E46="kW",VLOOKUP(P$4,'4. Billing Determinants'!$B$19:$R$41,5,0)/'4. Billing Determinants'!$F$41*$D46,IF($E46="Non-RPP kWh",VLOOKUP(P$4,'4. Billing Determinants'!$B$19:$R$41,6,0)/'4. Billing Determinants'!$G$41*$D46,IF($E46="Distribution Rev.",VLOOKUP(P$4,'4. Billing Determinants'!$B$19:$R$41,8,0)/'4. Billing Determinants'!$I$41*$D46, VLOOKUP(P$4,'4. Billing Determinants'!$B$19:$R$41,3,0)/'4. Billing Determinants'!$D$41*$D46))))),0)</f>
        <v>0</v>
      </c>
      <c r="Q46" s="40">
        <f>IFERROR(IF(Q$4="",0,IF($E46="kWh",VLOOKUP(Q$4,'4. Billing Determinants'!$B$19:$R$41,4,0)/'4. Billing Determinants'!$E$41*$D46,IF($E46="kW",VLOOKUP(Q$4,'4. Billing Determinants'!$B$19:$R$41,5,0)/'4. Billing Determinants'!$F$41*$D46,IF($E46="Non-RPP kWh",VLOOKUP(Q$4,'4. Billing Determinants'!$B$19:$R$41,6,0)/'4. Billing Determinants'!$G$41*$D46,IF($E46="Distribution Rev.",VLOOKUP(Q$4,'4. Billing Determinants'!$B$19:$R$41,8,0)/'4. Billing Determinants'!$I$41*$D46, VLOOKUP(Q$4,'4. Billing Determinants'!$B$19:$R$41,3,0)/'4. Billing Determinants'!$D$41*$D46))))),0)</f>
        <v>0</v>
      </c>
      <c r="R46" s="40">
        <f>IFERROR(IF(R$4="",0,IF($E46="kWh",VLOOKUP(R$4,'4. Billing Determinants'!$B$19:$R$41,4,0)/'4. Billing Determinants'!$E$41*$D46,IF($E46="kW",VLOOKUP(R$4,'4. Billing Determinants'!$B$19:$R$41,5,0)/'4. Billing Determinants'!$F$41*$D46,IF($E46="Non-RPP kWh",VLOOKUP(R$4,'4. Billing Determinants'!$B$19:$R$41,6,0)/'4. Billing Determinants'!$G$41*$D46,IF($E46="Distribution Rev.",VLOOKUP(R$4,'4. Billing Determinants'!$B$19:$R$41,8,0)/'4. Billing Determinants'!$I$41*$D46, VLOOKUP(R$4,'4. Billing Determinants'!$B$19:$R$41,3,0)/'4. Billing Determinants'!$D$41*$D46))))),0)</f>
        <v>0</v>
      </c>
      <c r="S46" s="40">
        <f>IFERROR(IF(S$4="",0,IF($E46="kWh",VLOOKUP(S$4,'4. Billing Determinants'!$B$19:$R$41,4,0)/'4. Billing Determinants'!$E$41*$D46,IF($E46="kW",VLOOKUP(S$4,'4. Billing Determinants'!$B$19:$R$41,5,0)/'4. Billing Determinants'!$F$41*$D46,IF($E46="Non-RPP kWh",VLOOKUP(S$4,'4. Billing Determinants'!$B$19:$R$41,6,0)/'4. Billing Determinants'!$G$41*$D46,IF($E46="Distribution Rev.",VLOOKUP(S$4,'4. Billing Determinants'!$B$19:$R$41,8,0)/'4. Billing Determinants'!$I$41*$D46, VLOOKUP(S$4,'4. Billing Determinants'!$B$19:$R$41,3,0)/'4. Billing Determinants'!$D$41*$D46))))),0)</f>
        <v>0</v>
      </c>
      <c r="T46" s="40">
        <f>IFERROR(IF(T$4="",0,IF($E46="kWh",VLOOKUP(T$4,'4. Billing Determinants'!$B$19:$R$41,4,0)/'4. Billing Determinants'!$E$41*$D46,IF($E46="kW",VLOOKUP(T$4,'4. Billing Determinants'!$B$19:$R$41,5,0)/'4. Billing Determinants'!$F$41*$D46,IF($E46="Non-RPP kWh",VLOOKUP(T$4,'4. Billing Determinants'!$B$19:$R$41,6,0)/'4. Billing Determinants'!$G$41*$D46,IF($E46="Distribution Rev.",VLOOKUP(T$4,'4. Billing Determinants'!$B$19:$R$41,8,0)/'4. Billing Determinants'!$I$41*$D46, VLOOKUP(T$4,'4. Billing Determinants'!$B$19:$R$41,3,0)/'4. Billing Determinants'!$D$41*$D46))))),0)</f>
        <v>0</v>
      </c>
      <c r="U46" s="40">
        <f>IFERROR(IF(U$4="",0,IF($E46="kWh",VLOOKUP(U$4,'4. Billing Determinants'!$B$19:$R$41,4,0)/'4. Billing Determinants'!$E$41*$D46,IF($E46="kW",VLOOKUP(U$4,'4. Billing Determinants'!$B$19:$R$41,5,0)/'4. Billing Determinants'!$F$41*$D46,IF($E46="Non-RPP kWh",VLOOKUP(U$4,'4. Billing Determinants'!$B$19:$R$41,6,0)/'4. Billing Determinants'!$G$41*$D46,IF($E46="Distribution Rev.",VLOOKUP(U$4,'4. Billing Determinants'!$B$19:$R$41,8,0)/'4. Billing Determinants'!$I$41*$D46, VLOOKUP(U$4,'4. Billing Determinants'!$B$19:$R$41,3,0)/'4. Billing Determinants'!$D$41*$D46))))),0)</f>
        <v>0</v>
      </c>
      <c r="V46" s="40">
        <f>IFERROR(IF(V$4="",0,IF($E46="kWh",VLOOKUP(V$4,'4. Billing Determinants'!$B$19:$R$41,4,0)/'4. Billing Determinants'!$E$41*$D46,IF($E46="kW",VLOOKUP(V$4,'4. Billing Determinants'!$B$19:$R$41,5,0)/'4. Billing Determinants'!$F$41*$D46,IF($E46="Non-RPP kWh",VLOOKUP(V$4,'4. Billing Determinants'!$B$19:$R$41,6,0)/'4. Billing Determinants'!$G$41*$D46,IF($E46="Distribution Rev.",VLOOKUP(V$4,'4. Billing Determinants'!$B$19:$R$41,8,0)/'4. Billing Determinants'!$I$41*$D46, VLOOKUP(V$4,'4. Billing Determinants'!$B$19:$R$41,3,0)/'4. Billing Determinants'!$D$41*$D46))))),0)</f>
        <v>0</v>
      </c>
      <c r="W46" s="40">
        <f>IFERROR(IF(W$4="",0,IF($E46="kWh",VLOOKUP(W$4,'4. Billing Determinants'!$B$19:$R$41,4,0)/'4. Billing Determinants'!$E$41*$D46,IF($E46="kW",VLOOKUP(W$4,'4. Billing Determinants'!$B$19:$R$41,5,0)/'4. Billing Determinants'!$F$41*$D46,IF($E46="Non-RPP kWh",VLOOKUP(W$4,'4. Billing Determinants'!$B$19:$R$41,6,0)/'4. Billing Determinants'!$G$41*$D46,IF($E46="Distribution Rev.",VLOOKUP(W$4,'4. Billing Determinants'!$B$19:$R$41,8,0)/'4. Billing Determinants'!$I$41*$D46, VLOOKUP(W$4,'4. Billing Determinants'!$B$19:$R$41,3,0)/'4. Billing Determinants'!$D$41*$D46))))),0)</f>
        <v>0</v>
      </c>
      <c r="X46" s="40">
        <f>IFERROR(IF(X$4="",0,IF($E46="kWh",VLOOKUP(X$4,'4. Billing Determinants'!$B$19:$R$41,4,0)/'4. Billing Determinants'!$E$41*$D46,IF($E46="kW",VLOOKUP(X$4,'4. Billing Determinants'!$B$19:$R$41,5,0)/'4. Billing Determinants'!$F$41*$D46,IF($E46="Non-RPP kWh",VLOOKUP(X$4,'4. Billing Determinants'!$B$19:$R$41,6,0)/'4. Billing Determinants'!$G$41*$D46,IF($E46="Distribution Rev.",VLOOKUP(X$4,'4. Billing Determinants'!$B$19:$R$41,8,0)/'4. Billing Determinants'!$I$41*$D46, VLOOKUP(X$4,'4. Billing Determinants'!$B$19:$R$41,3,0)/'4. Billing Determinants'!$D$41*$D46))))),0)</f>
        <v>0</v>
      </c>
      <c r="Y46" s="40">
        <f>IFERROR(IF(Y$4="",0,IF($E46="kWh",VLOOKUP(Y$4,'4. Billing Determinants'!$B$19:$R$41,4,0)/'4. Billing Determinants'!$E$41*$D46,IF($E46="kW",VLOOKUP(Y$4,'4. Billing Determinants'!$B$19:$R$41,5,0)/'4. Billing Determinants'!$F$41*$D46,IF($E46="Non-RPP kWh",VLOOKUP(Y$4,'4. Billing Determinants'!$B$19:$R$41,6,0)/'4. Billing Determinants'!$G$41*$D46,IF($E46="Distribution Rev.",VLOOKUP(Y$4,'4. Billing Determinants'!$B$19:$R$41,8,0)/'4. Billing Determinants'!$I$41*$D46, VLOOKUP(Y$4,'4. Billing Determinants'!$B$19:$R$41,3,0)/'4. Billing Determinants'!$D$41*$D46))))),0)</f>
        <v>0</v>
      </c>
    </row>
    <row r="47" spans="1:25" x14ac:dyDescent="0.25">
      <c r="A47" s="278">
        <v>24</v>
      </c>
      <c r="B47" s="44" t="s">
        <v>9</v>
      </c>
      <c r="C47" s="39">
        <v>1525</v>
      </c>
      <c r="D47" s="40">
        <f>'2b. Continuity Schedule'!BT73</f>
        <v>0</v>
      </c>
      <c r="E47" s="61" t="s">
        <v>139</v>
      </c>
      <c r="F47" s="40">
        <f>IFERROR(IF(F$4="",0,IF($E47="kWh",VLOOKUP(F$4,'4. Billing Determinants'!$B$19:$R$41,4,0)/'4. Billing Determinants'!$E$41*$D47,IF($E47="kW",VLOOKUP(F$4,'4. Billing Determinants'!$B$19:$R$41,5,0)/'4. Billing Determinants'!$F$41*$D47,IF($E47="Non-RPP kWh",VLOOKUP(F$4,'4. Billing Determinants'!$B$19:$R$41,6,0)/'4. Billing Determinants'!$G$41*$D47,IF($E47="Distribution Rev.",VLOOKUP(F$4,'4. Billing Determinants'!$B$19:$R$41,8,0)/'4. Billing Determinants'!$I$41*$D47, VLOOKUP(F$4,'4. Billing Determinants'!$B$19:$R$41,3,0)/'4. Billing Determinants'!$D$41*$D47))))),0)</f>
        <v>0</v>
      </c>
      <c r="G47" s="40">
        <f>IFERROR(IF(G$4="",0,IF($E47="kWh",VLOOKUP(G$4,'4. Billing Determinants'!$B$19:$R$41,4,0)/'4. Billing Determinants'!$E$41*$D47,IF($E47="kW",VLOOKUP(G$4,'4. Billing Determinants'!$B$19:$R$41,5,0)/'4. Billing Determinants'!$F$41*$D47,IF($E47="Non-RPP kWh",VLOOKUP(G$4,'4. Billing Determinants'!$B$19:$R$41,6,0)/'4. Billing Determinants'!$G$41*$D47,IF($E47="Distribution Rev.",VLOOKUP(G$4,'4. Billing Determinants'!$B$19:$R$41,8,0)/'4. Billing Determinants'!$I$41*$D47, VLOOKUP(G$4,'4. Billing Determinants'!$B$19:$R$41,3,0)/'4. Billing Determinants'!$D$41*$D47))))),0)</f>
        <v>0</v>
      </c>
      <c r="H47" s="40">
        <f>IFERROR(IF(H$4="",0,IF($E47="kWh",VLOOKUP(H$4,'4. Billing Determinants'!$B$19:$R$41,4,0)/'4. Billing Determinants'!$E$41*$D47,IF($E47="kW",VLOOKUP(H$4,'4. Billing Determinants'!$B$19:$R$41,5,0)/'4. Billing Determinants'!$F$41*$D47,IF($E47="Non-RPP kWh",VLOOKUP(H$4,'4. Billing Determinants'!$B$19:$R$41,6,0)/'4. Billing Determinants'!$G$41*$D47,IF($E47="Distribution Rev.",VLOOKUP(H$4,'4. Billing Determinants'!$B$19:$R$41,8,0)/'4. Billing Determinants'!$I$41*$D47, VLOOKUP(H$4,'4. Billing Determinants'!$B$19:$R$41,3,0)/'4. Billing Determinants'!$D$41*$D47))))),0)</f>
        <v>0</v>
      </c>
      <c r="I47" s="40">
        <f>IFERROR(IF(I$4="",0,IF($E47="kWh",VLOOKUP(I$4,'4. Billing Determinants'!$B$19:$R$41,4,0)/'4. Billing Determinants'!$E$41*$D47,IF($E47="kW",VLOOKUP(I$4,'4. Billing Determinants'!$B$19:$R$41,5,0)/'4. Billing Determinants'!$F$41*$D47,IF($E47="Non-RPP kWh",VLOOKUP(I$4,'4. Billing Determinants'!$B$19:$R$41,6,0)/'4. Billing Determinants'!$G$41*$D47,IF($E47="Distribution Rev.",VLOOKUP(I$4,'4. Billing Determinants'!$B$19:$R$41,8,0)/'4. Billing Determinants'!$I$41*$D47, VLOOKUP(I$4,'4. Billing Determinants'!$B$19:$R$41,3,0)/'4. Billing Determinants'!$D$41*$D47))))),0)</f>
        <v>0</v>
      </c>
      <c r="J47" s="40">
        <f>IFERROR(IF(J$4="",0,IF($E47="kWh",VLOOKUP(J$4,'4. Billing Determinants'!$B$19:$R$41,4,0)/'4. Billing Determinants'!$E$41*$D47,IF($E47="kW",VLOOKUP(J$4,'4. Billing Determinants'!$B$19:$R$41,5,0)/'4. Billing Determinants'!$F$41*$D47,IF($E47="Non-RPP kWh",VLOOKUP(J$4,'4. Billing Determinants'!$B$19:$R$41,6,0)/'4. Billing Determinants'!$G$41*$D47,IF($E47="Distribution Rev.",VLOOKUP(J$4,'4. Billing Determinants'!$B$19:$R$41,8,0)/'4. Billing Determinants'!$I$41*$D47, VLOOKUP(J$4,'4. Billing Determinants'!$B$19:$R$41,3,0)/'4. Billing Determinants'!$D$41*$D47))))),0)</f>
        <v>0</v>
      </c>
      <c r="K47" s="40">
        <f>IFERROR(IF(K$4="",0,IF($E47="kWh",VLOOKUP(K$4,'4. Billing Determinants'!$B$19:$R$41,4,0)/'4. Billing Determinants'!$E$41*$D47,IF($E47="kW",VLOOKUP(K$4,'4. Billing Determinants'!$B$19:$R$41,5,0)/'4. Billing Determinants'!$F$41*$D47,IF($E47="Non-RPP kWh",VLOOKUP(K$4,'4. Billing Determinants'!$B$19:$R$41,6,0)/'4. Billing Determinants'!$G$41*$D47,IF($E47="Distribution Rev.",VLOOKUP(K$4,'4. Billing Determinants'!$B$19:$R$41,8,0)/'4. Billing Determinants'!$I$41*$D47, VLOOKUP(K$4,'4. Billing Determinants'!$B$19:$R$41,3,0)/'4. Billing Determinants'!$D$41*$D47))))),0)</f>
        <v>0</v>
      </c>
      <c r="L47" s="40">
        <f>IFERROR(IF(L$4="",0,IF($E47="kWh",VLOOKUP(L$4,'4. Billing Determinants'!$B$19:$R$41,4,0)/'4. Billing Determinants'!$E$41*$D47,IF($E47="kW",VLOOKUP(L$4,'4. Billing Determinants'!$B$19:$R$41,5,0)/'4. Billing Determinants'!$F$41*$D47,IF($E47="Non-RPP kWh",VLOOKUP(L$4,'4. Billing Determinants'!$B$19:$R$41,6,0)/'4. Billing Determinants'!$G$41*$D47,IF($E47="Distribution Rev.",VLOOKUP(L$4,'4. Billing Determinants'!$B$19:$R$41,8,0)/'4. Billing Determinants'!$I$41*$D47, VLOOKUP(L$4,'4. Billing Determinants'!$B$19:$R$41,3,0)/'4. Billing Determinants'!$D$41*$D47))))),0)</f>
        <v>0</v>
      </c>
      <c r="M47" s="40">
        <f>IFERROR(IF(M$4="",0,IF($E47="kWh",VLOOKUP(M$4,'4. Billing Determinants'!$B$19:$R$41,4,0)/'4. Billing Determinants'!$E$41*$D47,IF($E47="kW",VLOOKUP(M$4,'4. Billing Determinants'!$B$19:$R$41,5,0)/'4. Billing Determinants'!$F$41*$D47,IF($E47="Non-RPP kWh",VLOOKUP(M$4,'4. Billing Determinants'!$B$19:$R$41,6,0)/'4. Billing Determinants'!$G$41*$D47,IF($E47="Distribution Rev.",VLOOKUP(M$4,'4. Billing Determinants'!$B$19:$R$41,8,0)/'4. Billing Determinants'!$I$41*$D47, VLOOKUP(M$4,'4. Billing Determinants'!$B$19:$R$41,3,0)/'4. Billing Determinants'!$D$41*$D47))))),0)</f>
        <v>0</v>
      </c>
      <c r="N47" s="40">
        <f>IFERROR(IF(N$4="",0,IF($E47="kWh",VLOOKUP(N$4,'4. Billing Determinants'!$B$19:$R$41,4,0)/'4. Billing Determinants'!$E$41*$D47,IF($E47="kW",VLOOKUP(N$4,'4. Billing Determinants'!$B$19:$R$41,5,0)/'4. Billing Determinants'!$F$41*$D47,IF($E47="Non-RPP kWh",VLOOKUP(N$4,'4. Billing Determinants'!$B$19:$R$41,6,0)/'4. Billing Determinants'!$G$41*$D47,IF($E47="Distribution Rev.",VLOOKUP(N$4,'4. Billing Determinants'!$B$19:$R$41,8,0)/'4. Billing Determinants'!$I$41*$D47, VLOOKUP(N$4,'4. Billing Determinants'!$B$19:$R$41,3,0)/'4. Billing Determinants'!$D$41*$D47))))),0)</f>
        <v>0</v>
      </c>
      <c r="O47" s="40">
        <f>IFERROR(IF(O$4="",0,IF($E47="kWh",VLOOKUP(O$4,'4. Billing Determinants'!$B$19:$R$41,4,0)/'4. Billing Determinants'!$E$41*$D47,IF($E47="kW",VLOOKUP(O$4,'4. Billing Determinants'!$B$19:$R$41,5,0)/'4. Billing Determinants'!$F$41*$D47,IF($E47="Non-RPP kWh",VLOOKUP(O$4,'4. Billing Determinants'!$B$19:$R$41,6,0)/'4. Billing Determinants'!$G$41*$D47,IF($E47="Distribution Rev.",VLOOKUP(O$4,'4. Billing Determinants'!$B$19:$R$41,8,0)/'4. Billing Determinants'!$I$41*$D47, VLOOKUP(O$4,'4. Billing Determinants'!$B$19:$R$41,3,0)/'4. Billing Determinants'!$D$41*$D47))))),0)</f>
        <v>0</v>
      </c>
      <c r="P47" s="40">
        <f>IFERROR(IF(P$4="",0,IF($E47="kWh",VLOOKUP(P$4,'4. Billing Determinants'!$B$19:$R$41,4,0)/'4. Billing Determinants'!$E$41*$D47,IF($E47="kW",VLOOKUP(P$4,'4. Billing Determinants'!$B$19:$R$41,5,0)/'4. Billing Determinants'!$F$41*$D47,IF($E47="Non-RPP kWh",VLOOKUP(P$4,'4. Billing Determinants'!$B$19:$R$41,6,0)/'4. Billing Determinants'!$G$41*$D47,IF($E47="Distribution Rev.",VLOOKUP(P$4,'4. Billing Determinants'!$B$19:$R$41,8,0)/'4. Billing Determinants'!$I$41*$D47, VLOOKUP(P$4,'4. Billing Determinants'!$B$19:$R$41,3,0)/'4. Billing Determinants'!$D$41*$D47))))),0)</f>
        <v>0</v>
      </c>
      <c r="Q47" s="40">
        <f>IFERROR(IF(Q$4="",0,IF($E47="kWh",VLOOKUP(Q$4,'4. Billing Determinants'!$B$19:$R$41,4,0)/'4. Billing Determinants'!$E$41*$D47,IF($E47="kW",VLOOKUP(Q$4,'4. Billing Determinants'!$B$19:$R$41,5,0)/'4. Billing Determinants'!$F$41*$D47,IF($E47="Non-RPP kWh",VLOOKUP(Q$4,'4. Billing Determinants'!$B$19:$R$41,6,0)/'4. Billing Determinants'!$G$41*$D47,IF($E47="Distribution Rev.",VLOOKUP(Q$4,'4. Billing Determinants'!$B$19:$R$41,8,0)/'4. Billing Determinants'!$I$41*$D47, VLOOKUP(Q$4,'4. Billing Determinants'!$B$19:$R$41,3,0)/'4. Billing Determinants'!$D$41*$D47))))),0)</f>
        <v>0</v>
      </c>
      <c r="R47" s="40">
        <f>IFERROR(IF(R$4="",0,IF($E47="kWh",VLOOKUP(R$4,'4. Billing Determinants'!$B$19:$R$41,4,0)/'4. Billing Determinants'!$E$41*$D47,IF($E47="kW",VLOOKUP(R$4,'4. Billing Determinants'!$B$19:$R$41,5,0)/'4. Billing Determinants'!$F$41*$D47,IF($E47="Non-RPP kWh",VLOOKUP(R$4,'4. Billing Determinants'!$B$19:$R$41,6,0)/'4. Billing Determinants'!$G$41*$D47,IF($E47="Distribution Rev.",VLOOKUP(R$4,'4. Billing Determinants'!$B$19:$R$41,8,0)/'4. Billing Determinants'!$I$41*$D47, VLOOKUP(R$4,'4. Billing Determinants'!$B$19:$R$41,3,0)/'4. Billing Determinants'!$D$41*$D47))))),0)</f>
        <v>0</v>
      </c>
      <c r="S47" s="40">
        <f>IFERROR(IF(S$4="",0,IF($E47="kWh",VLOOKUP(S$4,'4. Billing Determinants'!$B$19:$R$41,4,0)/'4. Billing Determinants'!$E$41*$D47,IF($E47="kW",VLOOKUP(S$4,'4. Billing Determinants'!$B$19:$R$41,5,0)/'4. Billing Determinants'!$F$41*$D47,IF($E47="Non-RPP kWh",VLOOKUP(S$4,'4. Billing Determinants'!$B$19:$R$41,6,0)/'4. Billing Determinants'!$G$41*$D47,IF($E47="Distribution Rev.",VLOOKUP(S$4,'4. Billing Determinants'!$B$19:$R$41,8,0)/'4. Billing Determinants'!$I$41*$D47, VLOOKUP(S$4,'4. Billing Determinants'!$B$19:$R$41,3,0)/'4. Billing Determinants'!$D$41*$D47))))),0)</f>
        <v>0</v>
      </c>
      <c r="T47" s="40">
        <f>IFERROR(IF(T$4="",0,IF($E47="kWh",VLOOKUP(T$4,'4. Billing Determinants'!$B$19:$R$41,4,0)/'4. Billing Determinants'!$E$41*$D47,IF($E47="kW",VLOOKUP(T$4,'4. Billing Determinants'!$B$19:$R$41,5,0)/'4. Billing Determinants'!$F$41*$D47,IF($E47="Non-RPP kWh",VLOOKUP(T$4,'4. Billing Determinants'!$B$19:$R$41,6,0)/'4. Billing Determinants'!$G$41*$D47,IF($E47="Distribution Rev.",VLOOKUP(T$4,'4. Billing Determinants'!$B$19:$R$41,8,0)/'4. Billing Determinants'!$I$41*$D47, VLOOKUP(T$4,'4. Billing Determinants'!$B$19:$R$41,3,0)/'4. Billing Determinants'!$D$41*$D47))))),0)</f>
        <v>0</v>
      </c>
      <c r="U47" s="40">
        <f>IFERROR(IF(U$4="",0,IF($E47="kWh",VLOOKUP(U$4,'4. Billing Determinants'!$B$19:$R$41,4,0)/'4. Billing Determinants'!$E$41*$D47,IF($E47="kW",VLOOKUP(U$4,'4. Billing Determinants'!$B$19:$R$41,5,0)/'4. Billing Determinants'!$F$41*$D47,IF($E47="Non-RPP kWh",VLOOKUP(U$4,'4. Billing Determinants'!$B$19:$R$41,6,0)/'4. Billing Determinants'!$G$41*$D47,IF($E47="Distribution Rev.",VLOOKUP(U$4,'4. Billing Determinants'!$B$19:$R$41,8,0)/'4. Billing Determinants'!$I$41*$D47, VLOOKUP(U$4,'4. Billing Determinants'!$B$19:$R$41,3,0)/'4. Billing Determinants'!$D$41*$D47))))),0)</f>
        <v>0</v>
      </c>
      <c r="V47" s="40">
        <f>IFERROR(IF(V$4="",0,IF($E47="kWh",VLOOKUP(V$4,'4. Billing Determinants'!$B$19:$R$41,4,0)/'4. Billing Determinants'!$E$41*$D47,IF($E47="kW",VLOOKUP(V$4,'4. Billing Determinants'!$B$19:$R$41,5,0)/'4. Billing Determinants'!$F$41*$D47,IF($E47="Non-RPP kWh",VLOOKUP(V$4,'4. Billing Determinants'!$B$19:$R$41,6,0)/'4. Billing Determinants'!$G$41*$D47,IF($E47="Distribution Rev.",VLOOKUP(V$4,'4. Billing Determinants'!$B$19:$R$41,8,0)/'4. Billing Determinants'!$I$41*$D47, VLOOKUP(V$4,'4. Billing Determinants'!$B$19:$R$41,3,0)/'4. Billing Determinants'!$D$41*$D47))))),0)</f>
        <v>0</v>
      </c>
      <c r="W47" s="40">
        <f>IFERROR(IF(W$4="",0,IF($E47="kWh",VLOOKUP(W$4,'4. Billing Determinants'!$B$19:$R$41,4,0)/'4. Billing Determinants'!$E$41*$D47,IF($E47="kW",VLOOKUP(W$4,'4. Billing Determinants'!$B$19:$R$41,5,0)/'4. Billing Determinants'!$F$41*$D47,IF($E47="Non-RPP kWh",VLOOKUP(W$4,'4. Billing Determinants'!$B$19:$R$41,6,0)/'4. Billing Determinants'!$G$41*$D47,IF($E47="Distribution Rev.",VLOOKUP(W$4,'4. Billing Determinants'!$B$19:$R$41,8,0)/'4. Billing Determinants'!$I$41*$D47, VLOOKUP(W$4,'4. Billing Determinants'!$B$19:$R$41,3,0)/'4. Billing Determinants'!$D$41*$D47))))),0)</f>
        <v>0</v>
      </c>
      <c r="X47" s="40">
        <f>IFERROR(IF(X$4="",0,IF($E47="kWh",VLOOKUP(X$4,'4. Billing Determinants'!$B$19:$R$41,4,0)/'4. Billing Determinants'!$E$41*$D47,IF($E47="kW",VLOOKUP(X$4,'4. Billing Determinants'!$B$19:$R$41,5,0)/'4. Billing Determinants'!$F$41*$D47,IF($E47="Non-RPP kWh",VLOOKUP(X$4,'4. Billing Determinants'!$B$19:$R$41,6,0)/'4. Billing Determinants'!$G$41*$D47,IF($E47="Distribution Rev.",VLOOKUP(X$4,'4. Billing Determinants'!$B$19:$R$41,8,0)/'4. Billing Determinants'!$I$41*$D47, VLOOKUP(X$4,'4. Billing Determinants'!$B$19:$R$41,3,0)/'4. Billing Determinants'!$D$41*$D47))))),0)</f>
        <v>0</v>
      </c>
      <c r="Y47" s="40">
        <f>IFERROR(IF(Y$4="",0,IF($E47="kWh",VLOOKUP(Y$4,'4. Billing Determinants'!$B$19:$R$41,4,0)/'4. Billing Determinants'!$E$41*$D47,IF($E47="kW",VLOOKUP(Y$4,'4. Billing Determinants'!$B$19:$R$41,5,0)/'4. Billing Determinants'!$F$41*$D47,IF($E47="Non-RPP kWh",VLOOKUP(Y$4,'4. Billing Determinants'!$B$19:$R$41,6,0)/'4. Billing Determinants'!$G$41*$D47,IF($E47="Distribution Rev.",VLOOKUP(Y$4,'4. Billing Determinants'!$B$19:$R$41,8,0)/'4. Billing Determinants'!$I$41*$D47, VLOOKUP(Y$4,'4. Billing Determinants'!$B$19:$R$41,3,0)/'4. Billing Determinants'!$D$41*$D47))))),0)</f>
        <v>0</v>
      </c>
    </row>
    <row r="48" spans="1:25" x14ac:dyDescent="0.25">
      <c r="A48" s="122">
        <v>25</v>
      </c>
      <c r="B48" s="44" t="s">
        <v>5</v>
      </c>
      <c r="C48" s="39">
        <v>1548</v>
      </c>
      <c r="D48" s="40">
        <f>'2b. Continuity Schedule'!BT74</f>
        <v>0</v>
      </c>
      <c r="E48" s="61" t="s">
        <v>59</v>
      </c>
      <c r="F48" s="40">
        <f>IFERROR(IF(F$4="",0,IF($E48="kWh",VLOOKUP(F$4,'4. Billing Determinants'!$B$19:$R$41,4,0)/'4. Billing Determinants'!$E$41*$D48,IF($E48="kW",VLOOKUP(F$4,'4. Billing Determinants'!$B$19:$R$41,5,0)/'4. Billing Determinants'!$F$41*$D48,IF($E48="Non-RPP kWh",VLOOKUP(F$4,'4. Billing Determinants'!$B$19:$R$41,6,0)/'4. Billing Determinants'!$G$41*$D48,IF($E48="Distribution Rev.",VLOOKUP(F$4,'4. Billing Determinants'!$B$19:$R$41,8,0)/'4. Billing Determinants'!$I$41*$D48, VLOOKUP(F$4,'4. Billing Determinants'!$B$19:$R$41,3,0)/'4. Billing Determinants'!$D$41*$D48))))),0)</f>
        <v>0</v>
      </c>
      <c r="G48" s="40">
        <f>IFERROR(IF(G$4="",0,IF($E48="kWh",VLOOKUP(G$4,'4. Billing Determinants'!$B$19:$R$41,4,0)/'4. Billing Determinants'!$E$41*$D48,IF($E48="kW",VLOOKUP(G$4,'4. Billing Determinants'!$B$19:$R$41,5,0)/'4. Billing Determinants'!$F$41*$D48,IF($E48="Non-RPP kWh",VLOOKUP(G$4,'4. Billing Determinants'!$B$19:$R$41,6,0)/'4. Billing Determinants'!$G$41*$D48,IF($E48="Distribution Rev.",VLOOKUP(G$4,'4. Billing Determinants'!$B$19:$R$41,8,0)/'4. Billing Determinants'!$I$41*$D48, VLOOKUP(G$4,'4. Billing Determinants'!$B$19:$R$41,3,0)/'4. Billing Determinants'!$D$41*$D48))))),0)</f>
        <v>0</v>
      </c>
      <c r="H48" s="40">
        <f>IFERROR(IF(H$4="",0,IF($E48="kWh",VLOOKUP(H$4,'4. Billing Determinants'!$B$19:$R$41,4,0)/'4. Billing Determinants'!$E$41*$D48,IF($E48="kW",VLOOKUP(H$4,'4. Billing Determinants'!$B$19:$R$41,5,0)/'4. Billing Determinants'!$F$41*$D48,IF($E48="Non-RPP kWh",VLOOKUP(H$4,'4. Billing Determinants'!$B$19:$R$41,6,0)/'4. Billing Determinants'!$G$41*$D48,IF($E48="Distribution Rev.",VLOOKUP(H$4,'4. Billing Determinants'!$B$19:$R$41,8,0)/'4. Billing Determinants'!$I$41*$D48, VLOOKUP(H$4,'4. Billing Determinants'!$B$19:$R$41,3,0)/'4. Billing Determinants'!$D$41*$D48))))),0)</f>
        <v>0</v>
      </c>
      <c r="I48" s="40">
        <f>IFERROR(IF(I$4="",0,IF($E48="kWh",VLOOKUP(I$4,'4. Billing Determinants'!$B$19:$R$41,4,0)/'4. Billing Determinants'!$E$41*$D48,IF($E48="kW",VLOOKUP(I$4,'4. Billing Determinants'!$B$19:$R$41,5,0)/'4. Billing Determinants'!$F$41*$D48,IF($E48="Non-RPP kWh",VLOOKUP(I$4,'4. Billing Determinants'!$B$19:$R$41,6,0)/'4. Billing Determinants'!$G$41*$D48,IF($E48="Distribution Rev.",VLOOKUP(I$4,'4. Billing Determinants'!$B$19:$R$41,8,0)/'4. Billing Determinants'!$I$41*$D48, VLOOKUP(I$4,'4. Billing Determinants'!$B$19:$R$41,3,0)/'4. Billing Determinants'!$D$41*$D48))))),0)</f>
        <v>0</v>
      </c>
      <c r="J48" s="40">
        <f>IFERROR(IF(J$4="",0,IF($E48="kWh",VLOOKUP(J$4,'4. Billing Determinants'!$B$19:$R$41,4,0)/'4. Billing Determinants'!$E$41*$D48,IF($E48="kW",VLOOKUP(J$4,'4. Billing Determinants'!$B$19:$R$41,5,0)/'4. Billing Determinants'!$F$41*$D48,IF($E48="Non-RPP kWh",VLOOKUP(J$4,'4. Billing Determinants'!$B$19:$R$41,6,0)/'4. Billing Determinants'!$G$41*$D48,IF($E48="Distribution Rev.",VLOOKUP(J$4,'4. Billing Determinants'!$B$19:$R$41,8,0)/'4. Billing Determinants'!$I$41*$D48, VLOOKUP(J$4,'4. Billing Determinants'!$B$19:$R$41,3,0)/'4. Billing Determinants'!$D$41*$D48))))),0)</f>
        <v>0</v>
      </c>
      <c r="K48" s="40">
        <f>IFERROR(IF(K$4="",0,IF($E48="kWh",VLOOKUP(K$4,'4. Billing Determinants'!$B$19:$R$41,4,0)/'4. Billing Determinants'!$E$41*$D48,IF($E48="kW",VLOOKUP(K$4,'4. Billing Determinants'!$B$19:$R$41,5,0)/'4. Billing Determinants'!$F$41*$D48,IF($E48="Non-RPP kWh",VLOOKUP(K$4,'4. Billing Determinants'!$B$19:$R$41,6,0)/'4. Billing Determinants'!$G$41*$D48,IF($E48="Distribution Rev.",VLOOKUP(K$4,'4. Billing Determinants'!$B$19:$R$41,8,0)/'4. Billing Determinants'!$I$41*$D48, VLOOKUP(K$4,'4. Billing Determinants'!$B$19:$R$41,3,0)/'4. Billing Determinants'!$D$41*$D48))))),0)</f>
        <v>0</v>
      </c>
      <c r="L48" s="40">
        <f>IFERROR(IF(L$4="",0,IF($E48="kWh",VLOOKUP(L$4,'4. Billing Determinants'!$B$19:$R$41,4,0)/'4. Billing Determinants'!$E$41*$D48,IF($E48="kW",VLOOKUP(L$4,'4. Billing Determinants'!$B$19:$R$41,5,0)/'4. Billing Determinants'!$F$41*$D48,IF($E48="Non-RPP kWh",VLOOKUP(L$4,'4. Billing Determinants'!$B$19:$R$41,6,0)/'4. Billing Determinants'!$G$41*$D48,IF($E48="Distribution Rev.",VLOOKUP(L$4,'4. Billing Determinants'!$B$19:$R$41,8,0)/'4. Billing Determinants'!$I$41*$D48, VLOOKUP(L$4,'4. Billing Determinants'!$B$19:$R$41,3,0)/'4. Billing Determinants'!$D$41*$D48))))),0)</f>
        <v>0</v>
      </c>
      <c r="M48" s="40">
        <f>IFERROR(IF(M$4="",0,IF($E48="kWh",VLOOKUP(M$4,'4. Billing Determinants'!$B$19:$R$41,4,0)/'4. Billing Determinants'!$E$41*$D48,IF($E48="kW",VLOOKUP(M$4,'4. Billing Determinants'!$B$19:$R$41,5,0)/'4. Billing Determinants'!$F$41*$D48,IF($E48="Non-RPP kWh",VLOOKUP(M$4,'4. Billing Determinants'!$B$19:$R$41,6,0)/'4. Billing Determinants'!$G$41*$D48,IF($E48="Distribution Rev.",VLOOKUP(M$4,'4. Billing Determinants'!$B$19:$R$41,8,0)/'4. Billing Determinants'!$I$41*$D48, VLOOKUP(M$4,'4. Billing Determinants'!$B$19:$R$41,3,0)/'4. Billing Determinants'!$D$41*$D48))))),0)</f>
        <v>0</v>
      </c>
      <c r="N48" s="40">
        <f>IFERROR(IF(N$4="",0,IF($E48="kWh",VLOOKUP(N$4,'4. Billing Determinants'!$B$19:$R$41,4,0)/'4. Billing Determinants'!$E$41*$D48,IF($E48="kW",VLOOKUP(N$4,'4. Billing Determinants'!$B$19:$R$41,5,0)/'4. Billing Determinants'!$F$41*$D48,IF($E48="Non-RPP kWh",VLOOKUP(N$4,'4. Billing Determinants'!$B$19:$R$41,6,0)/'4. Billing Determinants'!$G$41*$D48,IF($E48="Distribution Rev.",VLOOKUP(N$4,'4. Billing Determinants'!$B$19:$R$41,8,0)/'4. Billing Determinants'!$I$41*$D48, VLOOKUP(N$4,'4. Billing Determinants'!$B$19:$R$41,3,0)/'4. Billing Determinants'!$D$41*$D48))))),0)</f>
        <v>0</v>
      </c>
      <c r="O48" s="40">
        <f>IFERROR(IF(O$4="",0,IF($E48="kWh",VLOOKUP(O$4,'4. Billing Determinants'!$B$19:$R$41,4,0)/'4. Billing Determinants'!$E$41*$D48,IF($E48="kW",VLOOKUP(O$4,'4. Billing Determinants'!$B$19:$R$41,5,0)/'4. Billing Determinants'!$F$41*$D48,IF($E48="Non-RPP kWh",VLOOKUP(O$4,'4. Billing Determinants'!$B$19:$R$41,6,0)/'4. Billing Determinants'!$G$41*$D48,IF($E48="Distribution Rev.",VLOOKUP(O$4,'4. Billing Determinants'!$B$19:$R$41,8,0)/'4. Billing Determinants'!$I$41*$D48, VLOOKUP(O$4,'4. Billing Determinants'!$B$19:$R$41,3,0)/'4. Billing Determinants'!$D$41*$D48))))),0)</f>
        <v>0</v>
      </c>
      <c r="P48" s="40">
        <f>IFERROR(IF(P$4="",0,IF($E48="kWh",VLOOKUP(P$4,'4. Billing Determinants'!$B$19:$R$41,4,0)/'4. Billing Determinants'!$E$41*$D48,IF($E48="kW",VLOOKUP(P$4,'4. Billing Determinants'!$B$19:$R$41,5,0)/'4. Billing Determinants'!$F$41*$D48,IF($E48="Non-RPP kWh",VLOOKUP(P$4,'4. Billing Determinants'!$B$19:$R$41,6,0)/'4. Billing Determinants'!$G$41*$D48,IF($E48="Distribution Rev.",VLOOKUP(P$4,'4. Billing Determinants'!$B$19:$R$41,8,0)/'4. Billing Determinants'!$I$41*$D48, VLOOKUP(P$4,'4. Billing Determinants'!$B$19:$R$41,3,0)/'4. Billing Determinants'!$D$41*$D48))))),0)</f>
        <v>0</v>
      </c>
      <c r="Q48" s="40">
        <f>IFERROR(IF(Q$4="",0,IF($E48="kWh",VLOOKUP(Q$4,'4. Billing Determinants'!$B$19:$R$41,4,0)/'4. Billing Determinants'!$E$41*$D48,IF($E48="kW",VLOOKUP(Q$4,'4. Billing Determinants'!$B$19:$R$41,5,0)/'4. Billing Determinants'!$F$41*$D48,IF($E48="Non-RPP kWh",VLOOKUP(Q$4,'4. Billing Determinants'!$B$19:$R$41,6,0)/'4. Billing Determinants'!$G$41*$D48,IF($E48="Distribution Rev.",VLOOKUP(Q$4,'4. Billing Determinants'!$B$19:$R$41,8,0)/'4. Billing Determinants'!$I$41*$D48, VLOOKUP(Q$4,'4. Billing Determinants'!$B$19:$R$41,3,0)/'4. Billing Determinants'!$D$41*$D48))))),0)</f>
        <v>0</v>
      </c>
      <c r="R48" s="40">
        <f>IFERROR(IF(R$4="",0,IF($E48="kWh",VLOOKUP(R$4,'4. Billing Determinants'!$B$19:$R$41,4,0)/'4. Billing Determinants'!$E$41*$D48,IF($E48="kW",VLOOKUP(R$4,'4. Billing Determinants'!$B$19:$R$41,5,0)/'4. Billing Determinants'!$F$41*$D48,IF($E48="Non-RPP kWh",VLOOKUP(R$4,'4. Billing Determinants'!$B$19:$R$41,6,0)/'4. Billing Determinants'!$G$41*$D48,IF($E48="Distribution Rev.",VLOOKUP(R$4,'4. Billing Determinants'!$B$19:$R$41,8,0)/'4. Billing Determinants'!$I$41*$D48, VLOOKUP(R$4,'4. Billing Determinants'!$B$19:$R$41,3,0)/'4. Billing Determinants'!$D$41*$D48))))),0)</f>
        <v>0</v>
      </c>
      <c r="S48" s="40">
        <f>IFERROR(IF(S$4="",0,IF($E48="kWh",VLOOKUP(S$4,'4. Billing Determinants'!$B$19:$R$41,4,0)/'4. Billing Determinants'!$E$41*$D48,IF($E48="kW",VLOOKUP(S$4,'4. Billing Determinants'!$B$19:$R$41,5,0)/'4. Billing Determinants'!$F$41*$D48,IF($E48="Non-RPP kWh",VLOOKUP(S$4,'4. Billing Determinants'!$B$19:$R$41,6,0)/'4. Billing Determinants'!$G$41*$D48,IF($E48="Distribution Rev.",VLOOKUP(S$4,'4. Billing Determinants'!$B$19:$R$41,8,0)/'4. Billing Determinants'!$I$41*$D48, VLOOKUP(S$4,'4. Billing Determinants'!$B$19:$R$41,3,0)/'4. Billing Determinants'!$D$41*$D48))))),0)</f>
        <v>0</v>
      </c>
      <c r="T48" s="40">
        <f>IFERROR(IF(T$4="",0,IF($E48="kWh",VLOOKUP(T$4,'4. Billing Determinants'!$B$19:$R$41,4,0)/'4. Billing Determinants'!$E$41*$D48,IF($E48="kW",VLOOKUP(T$4,'4. Billing Determinants'!$B$19:$R$41,5,0)/'4. Billing Determinants'!$F$41*$D48,IF($E48="Non-RPP kWh",VLOOKUP(T$4,'4. Billing Determinants'!$B$19:$R$41,6,0)/'4. Billing Determinants'!$G$41*$D48,IF($E48="Distribution Rev.",VLOOKUP(T$4,'4. Billing Determinants'!$B$19:$R$41,8,0)/'4. Billing Determinants'!$I$41*$D48, VLOOKUP(T$4,'4. Billing Determinants'!$B$19:$R$41,3,0)/'4. Billing Determinants'!$D$41*$D48))))),0)</f>
        <v>0</v>
      </c>
      <c r="U48" s="40">
        <f>IFERROR(IF(U$4="",0,IF($E48="kWh",VLOOKUP(U$4,'4. Billing Determinants'!$B$19:$R$41,4,0)/'4. Billing Determinants'!$E$41*$D48,IF($E48="kW",VLOOKUP(U$4,'4. Billing Determinants'!$B$19:$R$41,5,0)/'4. Billing Determinants'!$F$41*$D48,IF($E48="Non-RPP kWh",VLOOKUP(U$4,'4. Billing Determinants'!$B$19:$R$41,6,0)/'4. Billing Determinants'!$G$41*$D48,IF($E48="Distribution Rev.",VLOOKUP(U$4,'4. Billing Determinants'!$B$19:$R$41,8,0)/'4. Billing Determinants'!$I$41*$D48, VLOOKUP(U$4,'4. Billing Determinants'!$B$19:$R$41,3,0)/'4. Billing Determinants'!$D$41*$D48))))),0)</f>
        <v>0</v>
      </c>
      <c r="V48" s="40">
        <f>IFERROR(IF(V$4="",0,IF($E48="kWh",VLOOKUP(V$4,'4. Billing Determinants'!$B$19:$R$41,4,0)/'4. Billing Determinants'!$E$41*$D48,IF($E48="kW",VLOOKUP(V$4,'4. Billing Determinants'!$B$19:$R$41,5,0)/'4. Billing Determinants'!$F$41*$D48,IF($E48="Non-RPP kWh",VLOOKUP(V$4,'4. Billing Determinants'!$B$19:$R$41,6,0)/'4. Billing Determinants'!$G$41*$D48,IF($E48="Distribution Rev.",VLOOKUP(V$4,'4. Billing Determinants'!$B$19:$R$41,8,0)/'4. Billing Determinants'!$I$41*$D48, VLOOKUP(V$4,'4. Billing Determinants'!$B$19:$R$41,3,0)/'4. Billing Determinants'!$D$41*$D48))))),0)</f>
        <v>0</v>
      </c>
      <c r="W48" s="40">
        <f>IFERROR(IF(W$4="",0,IF($E48="kWh",VLOOKUP(W$4,'4. Billing Determinants'!$B$19:$R$41,4,0)/'4. Billing Determinants'!$E$41*$D48,IF($E48="kW",VLOOKUP(W$4,'4. Billing Determinants'!$B$19:$R$41,5,0)/'4. Billing Determinants'!$F$41*$D48,IF($E48="Non-RPP kWh",VLOOKUP(W$4,'4. Billing Determinants'!$B$19:$R$41,6,0)/'4. Billing Determinants'!$G$41*$D48,IF($E48="Distribution Rev.",VLOOKUP(W$4,'4. Billing Determinants'!$B$19:$R$41,8,0)/'4. Billing Determinants'!$I$41*$D48, VLOOKUP(W$4,'4. Billing Determinants'!$B$19:$R$41,3,0)/'4. Billing Determinants'!$D$41*$D48))))),0)</f>
        <v>0</v>
      </c>
      <c r="X48" s="40">
        <f>IFERROR(IF(X$4="",0,IF($E48="kWh",VLOOKUP(X$4,'4. Billing Determinants'!$B$19:$R$41,4,0)/'4. Billing Determinants'!$E$41*$D48,IF($E48="kW",VLOOKUP(X$4,'4. Billing Determinants'!$B$19:$R$41,5,0)/'4. Billing Determinants'!$F$41*$D48,IF($E48="Non-RPP kWh",VLOOKUP(X$4,'4. Billing Determinants'!$B$19:$R$41,6,0)/'4. Billing Determinants'!$G$41*$D48,IF($E48="Distribution Rev.",VLOOKUP(X$4,'4. Billing Determinants'!$B$19:$R$41,8,0)/'4. Billing Determinants'!$I$41*$D48, VLOOKUP(X$4,'4. Billing Determinants'!$B$19:$R$41,3,0)/'4. Billing Determinants'!$D$41*$D48))))),0)</f>
        <v>0</v>
      </c>
      <c r="Y48" s="40">
        <f>IFERROR(IF(Y$4="",0,IF($E48="kWh",VLOOKUP(Y$4,'4. Billing Determinants'!$B$19:$R$41,4,0)/'4. Billing Determinants'!$E$41*$D48,IF($E48="kW",VLOOKUP(Y$4,'4. Billing Determinants'!$B$19:$R$41,5,0)/'4. Billing Determinants'!$F$41*$D48,IF($E48="Non-RPP kWh",VLOOKUP(Y$4,'4. Billing Determinants'!$B$19:$R$41,6,0)/'4. Billing Determinants'!$G$41*$D48,IF($E48="Distribution Rev.",VLOOKUP(Y$4,'4. Billing Determinants'!$B$19:$R$41,8,0)/'4. Billing Determinants'!$I$41*$D48, VLOOKUP(Y$4,'4. Billing Determinants'!$B$19:$R$41,3,0)/'4. Billing Determinants'!$D$41*$D48))))),0)</f>
        <v>0</v>
      </c>
    </row>
    <row r="49" spans="1:25" x14ac:dyDescent="0.25">
      <c r="A49" s="122">
        <v>26</v>
      </c>
      <c r="B49" s="44" t="s">
        <v>10</v>
      </c>
      <c r="C49" s="39">
        <v>1572</v>
      </c>
      <c r="D49" s="40">
        <f>'2b. Continuity Schedule'!BT75</f>
        <v>0</v>
      </c>
      <c r="E49" s="61" t="s">
        <v>139</v>
      </c>
      <c r="F49" s="40">
        <f>IFERROR(IF(F$4="",0,IF($E49="kWh",VLOOKUP(F$4,'4. Billing Determinants'!$B$19:$R$41,4,0)/'4. Billing Determinants'!$E$41*$D49,IF($E49="kW",VLOOKUP(F$4,'4. Billing Determinants'!$B$19:$R$41,5,0)/'4. Billing Determinants'!$F$41*$D49,IF($E49="Non-RPP kWh",VLOOKUP(F$4,'4. Billing Determinants'!$B$19:$R$41,6,0)/'4. Billing Determinants'!$G$41*$D49,IF($E49="Distribution Rev.",VLOOKUP(F$4,'4. Billing Determinants'!$B$19:$R$41,8,0)/'4. Billing Determinants'!$I$41*$D49, VLOOKUP(F$4,'4. Billing Determinants'!$B$19:$R$41,3,0)/'4. Billing Determinants'!$D$41*$D49))))),0)</f>
        <v>0</v>
      </c>
      <c r="G49" s="40">
        <f>IFERROR(IF(G$4="",0,IF($E49="kWh",VLOOKUP(G$4,'4. Billing Determinants'!$B$19:$R$41,4,0)/'4. Billing Determinants'!$E$41*$D49,IF($E49="kW",VLOOKUP(G$4,'4. Billing Determinants'!$B$19:$R$41,5,0)/'4. Billing Determinants'!$F$41*$D49,IF($E49="Non-RPP kWh",VLOOKUP(G$4,'4. Billing Determinants'!$B$19:$R$41,6,0)/'4. Billing Determinants'!$G$41*$D49,IF($E49="Distribution Rev.",VLOOKUP(G$4,'4. Billing Determinants'!$B$19:$R$41,8,0)/'4. Billing Determinants'!$I$41*$D49, VLOOKUP(G$4,'4. Billing Determinants'!$B$19:$R$41,3,0)/'4. Billing Determinants'!$D$41*$D49))))),0)</f>
        <v>0</v>
      </c>
      <c r="H49" s="40">
        <f>IFERROR(IF(H$4="",0,IF($E49="kWh",VLOOKUP(H$4,'4. Billing Determinants'!$B$19:$R$41,4,0)/'4. Billing Determinants'!$E$41*$D49,IF($E49="kW",VLOOKUP(H$4,'4. Billing Determinants'!$B$19:$R$41,5,0)/'4. Billing Determinants'!$F$41*$D49,IF($E49="Non-RPP kWh",VLOOKUP(H$4,'4. Billing Determinants'!$B$19:$R$41,6,0)/'4. Billing Determinants'!$G$41*$D49,IF($E49="Distribution Rev.",VLOOKUP(H$4,'4. Billing Determinants'!$B$19:$R$41,8,0)/'4. Billing Determinants'!$I$41*$D49, VLOOKUP(H$4,'4. Billing Determinants'!$B$19:$R$41,3,0)/'4. Billing Determinants'!$D$41*$D49))))),0)</f>
        <v>0</v>
      </c>
      <c r="I49" s="40">
        <f>IFERROR(IF(I$4="",0,IF($E49="kWh",VLOOKUP(I$4,'4. Billing Determinants'!$B$19:$R$41,4,0)/'4. Billing Determinants'!$E$41*$D49,IF($E49="kW",VLOOKUP(I$4,'4. Billing Determinants'!$B$19:$R$41,5,0)/'4. Billing Determinants'!$F$41*$D49,IF($E49="Non-RPP kWh",VLOOKUP(I$4,'4. Billing Determinants'!$B$19:$R$41,6,0)/'4. Billing Determinants'!$G$41*$D49,IF($E49="Distribution Rev.",VLOOKUP(I$4,'4. Billing Determinants'!$B$19:$R$41,8,0)/'4. Billing Determinants'!$I$41*$D49, VLOOKUP(I$4,'4. Billing Determinants'!$B$19:$R$41,3,0)/'4. Billing Determinants'!$D$41*$D49))))),0)</f>
        <v>0</v>
      </c>
      <c r="J49" s="40">
        <f>IFERROR(IF(J$4="",0,IF($E49="kWh",VLOOKUP(J$4,'4. Billing Determinants'!$B$19:$R$41,4,0)/'4. Billing Determinants'!$E$41*$D49,IF($E49="kW",VLOOKUP(J$4,'4. Billing Determinants'!$B$19:$R$41,5,0)/'4. Billing Determinants'!$F$41*$D49,IF($E49="Non-RPP kWh",VLOOKUP(J$4,'4. Billing Determinants'!$B$19:$R$41,6,0)/'4. Billing Determinants'!$G$41*$D49,IF($E49="Distribution Rev.",VLOOKUP(J$4,'4. Billing Determinants'!$B$19:$R$41,8,0)/'4. Billing Determinants'!$I$41*$D49, VLOOKUP(J$4,'4. Billing Determinants'!$B$19:$R$41,3,0)/'4. Billing Determinants'!$D$41*$D49))))),0)</f>
        <v>0</v>
      </c>
      <c r="K49" s="40">
        <f>IFERROR(IF(K$4="",0,IF($E49="kWh",VLOOKUP(K$4,'4. Billing Determinants'!$B$19:$R$41,4,0)/'4. Billing Determinants'!$E$41*$D49,IF($E49="kW",VLOOKUP(K$4,'4. Billing Determinants'!$B$19:$R$41,5,0)/'4. Billing Determinants'!$F$41*$D49,IF($E49="Non-RPP kWh",VLOOKUP(K$4,'4. Billing Determinants'!$B$19:$R$41,6,0)/'4. Billing Determinants'!$G$41*$D49,IF($E49="Distribution Rev.",VLOOKUP(K$4,'4. Billing Determinants'!$B$19:$R$41,8,0)/'4. Billing Determinants'!$I$41*$D49, VLOOKUP(K$4,'4. Billing Determinants'!$B$19:$R$41,3,0)/'4. Billing Determinants'!$D$41*$D49))))),0)</f>
        <v>0</v>
      </c>
      <c r="L49" s="40">
        <f>IFERROR(IF(L$4="",0,IF($E49="kWh",VLOOKUP(L$4,'4. Billing Determinants'!$B$19:$R$41,4,0)/'4. Billing Determinants'!$E$41*$D49,IF($E49="kW",VLOOKUP(L$4,'4. Billing Determinants'!$B$19:$R$41,5,0)/'4. Billing Determinants'!$F$41*$D49,IF($E49="Non-RPP kWh",VLOOKUP(L$4,'4. Billing Determinants'!$B$19:$R$41,6,0)/'4. Billing Determinants'!$G$41*$D49,IF($E49="Distribution Rev.",VLOOKUP(L$4,'4. Billing Determinants'!$B$19:$R$41,8,0)/'4. Billing Determinants'!$I$41*$D49, VLOOKUP(L$4,'4. Billing Determinants'!$B$19:$R$41,3,0)/'4. Billing Determinants'!$D$41*$D49))))),0)</f>
        <v>0</v>
      </c>
      <c r="M49" s="40">
        <f>IFERROR(IF(M$4="",0,IF($E49="kWh",VLOOKUP(M$4,'4. Billing Determinants'!$B$19:$R$41,4,0)/'4. Billing Determinants'!$E$41*$D49,IF($E49="kW",VLOOKUP(M$4,'4. Billing Determinants'!$B$19:$R$41,5,0)/'4. Billing Determinants'!$F$41*$D49,IF($E49="Non-RPP kWh",VLOOKUP(M$4,'4. Billing Determinants'!$B$19:$R$41,6,0)/'4. Billing Determinants'!$G$41*$D49,IF($E49="Distribution Rev.",VLOOKUP(M$4,'4. Billing Determinants'!$B$19:$R$41,8,0)/'4. Billing Determinants'!$I$41*$D49, VLOOKUP(M$4,'4. Billing Determinants'!$B$19:$R$41,3,0)/'4. Billing Determinants'!$D$41*$D49))))),0)</f>
        <v>0</v>
      </c>
      <c r="N49" s="40">
        <f>IFERROR(IF(N$4="",0,IF($E49="kWh",VLOOKUP(N$4,'4. Billing Determinants'!$B$19:$R$41,4,0)/'4. Billing Determinants'!$E$41*$D49,IF($E49="kW",VLOOKUP(N$4,'4. Billing Determinants'!$B$19:$R$41,5,0)/'4. Billing Determinants'!$F$41*$D49,IF($E49="Non-RPP kWh",VLOOKUP(N$4,'4. Billing Determinants'!$B$19:$R$41,6,0)/'4. Billing Determinants'!$G$41*$D49,IF($E49="Distribution Rev.",VLOOKUP(N$4,'4. Billing Determinants'!$B$19:$R$41,8,0)/'4. Billing Determinants'!$I$41*$D49, VLOOKUP(N$4,'4. Billing Determinants'!$B$19:$R$41,3,0)/'4. Billing Determinants'!$D$41*$D49))))),0)</f>
        <v>0</v>
      </c>
      <c r="O49" s="40">
        <f>IFERROR(IF(O$4="",0,IF($E49="kWh",VLOOKUP(O$4,'4. Billing Determinants'!$B$19:$R$41,4,0)/'4. Billing Determinants'!$E$41*$D49,IF($E49="kW",VLOOKUP(O$4,'4. Billing Determinants'!$B$19:$R$41,5,0)/'4. Billing Determinants'!$F$41*$D49,IF($E49="Non-RPP kWh",VLOOKUP(O$4,'4. Billing Determinants'!$B$19:$R$41,6,0)/'4. Billing Determinants'!$G$41*$D49,IF($E49="Distribution Rev.",VLOOKUP(O$4,'4. Billing Determinants'!$B$19:$R$41,8,0)/'4. Billing Determinants'!$I$41*$D49, VLOOKUP(O$4,'4. Billing Determinants'!$B$19:$R$41,3,0)/'4. Billing Determinants'!$D$41*$D49))))),0)</f>
        <v>0</v>
      </c>
      <c r="P49" s="40">
        <f>IFERROR(IF(P$4="",0,IF($E49="kWh",VLOOKUP(P$4,'4. Billing Determinants'!$B$19:$R$41,4,0)/'4. Billing Determinants'!$E$41*$D49,IF($E49="kW",VLOOKUP(P$4,'4. Billing Determinants'!$B$19:$R$41,5,0)/'4. Billing Determinants'!$F$41*$D49,IF($E49="Non-RPP kWh",VLOOKUP(P$4,'4. Billing Determinants'!$B$19:$R$41,6,0)/'4. Billing Determinants'!$G$41*$D49,IF($E49="Distribution Rev.",VLOOKUP(P$4,'4. Billing Determinants'!$B$19:$R$41,8,0)/'4. Billing Determinants'!$I$41*$D49, VLOOKUP(P$4,'4. Billing Determinants'!$B$19:$R$41,3,0)/'4. Billing Determinants'!$D$41*$D49))))),0)</f>
        <v>0</v>
      </c>
      <c r="Q49" s="40">
        <f>IFERROR(IF(Q$4="",0,IF($E49="kWh",VLOOKUP(Q$4,'4. Billing Determinants'!$B$19:$R$41,4,0)/'4. Billing Determinants'!$E$41*$D49,IF($E49="kW",VLOOKUP(Q$4,'4. Billing Determinants'!$B$19:$R$41,5,0)/'4. Billing Determinants'!$F$41*$D49,IF($E49="Non-RPP kWh",VLOOKUP(Q$4,'4. Billing Determinants'!$B$19:$R$41,6,0)/'4. Billing Determinants'!$G$41*$D49,IF($E49="Distribution Rev.",VLOOKUP(Q$4,'4. Billing Determinants'!$B$19:$R$41,8,0)/'4. Billing Determinants'!$I$41*$D49, VLOOKUP(Q$4,'4. Billing Determinants'!$B$19:$R$41,3,0)/'4. Billing Determinants'!$D$41*$D49))))),0)</f>
        <v>0</v>
      </c>
      <c r="R49" s="40">
        <f>IFERROR(IF(R$4="",0,IF($E49="kWh",VLOOKUP(R$4,'4. Billing Determinants'!$B$19:$R$41,4,0)/'4. Billing Determinants'!$E$41*$D49,IF($E49="kW",VLOOKUP(R$4,'4. Billing Determinants'!$B$19:$R$41,5,0)/'4. Billing Determinants'!$F$41*$D49,IF($E49="Non-RPP kWh",VLOOKUP(R$4,'4. Billing Determinants'!$B$19:$R$41,6,0)/'4. Billing Determinants'!$G$41*$D49,IF($E49="Distribution Rev.",VLOOKUP(R$4,'4. Billing Determinants'!$B$19:$R$41,8,0)/'4. Billing Determinants'!$I$41*$D49, VLOOKUP(R$4,'4. Billing Determinants'!$B$19:$R$41,3,0)/'4. Billing Determinants'!$D$41*$D49))))),0)</f>
        <v>0</v>
      </c>
      <c r="S49" s="40">
        <f>IFERROR(IF(S$4="",0,IF($E49="kWh",VLOOKUP(S$4,'4. Billing Determinants'!$B$19:$R$41,4,0)/'4. Billing Determinants'!$E$41*$D49,IF($E49="kW",VLOOKUP(S$4,'4. Billing Determinants'!$B$19:$R$41,5,0)/'4. Billing Determinants'!$F$41*$D49,IF($E49="Non-RPP kWh",VLOOKUP(S$4,'4. Billing Determinants'!$B$19:$R$41,6,0)/'4. Billing Determinants'!$G$41*$D49,IF($E49="Distribution Rev.",VLOOKUP(S$4,'4. Billing Determinants'!$B$19:$R$41,8,0)/'4. Billing Determinants'!$I$41*$D49, VLOOKUP(S$4,'4. Billing Determinants'!$B$19:$R$41,3,0)/'4. Billing Determinants'!$D$41*$D49))))),0)</f>
        <v>0</v>
      </c>
      <c r="T49" s="40">
        <f>IFERROR(IF(T$4="",0,IF($E49="kWh",VLOOKUP(T$4,'4. Billing Determinants'!$B$19:$R$41,4,0)/'4. Billing Determinants'!$E$41*$D49,IF($E49="kW",VLOOKUP(T$4,'4. Billing Determinants'!$B$19:$R$41,5,0)/'4. Billing Determinants'!$F$41*$D49,IF($E49="Non-RPP kWh",VLOOKUP(T$4,'4. Billing Determinants'!$B$19:$R$41,6,0)/'4. Billing Determinants'!$G$41*$D49,IF($E49="Distribution Rev.",VLOOKUP(T$4,'4. Billing Determinants'!$B$19:$R$41,8,0)/'4. Billing Determinants'!$I$41*$D49, VLOOKUP(T$4,'4. Billing Determinants'!$B$19:$R$41,3,0)/'4. Billing Determinants'!$D$41*$D49))))),0)</f>
        <v>0</v>
      </c>
      <c r="U49" s="40">
        <f>IFERROR(IF(U$4="",0,IF($E49="kWh",VLOOKUP(U$4,'4. Billing Determinants'!$B$19:$R$41,4,0)/'4. Billing Determinants'!$E$41*$D49,IF($E49="kW",VLOOKUP(U$4,'4. Billing Determinants'!$B$19:$R$41,5,0)/'4. Billing Determinants'!$F$41*$D49,IF($E49="Non-RPP kWh",VLOOKUP(U$4,'4. Billing Determinants'!$B$19:$R$41,6,0)/'4. Billing Determinants'!$G$41*$D49,IF($E49="Distribution Rev.",VLOOKUP(U$4,'4. Billing Determinants'!$B$19:$R$41,8,0)/'4. Billing Determinants'!$I$41*$D49, VLOOKUP(U$4,'4. Billing Determinants'!$B$19:$R$41,3,0)/'4. Billing Determinants'!$D$41*$D49))))),0)</f>
        <v>0</v>
      </c>
      <c r="V49" s="40">
        <f>IFERROR(IF(V$4="",0,IF($E49="kWh",VLOOKUP(V$4,'4. Billing Determinants'!$B$19:$R$41,4,0)/'4. Billing Determinants'!$E$41*$D49,IF($E49="kW",VLOOKUP(V$4,'4. Billing Determinants'!$B$19:$R$41,5,0)/'4. Billing Determinants'!$F$41*$D49,IF($E49="Non-RPP kWh",VLOOKUP(V$4,'4. Billing Determinants'!$B$19:$R$41,6,0)/'4. Billing Determinants'!$G$41*$D49,IF($E49="Distribution Rev.",VLOOKUP(V$4,'4. Billing Determinants'!$B$19:$R$41,8,0)/'4. Billing Determinants'!$I$41*$D49, VLOOKUP(V$4,'4. Billing Determinants'!$B$19:$R$41,3,0)/'4. Billing Determinants'!$D$41*$D49))))),0)</f>
        <v>0</v>
      </c>
      <c r="W49" s="40">
        <f>IFERROR(IF(W$4="",0,IF($E49="kWh",VLOOKUP(W$4,'4. Billing Determinants'!$B$19:$R$41,4,0)/'4. Billing Determinants'!$E$41*$D49,IF($E49="kW",VLOOKUP(W$4,'4. Billing Determinants'!$B$19:$R$41,5,0)/'4. Billing Determinants'!$F$41*$D49,IF($E49="Non-RPP kWh",VLOOKUP(W$4,'4. Billing Determinants'!$B$19:$R$41,6,0)/'4. Billing Determinants'!$G$41*$D49,IF($E49="Distribution Rev.",VLOOKUP(W$4,'4. Billing Determinants'!$B$19:$R$41,8,0)/'4. Billing Determinants'!$I$41*$D49, VLOOKUP(W$4,'4. Billing Determinants'!$B$19:$R$41,3,0)/'4. Billing Determinants'!$D$41*$D49))))),0)</f>
        <v>0</v>
      </c>
      <c r="X49" s="40">
        <f>IFERROR(IF(X$4="",0,IF($E49="kWh",VLOOKUP(X$4,'4. Billing Determinants'!$B$19:$R$41,4,0)/'4. Billing Determinants'!$E$41*$D49,IF($E49="kW",VLOOKUP(X$4,'4. Billing Determinants'!$B$19:$R$41,5,0)/'4. Billing Determinants'!$F$41*$D49,IF($E49="Non-RPP kWh",VLOOKUP(X$4,'4. Billing Determinants'!$B$19:$R$41,6,0)/'4. Billing Determinants'!$G$41*$D49,IF($E49="Distribution Rev.",VLOOKUP(X$4,'4. Billing Determinants'!$B$19:$R$41,8,0)/'4. Billing Determinants'!$I$41*$D49, VLOOKUP(X$4,'4. Billing Determinants'!$B$19:$R$41,3,0)/'4. Billing Determinants'!$D$41*$D49))))),0)</f>
        <v>0</v>
      </c>
      <c r="Y49" s="40">
        <f>IFERROR(IF(Y$4="",0,IF($E49="kWh",VLOOKUP(Y$4,'4. Billing Determinants'!$B$19:$R$41,4,0)/'4. Billing Determinants'!$E$41*$D49,IF($E49="kW",VLOOKUP(Y$4,'4. Billing Determinants'!$B$19:$R$41,5,0)/'4. Billing Determinants'!$F$41*$D49,IF($E49="Non-RPP kWh",VLOOKUP(Y$4,'4. Billing Determinants'!$B$19:$R$41,6,0)/'4. Billing Determinants'!$G$41*$D49,IF($E49="Distribution Rev.",VLOOKUP(Y$4,'4. Billing Determinants'!$B$19:$R$41,8,0)/'4. Billing Determinants'!$I$41*$D49, VLOOKUP(Y$4,'4. Billing Determinants'!$B$19:$R$41,3,0)/'4. Billing Determinants'!$D$41*$D49))))),0)</f>
        <v>0</v>
      </c>
    </row>
    <row r="50" spans="1:25" x14ac:dyDescent="0.25">
      <c r="A50" s="122">
        <v>27</v>
      </c>
      <c r="B50" s="44" t="s">
        <v>6</v>
      </c>
      <c r="C50" s="39">
        <v>1574</v>
      </c>
      <c r="D50" s="40">
        <f>'2b. Continuity Schedule'!BT76</f>
        <v>0</v>
      </c>
      <c r="E50" s="61" t="s">
        <v>139</v>
      </c>
      <c r="F50" s="40">
        <f>IFERROR(IF(F$4="",0,IF($E50="kWh",VLOOKUP(F$4,'4. Billing Determinants'!$B$19:$R$41,4,0)/'4. Billing Determinants'!$E$41*$D50,IF($E50="kW",VLOOKUP(F$4,'4. Billing Determinants'!$B$19:$R$41,5,0)/'4. Billing Determinants'!$F$41*$D50,IF($E50="Non-RPP kWh",VLOOKUP(F$4,'4. Billing Determinants'!$B$19:$R$41,6,0)/'4. Billing Determinants'!$G$41*$D50,IF($E50="Distribution Rev.",VLOOKUP(F$4,'4. Billing Determinants'!$B$19:$R$41,8,0)/'4. Billing Determinants'!$I$41*$D50, VLOOKUP(F$4,'4. Billing Determinants'!$B$19:$R$41,3,0)/'4. Billing Determinants'!$D$41*$D50))))),0)</f>
        <v>0</v>
      </c>
      <c r="G50" s="40">
        <f>IFERROR(IF(G$4="",0,IF($E50="kWh",VLOOKUP(G$4,'4. Billing Determinants'!$B$19:$R$41,4,0)/'4. Billing Determinants'!$E$41*$D50,IF($E50="kW",VLOOKUP(G$4,'4. Billing Determinants'!$B$19:$R$41,5,0)/'4. Billing Determinants'!$F$41*$D50,IF($E50="Non-RPP kWh",VLOOKUP(G$4,'4. Billing Determinants'!$B$19:$R$41,6,0)/'4. Billing Determinants'!$G$41*$D50,IF($E50="Distribution Rev.",VLOOKUP(G$4,'4. Billing Determinants'!$B$19:$R$41,8,0)/'4. Billing Determinants'!$I$41*$D50, VLOOKUP(G$4,'4. Billing Determinants'!$B$19:$R$41,3,0)/'4. Billing Determinants'!$D$41*$D50))))),0)</f>
        <v>0</v>
      </c>
      <c r="H50" s="40">
        <f>IFERROR(IF(H$4="",0,IF($E50="kWh",VLOOKUP(H$4,'4. Billing Determinants'!$B$19:$R$41,4,0)/'4. Billing Determinants'!$E$41*$D50,IF($E50="kW",VLOOKUP(H$4,'4. Billing Determinants'!$B$19:$R$41,5,0)/'4. Billing Determinants'!$F$41*$D50,IF($E50="Non-RPP kWh",VLOOKUP(H$4,'4. Billing Determinants'!$B$19:$R$41,6,0)/'4. Billing Determinants'!$G$41*$D50,IF($E50="Distribution Rev.",VLOOKUP(H$4,'4. Billing Determinants'!$B$19:$R$41,8,0)/'4. Billing Determinants'!$I$41*$D50, VLOOKUP(H$4,'4. Billing Determinants'!$B$19:$R$41,3,0)/'4. Billing Determinants'!$D$41*$D50))))),0)</f>
        <v>0</v>
      </c>
      <c r="I50" s="40">
        <f>IFERROR(IF(I$4="",0,IF($E50="kWh",VLOOKUP(I$4,'4. Billing Determinants'!$B$19:$R$41,4,0)/'4. Billing Determinants'!$E$41*$D50,IF($E50="kW",VLOOKUP(I$4,'4. Billing Determinants'!$B$19:$R$41,5,0)/'4. Billing Determinants'!$F$41*$D50,IF($E50="Non-RPP kWh",VLOOKUP(I$4,'4. Billing Determinants'!$B$19:$R$41,6,0)/'4. Billing Determinants'!$G$41*$D50,IF($E50="Distribution Rev.",VLOOKUP(I$4,'4. Billing Determinants'!$B$19:$R$41,8,0)/'4. Billing Determinants'!$I$41*$D50, VLOOKUP(I$4,'4. Billing Determinants'!$B$19:$R$41,3,0)/'4. Billing Determinants'!$D$41*$D50))))),0)</f>
        <v>0</v>
      </c>
      <c r="J50" s="40">
        <f>IFERROR(IF(J$4="",0,IF($E50="kWh",VLOOKUP(J$4,'4. Billing Determinants'!$B$19:$R$41,4,0)/'4. Billing Determinants'!$E$41*$D50,IF($E50="kW",VLOOKUP(J$4,'4. Billing Determinants'!$B$19:$R$41,5,0)/'4. Billing Determinants'!$F$41*$D50,IF($E50="Non-RPP kWh",VLOOKUP(J$4,'4. Billing Determinants'!$B$19:$R$41,6,0)/'4. Billing Determinants'!$G$41*$D50,IF($E50="Distribution Rev.",VLOOKUP(J$4,'4. Billing Determinants'!$B$19:$R$41,8,0)/'4. Billing Determinants'!$I$41*$D50, VLOOKUP(J$4,'4. Billing Determinants'!$B$19:$R$41,3,0)/'4. Billing Determinants'!$D$41*$D50))))),0)</f>
        <v>0</v>
      </c>
      <c r="K50" s="40">
        <f>IFERROR(IF(K$4="",0,IF($E50="kWh",VLOOKUP(K$4,'4. Billing Determinants'!$B$19:$R$41,4,0)/'4. Billing Determinants'!$E$41*$D50,IF($E50="kW",VLOOKUP(K$4,'4. Billing Determinants'!$B$19:$R$41,5,0)/'4. Billing Determinants'!$F$41*$D50,IF($E50="Non-RPP kWh",VLOOKUP(K$4,'4. Billing Determinants'!$B$19:$R$41,6,0)/'4. Billing Determinants'!$G$41*$D50,IF($E50="Distribution Rev.",VLOOKUP(K$4,'4. Billing Determinants'!$B$19:$R$41,8,0)/'4. Billing Determinants'!$I$41*$D50, VLOOKUP(K$4,'4. Billing Determinants'!$B$19:$R$41,3,0)/'4. Billing Determinants'!$D$41*$D50))))),0)</f>
        <v>0</v>
      </c>
      <c r="L50" s="40">
        <f>IFERROR(IF(L$4="",0,IF($E50="kWh",VLOOKUP(L$4,'4. Billing Determinants'!$B$19:$R$41,4,0)/'4. Billing Determinants'!$E$41*$D50,IF($E50="kW",VLOOKUP(L$4,'4. Billing Determinants'!$B$19:$R$41,5,0)/'4. Billing Determinants'!$F$41*$D50,IF($E50="Non-RPP kWh",VLOOKUP(L$4,'4. Billing Determinants'!$B$19:$R$41,6,0)/'4. Billing Determinants'!$G$41*$D50,IF($E50="Distribution Rev.",VLOOKUP(L$4,'4. Billing Determinants'!$B$19:$R$41,8,0)/'4. Billing Determinants'!$I$41*$D50, VLOOKUP(L$4,'4. Billing Determinants'!$B$19:$R$41,3,0)/'4. Billing Determinants'!$D$41*$D50))))),0)</f>
        <v>0</v>
      </c>
      <c r="M50" s="40">
        <f>IFERROR(IF(M$4="",0,IF($E50="kWh",VLOOKUP(M$4,'4. Billing Determinants'!$B$19:$R$41,4,0)/'4. Billing Determinants'!$E$41*$D50,IF($E50="kW",VLOOKUP(M$4,'4. Billing Determinants'!$B$19:$R$41,5,0)/'4. Billing Determinants'!$F$41*$D50,IF($E50="Non-RPP kWh",VLOOKUP(M$4,'4. Billing Determinants'!$B$19:$R$41,6,0)/'4. Billing Determinants'!$G$41*$D50,IF($E50="Distribution Rev.",VLOOKUP(M$4,'4. Billing Determinants'!$B$19:$R$41,8,0)/'4. Billing Determinants'!$I$41*$D50, VLOOKUP(M$4,'4. Billing Determinants'!$B$19:$R$41,3,0)/'4. Billing Determinants'!$D$41*$D50))))),0)</f>
        <v>0</v>
      </c>
      <c r="N50" s="40">
        <f>IFERROR(IF(N$4="",0,IF($E50="kWh",VLOOKUP(N$4,'4. Billing Determinants'!$B$19:$R$41,4,0)/'4. Billing Determinants'!$E$41*$D50,IF($E50="kW",VLOOKUP(N$4,'4. Billing Determinants'!$B$19:$R$41,5,0)/'4. Billing Determinants'!$F$41*$D50,IF($E50="Non-RPP kWh",VLOOKUP(N$4,'4. Billing Determinants'!$B$19:$R$41,6,0)/'4. Billing Determinants'!$G$41*$D50,IF($E50="Distribution Rev.",VLOOKUP(N$4,'4. Billing Determinants'!$B$19:$R$41,8,0)/'4. Billing Determinants'!$I$41*$D50, VLOOKUP(N$4,'4. Billing Determinants'!$B$19:$R$41,3,0)/'4. Billing Determinants'!$D$41*$D50))))),0)</f>
        <v>0</v>
      </c>
      <c r="O50" s="40">
        <f>IFERROR(IF(O$4="",0,IF($E50="kWh",VLOOKUP(O$4,'4. Billing Determinants'!$B$19:$R$41,4,0)/'4. Billing Determinants'!$E$41*$D50,IF($E50="kW",VLOOKUP(O$4,'4. Billing Determinants'!$B$19:$R$41,5,0)/'4. Billing Determinants'!$F$41*$D50,IF($E50="Non-RPP kWh",VLOOKUP(O$4,'4. Billing Determinants'!$B$19:$R$41,6,0)/'4. Billing Determinants'!$G$41*$D50,IF($E50="Distribution Rev.",VLOOKUP(O$4,'4. Billing Determinants'!$B$19:$R$41,8,0)/'4. Billing Determinants'!$I$41*$D50, VLOOKUP(O$4,'4. Billing Determinants'!$B$19:$R$41,3,0)/'4. Billing Determinants'!$D$41*$D50))))),0)</f>
        <v>0</v>
      </c>
      <c r="P50" s="40">
        <f>IFERROR(IF(P$4="",0,IF($E50="kWh",VLOOKUP(P$4,'4. Billing Determinants'!$B$19:$R$41,4,0)/'4. Billing Determinants'!$E$41*$D50,IF($E50="kW",VLOOKUP(P$4,'4. Billing Determinants'!$B$19:$R$41,5,0)/'4. Billing Determinants'!$F$41*$D50,IF($E50="Non-RPP kWh",VLOOKUP(P$4,'4. Billing Determinants'!$B$19:$R$41,6,0)/'4. Billing Determinants'!$G$41*$D50,IF($E50="Distribution Rev.",VLOOKUP(P$4,'4. Billing Determinants'!$B$19:$R$41,8,0)/'4. Billing Determinants'!$I$41*$D50, VLOOKUP(P$4,'4. Billing Determinants'!$B$19:$R$41,3,0)/'4. Billing Determinants'!$D$41*$D50))))),0)</f>
        <v>0</v>
      </c>
      <c r="Q50" s="40">
        <f>IFERROR(IF(Q$4="",0,IF($E50="kWh",VLOOKUP(Q$4,'4. Billing Determinants'!$B$19:$R$41,4,0)/'4. Billing Determinants'!$E$41*$D50,IF($E50="kW",VLOOKUP(Q$4,'4. Billing Determinants'!$B$19:$R$41,5,0)/'4. Billing Determinants'!$F$41*$D50,IF($E50="Non-RPP kWh",VLOOKUP(Q$4,'4. Billing Determinants'!$B$19:$R$41,6,0)/'4. Billing Determinants'!$G$41*$D50,IF($E50="Distribution Rev.",VLOOKUP(Q$4,'4. Billing Determinants'!$B$19:$R$41,8,0)/'4. Billing Determinants'!$I$41*$D50, VLOOKUP(Q$4,'4. Billing Determinants'!$B$19:$R$41,3,0)/'4. Billing Determinants'!$D$41*$D50))))),0)</f>
        <v>0</v>
      </c>
      <c r="R50" s="40">
        <f>IFERROR(IF(R$4="",0,IF($E50="kWh",VLOOKUP(R$4,'4. Billing Determinants'!$B$19:$R$41,4,0)/'4. Billing Determinants'!$E$41*$D50,IF($E50="kW",VLOOKUP(R$4,'4. Billing Determinants'!$B$19:$R$41,5,0)/'4. Billing Determinants'!$F$41*$D50,IF($E50="Non-RPP kWh",VLOOKUP(R$4,'4. Billing Determinants'!$B$19:$R$41,6,0)/'4. Billing Determinants'!$G$41*$D50,IF($E50="Distribution Rev.",VLOOKUP(R$4,'4. Billing Determinants'!$B$19:$R$41,8,0)/'4. Billing Determinants'!$I$41*$D50, VLOOKUP(R$4,'4. Billing Determinants'!$B$19:$R$41,3,0)/'4. Billing Determinants'!$D$41*$D50))))),0)</f>
        <v>0</v>
      </c>
      <c r="S50" s="40">
        <f>IFERROR(IF(S$4="",0,IF($E50="kWh",VLOOKUP(S$4,'4. Billing Determinants'!$B$19:$R$41,4,0)/'4. Billing Determinants'!$E$41*$D50,IF($E50="kW",VLOOKUP(S$4,'4. Billing Determinants'!$B$19:$R$41,5,0)/'4. Billing Determinants'!$F$41*$D50,IF($E50="Non-RPP kWh",VLOOKUP(S$4,'4. Billing Determinants'!$B$19:$R$41,6,0)/'4. Billing Determinants'!$G$41*$D50,IF($E50="Distribution Rev.",VLOOKUP(S$4,'4. Billing Determinants'!$B$19:$R$41,8,0)/'4. Billing Determinants'!$I$41*$D50, VLOOKUP(S$4,'4. Billing Determinants'!$B$19:$R$41,3,0)/'4. Billing Determinants'!$D$41*$D50))))),0)</f>
        <v>0</v>
      </c>
      <c r="T50" s="40">
        <f>IFERROR(IF(T$4="",0,IF($E50="kWh",VLOOKUP(T$4,'4. Billing Determinants'!$B$19:$R$41,4,0)/'4. Billing Determinants'!$E$41*$D50,IF($E50="kW",VLOOKUP(T$4,'4. Billing Determinants'!$B$19:$R$41,5,0)/'4. Billing Determinants'!$F$41*$D50,IF($E50="Non-RPP kWh",VLOOKUP(T$4,'4. Billing Determinants'!$B$19:$R$41,6,0)/'4. Billing Determinants'!$G$41*$D50,IF($E50="Distribution Rev.",VLOOKUP(T$4,'4. Billing Determinants'!$B$19:$R$41,8,0)/'4. Billing Determinants'!$I$41*$D50, VLOOKUP(T$4,'4. Billing Determinants'!$B$19:$R$41,3,0)/'4. Billing Determinants'!$D$41*$D50))))),0)</f>
        <v>0</v>
      </c>
      <c r="U50" s="40">
        <f>IFERROR(IF(U$4="",0,IF($E50="kWh",VLOOKUP(U$4,'4. Billing Determinants'!$B$19:$R$41,4,0)/'4. Billing Determinants'!$E$41*$D50,IF($E50="kW",VLOOKUP(U$4,'4. Billing Determinants'!$B$19:$R$41,5,0)/'4. Billing Determinants'!$F$41*$D50,IF($E50="Non-RPP kWh",VLOOKUP(U$4,'4. Billing Determinants'!$B$19:$R$41,6,0)/'4. Billing Determinants'!$G$41*$D50,IF($E50="Distribution Rev.",VLOOKUP(U$4,'4. Billing Determinants'!$B$19:$R$41,8,0)/'4. Billing Determinants'!$I$41*$D50, VLOOKUP(U$4,'4. Billing Determinants'!$B$19:$R$41,3,0)/'4. Billing Determinants'!$D$41*$D50))))),0)</f>
        <v>0</v>
      </c>
      <c r="V50" s="40">
        <f>IFERROR(IF(V$4="",0,IF($E50="kWh",VLOOKUP(V$4,'4. Billing Determinants'!$B$19:$R$41,4,0)/'4. Billing Determinants'!$E$41*$D50,IF($E50="kW",VLOOKUP(V$4,'4. Billing Determinants'!$B$19:$R$41,5,0)/'4. Billing Determinants'!$F$41*$D50,IF($E50="Non-RPP kWh",VLOOKUP(V$4,'4. Billing Determinants'!$B$19:$R$41,6,0)/'4. Billing Determinants'!$G$41*$D50,IF($E50="Distribution Rev.",VLOOKUP(V$4,'4. Billing Determinants'!$B$19:$R$41,8,0)/'4. Billing Determinants'!$I$41*$D50, VLOOKUP(V$4,'4. Billing Determinants'!$B$19:$R$41,3,0)/'4. Billing Determinants'!$D$41*$D50))))),0)</f>
        <v>0</v>
      </c>
      <c r="W50" s="40">
        <f>IFERROR(IF(W$4="",0,IF($E50="kWh",VLOOKUP(W$4,'4. Billing Determinants'!$B$19:$R$41,4,0)/'4. Billing Determinants'!$E$41*$D50,IF($E50="kW",VLOOKUP(W$4,'4. Billing Determinants'!$B$19:$R$41,5,0)/'4. Billing Determinants'!$F$41*$D50,IF($E50="Non-RPP kWh",VLOOKUP(W$4,'4. Billing Determinants'!$B$19:$R$41,6,0)/'4. Billing Determinants'!$G$41*$D50,IF($E50="Distribution Rev.",VLOOKUP(W$4,'4. Billing Determinants'!$B$19:$R$41,8,0)/'4. Billing Determinants'!$I$41*$D50, VLOOKUP(W$4,'4. Billing Determinants'!$B$19:$R$41,3,0)/'4. Billing Determinants'!$D$41*$D50))))),0)</f>
        <v>0</v>
      </c>
      <c r="X50" s="40">
        <f>IFERROR(IF(X$4="",0,IF($E50="kWh",VLOOKUP(X$4,'4. Billing Determinants'!$B$19:$R$41,4,0)/'4. Billing Determinants'!$E$41*$D50,IF($E50="kW",VLOOKUP(X$4,'4. Billing Determinants'!$B$19:$R$41,5,0)/'4. Billing Determinants'!$F$41*$D50,IF($E50="Non-RPP kWh",VLOOKUP(X$4,'4. Billing Determinants'!$B$19:$R$41,6,0)/'4. Billing Determinants'!$G$41*$D50,IF($E50="Distribution Rev.",VLOOKUP(X$4,'4. Billing Determinants'!$B$19:$R$41,8,0)/'4. Billing Determinants'!$I$41*$D50, VLOOKUP(X$4,'4. Billing Determinants'!$B$19:$R$41,3,0)/'4. Billing Determinants'!$D$41*$D50))))),0)</f>
        <v>0</v>
      </c>
      <c r="Y50" s="40">
        <f>IFERROR(IF(Y$4="",0,IF($E50="kWh",VLOOKUP(Y$4,'4. Billing Determinants'!$B$19:$R$41,4,0)/'4. Billing Determinants'!$E$41*$D50,IF($E50="kW",VLOOKUP(Y$4,'4. Billing Determinants'!$B$19:$R$41,5,0)/'4. Billing Determinants'!$F$41*$D50,IF($E50="Non-RPP kWh",VLOOKUP(Y$4,'4. Billing Determinants'!$B$19:$R$41,6,0)/'4. Billing Determinants'!$G$41*$D50,IF($E50="Distribution Rev.",VLOOKUP(Y$4,'4. Billing Determinants'!$B$19:$R$41,8,0)/'4. Billing Determinants'!$I$41*$D50, VLOOKUP(Y$4,'4. Billing Determinants'!$B$19:$R$41,3,0)/'4. Billing Determinants'!$D$41*$D50))))),0)</f>
        <v>0</v>
      </c>
    </row>
    <row r="51" spans="1:25" x14ac:dyDescent="0.25">
      <c r="A51" s="278">
        <v>28</v>
      </c>
      <c r="B51" s="38" t="s">
        <v>24</v>
      </c>
      <c r="C51" s="39">
        <v>1582</v>
      </c>
      <c r="D51" s="40">
        <f>'2b. Continuity Schedule'!BT77</f>
        <v>0</v>
      </c>
      <c r="E51" s="61" t="s">
        <v>139</v>
      </c>
      <c r="F51" s="40">
        <f>IFERROR(IF(F$4="",0,IF($E51="kWh",VLOOKUP(F$4,'4. Billing Determinants'!$B$19:$R$41,4,0)/'4. Billing Determinants'!$E$41*$D51,IF($E51="kW",VLOOKUP(F$4,'4. Billing Determinants'!$B$19:$R$41,5,0)/'4. Billing Determinants'!$F$41*$D51,IF($E51="Non-RPP kWh",VLOOKUP(F$4,'4. Billing Determinants'!$B$19:$R$41,6,0)/'4. Billing Determinants'!$G$41*$D51,IF($E51="Distribution Rev.",VLOOKUP(F$4,'4. Billing Determinants'!$B$19:$R$41,8,0)/'4. Billing Determinants'!$I$41*$D51, VLOOKUP(F$4,'4. Billing Determinants'!$B$19:$R$41,3,0)/'4. Billing Determinants'!$D$41*$D51))))),0)</f>
        <v>0</v>
      </c>
      <c r="G51" s="40">
        <f>IFERROR(IF(G$4="",0,IF($E51="kWh",VLOOKUP(G$4,'4. Billing Determinants'!$B$19:$R$41,4,0)/'4. Billing Determinants'!$E$41*$D51,IF($E51="kW",VLOOKUP(G$4,'4. Billing Determinants'!$B$19:$R$41,5,0)/'4. Billing Determinants'!$F$41*$D51,IF($E51="Non-RPP kWh",VLOOKUP(G$4,'4. Billing Determinants'!$B$19:$R$41,6,0)/'4. Billing Determinants'!$G$41*$D51,IF($E51="Distribution Rev.",VLOOKUP(G$4,'4. Billing Determinants'!$B$19:$R$41,8,0)/'4. Billing Determinants'!$I$41*$D51, VLOOKUP(G$4,'4. Billing Determinants'!$B$19:$R$41,3,0)/'4. Billing Determinants'!$D$41*$D51))))),0)</f>
        <v>0</v>
      </c>
      <c r="H51" s="40">
        <f>IFERROR(IF(H$4="",0,IF($E51="kWh",VLOOKUP(H$4,'4. Billing Determinants'!$B$19:$R$41,4,0)/'4. Billing Determinants'!$E$41*$D51,IF($E51="kW",VLOOKUP(H$4,'4. Billing Determinants'!$B$19:$R$41,5,0)/'4. Billing Determinants'!$F$41*$D51,IF($E51="Non-RPP kWh",VLOOKUP(H$4,'4. Billing Determinants'!$B$19:$R$41,6,0)/'4. Billing Determinants'!$G$41*$D51,IF($E51="Distribution Rev.",VLOOKUP(H$4,'4. Billing Determinants'!$B$19:$R$41,8,0)/'4. Billing Determinants'!$I$41*$D51, VLOOKUP(H$4,'4. Billing Determinants'!$B$19:$R$41,3,0)/'4. Billing Determinants'!$D$41*$D51))))),0)</f>
        <v>0</v>
      </c>
      <c r="I51" s="40">
        <f>IFERROR(IF(I$4="",0,IF($E51="kWh",VLOOKUP(I$4,'4. Billing Determinants'!$B$19:$R$41,4,0)/'4. Billing Determinants'!$E$41*$D51,IF($E51="kW",VLOOKUP(I$4,'4. Billing Determinants'!$B$19:$R$41,5,0)/'4. Billing Determinants'!$F$41*$D51,IF($E51="Non-RPP kWh",VLOOKUP(I$4,'4. Billing Determinants'!$B$19:$R$41,6,0)/'4. Billing Determinants'!$G$41*$D51,IF($E51="Distribution Rev.",VLOOKUP(I$4,'4. Billing Determinants'!$B$19:$R$41,8,0)/'4. Billing Determinants'!$I$41*$D51, VLOOKUP(I$4,'4. Billing Determinants'!$B$19:$R$41,3,0)/'4. Billing Determinants'!$D$41*$D51))))),0)</f>
        <v>0</v>
      </c>
      <c r="J51" s="40">
        <f>IFERROR(IF(J$4="",0,IF($E51="kWh",VLOOKUP(J$4,'4. Billing Determinants'!$B$19:$R$41,4,0)/'4. Billing Determinants'!$E$41*$D51,IF($E51="kW",VLOOKUP(J$4,'4. Billing Determinants'!$B$19:$R$41,5,0)/'4. Billing Determinants'!$F$41*$D51,IF($E51="Non-RPP kWh",VLOOKUP(J$4,'4. Billing Determinants'!$B$19:$R$41,6,0)/'4. Billing Determinants'!$G$41*$D51,IF($E51="Distribution Rev.",VLOOKUP(J$4,'4. Billing Determinants'!$B$19:$R$41,8,0)/'4. Billing Determinants'!$I$41*$D51, VLOOKUP(J$4,'4. Billing Determinants'!$B$19:$R$41,3,0)/'4. Billing Determinants'!$D$41*$D51))))),0)</f>
        <v>0</v>
      </c>
      <c r="K51" s="40">
        <f>IFERROR(IF(K$4="",0,IF($E51="kWh",VLOOKUP(K$4,'4. Billing Determinants'!$B$19:$R$41,4,0)/'4. Billing Determinants'!$E$41*$D51,IF($E51="kW",VLOOKUP(K$4,'4. Billing Determinants'!$B$19:$R$41,5,0)/'4. Billing Determinants'!$F$41*$D51,IF($E51="Non-RPP kWh",VLOOKUP(K$4,'4. Billing Determinants'!$B$19:$R$41,6,0)/'4. Billing Determinants'!$G$41*$D51,IF($E51="Distribution Rev.",VLOOKUP(K$4,'4. Billing Determinants'!$B$19:$R$41,8,0)/'4. Billing Determinants'!$I$41*$D51, VLOOKUP(K$4,'4. Billing Determinants'!$B$19:$R$41,3,0)/'4. Billing Determinants'!$D$41*$D51))))),0)</f>
        <v>0</v>
      </c>
      <c r="L51" s="40">
        <f>IFERROR(IF(L$4="",0,IF($E51="kWh",VLOOKUP(L$4,'4. Billing Determinants'!$B$19:$R$41,4,0)/'4. Billing Determinants'!$E$41*$D51,IF($E51="kW",VLOOKUP(L$4,'4. Billing Determinants'!$B$19:$R$41,5,0)/'4. Billing Determinants'!$F$41*$D51,IF($E51="Non-RPP kWh",VLOOKUP(L$4,'4. Billing Determinants'!$B$19:$R$41,6,0)/'4. Billing Determinants'!$G$41*$D51,IF($E51="Distribution Rev.",VLOOKUP(L$4,'4. Billing Determinants'!$B$19:$R$41,8,0)/'4. Billing Determinants'!$I$41*$D51, VLOOKUP(L$4,'4. Billing Determinants'!$B$19:$R$41,3,0)/'4. Billing Determinants'!$D$41*$D51))))),0)</f>
        <v>0</v>
      </c>
      <c r="M51" s="40">
        <f>IFERROR(IF(M$4="",0,IF($E51="kWh",VLOOKUP(M$4,'4. Billing Determinants'!$B$19:$R$41,4,0)/'4. Billing Determinants'!$E$41*$D51,IF($E51="kW",VLOOKUP(M$4,'4. Billing Determinants'!$B$19:$R$41,5,0)/'4. Billing Determinants'!$F$41*$D51,IF($E51="Non-RPP kWh",VLOOKUP(M$4,'4. Billing Determinants'!$B$19:$R$41,6,0)/'4. Billing Determinants'!$G$41*$D51,IF($E51="Distribution Rev.",VLOOKUP(M$4,'4. Billing Determinants'!$B$19:$R$41,8,0)/'4. Billing Determinants'!$I$41*$D51, VLOOKUP(M$4,'4. Billing Determinants'!$B$19:$R$41,3,0)/'4. Billing Determinants'!$D$41*$D51))))),0)</f>
        <v>0</v>
      </c>
      <c r="N51" s="40">
        <f>IFERROR(IF(N$4="",0,IF($E51="kWh",VLOOKUP(N$4,'4. Billing Determinants'!$B$19:$R$41,4,0)/'4. Billing Determinants'!$E$41*$D51,IF($E51="kW",VLOOKUP(N$4,'4. Billing Determinants'!$B$19:$R$41,5,0)/'4. Billing Determinants'!$F$41*$D51,IF($E51="Non-RPP kWh",VLOOKUP(N$4,'4. Billing Determinants'!$B$19:$R$41,6,0)/'4. Billing Determinants'!$G$41*$D51,IF($E51="Distribution Rev.",VLOOKUP(N$4,'4. Billing Determinants'!$B$19:$R$41,8,0)/'4. Billing Determinants'!$I$41*$D51, VLOOKUP(N$4,'4. Billing Determinants'!$B$19:$R$41,3,0)/'4. Billing Determinants'!$D$41*$D51))))),0)</f>
        <v>0</v>
      </c>
      <c r="O51" s="40">
        <f>IFERROR(IF(O$4="",0,IF($E51="kWh",VLOOKUP(O$4,'4. Billing Determinants'!$B$19:$R$41,4,0)/'4. Billing Determinants'!$E$41*$D51,IF($E51="kW",VLOOKUP(O$4,'4. Billing Determinants'!$B$19:$R$41,5,0)/'4. Billing Determinants'!$F$41*$D51,IF($E51="Non-RPP kWh",VLOOKUP(O$4,'4. Billing Determinants'!$B$19:$R$41,6,0)/'4. Billing Determinants'!$G$41*$D51,IF($E51="Distribution Rev.",VLOOKUP(O$4,'4. Billing Determinants'!$B$19:$R$41,8,0)/'4. Billing Determinants'!$I$41*$D51, VLOOKUP(O$4,'4. Billing Determinants'!$B$19:$R$41,3,0)/'4. Billing Determinants'!$D$41*$D51))))),0)</f>
        <v>0</v>
      </c>
      <c r="P51" s="40">
        <f>IFERROR(IF(P$4="",0,IF($E51="kWh",VLOOKUP(P$4,'4. Billing Determinants'!$B$19:$R$41,4,0)/'4. Billing Determinants'!$E$41*$D51,IF($E51="kW",VLOOKUP(P$4,'4. Billing Determinants'!$B$19:$R$41,5,0)/'4. Billing Determinants'!$F$41*$D51,IF($E51="Non-RPP kWh",VLOOKUP(P$4,'4. Billing Determinants'!$B$19:$R$41,6,0)/'4. Billing Determinants'!$G$41*$D51,IF($E51="Distribution Rev.",VLOOKUP(P$4,'4. Billing Determinants'!$B$19:$R$41,8,0)/'4. Billing Determinants'!$I$41*$D51, VLOOKUP(P$4,'4. Billing Determinants'!$B$19:$R$41,3,0)/'4. Billing Determinants'!$D$41*$D51))))),0)</f>
        <v>0</v>
      </c>
      <c r="Q51" s="40">
        <f>IFERROR(IF(Q$4="",0,IF($E51="kWh",VLOOKUP(Q$4,'4. Billing Determinants'!$B$19:$R$41,4,0)/'4. Billing Determinants'!$E$41*$D51,IF($E51="kW",VLOOKUP(Q$4,'4. Billing Determinants'!$B$19:$R$41,5,0)/'4. Billing Determinants'!$F$41*$D51,IF($E51="Non-RPP kWh",VLOOKUP(Q$4,'4. Billing Determinants'!$B$19:$R$41,6,0)/'4. Billing Determinants'!$G$41*$D51,IF($E51="Distribution Rev.",VLOOKUP(Q$4,'4. Billing Determinants'!$B$19:$R$41,8,0)/'4. Billing Determinants'!$I$41*$D51, VLOOKUP(Q$4,'4. Billing Determinants'!$B$19:$R$41,3,0)/'4. Billing Determinants'!$D$41*$D51))))),0)</f>
        <v>0</v>
      </c>
      <c r="R51" s="40">
        <f>IFERROR(IF(R$4="",0,IF($E51="kWh",VLOOKUP(R$4,'4. Billing Determinants'!$B$19:$R$41,4,0)/'4. Billing Determinants'!$E$41*$D51,IF($E51="kW",VLOOKUP(R$4,'4. Billing Determinants'!$B$19:$R$41,5,0)/'4. Billing Determinants'!$F$41*$D51,IF($E51="Non-RPP kWh",VLOOKUP(R$4,'4. Billing Determinants'!$B$19:$R$41,6,0)/'4. Billing Determinants'!$G$41*$D51,IF($E51="Distribution Rev.",VLOOKUP(R$4,'4. Billing Determinants'!$B$19:$R$41,8,0)/'4. Billing Determinants'!$I$41*$D51, VLOOKUP(R$4,'4. Billing Determinants'!$B$19:$R$41,3,0)/'4. Billing Determinants'!$D$41*$D51))))),0)</f>
        <v>0</v>
      </c>
      <c r="S51" s="40">
        <f>IFERROR(IF(S$4="",0,IF($E51="kWh",VLOOKUP(S$4,'4. Billing Determinants'!$B$19:$R$41,4,0)/'4. Billing Determinants'!$E$41*$D51,IF($E51="kW",VLOOKUP(S$4,'4. Billing Determinants'!$B$19:$R$41,5,0)/'4. Billing Determinants'!$F$41*$D51,IF($E51="Non-RPP kWh",VLOOKUP(S$4,'4. Billing Determinants'!$B$19:$R$41,6,0)/'4. Billing Determinants'!$G$41*$D51,IF($E51="Distribution Rev.",VLOOKUP(S$4,'4. Billing Determinants'!$B$19:$R$41,8,0)/'4. Billing Determinants'!$I$41*$D51, VLOOKUP(S$4,'4. Billing Determinants'!$B$19:$R$41,3,0)/'4. Billing Determinants'!$D$41*$D51))))),0)</f>
        <v>0</v>
      </c>
      <c r="T51" s="40">
        <f>IFERROR(IF(T$4="",0,IF($E51="kWh",VLOOKUP(T$4,'4. Billing Determinants'!$B$19:$R$41,4,0)/'4. Billing Determinants'!$E$41*$D51,IF($E51="kW",VLOOKUP(T$4,'4. Billing Determinants'!$B$19:$R$41,5,0)/'4. Billing Determinants'!$F$41*$D51,IF($E51="Non-RPP kWh",VLOOKUP(T$4,'4. Billing Determinants'!$B$19:$R$41,6,0)/'4. Billing Determinants'!$G$41*$D51,IF($E51="Distribution Rev.",VLOOKUP(T$4,'4. Billing Determinants'!$B$19:$R$41,8,0)/'4. Billing Determinants'!$I$41*$D51, VLOOKUP(T$4,'4. Billing Determinants'!$B$19:$R$41,3,0)/'4. Billing Determinants'!$D$41*$D51))))),0)</f>
        <v>0</v>
      </c>
      <c r="U51" s="40">
        <f>IFERROR(IF(U$4="",0,IF($E51="kWh",VLOOKUP(U$4,'4. Billing Determinants'!$B$19:$R$41,4,0)/'4. Billing Determinants'!$E$41*$D51,IF($E51="kW",VLOOKUP(U$4,'4. Billing Determinants'!$B$19:$R$41,5,0)/'4. Billing Determinants'!$F$41*$D51,IF($E51="Non-RPP kWh",VLOOKUP(U$4,'4. Billing Determinants'!$B$19:$R$41,6,0)/'4. Billing Determinants'!$G$41*$D51,IF($E51="Distribution Rev.",VLOOKUP(U$4,'4. Billing Determinants'!$B$19:$R$41,8,0)/'4. Billing Determinants'!$I$41*$D51, VLOOKUP(U$4,'4. Billing Determinants'!$B$19:$R$41,3,0)/'4. Billing Determinants'!$D$41*$D51))))),0)</f>
        <v>0</v>
      </c>
      <c r="V51" s="40">
        <f>IFERROR(IF(V$4="",0,IF($E51="kWh",VLOOKUP(V$4,'4. Billing Determinants'!$B$19:$R$41,4,0)/'4. Billing Determinants'!$E$41*$D51,IF($E51="kW",VLOOKUP(V$4,'4. Billing Determinants'!$B$19:$R$41,5,0)/'4. Billing Determinants'!$F$41*$D51,IF($E51="Non-RPP kWh",VLOOKUP(V$4,'4. Billing Determinants'!$B$19:$R$41,6,0)/'4. Billing Determinants'!$G$41*$D51,IF($E51="Distribution Rev.",VLOOKUP(V$4,'4. Billing Determinants'!$B$19:$R$41,8,0)/'4. Billing Determinants'!$I$41*$D51, VLOOKUP(V$4,'4. Billing Determinants'!$B$19:$R$41,3,0)/'4. Billing Determinants'!$D$41*$D51))))),0)</f>
        <v>0</v>
      </c>
      <c r="W51" s="40">
        <f>IFERROR(IF(W$4="",0,IF($E51="kWh",VLOOKUP(W$4,'4. Billing Determinants'!$B$19:$R$41,4,0)/'4. Billing Determinants'!$E$41*$D51,IF($E51="kW",VLOOKUP(W$4,'4. Billing Determinants'!$B$19:$R$41,5,0)/'4. Billing Determinants'!$F$41*$D51,IF($E51="Non-RPP kWh",VLOOKUP(W$4,'4. Billing Determinants'!$B$19:$R$41,6,0)/'4. Billing Determinants'!$G$41*$D51,IF($E51="Distribution Rev.",VLOOKUP(W$4,'4. Billing Determinants'!$B$19:$R$41,8,0)/'4. Billing Determinants'!$I$41*$D51, VLOOKUP(W$4,'4. Billing Determinants'!$B$19:$R$41,3,0)/'4. Billing Determinants'!$D$41*$D51))))),0)</f>
        <v>0</v>
      </c>
      <c r="X51" s="40">
        <f>IFERROR(IF(X$4="",0,IF($E51="kWh",VLOOKUP(X$4,'4. Billing Determinants'!$B$19:$R$41,4,0)/'4. Billing Determinants'!$E$41*$D51,IF($E51="kW",VLOOKUP(X$4,'4. Billing Determinants'!$B$19:$R$41,5,0)/'4. Billing Determinants'!$F$41*$D51,IF($E51="Non-RPP kWh",VLOOKUP(X$4,'4. Billing Determinants'!$B$19:$R$41,6,0)/'4. Billing Determinants'!$G$41*$D51,IF($E51="Distribution Rev.",VLOOKUP(X$4,'4. Billing Determinants'!$B$19:$R$41,8,0)/'4. Billing Determinants'!$I$41*$D51, VLOOKUP(X$4,'4. Billing Determinants'!$B$19:$R$41,3,0)/'4. Billing Determinants'!$D$41*$D51))))),0)</f>
        <v>0</v>
      </c>
      <c r="Y51" s="40">
        <f>IFERROR(IF(Y$4="",0,IF($E51="kWh",VLOOKUP(Y$4,'4. Billing Determinants'!$B$19:$R$41,4,0)/'4. Billing Determinants'!$E$41*$D51,IF($E51="kW",VLOOKUP(Y$4,'4. Billing Determinants'!$B$19:$R$41,5,0)/'4. Billing Determinants'!$F$41*$D51,IF($E51="Non-RPP kWh",VLOOKUP(Y$4,'4. Billing Determinants'!$B$19:$R$41,6,0)/'4. Billing Determinants'!$G$41*$D51,IF($E51="Distribution Rev.",VLOOKUP(Y$4,'4. Billing Determinants'!$B$19:$R$41,8,0)/'4. Billing Determinants'!$I$41*$D51, VLOOKUP(Y$4,'4. Billing Determinants'!$B$19:$R$41,3,0)/'4. Billing Determinants'!$D$41*$D51))))),0)</f>
        <v>0</v>
      </c>
    </row>
    <row r="52" spans="1:25" x14ac:dyDescent="0.25">
      <c r="A52" s="122">
        <v>29</v>
      </c>
      <c r="B52" s="41" t="s">
        <v>7</v>
      </c>
      <c r="C52" s="39">
        <v>2425</v>
      </c>
      <c r="D52" s="40">
        <f>'2b. Continuity Schedule'!BT78</f>
        <v>0</v>
      </c>
      <c r="E52" s="61" t="s">
        <v>139</v>
      </c>
      <c r="F52" s="40">
        <f>IFERROR(IF(F$4="",0,IF($E52="kWh",VLOOKUP(F$4,'4. Billing Determinants'!$B$19:$R$41,4,0)/'4. Billing Determinants'!$E$41*$D52,IF($E52="kW",VLOOKUP(F$4,'4. Billing Determinants'!$B$19:$R$41,5,0)/'4. Billing Determinants'!$F$41*$D52,IF($E52="Non-RPP kWh",VLOOKUP(F$4,'4. Billing Determinants'!$B$19:$R$41,6,0)/'4. Billing Determinants'!$G$41*$D52,IF($E52="Distribution Rev.",VLOOKUP(F$4,'4. Billing Determinants'!$B$19:$R$41,8,0)/'4. Billing Determinants'!$I$41*$D52, VLOOKUP(F$4,'4. Billing Determinants'!$B$19:$R$41,3,0)/'4. Billing Determinants'!$D$41*$D52))))),0)</f>
        <v>0</v>
      </c>
      <c r="G52" s="40">
        <f>IFERROR(IF(G$4="",0,IF($E52="kWh",VLOOKUP(G$4,'4. Billing Determinants'!$B$19:$R$41,4,0)/'4. Billing Determinants'!$E$41*$D52,IF($E52="kW",VLOOKUP(G$4,'4. Billing Determinants'!$B$19:$R$41,5,0)/'4. Billing Determinants'!$F$41*$D52,IF($E52="Non-RPP kWh",VLOOKUP(G$4,'4. Billing Determinants'!$B$19:$R$41,6,0)/'4. Billing Determinants'!$G$41*$D52,IF($E52="Distribution Rev.",VLOOKUP(G$4,'4. Billing Determinants'!$B$19:$R$41,8,0)/'4. Billing Determinants'!$I$41*$D52, VLOOKUP(G$4,'4. Billing Determinants'!$B$19:$R$41,3,0)/'4. Billing Determinants'!$D$41*$D52))))),0)</f>
        <v>0</v>
      </c>
      <c r="H52" s="40">
        <f>IFERROR(IF(H$4="",0,IF($E52="kWh",VLOOKUP(H$4,'4. Billing Determinants'!$B$19:$R$41,4,0)/'4. Billing Determinants'!$E$41*$D52,IF($E52="kW",VLOOKUP(H$4,'4. Billing Determinants'!$B$19:$R$41,5,0)/'4. Billing Determinants'!$F$41*$D52,IF($E52="Non-RPP kWh",VLOOKUP(H$4,'4. Billing Determinants'!$B$19:$R$41,6,0)/'4. Billing Determinants'!$G$41*$D52,IF($E52="Distribution Rev.",VLOOKUP(H$4,'4. Billing Determinants'!$B$19:$R$41,8,0)/'4. Billing Determinants'!$I$41*$D52, VLOOKUP(H$4,'4. Billing Determinants'!$B$19:$R$41,3,0)/'4. Billing Determinants'!$D$41*$D52))))),0)</f>
        <v>0</v>
      </c>
      <c r="I52" s="40">
        <f>IFERROR(IF(I$4="",0,IF($E52="kWh",VLOOKUP(I$4,'4. Billing Determinants'!$B$19:$R$41,4,0)/'4. Billing Determinants'!$E$41*$D52,IF($E52="kW",VLOOKUP(I$4,'4. Billing Determinants'!$B$19:$R$41,5,0)/'4. Billing Determinants'!$F$41*$D52,IF($E52="Non-RPP kWh",VLOOKUP(I$4,'4. Billing Determinants'!$B$19:$R$41,6,0)/'4. Billing Determinants'!$G$41*$D52,IF($E52="Distribution Rev.",VLOOKUP(I$4,'4. Billing Determinants'!$B$19:$R$41,8,0)/'4. Billing Determinants'!$I$41*$D52, VLOOKUP(I$4,'4. Billing Determinants'!$B$19:$R$41,3,0)/'4. Billing Determinants'!$D$41*$D52))))),0)</f>
        <v>0</v>
      </c>
      <c r="J52" s="40">
        <f>IFERROR(IF(J$4="",0,IF($E52="kWh",VLOOKUP(J$4,'4. Billing Determinants'!$B$19:$R$41,4,0)/'4. Billing Determinants'!$E$41*$D52,IF($E52="kW",VLOOKUP(J$4,'4. Billing Determinants'!$B$19:$R$41,5,0)/'4. Billing Determinants'!$F$41*$D52,IF($E52="Non-RPP kWh",VLOOKUP(J$4,'4. Billing Determinants'!$B$19:$R$41,6,0)/'4. Billing Determinants'!$G$41*$D52,IF($E52="Distribution Rev.",VLOOKUP(J$4,'4. Billing Determinants'!$B$19:$R$41,8,0)/'4. Billing Determinants'!$I$41*$D52, VLOOKUP(J$4,'4. Billing Determinants'!$B$19:$R$41,3,0)/'4. Billing Determinants'!$D$41*$D52))))),0)</f>
        <v>0</v>
      </c>
      <c r="K52" s="40">
        <f>IFERROR(IF(K$4="",0,IF($E52="kWh",VLOOKUP(K$4,'4. Billing Determinants'!$B$19:$R$41,4,0)/'4. Billing Determinants'!$E$41*$D52,IF($E52="kW",VLOOKUP(K$4,'4. Billing Determinants'!$B$19:$R$41,5,0)/'4. Billing Determinants'!$F$41*$D52,IF($E52="Non-RPP kWh",VLOOKUP(K$4,'4. Billing Determinants'!$B$19:$R$41,6,0)/'4. Billing Determinants'!$G$41*$D52,IF($E52="Distribution Rev.",VLOOKUP(K$4,'4. Billing Determinants'!$B$19:$R$41,8,0)/'4. Billing Determinants'!$I$41*$D52, VLOOKUP(K$4,'4. Billing Determinants'!$B$19:$R$41,3,0)/'4. Billing Determinants'!$D$41*$D52))))),0)</f>
        <v>0</v>
      </c>
      <c r="L52" s="40">
        <f>IFERROR(IF(L$4="",0,IF($E52="kWh",VLOOKUP(L$4,'4. Billing Determinants'!$B$19:$R$41,4,0)/'4. Billing Determinants'!$E$41*$D52,IF($E52="kW",VLOOKUP(L$4,'4. Billing Determinants'!$B$19:$R$41,5,0)/'4. Billing Determinants'!$F$41*$D52,IF($E52="Non-RPP kWh",VLOOKUP(L$4,'4. Billing Determinants'!$B$19:$R$41,6,0)/'4. Billing Determinants'!$G$41*$D52,IF($E52="Distribution Rev.",VLOOKUP(L$4,'4. Billing Determinants'!$B$19:$R$41,8,0)/'4. Billing Determinants'!$I$41*$D52, VLOOKUP(L$4,'4. Billing Determinants'!$B$19:$R$41,3,0)/'4. Billing Determinants'!$D$41*$D52))))),0)</f>
        <v>0</v>
      </c>
      <c r="M52" s="40">
        <f>IFERROR(IF(M$4="",0,IF($E52="kWh",VLOOKUP(M$4,'4. Billing Determinants'!$B$19:$R$41,4,0)/'4. Billing Determinants'!$E$41*$D52,IF($E52="kW",VLOOKUP(M$4,'4. Billing Determinants'!$B$19:$R$41,5,0)/'4. Billing Determinants'!$F$41*$D52,IF($E52="Non-RPP kWh",VLOOKUP(M$4,'4. Billing Determinants'!$B$19:$R$41,6,0)/'4. Billing Determinants'!$G$41*$D52,IF($E52="Distribution Rev.",VLOOKUP(M$4,'4. Billing Determinants'!$B$19:$R$41,8,0)/'4. Billing Determinants'!$I$41*$D52, VLOOKUP(M$4,'4. Billing Determinants'!$B$19:$R$41,3,0)/'4. Billing Determinants'!$D$41*$D52))))),0)</f>
        <v>0</v>
      </c>
      <c r="N52" s="40">
        <f>IFERROR(IF(N$4="",0,IF($E52="kWh",VLOOKUP(N$4,'4. Billing Determinants'!$B$19:$R$41,4,0)/'4. Billing Determinants'!$E$41*$D52,IF($E52="kW",VLOOKUP(N$4,'4. Billing Determinants'!$B$19:$R$41,5,0)/'4. Billing Determinants'!$F$41*$D52,IF($E52="Non-RPP kWh",VLOOKUP(N$4,'4. Billing Determinants'!$B$19:$R$41,6,0)/'4. Billing Determinants'!$G$41*$D52,IF($E52="Distribution Rev.",VLOOKUP(N$4,'4. Billing Determinants'!$B$19:$R$41,8,0)/'4. Billing Determinants'!$I$41*$D52, VLOOKUP(N$4,'4. Billing Determinants'!$B$19:$R$41,3,0)/'4. Billing Determinants'!$D$41*$D52))))),0)</f>
        <v>0</v>
      </c>
      <c r="O52" s="40">
        <f>IFERROR(IF(O$4="",0,IF($E52="kWh",VLOOKUP(O$4,'4. Billing Determinants'!$B$19:$R$41,4,0)/'4. Billing Determinants'!$E$41*$D52,IF($E52="kW",VLOOKUP(O$4,'4. Billing Determinants'!$B$19:$R$41,5,0)/'4. Billing Determinants'!$F$41*$D52,IF($E52="Non-RPP kWh",VLOOKUP(O$4,'4. Billing Determinants'!$B$19:$R$41,6,0)/'4. Billing Determinants'!$G$41*$D52,IF($E52="Distribution Rev.",VLOOKUP(O$4,'4. Billing Determinants'!$B$19:$R$41,8,0)/'4. Billing Determinants'!$I$41*$D52, VLOOKUP(O$4,'4. Billing Determinants'!$B$19:$R$41,3,0)/'4. Billing Determinants'!$D$41*$D52))))),0)</f>
        <v>0</v>
      </c>
      <c r="P52" s="40">
        <f>IFERROR(IF(P$4="",0,IF($E52="kWh",VLOOKUP(P$4,'4. Billing Determinants'!$B$19:$R$41,4,0)/'4. Billing Determinants'!$E$41*$D52,IF($E52="kW",VLOOKUP(P$4,'4. Billing Determinants'!$B$19:$R$41,5,0)/'4. Billing Determinants'!$F$41*$D52,IF($E52="Non-RPP kWh",VLOOKUP(P$4,'4. Billing Determinants'!$B$19:$R$41,6,0)/'4. Billing Determinants'!$G$41*$D52,IF($E52="Distribution Rev.",VLOOKUP(P$4,'4. Billing Determinants'!$B$19:$R$41,8,0)/'4. Billing Determinants'!$I$41*$D52, VLOOKUP(P$4,'4. Billing Determinants'!$B$19:$R$41,3,0)/'4. Billing Determinants'!$D$41*$D52))))),0)</f>
        <v>0</v>
      </c>
      <c r="Q52" s="40">
        <f>IFERROR(IF(Q$4="",0,IF($E52="kWh",VLOOKUP(Q$4,'4. Billing Determinants'!$B$19:$R$41,4,0)/'4. Billing Determinants'!$E$41*$D52,IF($E52="kW",VLOOKUP(Q$4,'4. Billing Determinants'!$B$19:$R$41,5,0)/'4. Billing Determinants'!$F$41*$D52,IF($E52="Non-RPP kWh",VLOOKUP(Q$4,'4. Billing Determinants'!$B$19:$R$41,6,0)/'4. Billing Determinants'!$G$41*$D52,IF($E52="Distribution Rev.",VLOOKUP(Q$4,'4. Billing Determinants'!$B$19:$R$41,8,0)/'4. Billing Determinants'!$I$41*$D52, VLOOKUP(Q$4,'4. Billing Determinants'!$B$19:$R$41,3,0)/'4. Billing Determinants'!$D$41*$D52))))),0)</f>
        <v>0</v>
      </c>
      <c r="R52" s="40">
        <f>IFERROR(IF(R$4="",0,IF($E52="kWh",VLOOKUP(R$4,'4. Billing Determinants'!$B$19:$R$41,4,0)/'4. Billing Determinants'!$E$41*$D52,IF($E52="kW",VLOOKUP(R$4,'4. Billing Determinants'!$B$19:$R$41,5,0)/'4. Billing Determinants'!$F$41*$D52,IF($E52="Non-RPP kWh",VLOOKUP(R$4,'4. Billing Determinants'!$B$19:$R$41,6,0)/'4. Billing Determinants'!$G$41*$D52,IF($E52="Distribution Rev.",VLOOKUP(R$4,'4. Billing Determinants'!$B$19:$R$41,8,0)/'4. Billing Determinants'!$I$41*$D52, VLOOKUP(R$4,'4. Billing Determinants'!$B$19:$R$41,3,0)/'4. Billing Determinants'!$D$41*$D52))))),0)</f>
        <v>0</v>
      </c>
      <c r="S52" s="40">
        <f>IFERROR(IF(S$4="",0,IF($E52="kWh",VLOOKUP(S$4,'4. Billing Determinants'!$B$19:$R$41,4,0)/'4. Billing Determinants'!$E$41*$D52,IF($E52="kW",VLOOKUP(S$4,'4. Billing Determinants'!$B$19:$R$41,5,0)/'4. Billing Determinants'!$F$41*$D52,IF($E52="Non-RPP kWh",VLOOKUP(S$4,'4. Billing Determinants'!$B$19:$R$41,6,0)/'4. Billing Determinants'!$G$41*$D52,IF($E52="Distribution Rev.",VLOOKUP(S$4,'4. Billing Determinants'!$B$19:$R$41,8,0)/'4. Billing Determinants'!$I$41*$D52, VLOOKUP(S$4,'4. Billing Determinants'!$B$19:$R$41,3,0)/'4. Billing Determinants'!$D$41*$D52))))),0)</f>
        <v>0</v>
      </c>
      <c r="T52" s="40">
        <f>IFERROR(IF(T$4="",0,IF($E52="kWh",VLOOKUP(T$4,'4. Billing Determinants'!$B$19:$R$41,4,0)/'4. Billing Determinants'!$E$41*$D52,IF($E52="kW",VLOOKUP(T$4,'4. Billing Determinants'!$B$19:$R$41,5,0)/'4. Billing Determinants'!$F$41*$D52,IF($E52="Non-RPP kWh",VLOOKUP(T$4,'4. Billing Determinants'!$B$19:$R$41,6,0)/'4. Billing Determinants'!$G$41*$D52,IF($E52="Distribution Rev.",VLOOKUP(T$4,'4. Billing Determinants'!$B$19:$R$41,8,0)/'4. Billing Determinants'!$I$41*$D52, VLOOKUP(T$4,'4. Billing Determinants'!$B$19:$R$41,3,0)/'4. Billing Determinants'!$D$41*$D52))))),0)</f>
        <v>0</v>
      </c>
      <c r="U52" s="40">
        <f>IFERROR(IF(U$4="",0,IF($E52="kWh",VLOOKUP(U$4,'4. Billing Determinants'!$B$19:$R$41,4,0)/'4. Billing Determinants'!$E$41*$D52,IF($E52="kW",VLOOKUP(U$4,'4. Billing Determinants'!$B$19:$R$41,5,0)/'4. Billing Determinants'!$F$41*$D52,IF($E52="Non-RPP kWh",VLOOKUP(U$4,'4. Billing Determinants'!$B$19:$R$41,6,0)/'4. Billing Determinants'!$G$41*$D52,IF($E52="Distribution Rev.",VLOOKUP(U$4,'4. Billing Determinants'!$B$19:$R$41,8,0)/'4. Billing Determinants'!$I$41*$D52, VLOOKUP(U$4,'4. Billing Determinants'!$B$19:$R$41,3,0)/'4. Billing Determinants'!$D$41*$D52))))),0)</f>
        <v>0</v>
      </c>
      <c r="V52" s="40">
        <f>IFERROR(IF(V$4="",0,IF($E52="kWh",VLOOKUP(V$4,'4. Billing Determinants'!$B$19:$R$41,4,0)/'4. Billing Determinants'!$E$41*$D52,IF($E52="kW",VLOOKUP(V$4,'4. Billing Determinants'!$B$19:$R$41,5,0)/'4. Billing Determinants'!$F$41*$D52,IF($E52="Non-RPP kWh",VLOOKUP(V$4,'4. Billing Determinants'!$B$19:$R$41,6,0)/'4. Billing Determinants'!$G$41*$D52,IF($E52="Distribution Rev.",VLOOKUP(V$4,'4. Billing Determinants'!$B$19:$R$41,8,0)/'4. Billing Determinants'!$I$41*$D52, VLOOKUP(V$4,'4. Billing Determinants'!$B$19:$R$41,3,0)/'4. Billing Determinants'!$D$41*$D52))))),0)</f>
        <v>0</v>
      </c>
      <c r="W52" s="40">
        <f>IFERROR(IF(W$4="",0,IF($E52="kWh",VLOOKUP(W$4,'4. Billing Determinants'!$B$19:$R$41,4,0)/'4. Billing Determinants'!$E$41*$D52,IF($E52="kW",VLOOKUP(W$4,'4. Billing Determinants'!$B$19:$R$41,5,0)/'4. Billing Determinants'!$F$41*$D52,IF($E52="Non-RPP kWh",VLOOKUP(W$4,'4. Billing Determinants'!$B$19:$R$41,6,0)/'4. Billing Determinants'!$G$41*$D52,IF($E52="Distribution Rev.",VLOOKUP(W$4,'4. Billing Determinants'!$B$19:$R$41,8,0)/'4. Billing Determinants'!$I$41*$D52, VLOOKUP(W$4,'4. Billing Determinants'!$B$19:$R$41,3,0)/'4. Billing Determinants'!$D$41*$D52))))),0)</f>
        <v>0</v>
      </c>
      <c r="X52" s="40">
        <f>IFERROR(IF(X$4="",0,IF($E52="kWh",VLOOKUP(X$4,'4. Billing Determinants'!$B$19:$R$41,4,0)/'4. Billing Determinants'!$E$41*$D52,IF($E52="kW",VLOOKUP(X$4,'4. Billing Determinants'!$B$19:$R$41,5,0)/'4. Billing Determinants'!$F$41*$D52,IF($E52="Non-RPP kWh",VLOOKUP(X$4,'4. Billing Determinants'!$B$19:$R$41,6,0)/'4. Billing Determinants'!$G$41*$D52,IF($E52="Distribution Rev.",VLOOKUP(X$4,'4. Billing Determinants'!$B$19:$R$41,8,0)/'4. Billing Determinants'!$I$41*$D52, VLOOKUP(X$4,'4. Billing Determinants'!$B$19:$R$41,3,0)/'4. Billing Determinants'!$D$41*$D52))))),0)</f>
        <v>0</v>
      </c>
      <c r="Y52" s="40">
        <f>IFERROR(IF(Y$4="",0,IF($E52="kWh",VLOOKUP(Y$4,'4. Billing Determinants'!$B$19:$R$41,4,0)/'4. Billing Determinants'!$E$41*$D52,IF($E52="kW",VLOOKUP(Y$4,'4. Billing Determinants'!$B$19:$R$41,5,0)/'4. Billing Determinants'!$F$41*$D52,IF($E52="Non-RPP kWh",VLOOKUP(Y$4,'4. Billing Determinants'!$B$19:$R$41,6,0)/'4. Billing Determinants'!$G$41*$D52,IF($E52="Distribution Rev.",VLOOKUP(Y$4,'4. Billing Determinants'!$B$19:$R$41,8,0)/'4. Billing Determinants'!$I$41*$D52, VLOOKUP(Y$4,'4. Billing Determinants'!$B$19:$R$41,3,0)/'4. Billing Determinants'!$D$41*$D52))))),0)</f>
        <v>0</v>
      </c>
    </row>
    <row r="53" spans="1:25" s="2" customFormat="1" ht="13" hidden="1" x14ac:dyDescent="0.3">
      <c r="A53" s="122">
        <v>30</v>
      </c>
      <c r="B53" s="375" t="s">
        <v>58</v>
      </c>
      <c r="C53" s="148"/>
      <c r="D53" s="376">
        <f>SUM(D22:D52)</f>
        <v>0</v>
      </c>
      <c r="E53" s="148"/>
      <c r="F53" s="376">
        <f t="shared" ref="F53:Y53" si="1">SUM(F22:F52)</f>
        <v>0</v>
      </c>
      <c r="G53" s="376">
        <f t="shared" si="1"/>
        <v>0</v>
      </c>
      <c r="H53" s="376">
        <f t="shared" si="1"/>
        <v>0</v>
      </c>
      <c r="I53" s="376">
        <f t="shared" si="1"/>
        <v>0</v>
      </c>
      <c r="J53" s="376">
        <f t="shared" si="1"/>
        <v>0</v>
      </c>
      <c r="K53" s="376">
        <f t="shared" si="1"/>
        <v>0</v>
      </c>
      <c r="L53" s="376">
        <f t="shared" si="1"/>
        <v>0</v>
      </c>
      <c r="M53" s="376">
        <f t="shared" si="1"/>
        <v>0</v>
      </c>
      <c r="N53" s="376">
        <f t="shared" si="1"/>
        <v>0</v>
      </c>
      <c r="O53" s="376">
        <f t="shared" si="1"/>
        <v>0</v>
      </c>
      <c r="P53" s="376">
        <f t="shared" si="1"/>
        <v>0</v>
      </c>
      <c r="Q53" s="376">
        <f t="shared" si="1"/>
        <v>0</v>
      </c>
      <c r="R53" s="376">
        <f t="shared" si="1"/>
        <v>0</v>
      </c>
      <c r="S53" s="376">
        <f t="shared" si="1"/>
        <v>0</v>
      </c>
      <c r="T53" s="376">
        <f t="shared" si="1"/>
        <v>0</v>
      </c>
      <c r="U53" s="376">
        <f t="shared" si="1"/>
        <v>0</v>
      </c>
      <c r="V53" s="376">
        <f t="shared" si="1"/>
        <v>0</v>
      </c>
      <c r="W53" s="376">
        <f t="shared" si="1"/>
        <v>0</v>
      </c>
      <c r="X53" s="376">
        <f t="shared" si="1"/>
        <v>0</v>
      </c>
      <c r="Y53" s="376">
        <f t="shared" si="1"/>
        <v>0</v>
      </c>
    </row>
    <row r="54" spans="1:25" s="48" customFormat="1" ht="13" hidden="1" x14ac:dyDescent="0.3">
      <c r="A54" s="122">
        <v>31</v>
      </c>
      <c r="B54" s="45"/>
      <c r="C54" s="46"/>
      <c r="D54" s="47"/>
      <c r="E54" s="149"/>
      <c r="F54" s="47"/>
      <c r="G54" s="47"/>
      <c r="H54" s="47"/>
      <c r="I54" s="47"/>
      <c r="J54" s="47"/>
      <c r="K54" s="47"/>
      <c r="L54" s="47"/>
      <c r="M54" s="47"/>
      <c r="N54" s="47"/>
      <c r="O54" s="47"/>
      <c r="P54" s="47"/>
      <c r="Q54" s="47"/>
      <c r="R54" s="47"/>
      <c r="S54" s="47"/>
      <c r="T54" s="47"/>
      <c r="U54" s="47"/>
      <c r="V54" s="47"/>
      <c r="W54" s="47"/>
      <c r="X54" s="47"/>
      <c r="Y54" s="47"/>
    </row>
    <row r="55" spans="1:25" ht="25" x14ac:dyDescent="0.25">
      <c r="A55" s="278">
        <v>32</v>
      </c>
      <c r="B55" s="50" t="s">
        <v>61</v>
      </c>
      <c r="C55" s="782">
        <v>1592</v>
      </c>
      <c r="D55" s="40">
        <f>'2b. Continuity Schedule'!BT82</f>
        <v>0</v>
      </c>
      <c r="E55" s="61" t="s">
        <v>139</v>
      </c>
      <c r="F55" s="40">
        <f>IFERROR(IF(F$4="",0,IF($E55="kWh",VLOOKUP(F$4,'4. Billing Determinants'!$B$19:$R$41,4,0)/'4. Billing Determinants'!$E$41*$D55,IF($E55="kW",VLOOKUP(F$4,'4. Billing Determinants'!$B$19:$R$41,5,0)/'4. Billing Determinants'!$F$41*$D55,IF($E55="Non-RPP kWh",VLOOKUP(F$4,'4. Billing Determinants'!$B$19:$R$41,6,0)/'4. Billing Determinants'!$G$41*$D55,IF($E55="Distribution Rev.",VLOOKUP(F$4,'4. Billing Determinants'!$B$19:$R$41,8,0)/'4. Billing Determinants'!$I$41*$D55, VLOOKUP(F$4,'4. Billing Determinants'!$B$19:$R$41,3,0)/'4. Billing Determinants'!$D$41*$D55))))),0)</f>
        <v>0</v>
      </c>
      <c r="G55" s="40">
        <f>IFERROR(IF(G$4="",0,IF($E55="kWh",VLOOKUP(G$4,'4. Billing Determinants'!$B$19:$R$41,4,0)/'4. Billing Determinants'!$E$41*$D55,IF($E55="kW",VLOOKUP(G$4,'4. Billing Determinants'!$B$19:$R$41,5,0)/'4. Billing Determinants'!$F$41*$D55,IF($E55="Non-RPP kWh",VLOOKUP(G$4,'4. Billing Determinants'!$B$19:$R$41,6,0)/'4. Billing Determinants'!$G$41*$D55,IF($E55="Distribution Rev.",VLOOKUP(G$4,'4. Billing Determinants'!$B$19:$R$41,8,0)/'4. Billing Determinants'!$I$41*$D55, VLOOKUP(G$4,'4. Billing Determinants'!$B$19:$R$41,3,0)/'4. Billing Determinants'!$D$41*$D55))))),0)</f>
        <v>0</v>
      </c>
      <c r="H55" s="40">
        <f>IFERROR(IF(H$4="",0,IF($E55="kWh",VLOOKUP(H$4,'4. Billing Determinants'!$B$19:$R$41,4,0)/'4. Billing Determinants'!$E$41*$D55,IF($E55="kW",VLOOKUP(H$4,'4. Billing Determinants'!$B$19:$R$41,5,0)/'4. Billing Determinants'!$F$41*$D55,IF($E55="Non-RPP kWh",VLOOKUP(H$4,'4. Billing Determinants'!$B$19:$R$41,6,0)/'4. Billing Determinants'!$G$41*$D55,IF($E55="Distribution Rev.",VLOOKUP(H$4,'4. Billing Determinants'!$B$19:$R$41,8,0)/'4. Billing Determinants'!$I$41*$D55, VLOOKUP(H$4,'4. Billing Determinants'!$B$19:$R$41,3,0)/'4. Billing Determinants'!$D$41*$D55))))),0)</f>
        <v>0</v>
      </c>
      <c r="I55" s="40">
        <f>IFERROR(IF(I$4="",0,IF($E55="kWh",VLOOKUP(I$4,'4. Billing Determinants'!$B$19:$R$41,4,0)/'4. Billing Determinants'!$E$41*$D55,IF($E55="kW",VLOOKUP(I$4,'4. Billing Determinants'!$B$19:$R$41,5,0)/'4. Billing Determinants'!$F$41*$D55,IF($E55="Non-RPP kWh",VLOOKUP(I$4,'4. Billing Determinants'!$B$19:$R$41,6,0)/'4. Billing Determinants'!$G$41*$D55,IF($E55="Distribution Rev.",VLOOKUP(I$4,'4. Billing Determinants'!$B$19:$R$41,8,0)/'4. Billing Determinants'!$I$41*$D55, VLOOKUP(I$4,'4. Billing Determinants'!$B$19:$R$41,3,0)/'4. Billing Determinants'!$D$41*$D55))))),0)</f>
        <v>0</v>
      </c>
      <c r="J55" s="40">
        <f>IFERROR(IF(J$4="",0,IF($E55="kWh",VLOOKUP(J$4,'4. Billing Determinants'!$B$19:$R$41,4,0)/'4. Billing Determinants'!$E$41*$D55,IF($E55="kW",VLOOKUP(J$4,'4. Billing Determinants'!$B$19:$R$41,5,0)/'4. Billing Determinants'!$F$41*$D55,IF($E55="Non-RPP kWh",VLOOKUP(J$4,'4. Billing Determinants'!$B$19:$R$41,6,0)/'4. Billing Determinants'!$G$41*$D55,IF($E55="Distribution Rev.",VLOOKUP(J$4,'4. Billing Determinants'!$B$19:$R$41,8,0)/'4. Billing Determinants'!$I$41*$D55, VLOOKUP(J$4,'4. Billing Determinants'!$B$19:$R$41,3,0)/'4. Billing Determinants'!$D$41*$D55))))),0)</f>
        <v>0</v>
      </c>
      <c r="K55" s="40">
        <f>IFERROR(IF(K$4="",0,IF($E55="kWh",VLOOKUP(K$4,'4. Billing Determinants'!$B$19:$R$41,4,0)/'4. Billing Determinants'!$E$41*$D55,IF($E55="kW",VLOOKUP(K$4,'4. Billing Determinants'!$B$19:$R$41,5,0)/'4. Billing Determinants'!$F$41*$D55,IF($E55="Non-RPP kWh",VLOOKUP(K$4,'4. Billing Determinants'!$B$19:$R$41,6,0)/'4. Billing Determinants'!$G$41*$D55,IF($E55="Distribution Rev.",VLOOKUP(K$4,'4. Billing Determinants'!$B$19:$R$41,8,0)/'4. Billing Determinants'!$I$41*$D55, VLOOKUP(K$4,'4. Billing Determinants'!$B$19:$R$41,3,0)/'4. Billing Determinants'!$D$41*$D55))))),0)</f>
        <v>0</v>
      </c>
      <c r="L55" s="40">
        <f>IFERROR(IF(L$4="",0,IF($E55="kWh",VLOOKUP(L$4,'4. Billing Determinants'!$B$19:$R$41,4,0)/'4. Billing Determinants'!$E$41*$D55,IF($E55="kW",VLOOKUP(L$4,'4. Billing Determinants'!$B$19:$R$41,5,0)/'4. Billing Determinants'!$F$41*$D55,IF($E55="Non-RPP kWh",VLOOKUP(L$4,'4. Billing Determinants'!$B$19:$R$41,6,0)/'4. Billing Determinants'!$G$41*$D55,IF($E55="Distribution Rev.",VLOOKUP(L$4,'4. Billing Determinants'!$B$19:$R$41,8,0)/'4. Billing Determinants'!$I$41*$D55, VLOOKUP(L$4,'4. Billing Determinants'!$B$19:$R$41,3,0)/'4. Billing Determinants'!$D$41*$D55))))),0)</f>
        <v>0</v>
      </c>
      <c r="M55" s="40">
        <f>IFERROR(IF(M$4="",0,IF($E55="kWh",VLOOKUP(M$4,'4. Billing Determinants'!$B$19:$R$41,4,0)/'4. Billing Determinants'!$E$41*$D55,IF($E55="kW",VLOOKUP(M$4,'4. Billing Determinants'!$B$19:$R$41,5,0)/'4. Billing Determinants'!$F$41*$D55,IF($E55="Non-RPP kWh",VLOOKUP(M$4,'4. Billing Determinants'!$B$19:$R$41,6,0)/'4. Billing Determinants'!$G$41*$D55,IF($E55="Distribution Rev.",VLOOKUP(M$4,'4. Billing Determinants'!$B$19:$R$41,8,0)/'4. Billing Determinants'!$I$41*$D55, VLOOKUP(M$4,'4. Billing Determinants'!$B$19:$R$41,3,0)/'4. Billing Determinants'!$D$41*$D55))))),0)</f>
        <v>0</v>
      </c>
      <c r="N55" s="40">
        <f>IFERROR(IF(N$4="",0,IF($E55="kWh",VLOOKUP(N$4,'4. Billing Determinants'!$B$19:$R$41,4,0)/'4. Billing Determinants'!$E$41*$D55,IF($E55="kW",VLOOKUP(N$4,'4. Billing Determinants'!$B$19:$R$41,5,0)/'4. Billing Determinants'!$F$41*$D55,IF($E55="Non-RPP kWh",VLOOKUP(N$4,'4. Billing Determinants'!$B$19:$R$41,6,0)/'4. Billing Determinants'!$G$41*$D55,IF($E55="Distribution Rev.",VLOOKUP(N$4,'4. Billing Determinants'!$B$19:$R$41,8,0)/'4. Billing Determinants'!$I$41*$D55, VLOOKUP(N$4,'4. Billing Determinants'!$B$19:$R$41,3,0)/'4. Billing Determinants'!$D$41*$D55))))),0)</f>
        <v>0</v>
      </c>
      <c r="O55" s="40">
        <f>IFERROR(IF(O$4="",0,IF($E55="kWh",VLOOKUP(O$4,'4. Billing Determinants'!$B$19:$R$41,4,0)/'4. Billing Determinants'!$E$41*$D55,IF($E55="kW",VLOOKUP(O$4,'4. Billing Determinants'!$B$19:$R$41,5,0)/'4. Billing Determinants'!$F$41*$D55,IF($E55="Non-RPP kWh",VLOOKUP(O$4,'4. Billing Determinants'!$B$19:$R$41,6,0)/'4. Billing Determinants'!$G$41*$D55,IF($E55="Distribution Rev.",VLOOKUP(O$4,'4. Billing Determinants'!$B$19:$R$41,8,0)/'4. Billing Determinants'!$I$41*$D55, VLOOKUP(O$4,'4. Billing Determinants'!$B$19:$R$41,3,0)/'4. Billing Determinants'!$D$41*$D55))))),0)</f>
        <v>0</v>
      </c>
      <c r="P55" s="40">
        <f>IFERROR(IF(P$4="",0,IF($E55="kWh",VLOOKUP(P$4,'4. Billing Determinants'!$B$19:$R$41,4,0)/'4. Billing Determinants'!$E$41*$D55,IF($E55="kW",VLOOKUP(P$4,'4. Billing Determinants'!$B$19:$R$41,5,0)/'4. Billing Determinants'!$F$41*$D55,IF($E55="Non-RPP kWh",VLOOKUP(P$4,'4. Billing Determinants'!$B$19:$R$41,6,0)/'4. Billing Determinants'!$G$41*$D55,IF($E55="Distribution Rev.",VLOOKUP(P$4,'4. Billing Determinants'!$B$19:$R$41,8,0)/'4. Billing Determinants'!$I$41*$D55, VLOOKUP(P$4,'4. Billing Determinants'!$B$19:$R$41,3,0)/'4. Billing Determinants'!$D$41*$D55))))),0)</f>
        <v>0</v>
      </c>
      <c r="Q55" s="40">
        <f>IFERROR(IF(Q$4="",0,IF($E55="kWh",VLOOKUP(Q$4,'4. Billing Determinants'!$B$19:$R$41,4,0)/'4. Billing Determinants'!$E$41*$D55,IF($E55="kW",VLOOKUP(Q$4,'4. Billing Determinants'!$B$19:$R$41,5,0)/'4. Billing Determinants'!$F$41*$D55,IF($E55="Non-RPP kWh",VLOOKUP(Q$4,'4. Billing Determinants'!$B$19:$R$41,6,0)/'4. Billing Determinants'!$G$41*$D55,IF($E55="Distribution Rev.",VLOOKUP(Q$4,'4. Billing Determinants'!$B$19:$R$41,8,0)/'4. Billing Determinants'!$I$41*$D55, VLOOKUP(Q$4,'4. Billing Determinants'!$B$19:$R$41,3,0)/'4. Billing Determinants'!$D$41*$D55))))),0)</f>
        <v>0</v>
      </c>
      <c r="R55" s="40">
        <f>IFERROR(IF(R$4="",0,IF($E55="kWh",VLOOKUP(R$4,'4. Billing Determinants'!$B$19:$R$41,4,0)/'4. Billing Determinants'!$E$41*$D55,IF($E55="kW",VLOOKUP(R$4,'4. Billing Determinants'!$B$19:$R$41,5,0)/'4. Billing Determinants'!$F$41*$D55,IF($E55="Non-RPP kWh",VLOOKUP(R$4,'4. Billing Determinants'!$B$19:$R$41,6,0)/'4. Billing Determinants'!$G$41*$D55,IF($E55="Distribution Rev.",VLOOKUP(R$4,'4. Billing Determinants'!$B$19:$R$41,8,0)/'4. Billing Determinants'!$I$41*$D55, VLOOKUP(R$4,'4. Billing Determinants'!$B$19:$R$41,3,0)/'4. Billing Determinants'!$D$41*$D55))))),0)</f>
        <v>0</v>
      </c>
      <c r="S55" s="40">
        <f>IFERROR(IF(S$4="",0,IF($E55="kWh",VLOOKUP(S$4,'4. Billing Determinants'!$B$19:$R$41,4,0)/'4. Billing Determinants'!$E$41*$D55,IF($E55="kW",VLOOKUP(S$4,'4. Billing Determinants'!$B$19:$R$41,5,0)/'4. Billing Determinants'!$F$41*$D55,IF($E55="Non-RPP kWh",VLOOKUP(S$4,'4. Billing Determinants'!$B$19:$R$41,6,0)/'4. Billing Determinants'!$G$41*$D55,IF($E55="Distribution Rev.",VLOOKUP(S$4,'4. Billing Determinants'!$B$19:$R$41,8,0)/'4. Billing Determinants'!$I$41*$D55, VLOOKUP(S$4,'4. Billing Determinants'!$B$19:$R$41,3,0)/'4. Billing Determinants'!$D$41*$D55))))),0)</f>
        <v>0</v>
      </c>
      <c r="T55" s="40">
        <f>IFERROR(IF(T$4="",0,IF($E55="kWh",VLOOKUP(T$4,'4. Billing Determinants'!$B$19:$R$41,4,0)/'4. Billing Determinants'!$E$41*$D55,IF($E55="kW",VLOOKUP(T$4,'4. Billing Determinants'!$B$19:$R$41,5,0)/'4. Billing Determinants'!$F$41*$D55,IF($E55="Non-RPP kWh",VLOOKUP(T$4,'4. Billing Determinants'!$B$19:$R$41,6,0)/'4. Billing Determinants'!$G$41*$D55,IF($E55="Distribution Rev.",VLOOKUP(T$4,'4. Billing Determinants'!$B$19:$R$41,8,0)/'4. Billing Determinants'!$I$41*$D55, VLOOKUP(T$4,'4. Billing Determinants'!$B$19:$R$41,3,0)/'4. Billing Determinants'!$D$41*$D55))))),0)</f>
        <v>0</v>
      </c>
      <c r="U55" s="40">
        <f>IFERROR(IF(U$4="",0,IF($E55="kWh",VLOOKUP(U$4,'4. Billing Determinants'!$B$19:$R$41,4,0)/'4. Billing Determinants'!$E$41*$D55,IF($E55="kW",VLOOKUP(U$4,'4. Billing Determinants'!$B$19:$R$41,5,0)/'4. Billing Determinants'!$F$41*$D55,IF($E55="Non-RPP kWh",VLOOKUP(U$4,'4. Billing Determinants'!$B$19:$R$41,6,0)/'4. Billing Determinants'!$G$41*$D55,IF($E55="Distribution Rev.",VLOOKUP(U$4,'4. Billing Determinants'!$B$19:$R$41,8,0)/'4. Billing Determinants'!$I$41*$D55, VLOOKUP(U$4,'4. Billing Determinants'!$B$19:$R$41,3,0)/'4. Billing Determinants'!$D$41*$D55))))),0)</f>
        <v>0</v>
      </c>
      <c r="V55" s="40">
        <f>IFERROR(IF(V$4="",0,IF($E55="kWh",VLOOKUP(V$4,'4. Billing Determinants'!$B$19:$R$41,4,0)/'4. Billing Determinants'!$E$41*$D55,IF($E55="kW",VLOOKUP(V$4,'4. Billing Determinants'!$B$19:$R$41,5,0)/'4. Billing Determinants'!$F$41*$D55,IF($E55="Non-RPP kWh",VLOOKUP(V$4,'4. Billing Determinants'!$B$19:$R$41,6,0)/'4. Billing Determinants'!$G$41*$D55,IF($E55="Distribution Rev.",VLOOKUP(V$4,'4. Billing Determinants'!$B$19:$R$41,8,0)/'4. Billing Determinants'!$I$41*$D55, VLOOKUP(V$4,'4. Billing Determinants'!$B$19:$R$41,3,0)/'4. Billing Determinants'!$D$41*$D55))))),0)</f>
        <v>0</v>
      </c>
      <c r="W55" s="40">
        <f>IFERROR(IF(W$4="",0,IF($E55="kWh",VLOOKUP(W$4,'4. Billing Determinants'!$B$19:$R$41,4,0)/'4. Billing Determinants'!$E$41*$D55,IF($E55="kW",VLOOKUP(W$4,'4. Billing Determinants'!$B$19:$R$41,5,0)/'4. Billing Determinants'!$F$41*$D55,IF($E55="Non-RPP kWh",VLOOKUP(W$4,'4. Billing Determinants'!$B$19:$R$41,6,0)/'4. Billing Determinants'!$G$41*$D55,IF($E55="Distribution Rev.",VLOOKUP(W$4,'4. Billing Determinants'!$B$19:$R$41,8,0)/'4. Billing Determinants'!$I$41*$D55, VLOOKUP(W$4,'4. Billing Determinants'!$B$19:$R$41,3,0)/'4. Billing Determinants'!$D$41*$D55))))),0)</f>
        <v>0</v>
      </c>
      <c r="X55" s="40">
        <f>IFERROR(IF(X$4="",0,IF($E55="kWh",VLOOKUP(X$4,'4. Billing Determinants'!$B$19:$R$41,4,0)/'4. Billing Determinants'!$E$41*$D55,IF($E55="kW",VLOOKUP(X$4,'4. Billing Determinants'!$B$19:$R$41,5,0)/'4. Billing Determinants'!$F$41*$D55,IF($E55="Non-RPP kWh",VLOOKUP(X$4,'4. Billing Determinants'!$B$19:$R$41,6,0)/'4. Billing Determinants'!$G$41*$D55,IF($E55="Distribution Rev.",VLOOKUP(X$4,'4. Billing Determinants'!$B$19:$R$41,8,0)/'4. Billing Determinants'!$I$41*$D55, VLOOKUP(X$4,'4. Billing Determinants'!$B$19:$R$41,3,0)/'4. Billing Determinants'!$D$41*$D55))))),0)</f>
        <v>0</v>
      </c>
      <c r="Y55" s="40">
        <f>IFERROR(IF(Y$4="",0,IF($E55="kWh",VLOOKUP(Y$4,'4. Billing Determinants'!$B$19:$R$41,4,0)/'4. Billing Determinants'!$E$41*$D55,IF($E55="kW",VLOOKUP(Y$4,'4. Billing Determinants'!$B$19:$R$41,5,0)/'4. Billing Determinants'!$F$41*$D55,IF($E55="Non-RPP kWh",VLOOKUP(Y$4,'4. Billing Determinants'!$B$19:$R$41,6,0)/'4. Billing Determinants'!$G$41*$D55,IF($E55="Distribution Rev.",VLOOKUP(Y$4,'4. Billing Determinants'!$B$19:$R$41,8,0)/'4. Billing Determinants'!$I$41*$D55, VLOOKUP(Y$4,'4. Billing Determinants'!$B$19:$R$41,3,0)/'4. Billing Determinants'!$D$41*$D55))))),0)</f>
        <v>0</v>
      </c>
    </row>
    <row r="56" spans="1:25" x14ac:dyDescent="0.25">
      <c r="A56" s="122">
        <v>33</v>
      </c>
      <c r="B56" s="50" t="s">
        <v>3017</v>
      </c>
      <c r="C56" s="782">
        <v>1592</v>
      </c>
      <c r="D56" s="40">
        <f>'2b. Continuity Schedule'!BT83</f>
        <v>0</v>
      </c>
      <c r="E56" s="61" t="s">
        <v>139</v>
      </c>
      <c r="F56" s="40">
        <f>IFERROR(IF(F$4="",0,IF($E56="kWh",VLOOKUP(F$4,'4. Billing Determinants'!$B$19:$R$41,4,0)/'4. Billing Determinants'!$E$41*$D56,IF($E56="kW",VLOOKUP(F$4,'4. Billing Determinants'!$B$19:$R$41,5,0)/'4. Billing Determinants'!$F$41*$D56,IF($E56="Non-RPP kWh",VLOOKUP(F$4,'4. Billing Determinants'!$B$19:$R$41,6,0)/'4. Billing Determinants'!$G$41*$D56,IF($E56="Distribution Rev.",VLOOKUP(F$4,'4. Billing Determinants'!$B$19:$R$41,8,0)/'4. Billing Determinants'!$I$41*$D56, VLOOKUP(F$4,'4. Billing Determinants'!$B$19:$R$41,3,0)/'4. Billing Determinants'!$D$41*$D56))))),0)</f>
        <v>0</v>
      </c>
      <c r="G56" s="40">
        <f>IFERROR(IF(G$4="",0,IF($E56="kWh",VLOOKUP(G$4,'4. Billing Determinants'!$B$19:$R$41,4,0)/'4. Billing Determinants'!$E$41*$D56,IF($E56="kW",VLOOKUP(G$4,'4. Billing Determinants'!$B$19:$R$41,5,0)/'4. Billing Determinants'!$F$41*$D56,IF($E56="Non-RPP kWh",VLOOKUP(G$4,'4. Billing Determinants'!$B$19:$R$41,6,0)/'4. Billing Determinants'!$G$41*$D56,IF($E56="Distribution Rev.",VLOOKUP(G$4,'4. Billing Determinants'!$B$19:$R$41,8,0)/'4. Billing Determinants'!$I$41*$D56, VLOOKUP(G$4,'4. Billing Determinants'!$B$19:$R$41,3,0)/'4. Billing Determinants'!$D$41*$D56))))),0)</f>
        <v>0</v>
      </c>
      <c r="H56" s="40">
        <f>IFERROR(IF(H$4="",0,IF($E56="kWh",VLOOKUP(H$4,'4. Billing Determinants'!$B$19:$R$41,4,0)/'4. Billing Determinants'!$E$41*$D56,IF($E56="kW",VLOOKUP(H$4,'4. Billing Determinants'!$B$19:$R$41,5,0)/'4. Billing Determinants'!$F$41*$D56,IF($E56="Non-RPP kWh",VLOOKUP(H$4,'4. Billing Determinants'!$B$19:$R$41,6,0)/'4. Billing Determinants'!$G$41*$D56,IF($E56="Distribution Rev.",VLOOKUP(H$4,'4. Billing Determinants'!$B$19:$R$41,8,0)/'4. Billing Determinants'!$I$41*$D56, VLOOKUP(H$4,'4. Billing Determinants'!$B$19:$R$41,3,0)/'4. Billing Determinants'!$D$41*$D56))))),0)</f>
        <v>0</v>
      </c>
      <c r="I56" s="40">
        <f>IFERROR(IF(I$4="",0,IF($E56="kWh",VLOOKUP(I$4,'4. Billing Determinants'!$B$19:$R$41,4,0)/'4. Billing Determinants'!$E$41*$D56,IF($E56="kW",VLOOKUP(I$4,'4. Billing Determinants'!$B$19:$R$41,5,0)/'4. Billing Determinants'!$F$41*$D56,IF($E56="Non-RPP kWh",VLOOKUP(I$4,'4. Billing Determinants'!$B$19:$R$41,6,0)/'4. Billing Determinants'!$G$41*$D56,IF($E56="Distribution Rev.",VLOOKUP(I$4,'4. Billing Determinants'!$B$19:$R$41,8,0)/'4. Billing Determinants'!$I$41*$D56, VLOOKUP(I$4,'4. Billing Determinants'!$B$19:$R$41,3,0)/'4. Billing Determinants'!$D$41*$D56))))),0)</f>
        <v>0</v>
      </c>
      <c r="J56" s="40">
        <f>IFERROR(IF(J$4="",0,IF($E56="kWh",VLOOKUP(J$4,'4. Billing Determinants'!$B$19:$R$41,4,0)/'4. Billing Determinants'!$E$41*$D56,IF($E56="kW",VLOOKUP(J$4,'4. Billing Determinants'!$B$19:$R$41,5,0)/'4. Billing Determinants'!$F$41*$D56,IF($E56="Non-RPP kWh",VLOOKUP(J$4,'4. Billing Determinants'!$B$19:$R$41,6,0)/'4. Billing Determinants'!$G$41*$D56,IF($E56="Distribution Rev.",VLOOKUP(J$4,'4. Billing Determinants'!$B$19:$R$41,8,0)/'4. Billing Determinants'!$I$41*$D56, VLOOKUP(J$4,'4. Billing Determinants'!$B$19:$R$41,3,0)/'4. Billing Determinants'!$D$41*$D56))))),0)</f>
        <v>0</v>
      </c>
      <c r="K56" s="40">
        <f>IFERROR(IF(K$4="",0,IF($E56="kWh",VLOOKUP(K$4,'4. Billing Determinants'!$B$19:$R$41,4,0)/'4. Billing Determinants'!$E$41*$D56,IF($E56="kW",VLOOKUP(K$4,'4. Billing Determinants'!$B$19:$R$41,5,0)/'4. Billing Determinants'!$F$41*$D56,IF($E56="Non-RPP kWh",VLOOKUP(K$4,'4. Billing Determinants'!$B$19:$R$41,6,0)/'4. Billing Determinants'!$G$41*$D56,IF($E56="Distribution Rev.",VLOOKUP(K$4,'4. Billing Determinants'!$B$19:$R$41,8,0)/'4. Billing Determinants'!$I$41*$D56, VLOOKUP(K$4,'4. Billing Determinants'!$B$19:$R$41,3,0)/'4. Billing Determinants'!$D$41*$D56))))),0)</f>
        <v>0</v>
      </c>
      <c r="L56" s="40">
        <f>IFERROR(IF(L$4="",0,IF($E56="kWh",VLOOKUP(L$4,'4. Billing Determinants'!$B$19:$R$41,4,0)/'4. Billing Determinants'!$E$41*$D56,IF($E56="kW",VLOOKUP(L$4,'4. Billing Determinants'!$B$19:$R$41,5,0)/'4. Billing Determinants'!$F$41*$D56,IF($E56="Non-RPP kWh",VLOOKUP(L$4,'4. Billing Determinants'!$B$19:$R$41,6,0)/'4. Billing Determinants'!$G$41*$D56,IF($E56="Distribution Rev.",VLOOKUP(L$4,'4. Billing Determinants'!$B$19:$R$41,8,0)/'4. Billing Determinants'!$I$41*$D56, VLOOKUP(L$4,'4. Billing Determinants'!$B$19:$R$41,3,0)/'4. Billing Determinants'!$D$41*$D56))))),0)</f>
        <v>0</v>
      </c>
      <c r="M56" s="40">
        <f>IFERROR(IF(M$4="",0,IF($E56="kWh",VLOOKUP(M$4,'4. Billing Determinants'!$B$19:$R$41,4,0)/'4. Billing Determinants'!$E$41*$D56,IF($E56="kW",VLOOKUP(M$4,'4. Billing Determinants'!$B$19:$R$41,5,0)/'4. Billing Determinants'!$F$41*$D56,IF($E56="Non-RPP kWh",VLOOKUP(M$4,'4. Billing Determinants'!$B$19:$R$41,6,0)/'4. Billing Determinants'!$G$41*$D56,IF($E56="Distribution Rev.",VLOOKUP(M$4,'4. Billing Determinants'!$B$19:$R$41,8,0)/'4. Billing Determinants'!$I$41*$D56, VLOOKUP(M$4,'4. Billing Determinants'!$B$19:$R$41,3,0)/'4. Billing Determinants'!$D$41*$D56))))),0)</f>
        <v>0</v>
      </c>
      <c r="N56" s="40">
        <f>IFERROR(IF(N$4="",0,IF($E56="kWh",VLOOKUP(N$4,'4. Billing Determinants'!$B$19:$R$41,4,0)/'4. Billing Determinants'!$E$41*$D56,IF($E56="kW",VLOOKUP(N$4,'4. Billing Determinants'!$B$19:$R$41,5,0)/'4. Billing Determinants'!$F$41*$D56,IF($E56="Non-RPP kWh",VLOOKUP(N$4,'4. Billing Determinants'!$B$19:$R$41,6,0)/'4. Billing Determinants'!$G$41*$D56,IF($E56="Distribution Rev.",VLOOKUP(N$4,'4. Billing Determinants'!$B$19:$R$41,8,0)/'4. Billing Determinants'!$I$41*$D56, VLOOKUP(N$4,'4. Billing Determinants'!$B$19:$R$41,3,0)/'4. Billing Determinants'!$D$41*$D56))))),0)</f>
        <v>0</v>
      </c>
      <c r="O56" s="40">
        <f>IFERROR(IF(O$4="",0,IF($E56="kWh",VLOOKUP(O$4,'4. Billing Determinants'!$B$19:$R$41,4,0)/'4. Billing Determinants'!$E$41*$D56,IF($E56="kW",VLOOKUP(O$4,'4. Billing Determinants'!$B$19:$R$41,5,0)/'4. Billing Determinants'!$F$41*$D56,IF($E56="Non-RPP kWh",VLOOKUP(O$4,'4. Billing Determinants'!$B$19:$R$41,6,0)/'4. Billing Determinants'!$G$41*$D56,IF($E56="Distribution Rev.",VLOOKUP(O$4,'4. Billing Determinants'!$B$19:$R$41,8,0)/'4. Billing Determinants'!$I$41*$D56, VLOOKUP(O$4,'4. Billing Determinants'!$B$19:$R$41,3,0)/'4. Billing Determinants'!$D$41*$D56))))),0)</f>
        <v>0</v>
      </c>
      <c r="P56" s="40">
        <f>IFERROR(IF(P$4="",0,IF($E56="kWh",VLOOKUP(P$4,'4. Billing Determinants'!$B$19:$R$41,4,0)/'4. Billing Determinants'!$E$41*$D56,IF($E56="kW",VLOOKUP(P$4,'4. Billing Determinants'!$B$19:$R$41,5,0)/'4. Billing Determinants'!$F$41*$D56,IF($E56="Non-RPP kWh",VLOOKUP(P$4,'4. Billing Determinants'!$B$19:$R$41,6,0)/'4. Billing Determinants'!$G$41*$D56,IF($E56="Distribution Rev.",VLOOKUP(P$4,'4. Billing Determinants'!$B$19:$R$41,8,0)/'4. Billing Determinants'!$I$41*$D56, VLOOKUP(P$4,'4. Billing Determinants'!$B$19:$R$41,3,0)/'4. Billing Determinants'!$D$41*$D56))))),0)</f>
        <v>0</v>
      </c>
      <c r="Q56" s="40">
        <f>IFERROR(IF(Q$4="",0,IF($E56="kWh",VLOOKUP(Q$4,'4. Billing Determinants'!$B$19:$R$41,4,0)/'4. Billing Determinants'!$E$41*$D56,IF($E56="kW",VLOOKUP(Q$4,'4. Billing Determinants'!$B$19:$R$41,5,0)/'4. Billing Determinants'!$F$41*$D56,IF($E56="Non-RPP kWh",VLOOKUP(Q$4,'4. Billing Determinants'!$B$19:$R$41,6,0)/'4. Billing Determinants'!$G$41*$D56,IF($E56="Distribution Rev.",VLOOKUP(Q$4,'4. Billing Determinants'!$B$19:$R$41,8,0)/'4. Billing Determinants'!$I$41*$D56, VLOOKUP(Q$4,'4. Billing Determinants'!$B$19:$R$41,3,0)/'4. Billing Determinants'!$D$41*$D56))))),0)</f>
        <v>0</v>
      </c>
      <c r="R56" s="40">
        <f>IFERROR(IF(R$4="",0,IF($E56="kWh",VLOOKUP(R$4,'4. Billing Determinants'!$B$19:$R$41,4,0)/'4. Billing Determinants'!$E$41*$D56,IF($E56="kW",VLOOKUP(R$4,'4. Billing Determinants'!$B$19:$R$41,5,0)/'4. Billing Determinants'!$F$41*$D56,IF($E56="Non-RPP kWh",VLOOKUP(R$4,'4. Billing Determinants'!$B$19:$R$41,6,0)/'4. Billing Determinants'!$G$41*$D56,IF($E56="Distribution Rev.",VLOOKUP(R$4,'4. Billing Determinants'!$B$19:$R$41,8,0)/'4. Billing Determinants'!$I$41*$D56, VLOOKUP(R$4,'4. Billing Determinants'!$B$19:$R$41,3,0)/'4. Billing Determinants'!$D$41*$D56))))),0)</f>
        <v>0</v>
      </c>
      <c r="S56" s="40">
        <f>IFERROR(IF(S$4="",0,IF($E56="kWh",VLOOKUP(S$4,'4. Billing Determinants'!$B$19:$R$41,4,0)/'4. Billing Determinants'!$E$41*$D56,IF($E56="kW",VLOOKUP(S$4,'4. Billing Determinants'!$B$19:$R$41,5,0)/'4. Billing Determinants'!$F$41*$D56,IF($E56="Non-RPP kWh",VLOOKUP(S$4,'4. Billing Determinants'!$B$19:$R$41,6,0)/'4. Billing Determinants'!$G$41*$D56,IF($E56="Distribution Rev.",VLOOKUP(S$4,'4. Billing Determinants'!$B$19:$R$41,8,0)/'4. Billing Determinants'!$I$41*$D56, VLOOKUP(S$4,'4. Billing Determinants'!$B$19:$R$41,3,0)/'4. Billing Determinants'!$D$41*$D56))))),0)</f>
        <v>0</v>
      </c>
      <c r="T56" s="40">
        <f>IFERROR(IF(T$4="",0,IF($E56="kWh",VLOOKUP(T$4,'4. Billing Determinants'!$B$19:$R$41,4,0)/'4. Billing Determinants'!$E$41*$D56,IF($E56="kW",VLOOKUP(T$4,'4. Billing Determinants'!$B$19:$R$41,5,0)/'4. Billing Determinants'!$F$41*$D56,IF($E56="Non-RPP kWh",VLOOKUP(T$4,'4. Billing Determinants'!$B$19:$R$41,6,0)/'4. Billing Determinants'!$G$41*$D56,IF($E56="Distribution Rev.",VLOOKUP(T$4,'4. Billing Determinants'!$B$19:$R$41,8,0)/'4. Billing Determinants'!$I$41*$D56, VLOOKUP(T$4,'4. Billing Determinants'!$B$19:$R$41,3,0)/'4. Billing Determinants'!$D$41*$D56))))),0)</f>
        <v>0</v>
      </c>
      <c r="U56" s="40">
        <f>IFERROR(IF(U$4="",0,IF($E56="kWh",VLOOKUP(U$4,'4. Billing Determinants'!$B$19:$R$41,4,0)/'4. Billing Determinants'!$E$41*$D56,IF($E56="kW",VLOOKUP(U$4,'4. Billing Determinants'!$B$19:$R$41,5,0)/'4. Billing Determinants'!$F$41*$D56,IF($E56="Non-RPP kWh",VLOOKUP(U$4,'4. Billing Determinants'!$B$19:$R$41,6,0)/'4. Billing Determinants'!$G$41*$D56,IF($E56="Distribution Rev.",VLOOKUP(U$4,'4. Billing Determinants'!$B$19:$R$41,8,0)/'4. Billing Determinants'!$I$41*$D56, VLOOKUP(U$4,'4. Billing Determinants'!$B$19:$R$41,3,0)/'4. Billing Determinants'!$D$41*$D56))))),0)</f>
        <v>0</v>
      </c>
      <c r="V56" s="40">
        <f>IFERROR(IF(V$4="",0,IF($E56="kWh",VLOOKUP(V$4,'4. Billing Determinants'!$B$19:$R$41,4,0)/'4. Billing Determinants'!$E$41*$D56,IF($E56="kW",VLOOKUP(V$4,'4. Billing Determinants'!$B$19:$R$41,5,0)/'4. Billing Determinants'!$F$41*$D56,IF($E56="Non-RPP kWh",VLOOKUP(V$4,'4. Billing Determinants'!$B$19:$R$41,6,0)/'4. Billing Determinants'!$G$41*$D56,IF($E56="Distribution Rev.",VLOOKUP(V$4,'4. Billing Determinants'!$B$19:$R$41,8,0)/'4. Billing Determinants'!$I$41*$D56, VLOOKUP(V$4,'4. Billing Determinants'!$B$19:$R$41,3,0)/'4. Billing Determinants'!$D$41*$D56))))),0)</f>
        <v>0</v>
      </c>
      <c r="W56" s="40">
        <f>IFERROR(IF(W$4="",0,IF($E56="kWh",VLOOKUP(W$4,'4. Billing Determinants'!$B$19:$R$41,4,0)/'4. Billing Determinants'!$E$41*$D56,IF($E56="kW",VLOOKUP(W$4,'4. Billing Determinants'!$B$19:$R$41,5,0)/'4. Billing Determinants'!$F$41*$D56,IF($E56="Non-RPP kWh",VLOOKUP(W$4,'4. Billing Determinants'!$B$19:$R$41,6,0)/'4. Billing Determinants'!$G$41*$D56,IF($E56="Distribution Rev.",VLOOKUP(W$4,'4. Billing Determinants'!$B$19:$R$41,8,0)/'4. Billing Determinants'!$I$41*$D56, VLOOKUP(W$4,'4. Billing Determinants'!$B$19:$R$41,3,0)/'4. Billing Determinants'!$D$41*$D56))))),0)</f>
        <v>0</v>
      </c>
      <c r="X56" s="40">
        <f>IFERROR(IF(X$4="",0,IF($E56="kWh",VLOOKUP(X$4,'4. Billing Determinants'!$B$19:$R$41,4,0)/'4. Billing Determinants'!$E$41*$D56,IF($E56="kW",VLOOKUP(X$4,'4. Billing Determinants'!$B$19:$R$41,5,0)/'4. Billing Determinants'!$F$41*$D56,IF($E56="Non-RPP kWh",VLOOKUP(X$4,'4. Billing Determinants'!$B$19:$R$41,6,0)/'4. Billing Determinants'!$G$41*$D56,IF($E56="Distribution Rev.",VLOOKUP(X$4,'4. Billing Determinants'!$B$19:$R$41,8,0)/'4. Billing Determinants'!$I$41*$D56, VLOOKUP(X$4,'4. Billing Determinants'!$B$19:$R$41,3,0)/'4. Billing Determinants'!$D$41*$D56))))),0)</f>
        <v>0</v>
      </c>
      <c r="Y56" s="40">
        <f>IFERROR(IF(Y$4="",0,IF($E56="kWh",VLOOKUP(Y$4,'4. Billing Determinants'!$B$19:$R$41,4,0)/'4. Billing Determinants'!$E$41*$D56,IF($E56="kW",VLOOKUP(Y$4,'4. Billing Determinants'!$B$19:$R$41,5,0)/'4. Billing Determinants'!$F$41*$D56,IF($E56="Non-RPP kWh",VLOOKUP(Y$4,'4. Billing Determinants'!$B$19:$R$41,6,0)/'4. Billing Determinants'!$G$41*$D56,IF($E56="Distribution Rev.",VLOOKUP(Y$4,'4. Billing Determinants'!$B$19:$R$41,8,0)/'4. Billing Determinants'!$I$41*$D56, VLOOKUP(Y$4,'4. Billing Determinants'!$B$19:$R$41,3,0)/'4. Billing Determinants'!$D$41*$D56))))),0)</f>
        <v>0</v>
      </c>
    </row>
    <row r="57" spans="1:25" s="2" customFormat="1" ht="13" hidden="1" x14ac:dyDescent="0.3">
      <c r="A57" s="122">
        <v>34</v>
      </c>
      <c r="B57" s="375" t="s">
        <v>181</v>
      </c>
      <c r="C57" s="148"/>
      <c r="D57" s="376">
        <f>SUM(D55:D56)</f>
        <v>0</v>
      </c>
      <c r="E57" s="148"/>
      <c r="F57" s="376">
        <f t="shared" ref="F57:Y57" si="2">SUM(F55:F56)</f>
        <v>0</v>
      </c>
      <c r="G57" s="376">
        <f t="shared" si="2"/>
        <v>0</v>
      </c>
      <c r="H57" s="376">
        <f t="shared" si="2"/>
        <v>0</v>
      </c>
      <c r="I57" s="376">
        <f t="shared" si="2"/>
        <v>0</v>
      </c>
      <c r="J57" s="376">
        <f t="shared" si="2"/>
        <v>0</v>
      </c>
      <c r="K57" s="376">
        <f t="shared" si="2"/>
        <v>0</v>
      </c>
      <c r="L57" s="376">
        <f t="shared" si="2"/>
        <v>0</v>
      </c>
      <c r="M57" s="376">
        <f t="shared" si="2"/>
        <v>0</v>
      </c>
      <c r="N57" s="376">
        <f t="shared" si="2"/>
        <v>0</v>
      </c>
      <c r="O57" s="376">
        <f t="shared" si="2"/>
        <v>0</v>
      </c>
      <c r="P57" s="376">
        <f t="shared" si="2"/>
        <v>0</v>
      </c>
      <c r="Q57" s="376">
        <f t="shared" si="2"/>
        <v>0</v>
      </c>
      <c r="R57" s="376">
        <f t="shared" si="2"/>
        <v>0</v>
      </c>
      <c r="S57" s="376">
        <f t="shared" si="2"/>
        <v>0</v>
      </c>
      <c r="T57" s="376">
        <f t="shared" si="2"/>
        <v>0</v>
      </c>
      <c r="U57" s="376">
        <f t="shared" si="2"/>
        <v>0</v>
      </c>
      <c r="V57" s="376">
        <f t="shared" si="2"/>
        <v>0</v>
      </c>
      <c r="W57" s="376">
        <f t="shared" si="2"/>
        <v>0</v>
      </c>
      <c r="X57" s="376">
        <f t="shared" si="2"/>
        <v>0</v>
      </c>
      <c r="Y57" s="376">
        <f t="shared" si="2"/>
        <v>0</v>
      </c>
    </row>
    <row r="58" spans="1:25" ht="13" x14ac:dyDescent="0.3">
      <c r="A58" s="122">
        <v>35</v>
      </c>
      <c r="B58" s="45"/>
      <c r="C58" s="48"/>
      <c r="D58" s="548"/>
      <c r="E58" s="46"/>
    </row>
    <row r="59" spans="1:25" s="554" customFormat="1" ht="13" hidden="1" x14ac:dyDescent="0.3">
      <c r="A59" s="550">
        <v>36</v>
      </c>
      <c r="B59" s="551" t="s">
        <v>50</v>
      </c>
      <c r="C59" s="552">
        <v>1568</v>
      </c>
      <c r="D59" s="553">
        <f>'2b. Continuity Schedule'!BT88</f>
        <v>0</v>
      </c>
      <c r="E59" s="552"/>
      <c r="F59" s="553">
        <f>'4. Billing Determinants'!AC21</f>
        <v>0</v>
      </c>
      <c r="G59" s="553">
        <f>'4. Billing Determinants'!AC22</f>
        <v>0</v>
      </c>
      <c r="H59" s="553">
        <f>'4. Billing Determinants'!AC23</f>
        <v>0</v>
      </c>
      <c r="I59" s="553">
        <f>'4. Billing Determinants'!AC24</f>
        <v>0</v>
      </c>
      <c r="J59" s="553">
        <f>'4. Billing Determinants'!AC25</f>
        <v>0</v>
      </c>
      <c r="K59" s="553">
        <f>'4. Billing Determinants'!AC26</f>
        <v>0</v>
      </c>
      <c r="L59" s="553">
        <f>'4. Billing Determinants'!AC27</f>
        <v>0</v>
      </c>
      <c r="M59" s="553">
        <f>'4. Billing Determinants'!AC28</f>
        <v>0</v>
      </c>
      <c r="N59" s="553">
        <f>'4. Billing Determinants'!AC29</f>
        <v>0</v>
      </c>
      <c r="O59" s="553">
        <f>'4. Billing Determinants'!AC30</f>
        <v>0</v>
      </c>
      <c r="P59" s="553">
        <f>'4. Billing Determinants'!AC31</f>
        <v>0</v>
      </c>
      <c r="Q59" s="553">
        <f>'4. Billing Determinants'!AC32</f>
        <v>0</v>
      </c>
      <c r="R59" s="553">
        <f>'4. Billing Determinants'!AC33</f>
        <v>0</v>
      </c>
      <c r="S59" s="553">
        <f>'4. Billing Determinants'!AC34</f>
        <v>0</v>
      </c>
      <c r="T59" s="553">
        <f>'4. Billing Determinants'!AC35</f>
        <v>0</v>
      </c>
      <c r="U59" s="553">
        <f>'4. Billing Determinants'!AC36</f>
        <v>0</v>
      </c>
      <c r="V59" s="553">
        <f>'4. Billing Determinants'!AC37</f>
        <v>0</v>
      </c>
      <c r="W59" s="553">
        <f>'4. Billing Determinants'!AC38</f>
        <v>0</v>
      </c>
      <c r="X59" s="553">
        <f>'4. Billing Determinants'!AC39</f>
        <v>0</v>
      </c>
      <c r="Y59" s="553">
        <f>'4. Billing Determinants'!AC40</f>
        <v>0</v>
      </c>
    </row>
    <row r="60" spans="1:25" s="48" customFormat="1" hidden="1" x14ac:dyDescent="0.25">
      <c r="A60" s="122">
        <v>37</v>
      </c>
      <c r="B60" s="1197" t="s">
        <v>63</v>
      </c>
      <c r="C60" s="1197"/>
      <c r="D60" s="143">
        <f>SUM(F59:Y59)</f>
        <v>0</v>
      </c>
      <c r="E60" s="46"/>
      <c r="F60" s="46"/>
      <c r="G60" s="46"/>
      <c r="H60" s="46"/>
      <c r="I60" s="46"/>
      <c r="J60" s="46"/>
      <c r="K60" s="46"/>
      <c r="L60" s="46"/>
      <c r="M60" s="46"/>
      <c r="N60" s="46"/>
      <c r="O60" s="46"/>
      <c r="P60" s="46"/>
      <c r="Q60" s="46"/>
      <c r="R60" s="46"/>
      <c r="S60" s="46"/>
      <c r="T60" s="46"/>
      <c r="U60" s="46"/>
      <c r="V60" s="46"/>
      <c r="W60" s="46"/>
      <c r="X60" s="46"/>
      <c r="Y60" s="46"/>
    </row>
    <row r="61" spans="1:25" s="48" customFormat="1" ht="13" hidden="1" x14ac:dyDescent="0.25">
      <c r="A61" s="122">
        <v>38</v>
      </c>
      <c r="B61" s="1198" t="s">
        <v>54</v>
      </c>
      <c r="C61" s="1198"/>
      <c r="D61" s="110">
        <f>D59-D60</f>
        <v>0</v>
      </c>
      <c r="E61" s="51"/>
      <c r="F61" s="46"/>
      <c r="G61" s="46"/>
      <c r="H61" s="46"/>
      <c r="I61" s="46"/>
      <c r="J61" s="46"/>
      <c r="K61" s="46"/>
      <c r="L61" s="46"/>
      <c r="M61" s="46"/>
      <c r="N61" s="46"/>
      <c r="O61" s="46"/>
      <c r="P61" s="46"/>
      <c r="Q61" s="46"/>
      <c r="R61" s="46"/>
      <c r="S61" s="46"/>
      <c r="T61" s="46"/>
      <c r="U61" s="46"/>
      <c r="V61" s="46"/>
      <c r="W61" s="46"/>
      <c r="X61" s="46"/>
      <c r="Y61" s="46"/>
    </row>
    <row r="62" spans="1:25" s="48" customFormat="1" ht="13" hidden="1" x14ac:dyDescent="0.25">
      <c r="A62" s="122">
        <v>39</v>
      </c>
      <c r="B62" s="275"/>
      <c r="C62" s="275"/>
      <c r="D62" s="276"/>
      <c r="E62" s="51"/>
      <c r="F62" s="46"/>
      <c r="G62" s="46"/>
      <c r="H62" s="46"/>
      <c r="I62" s="46"/>
      <c r="J62" s="46"/>
      <c r="K62" s="46"/>
      <c r="L62" s="46"/>
      <c r="M62" s="46"/>
      <c r="N62" s="46"/>
      <c r="O62" s="46"/>
      <c r="P62" s="46"/>
      <c r="Q62" s="46"/>
      <c r="R62" s="46"/>
      <c r="S62" s="46"/>
      <c r="T62" s="46"/>
      <c r="U62" s="46"/>
      <c r="V62" s="46"/>
      <c r="W62" s="46"/>
      <c r="X62" s="46"/>
      <c r="Y62" s="46"/>
    </row>
    <row r="63" spans="1:25" s="48" customFormat="1" x14ac:dyDescent="0.25">
      <c r="A63" s="278">
        <v>40</v>
      </c>
      <c r="B63" s="277" t="s">
        <v>26</v>
      </c>
      <c r="C63" s="634">
        <v>1532</v>
      </c>
      <c r="D63" s="40">
        <f>'2b. Continuity Schedule'!BT96</f>
        <v>0</v>
      </c>
      <c r="E63" s="61" t="s">
        <v>139</v>
      </c>
      <c r="F63" s="40">
        <f>IFERROR(IF(F$4="",0,IF($E63="kWh",VLOOKUP(F$4,'4. Billing Determinants'!$B$19:$R$41,4,0)/'4. Billing Determinants'!$E$41*$D63,IF($E63="kW",VLOOKUP(F$4,'4. Billing Determinants'!$B$19:$R$41,5,0)/'4. Billing Determinants'!$F$41*$D63,IF($E63="Non-RPP kWh",VLOOKUP(F$4,'4. Billing Determinants'!$B$19:$R$41,6,0)/'4. Billing Determinants'!$G$41*$D63,IF($E63="Distribution Rev.",VLOOKUP(F$4,'4. Billing Determinants'!$B$19:$R$41,8,0)/'4. Billing Determinants'!$I$41*$D63, VLOOKUP(F$4,'4. Billing Determinants'!$B$19:$R$41,3,0)/'4. Billing Determinants'!$D$41*$D63))))),0)</f>
        <v>0</v>
      </c>
      <c r="G63" s="40">
        <f>IFERROR(IF(G$4="",0,IF($E63="kWh",VLOOKUP(G$4,'4. Billing Determinants'!$B$19:$R$41,4,0)/'4. Billing Determinants'!$E$41*$D63,IF($E63="kW",VLOOKUP(G$4,'4. Billing Determinants'!$B$19:$R$41,5,0)/'4. Billing Determinants'!$F$41*$D63,IF($E63="Non-RPP kWh",VLOOKUP(G$4,'4. Billing Determinants'!$B$19:$R$41,6,0)/'4. Billing Determinants'!$G$41*$D63,IF($E63="Distribution Rev.",VLOOKUP(G$4,'4. Billing Determinants'!$B$19:$R$41,8,0)/'4. Billing Determinants'!$I$41*$D63, VLOOKUP(G$4,'4. Billing Determinants'!$B$19:$R$41,3,0)/'4. Billing Determinants'!$D$41*$D63))))),0)</f>
        <v>0</v>
      </c>
      <c r="H63" s="40">
        <f>IFERROR(IF(H$4="",0,IF($E63="kWh",VLOOKUP(H$4,'4. Billing Determinants'!$B$19:$R$41,4,0)/'4. Billing Determinants'!$E$41*$D63,IF($E63="kW",VLOOKUP(H$4,'4. Billing Determinants'!$B$19:$R$41,5,0)/'4. Billing Determinants'!$F$41*$D63,IF($E63="Non-RPP kWh",VLOOKUP(H$4,'4. Billing Determinants'!$B$19:$R$41,6,0)/'4. Billing Determinants'!$G$41*$D63,IF($E63="Distribution Rev.",VLOOKUP(H$4,'4. Billing Determinants'!$B$19:$R$41,8,0)/'4. Billing Determinants'!$I$41*$D63, VLOOKUP(H$4,'4. Billing Determinants'!$B$19:$R$41,3,0)/'4. Billing Determinants'!$D$41*$D63))))),0)</f>
        <v>0</v>
      </c>
      <c r="I63" s="40">
        <f>IFERROR(IF(I$4="",0,IF($E63="kWh",VLOOKUP(I$4,'4. Billing Determinants'!$B$19:$R$41,4,0)/'4. Billing Determinants'!$E$41*$D63,IF($E63="kW",VLOOKUP(I$4,'4. Billing Determinants'!$B$19:$R$41,5,0)/'4. Billing Determinants'!$F$41*$D63,IF($E63="Non-RPP kWh",VLOOKUP(I$4,'4. Billing Determinants'!$B$19:$R$41,6,0)/'4. Billing Determinants'!$G$41*$D63,IF($E63="Distribution Rev.",VLOOKUP(I$4,'4. Billing Determinants'!$B$19:$R$41,8,0)/'4. Billing Determinants'!$I$41*$D63, VLOOKUP(I$4,'4. Billing Determinants'!$B$19:$R$41,3,0)/'4. Billing Determinants'!$D$41*$D63))))),0)</f>
        <v>0</v>
      </c>
      <c r="J63" s="40">
        <f>IFERROR(IF(J$4="",0,IF($E63="kWh",VLOOKUP(J$4,'4. Billing Determinants'!$B$19:$R$41,4,0)/'4. Billing Determinants'!$E$41*$D63,IF($E63="kW",VLOOKUP(J$4,'4. Billing Determinants'!$B$19:$R$41,5,0)/'4. Billing Determinants'!$F$41*$D63,IF($E63="Non-RPP kWh",VLOOKUP(J$4,'4. Billing Determinants'!$B$19:$R$41,6,0)/'4. Billing Determinants'!$G$41*$D63,IF($E63="Distribution Rev.",VLOOKUP(J$4,'4. Billing Determinants'!$B$19:$R$41,8,0)/'4. Billing Determinants'!$I$41*$D63, VLOOKUP(J$4,'4. Billing Determinants'!$B$19:$R$41,3,0)/'4. Billing Determinants'!$D$41*$D63))))),0)</f>
        <v>0</v>
      </c>
      <c r="K63" s="40">
        <f>IFERROR(IF(K$4="",0,IF($E63="kWh",VLOOKUP(K$4,'4. Billing Determinants'!$B$19:$R$41,4,0)/'4. Billing Determinants'!$E$41*$D63,IF($E63="kW",VLOOKUP(K$4,'4. Billing Determinants'!$B$19:$R$41,5,0)/'4. Billing Determinants'!$F$41*$D63,IF($E63="Non-RPP kWh",VLOOKUP(K$4,'4. Billing Determinants'!$B$19:$R$41,6,0)/'4. Billing Determinants'!$G$41*$D63,IF($E63="Distribution Rev.",VLOOKUP(K$4,'4. Billing Determinants'!$B$19:$R$41,8,0)/'4. Billing Determinants'!$I$41*$D63, VLOOKUP(K$4,'4. Billing Determinants'!$B$19:$R$41,3,0)/'4. Billing Determinants'!$D$41*$D63))))),0)</f>
        <v>0</v>
      </c>
      <c r="L63" s="40">
        <f>IFERROR(IF(L$4="",0,IF($E63="kWh",VLOOKUP(L$4,'4. Billing Determinants'!$B$19:$R$41,4,0)/'4. Billing Determinants'!$E$41*$D63,IF($E63="kW",VLOOKUP(L$4,'4. Billing Determinants'!$B$19:$R$41,5,0)/'4. Billing Determinants'!$F$41*$D63,IF($E63="Non-RPP kWh",VLOOKUP(L$4,'4. Billing Determinants'!$B$19:$R$41,6,0)/'4. Billing Determinants'!$G$41*$D63,IF($E63="Distribution Rev.",VLOOKUP(L$4,'4. Billing Determinants'!$B$19:$R$41,8,0)/'4. Billing Determinants'!$I$41*$D63, VLOOKUP(L$4,'4. Billing Determinants'!$B$19:$R$41,3,0)/'4. Billing Determinants'!$D$41*$D63))))),0)</f>
        <v>0</v>
      </c>
      <c r="M63" s="40">
        <f>IFERROR(IF(M$4="",0,IF($E63="kWh",VLOOKUP(M$4,'4. Billing Determinants'!$B$19:$R$41,4,0)/'4. Billing Determinants'!$E$41*$D63,IF($E63="kW",VLOOKUP(M$4,'4. Billing Determinants'!$B$19:$R$41,5,0)/'4. Billing Determinants'!$F$41*$D63,IF($E63="Non-RPP kWh",VLOOKUP(M$4,'4. Billing Determinants'!$B$19:$R$41,6,0)/'4. Billing Determinants'!$G$41*$D63,IF($E63="Distribution Rev.",VLOOKUP(M$4,'4. Billing Determinants'!$B$19:$R$41,8,0)/'4. Billing Determinants'!$I$41*$D63, VLOOKUP(M$4,'4. Billing Determinants'!$B$19:$R$41,3,0)/'4. Billing Determinants'!$D$41*$D63))))),0)</f>
        <v>0</v>
      </c>
      <c r="N63" s="40">
        <f>IFERROR(IF(N$4="",0,IF($E63="kWh",VLOOKUP(N$4,'4. Billing Determinants'!$B$19:$R$41,4,0)/'4. Billing Determinants'!$E$41*$D63,IF($E63="kW",VLOOKUP(N$4,'4. Billing Determinants'!$B$19:$R$41,5,0)/'4. Billing Determinants'!$F$41*$D63,IF($E63="Non-RPP kWh",VLOOKUP(N$4,'4. Billing Determinants'!$B$19:$R$41,6,0)/'4. Billing Determinants'!$G$41*$D63,IF($E63="Distribution Rev.",VLOOKUP(N$4,'4. Billing Determinants'!$B$19:$R$41,8,0)/'4. Billing Determinants'!$I$41*$D63, VLOOKUP(N$4,'4. Billing Determinants'!$B$19:$R$41,3,0)/'4. Billing Determinants'!$D$41*$D63))))),0)</f>
        <v>0</v>
      </c>
      <c r="O63" s="40">
        <f>IFERROR(IF(O$4="",0,IF($E63="kWh",VLOOKUP(O$4,'4. Billing Determinants'!$B$19:$R$41,4,0)/'4. Billing Determinants'!$E$41*$D63,IF($E63="kW",VLOOKUP(O$4,'4. Billing Determinants'!$B$19:$R$41,5,0)/'4. Billing Determinants'!$F$41*$D63,IF($E63="Non-RPP kWh",VLOOKUP(O$4,'4. Billing Determinants'!$B$19:$R$41,6,0)/'4. Billing Determinants'!$G$41*$D63,IF($E63="Distribution Rev.",VLOOKUP(O$4,'4. Billing Determinants'!$B$19:$R$41,8,0)/'4. Billing Determinants'!$I$41*$D63, VLOOKUP(O$4,'4. Billing Determinants'!$B$19:$R$41,3,0)/'4. Billing Determinants'!$D$41*$D63))))),0)</f>
        <v>0</v>
      </c>
      <c r="P63" s="40">
        <f>IFERROR(IF(P$4="",0,IF($E63="kWh",VLOOKUP(P$4,'4. Billing Determinants'!$B$19:$R$41,4,0)/'4. Billing Determinants'!$E$41*$D63,IF($E63="kW",VLOOKUP(P$4,'4. Billing Determinants'!$B$19:$R$41,5,0)/'4. Billing Determinants'!$F$41*$D63,IF($E63="Non-RPP kWh",VLOOKUP(P$4,'4. Billing Determinants'!$B$19:$R$41,6,0)/'4. Billing Determinants'!$G$41*$D63,IF($E63="Distribution Rev.",VLOOKUP(P$4,'4. Billing Determinants'!$B$19:$R$41,8,0)/'4. Billing Determinants'!$I$41*$D63, VLOOKUP(P$4,'4. Billing Determinants'!$B$19:$R$41,3,0)/'4. Billing Determinants'!$D$41*$D63))))),0)</f>
        <v>0</v>
      </c>
      <c r="Q63" s="40">
        <f>IFERROR(IF(Q$4="",0,IF($E63="kWh",VLOOKUP(Q$4,'4. Billing Determinants'!$B$19:$R$41,4,0)/'4. Billing Determinants'!$E$41*$D63,IF($E63="kW",VLOOKUP(Q$4,'4. Billing Determinants'!$B$19:$R$41,5,0)/'4. Billing Determinants'!$F$41*$D63,IF($E63="Non-RPP kWh",VLOOKUP(Q$4,'4. Billing Determinants'!$B$19:$R$41,6,0)/'4. Billing Determinants'!$G$41*$D63,IF($E63="Distribution Rev.",VLOOKUP(Q$4,'4. Billing Determinants'!$B$19:$R$41,8,0)/'4. Billing Determinants'!$I$41*$D63, VLOOKUP(Q$4,'4. Billing Determinants'!$B$19:$R$41,3,0)/'4. Billing Determinants'!$D$41*$D63))))),0)</f>
        <v>0</v>
      </c>
      <c r="R63" s="40">
        <f>IFERROR(IF(R$4="",0,IF($E63="kWh",VLOOKUP(R$4,'4. Billing Determinants'!$B$19:$R$41,4,0)/'4. Billing Determinants'!$E$41*$D63,IF($E63="kW",VLOOKUP(R$4,'4. Billing Determinants'!$B$19:$R$41,5,0)/'4. Billing Determinants'!$F$41*$D63,IF($E63="Non-RPP kWh",VLOOKUP(R$4,'4. Billing Determinants'!$B$19:$R$41,6,0)/'4. Billing Determinants'!$G$41*$D63,IF($E63="Distribution Rev.",VLOOKUP(R$4,'4. Billing Determinants'!$B$19:$R$41,8,0)/'4. Billing Determinants'!$I$41*$D63, VLOOKUP(R$4,'4. Billing Determinants'!$B$19:$R$41,3,0)/'4. Billing Determinants'!$D$41*$D63))))),0)</f>
        <v>0</v>
      </c>
      <c r="S63" s="40">
        <f>IFERROR(IF(S$4="",0,IF($E63="kWh",VLOOKUP(S$4,'4. Billing Determinants'!$B$19:$R$41,4,0)/'4. Billing Determinants'!$E$41*$D63,IF($E63="kW",VLOOKUP(S$4,'4. Billing Determinants'!$B$19:$R$41,5,0)/'4. Billing Determinants'!$F$41*$D63,IF($E63="Non-RPP kWh",VLOOKUP(S$4,'4. Billing Determinants'!$B$19:$R$41,6,0)/'4. Billing Determinants'!$G$41*$D63,IF($E63="Distribution Rev.",VLOOKUP(S$4,'4. Billing Determinants'!$B$19:$R$41,8,0)/'4. Billing Determinants'!$I$41*$D63, VLOOKUP(S$4,'4. Billing Determinants'!$B$19:$R$41,3,0)/'4. Billing Determinants'!$D$41*$D63))))),0)</f>
        <v>0</v>
      </c>
      <c r="T63" s="40">
        <f>IFERROR(IF(T$4="",0,IF($E63="kWh",VLOOKUP(T$4,'4. Billing Determinants'!$B$19:$R$41,4,0)/'4. Billing Determinants'!$E$41*$D63,IF($E63="kW",VLOOKUP(T$4,'4. Billing Determinants'!$B$19:$R$41,5,0)/'4. Billing Determinants'!$F$41*$D63,IF($E63="Non-RPP kWh",VLOOKUP(T$4,'4. Billing Determinants'!$B$19:$R$41,6,0)/'4. Billing Determinants'!$G$41*$D63,IF($E63="Distribution Rev.",VLOOKUP(T$4,'4. Billing Determinants'!$B$19:$R$41,8,0)/'4. Billing Determinants'!$I$41*$D63, VLOOKUP(T$4,'4. Billing Determinants'!$B$19:$R$41,3,0)/'4. Billing Determinants'!$D$41*$D63))))),0)</f>
        <v>0</v>
      </c>
      <c r="U63" s="40">
        <f>IFERROR(IF(U$4="",0,IF($E63="kWh",VLOOKUP(U$4,'4. Billing Determinants'!$B$19:$R$41,4,0)/'4. Billing Determinants'!$E$41*$D63,IF($E63="kW",VLOOKUP(U$4,'4. Billing Determinants'!$B$19:$R$41,5,0)/'4. Billing Determinants'!$F$41*$D63,IF($E63="Non-RPP kWh",VLOOKUP(U$4,'4. Billing Determinants'!$B$19:$R$41,6,0)/'4. Billing Determinants'!$G$41*$D63,IF($E63="Distribution Rev.",VLOOKUP(U$4,'4. Billing Determinants'!$B$19:$R$41,8,0)/'4. Billing Determinants'!$I$41*$D63, VLOOKUP(U$4,'4. Billing Determinants'!$B$19:$R$41,3,0)/'4. Billing Determinants'!$D$41*$D63))))),0)</f>
        <v>0</v>
      </c>
      <c r="V63" s="40">
        <f>IFERROR(IF(V$4="",0,IF($E63="kWh",VLOOKUP(V$4,'4. Billing Determinants'!$B$19:$R$41,4,0)/'4. Billing Determinants'!$E$41*$D63,IF($E63="kW",VLOOKUP(V$4,'4. Billing Determinants'!$B$19:$R$41,5,0)/'4. Billing Determinants'!$F$41*$D63,IF($E63="Non-RPP kWh",VLOOKUP(V$4,'4. Billing Determinants'!$B$19:$R$41,6,0)/'4. Billing Determinants'!$G$41*$D63,IF($E63="Distribution Rev.",VLOOKUP(V$4,'4. Billing Determinants'!$B$19:$R$41,8,0)/'4. Billing Determinants'!$I$41*$D63, VLOOKUP(V$4,'4. Billing Determinants'!$B$19:$R$41,3,0)/'4. Billing Determinants'!$D$41*$D63))))),0)</f>
        <v>0</v>
      </c>
      <c r="W63" s="40">
        <f>IFERROR(IF(W$4="",0,IF($E63="kWh",VLOOKUP(W$4,'4. Billing Determinants'!$B$19:$R$41,4,0)/'4. Billing Determinants'!$E$41*$D63,IF($E63="kW",VLOOKUP(W$4,'4. Billing Determinants'!$B$19:$R$41,5,0)/'4. Billing Determinants'!$F$41*$D63,IF($E63="Non-RPP kWh",VLOOKUP(W$4,'4. Billing Determinants'!$B$19:$R$41,6,0)/'4. Billing Determinants'!$G$41*$D63,IF($E63="Distribution Rev.",VLOOKUP(W$4,'4. Billing Determinants'!$B$19:$R$41,8,0)/'4. Billing Determinants'!$I$41*$D63, VLOOKUP(W$4,'4. Billing Determinants'!$B$19:$R$41,3,0)/'4. Billing Determinants'!$D$41*$D63))))),0)</f>
        <v>0</v>
      </c>
      <c r="X63" s="40">
        <f>IFERROR(IF(X$4="",0,IF($E63="kWh",VLOOKUP(X$4,'4. Billing Determinants'!$B$19:$R$41,4,0)/'4. Billing Determinants'!$E$41*$D63,IF($E63="kW",VLOOKUP(X$4,'4. Billing Determinants'!$B$19:$R$41,5,0)/'4. Billing Determinants'!$F$41*$D63,IF($E63="Non-RPP kWh",VLOOKUP(X$4,'4. Billing Determinants'!$B$19:$R$41,6,0)/'4. Billing Determinants'!$G$41*$D63,IF($E63="Distribution Rev.",VLOOKUP(X$4,'4. Billing Determinants'!$B$19:$R$41,8,0)/'4. Billing Determinants'!$I$41*$D63, VLOOKUP(X$4,'4. Billing Determinants'!$B$19:$R$41,3,0)/'4. Billing Determinants'!$D$41*$D63))))),0)</f>
        <v>0</v>
      </c>
      <c r="Y63" s="40">
        <f>IFERROR(IF(Y$4="",0,IF($E63="kWh",VLOOKUP(Y$4,'4. Billing Determinants'!$B$19:$R$41,4,0)/'4. Billing Determinants'!$E$41*$D63,IF($E63="kW",VLOOKUP(Y$4,'4. Billing Determinants'!$B$19:$R$41,5,0)/'4. Billing Determinants'!$F$41*$D63,IF($E63="Non-RPP kWh",VLOOKUP(Y$4,'4. Billing Determinants'!$B$19:$R$41,6,0)/'4. Billing Determinants'!$G$41*$D63,IF($E63="Distribution Rev.",VLOOKUP(Y$4,'4. Billing Determinants'!$B$19:$R$41,8,0)/'4. Billing Determinants'!$I$41*$D63, VLOOKUP(Y$4,'4. Billing Determinants'!$B$19:$R$41,3,0)/'4. Billing Determinants'!$D$41*$D63))))),0)</f>
        <v>0</v>
      </c>
    </row>
    <row r="64" spans="1:25" s="48" customFormat="1" ht="37.5" customHeight="1" x14ac:dyDescent="0.25">
      <c r="A64" s="278"/>
      <c r="B64" s="676" t="s">
        <v>451</v>
      </c>
      <c r="C64" s="677">
        <v>1555</v>
      </c>
      <c r="D64" s="678">
        <f>'2b. Continuity Schedule'!BT103</f>
        <v>0</v>
      </c>
      <c r="E64" s="679" t="s">
        <v>139</v>
      </c>
      <c r="F64" s="678">
        <f>IFERROR(IF(F$4="",0,IF($E64="kWh",VLOOKUP(F$4,'4. Billing Determinants'!$B$19:$R$41,4,0)/'4. Billing Determinants'!$E$41*$D64,IF($E64="kW",VLOOKUP(F$4,'4. Billing Determinants'!$B$19:$R$41,5,0)/'4. Billing Determinants'!$F$41*$D64,IF($E64="Non-RPP kWh",VLOOKUP(F$4,'4. Billing Determinants'!$B$19:$R$41,6,0)/'4. Billing Determinants'!$G$41*$D64,IF($E64="Distribution Rev.",VLOOKUP(F$4,'4. Billing Determinants'!$B$19:$R$41,8,0)/'4. Billing Determinants'!$I$41*$D64, VLOOKUP(F$4,'4. Billing Determinants'!$B$19:$R$41,3,0)/'4. Billing Determinants'!$D$41*$D64))))),0)</f>
        <v>0</v>
      </c>
      <c r="G64" s="678">
        <f>IFERROR(IF(G$4="",0,IF($E64="kWh",VLOOKUP(G$4,'4. Billing Determinants'!$B$19:$R$41,4,0)/'4. Billing Determinants'!$E$41*$D64,IF($E64="kW",VLOOKUP(G$4,'4. Billing Determinants'!$B$19:$R$41,5,0)/'4. Billing Determinants'!$F$41*$D64,IF($E64="Non-RPP kWh",VLOOKUP(G$4,'4. Billing Determinants'!$B$19:$R$41,6,0)/'4. Billing Determinants'!$G$41*$D64,IF($E64="Distribution Rev.",VLOOKUP(G$4,'4. Billing Determinants'!$B$19:$R$41,8,0)/'4. Billing Determinants'!$I$41*$D64, VLOOKUP(G$4,'4. Billing Determinants'!$B$19:$R$41,3,0)/'4. Billing Determinants'!$D$41*$D64))))),0)</f>
        <v>0</v>
      </c>
      <c r="H64" s="678">
        <f>IFERROR(IF(H$4="",0,IF($E64="kWh",VLOOKUP(H$4,'4. Billing Determinants'!$B$19:$R$41,4,0)/'4. Billing Determinants'!$E$41*$D64,IF($E64="kW",VLOOKUP(H$4,'4. Billing Determinants'!$B$19:$R$41,5,0)/'4. Billing Determinants'!$F$41*$D64,IF($E64="Non-RPP kWh",VLOOKUP(H$4,'4. Billing Determinants'!$B$19:$R$41,6,0)/'4. Billing Determinants'!$G$41*$D64,IF($E64="Distribution Rev.",VLOOKUP(H$4,'4. Billing Determinants'!$B$19:$R$41,8,0)/'4. Billing Determinants'!$I$41*$D64, VLOOKUP(H$4,'4. Billing Determinants'!$B$19:$R$41,3,0)/'4. Billing Determinants'!$D$41*$D64))))),0)</f>
        <v>0</v>
      </c>
      <c r="I64" s="678">
        <f>IFERROR(IF(I$4="",0,IF($E64="kWh",VLOOKUP(I$4,'4. Billing Determinants'!$B$19:$R$41,4,0)/'4. Billing Determinants'!$E$41*$D64,IF($E64="kW",VLOOKUP(I$4,'4. Billing Determinants'!$B$19:$R$41,5,0)/'4. Billing Determinants'!$F$41*$D64,IF($E64="Non-RPP kWh",VLOOKUP(I$4,'4. Billing Determinants'!$B$19:$R$41,6,0)/'4. Billing Determinants'!$G$41*$D64,IF($E64="Distribution Rev.",VLOOKUP(I$4,'4. Billing Determinants'!$B$19:$R$41,8,0)/'4. Billing Determinants'!$I$41*$D64, VLOOKUP(I$4,'4. Billing Determinants'!$B$19:$R$41,3,0)/'4. Billing Determinants'!$D$41*$D64))))),0)</f>
        <v>0</v>
      </c>
      <c r="J64" s="678">
        <f>IFERROR(IF(J$4="",0,IF($E64="kWh",VLOOKUP(J$4,'4. Billing Determinants'!$B$19:$R$41,4,0)/'4. Billing Determinants'!$E$41*$D64,IF($E64="kW",VLOOKUP(J$4,'4. Billing Determinants'!$B$19:$R$41,5,0)/'4. Billing Determinants'!$F$41*$D64,IF($E64="Non-RPP kWh",VLOOKUP(J$4,'4. Billing Determinants'!$B$19:$R$41,6,0)/'4. Billing Determinants'!$G$41*$D64,IF($E64="Distribution Rev.",VLOOKUP(J$4,'4. Billing Determinants'!$B$19:$R$41,8,0)/'4. Billing Determinants'!$I$41*$D64, VLOOKUP(J$4,'4. Billing Determinants'!$B$19:$R$41,3,0)/'4. Billing Determinants'!$D$41*$D64))))),0)</f>
        <v>0</v>
      </c>
      <c r="K64" s="678">
        <f>IFERROR(IF(K$4="",0,IF($E64="kWh",VLOOKUP(K$4,'4. Billing Determinants'!$B$19:$R$41,4,0)/'4. Billing Determinants'!$E$41*$D64,IF($E64="kW",VLOOKUP(K$4,'4. Billing Determinants'!$B$19:$R$41,5,0)/'4. Billing Determinants'!$F$41*$D64,IF($E64="Non-RPP kWh",VLOOKUP(K$4,'4. Billing Determinants'!$B$19:$R$41,6,0)/'4. Billing Determinants'!$G$41*$D64,IF($E64="Distribution Rev.",VLOOKUP(K$4,'4. Billing Determinants'!$B$19:$R$41,8,0)/'4. Billing Determinants'!$I$41*$D64, VLOOKUP(K$4,'4. Billing Determinants'!$B$19:$R$41,3,0)/'4. Billing Determinants'!$D$41*$D64))))),0)</f>
        <v>0</v>
      </c>
      <c r="L64" s="678">
        <f>IFERROR(IF(L$4="",0,IF($E64="kWh",VLOOKUP(L$4,'4. Billing Determinants'!$B$19:$R$41,4,0)/'4. Billing Determinants'!$E$41*$D64,IF($E64="kW",VLOOKUP(L$4,'4. Billing Determinants'!$B$19:$R$41,5,0)/'4. Billing Determinants'!$F$41*$D64,IF($E64="Non-RPP kWh",VLOOKUP(L$4,'4. Billing Determinants'!$B$19:$R$41,6,0)/'4. Billing Determinants'!$G$41*$D64,IF($E64="Distribution Rev.",VLOOKUP(L$4,'4. Billing Determinants'!$B$19:$R$41,8,0)/'4. Billing Determinants'!$I$41*$D64, VLOOKUP(L$4,'4. Billing Determinants'!$B$19:$R$41,3,0)/'4. Billing Determinants'!$D$41*$D64))))),0)</f>
        <v>0</v>
      </c>
      <c r="M64" s="678">
        <f>IFERROR(IF(M$4="",0,IF($E64="kWh",VLOOKUP(M$4,'4. Billing Determinants'!$B$19:$R$41,4,0)/'4. Billing Determinants'!$E$41*$D64,IF($E64="kW",VLOOKUP(M$4,'4. Billing Determinants'!$B$19:$R$41,5,0)/'4. Billing Determinants'!$F$41*$D64,IF($E64="Non-RPP kWh",VLOOKUP(M$4,'4. Billing Determinants'!$B$19:$R$41,6,0)/'4. Billing Determinants'!$G$41*$D64,IF($E64="Distribution Rev.",VLOOKUP(M$4,'4. Billing Determinants'!$B$19:$R$41,8,0)/'4. Billing Determinants'!$I$41*$D64, VLOOKUP(M$4,'4. Billing Determinants'!$B$19:$R$41,3,0)/'4. Billing Determinants'!$D$41*$D64))))),0)</f>
        <v>0</v>
      </c>
      <c r="N64" s="678">
        <f>IFERROR(IF(N$4="",0,IF($E64="kWh",VLOOKUP(N$4,'4. Billing Determinants'!$B$19:$R$41,4,0)/'4. Billing Determinants'!$E$41*$D64,IF($E64="kW",VLOOKUP(N$4,'4. Billing Determinants'!$B$19:$R$41,5,0)/'4. Billing Determinants'!$F$41*$D64,IF($E64="Non-RPP kWh",VLOOKUP(N$4,'4. Billing Determinants'!$B$19:$R$41,6,0)/'4. Billing Determinants'!$G$41*$D64,IF($E64="Distribution Rev.",VLOOKUP(N$4,'4. Billing Determinants'!$B$19:$R$41,8,0)/'4. Billing Determinants'!$I$41*$D64, VLOOKUP(N$4,'4. Billing Determinants'!$B$19:$R$41,3,0)/'4. Billing Determinants'!$D$41*$D64))))),0)</f>
        <v>0</v>
      </c>
      <c r="O64" s="678">
        <f>IFERROR(IF(O$4="",0,IF($E64="kWh",VLOOKUP(O$4,'4. Billing Determinants'!$B$19:$R$41,4,0)/'4. Billing Determinants'!$E$41*$D64,IF($E64="kW",VLOOKUP(O$4,'4. Billing Determinants'!$B$19:$R$41,5,0)/'4. Billing Determinants'!$F$41*$D64,IF($E64="Non-RPP kWh",VLOOKUP(O$4,'4. Billing Determinants'!$B$19:$R$41,6,0)/'4. Billing Determinants'!$G$41*$D64,IF($E64="Distribution Rev.",VLOOKUP(O$4,'4. Billing Determinants'!$B$19:$R$41,8,0)/'4. Billing Determinants'!$I$41*$D64, VLOOKUP(O$4,'4. Billing Determinants'!$B$19:$R$41,3,0)/'4. Billing Determinants'!$D$41*$D64))))),0)</f>
        <v>0</v>
      </c>
      <c r="P64" s="678">
        <f>IFERROR(IF(P$4="",0,IF($E64="kWh",VLOOKUP(P$4,'4. Billing Determinants'!$B$19:$R$41,4,0)/'4. Billing Determinants'!$E$41*$D64,IF($E64="kW",VLOOKUP(P$4,'4. Billing Determinants'!$B$19:$R$41,5,0)/'4. Billing Determinants'!$F$41*$D64,IF($E64="Non-RPP kWh",VLOOKUP(P$4,'4. Billing Determinants'!$B$19:$R$41,6,0)/'4. Billing Determinants'!$G$41*$D64,IF($E64="Distribution Rev.",VLOOKUP(P$4,'4. Billing Determinants'!$B$19:$R$41,8,0)/'4. Billing Determinants'!$I$41*$D64, VLOOKUP(P$4,'4. Billing Determinants'!$B$19:$R$41,3,0)/'4. Billing Determinants'!$D$41*$D64))))),0)</f>
        <v>0</v>
      </c>
      <c r="Q64" s="40">
        <f>IFERROR(IF(Q$4="",0,IF($E64="kWh",VLOOKUP(Q$4,'4. Billing Determinants'!$B$19:$R$41,4,0)/'4. Billing Determinants'!$E$41*$D64,IF($E64="kW",VLOOKUP(Q$4,'4. Billing Determinants'!$B$19:$R$41,5,0)/'4. Billing Determinants'!$F$41*$D64,IF($E64="Non-RPP kWh",VLOOKUP(Q$4,'4. Billing Determinants'!$B$19:$R$41,6,0)/'4. Billing Determinants'!$G$41*$D64,IF($E64="Distribution Rev.",VLOOKUP(Q$4,'4. Billing Determinants'!$B$19:$R$41,8,0)/'4. Billing Determinants'!$I$41*$D64, VLOOKUP(Q$4,'4. Billing Determinants'!$B$19:$R$41,3,0)/'4. Billing Determinants'!$D$41*$D64))))),0)</f>
        <v>0</v>
      </c>
      <c r="R64" s="40">
        <f>IFERROR(IF(R$4="",0,IF($E64="kWh",VLOOKUP(R$4,'4. Billing Determinants'!$B$19:$R$41,4,0)/'4. Billing Determinants'!$E$41*$D64,IF($E64="kW",VLOOKUP(R$4,'4. Billing Determinants'!$B$19:$R$41,5,0)/'4. Billing Determinants'!$F$41*$D64,IF($E64="Non-RPP kWh",VLOOKUP(R$4,'4. Billing Determinants'!$B$19:$R$41,6,0)/'4. Billing Determinants'!$G$41*$D64,IF($E64="Distribution Rev.",VLOOKUP(R$4,'4. Billing Determinants'!$B$19:$R$41,8,0)/'4. Billing Determinants'!$I$41*$D64, VLOOKUP(R$4,'4. Billing Determinants'!$B$19:$R$41,3,0)/'4. Billing Determinants'!$D$41*$D64))))),0)</f>
        <v>0</v>
      </c>
      <c r="S64" s="40">
        <f>IFERROR(IF(S$4="",0,IF($E64="kWh",VLOOKUP(S$4,'4. Billing Determinants'!$B$19:$R$41,4,0)/'4. Billing Determinants'!$E$41*$D64,IF($E64="kW",VLOOKUP(S$4,'4. Billing Determinants'!$B$19:$R$41,5,0)/'4. Billing Determinants'!$F$41*$D64,IF($E64="Non-RPP kWh",VLOOKUP(S$4,'4. Billing Determinants'!$B$19:$R$41,6,0)/'4. Billing Determinants'!$G$41*$D64,IF($E64="Distribution Rev.",VLOOKUP(S$4,'4. Billing Determinants'!$B$19:$R$41,8,0)/'4. Billing Determinants'!$I$41*$D64, VLOOKUP(S$4,'4. Billing Determinants'!$B$19:$R$41,3,0)/'4. Billing Determinants'!$D$41*$D64))))),0)</f>
        <v>0</v>
      </c>
      <c r="T64" s="40">
        <f>IFERROR(IF(T$4="",0,IF($E64="kWh",VLOOKUP(T$4,'4. Billing Determinants'!$B$19:$R$41,4,0)/'4. Billing Determinants'!$E$41*$D64,IF($E64="kW",VLOOKUP(T$4,'4. Billing Determinants'!$B$19:$R$41,5,0)/'4. Billing Determinants'!$F$41*$D64,IF($E64="Non-RPP kWh",VLOOKUP(T$4,'4. Billing Determinants'!$B$19:$R$41,6,0)/'4. Billing Determinants'!$G$41*$D64,IF($E64="Distribution Rev.",VLOOKUP(T$4,'4. Billing Determinants'!$B$19:$R$41,8,0)/'4. Billing Determinants'!$I$41*$D64, VLOOKUP(T$4,'4. Billing Determinants'!$B$19:$R$41,3,0)/'4. Billing Determinants'!$D$41*$D64))))),0)</f>
        <v>0</v>
      </c>
      <c r="U64" s="40">
        <f>IFERROR(IF(U$4="",0,IF($E64="kWh",VLOOKUP(U$4,'4. Billing Determinants'!$B$19:$R$41,4,0)/'4. Billing Determinants'!$E$41*$D64,IF($E64="kW",VLOOKUP(U$4,'4. Billing Determinants'!$B$19:$R$41,5,0)/'4. Billing Determinants'!$F$41*$D64,IF($E64="Non-RPP kWh",VLOOKUP(U$4,'4. Billing Determinants'!$B$19:$R$41,6,0)/'4. Billing Determinants'!$G$41*$D64,IF($E64="Distribution Rev.",VLOOKUP(U$4,'4. Billing Determinants'!$B$19:$R$41,8,0)/'4. Billing Determinants'!$I$41*$D64, VLOOKUP(U$4,'4. Billing Determinants'!$B$19:$R$41,3,0)/'4. Billing Determinants'!$D$41*$D64))))),0)</f>
        <v>0</v>
      </c>
      <c r="V64" s="40">
        <f>IFERROR(IF(V$4="",0,IF($E64="kWh",VLOOKUP(V$4,'4. Billing Determinants'!$B$19:$R$41,4,0)/'4. Billing Determinants'!$E$41*$D64,IF($E64="kW",VLOOKUP(V$4,'4. Billing Determinants'!$B$19:$R$41,5,0)/'4. Billing Determinants'!$F$41*$D64,IF($E64="Non-RPP kWh",VLOOKUP(V$4,'4. Billing Determinants'!$B$19:$R$41,6,0)/'4. Billing Determinants'!$G$41*$D64,IF($E64="Distribution Rev.",VLOOKUP(V$4,'4. Billing Determinants'!$B$19:$R$41,8,0)/'4. Billing Determinants'!$I$41*$D64, VLOOKUP(V$4,'4. Billing Determinants'!$B$19:$R$41,3,0)/'4. Billing Determinants'!$D$41*$D64))))),0)</f>
        <v>0</v>
      </c>
      <c r="W64" s="40">
        <f>IFERROR(IF(W$4="",0,IF($E64="kWh",VLOOKUP(W$4,'4. Billing Determinants'!$B$19:$R$41,4,0)/'4. Billing Determinants'!$E$41*$D64,IF($E64="kW",VLOOKUP(W$4,'4. Billing Determinants'!$B$19:$R$41,5,0)/'4. Billing Determinants'!$F$41*$D64,IF($E64="Non-RPP kWh",VLOOKUP(W$4,'4. Billing Determinants'!$B$19:$R$41,6,0)/'4. Billing Determinants'!$G$41*$D64,IF($E64="Distribution Rev.",VLOOKUP(W$4,'4. Billing Determinants'!$B$19:$R$41,8,0)/'4. Billing Determinants'!$I$41*$D64, VLOOKUP(W$4,'4. Billing Determinants'!$B$19:$R$41,3,0)/'4. Billing Determinants'!$D$41*$D64))))),0)</f>
        <v>0</v>
      </c>
      <c r="X64" s="40">
        <f>IFERROR(IF(X$4="",0,IF($E64="kWh",VLOOKUP(X$4,'4. Billing Determinants'!$B$19:$R$41,4,0)/'4. Billing Determinants'!$E$41*$D64,IF($E64="kW",VLOOKUP(X$4,'4. Billing Determinants'!$B$19:$R$41,5,0)/'4. Billing Determinants'!$F$41*$D64,IF($E64="Non-RPP kWh",VLOOKUP(X$4,'4. Billing Determinants'!$B$19:$R$41,6,0)/'4. Billing Determinants'!$G$41*$D64,IF($E64="Distribution Rev.",VLOOKUP(X$4,'4. Billing Determinants'!$B$19:$R$41,8,0)/'4. Billing Determinants'!$I$41*$D64, VLOOKUP(X$4,'4. Billing Determinants'!$B$19:$R$41,3,0)/'4. Billing Determinants'!$D$41*$D64))))),0)</f>
        <v>0</v>
      </c>
      <c r="Y64" s="40">
        <f>IFERROR(IF(Y$4="",0,IF($E64="kWh",VLOOKUP(Y$4,'4. Billing Determinants'!$B$19:$R$41,4,0)/'4. Billing Determinants'!$E$41*$D64,IF($E64="kW",VLOOKUP(Y$4,'4. Billing Determinants'!$B$19:$R$41,5,0)/'4. Billing Determinants'!$F$41*$D64,IF($E64="Non-RPP kWh",VLOOKUP(Y$4,'4. Billing Determinants'!$B$19:$R$41,6,0)/'4. Billing Determinants'!$G$41*$D64,IF($E64="Distribution Rev.",VLOOKUP(Y$4,'4. Billing Determinants'!$B$19:$R$41,8,0)/'4. Billing Determinants'!$I$41*$D64, VLOOKUP(Y$4,'4. Billing Determinants'!$B$19:$R$41,3,0)/'4. Billing Determinants'!$D$41*$D64))))),0)</f>
        <v>0</v>
      </c>
    </row>
    <row r="65" spans="1:25" s="712" customFormat="1" ht="12" customHeight="1" x14ac:dyDescent="0.3">
      <c r="A65" s="712">
        <v>41</v>
      </c>
      <c r="B65" s="713" t="s">
        <v>450</v>
      </c>
      <c r="C65" s="714">
        <v>1580</v>
      </c>
      <c r="D65" s="715">
        <f>IF('1. Information Sheet'!L61="Yes",'6.2a CBR B_Allocation'!C29,0)</f>
        <v>3039929.7146033761</v>
      </c>
      <c r="E65" s="716" t="s">
        <v>139</v>
      </c>
      <c r="F65" s="715">
        <f>IFERROR(VLOOKUP(F$4,'6.2 CBR B'!$A$17:$K$36,11,FALSE)*'6.2a CBR B_Allocation'!$C$29,0)</f>
        <v>855915.24098585907</v>
      </c>
      <c r="G65" s="715">
        <f>IFERROR(VLOOKUP(G$4,'6.2 CBR B'!$A$17:$K$36,11,FALSE)*'6.2a CBR B_Allocation'!$C$29,0)</f>
        <v>60275.990107010017</v>
      </c>
      <c r="H65" s="715">
        <f>IFERROR(VLOOKUP(H$4,'6.2 CBR B'!$A$17:$K$36,11,FALSE)*'6.2a CBR B_Allocation'!$C$29,0)</f>
        <v>416310.46530162031</v>
      </c>
      <c r="I65" s="715">
        <f>IFERROR(VLOOKUP(I$4,'6.2 CBR B'!$A$17:$K$36,11,FALSE)*'6.2a CBR B_Allocation'!$C$29,0)</f>
        <v>1043908.3145099716</v>
      </c>
      <c r="J65" s="715">
        <f>IFERROR(VLOOKUP(J$4,'6.2 CBR B'!$A$17:$K$36,11,FALSE)*'6.2a CBR B_Allocation'!$C$29,0)</f>
        <v>584872.36116409057</v>
      </c>
      <c r="K65" s="715">
        <f>IFERROR(VLOOKUP(K$4,'6.2 CBR B'!$A$17:$K$36,11,FALSE)*'6.2a CBR B_Allocation'!$C$29,0)</f>
        <v>50382.826917044171</v>
      </c>
      <c r="L65" s="715">
        <f>IFERROR(VLOOKUP(L$4,'6.2 CBR B'!$A$17:$K$36,11,FALSE)*'6.2a CBR B_Allocation'!$C$29,0)</f>
        <v>20843.181501059757</v>
      </c>
      <c r="M65" s="715">
        <f>IFERROR(VLOOKUP(M$4,'6.2 CBR B'!$A$17:$K$36,11,FALSE)*'6.2a CBR B_Allocation'!$C$29,0)</f>
        <v>7421.3341167204417</v>
      </c>
      <c r="N65" s="715">
        <f>IFERROR(VLOOKUP(N$4,'6.2 CBR B'!$A$17:$K$36,11,FALSE)*'6.2a CBR B_Allocation'!$C$29,0)</f>
        <v>0</v>
      </c>
      <c r="O65" s="715">
        <f>IFERROR(VLOOKUP(O$4,'6.2 CBR B'!$A$17:$K$36,11,FALSE)*'6.2a CBR B_Allocation'!$C$29,0)</f>
        <v>0</v>
      </c>
      <c r="P65" s="715">
        <f>IFERROR(VLOOKUP(P$4,'6.2 CBR B'!$A$17:$K$36,11,FALSE)*'6.2a CBR B_Allocation'!$C$29,0)</f>
        <v>0</v>
      </c>
      <c r="Q65" s="553">
        <f>IFERROR(VLOOKUP(Q$4,'6.2 CBR B'!$A$17:$K$36,11,FALSE)*'6.2a CBR B_Allocation'!$C$29,0)</f>
        <v>0</v>
      </c>
      <c r="R65" s="553">
        <f>IFERROR(VLOOKUP(R$4,'6.2 CBR B'!$A$17:$K$36,11,FALSE)*'6.2a CBR B_Allocation'!$C$29,0)</f>
        <v>0</v>
      </c>
      <c r="S65" s="553">
        <f>IFERROR(VLOOKUP(S$4,'6.2 CBR B'!$A$17:$K$36,11,FALSE)*'6.2a CBR B_Allocation'!$C$29,0)</f>
        <v>0</v>
      </c>
      <c r="T65" s="553">
        <f>IFERROR(VLOOKUP(T$4,'6.2 CBR B'!$A$17:$K$36,11,FALSE)*'6.2a CBR B_Allocation'!$C$29,0)</f>
        <v>0</v>
      </c>
      <c r="U65" s="553">
        <f>IFERROR(VLOOKUP(U$4,'6.2 CBR B'!$A$17:$K$36,11,FALSE)*'6.2a CBR B_Allocation'!$C$29,0)</f>
        <v>0</v>
      </c>
      <c r="V65" s="553">
        <f>IFERROR(VLOOKUP(V$4,'6.2 CBR B'!$A$17:$K$36,11,FALSE)*'6.2a CBR B_Allocation'!$C$29,0)</f>
        <v>0</v>
      </c>
      <c r="W65" s="553">
        <f>IFERROR(VLOOKUP(W$4,'6.2 CBR B'!$A$17:$K$36,11,FALSE)*'6.2a CBR B_Allocation'!$C$29,0)</f>
        <v>0</v>
      </c>
      <c r="X65" s="553">
        <f>IFERROR(VLOOKUP(X$4,'6.2 CBR B'!$A$17:$K$36,11,FALSE)*'6.2a CBR B_Allocation'!$C$29,0)</f>
        <v>0</v>
      </c>
      <c r="Y65" s="553">
        <f>IFERROR(VLOOKUP(Y$4,'6.2 CBR B'!$A$17:$K$36,11,FALSE)*'6.2a CBR B_Allocation'!$C$29,0)</f>
        <v>0</v>
      </c>
    </row>
    <row r="66" spans="1:25" s="48" customFormat="1" x14ac:dyDescent="0.25">
      <c r="A66" s="122">
        <v>42</v>
      </c>
      <c r="B66" s="710"/>
      <c r="C66" s="710"/>
      <c r="D66" s="711"/>
      <c r="E66" s="711"/>
      <c r="F66" s="711"/>
      <c r="G66" s="711"/>
      <c r="H66" s="711"/>
      <c r="I66" s="711"/>
      <c r="J66" s="711"/>
      <c r="K66" s="711"/>
      <c r="L66" s="711"/>
      <c r="M66" s="711"/>
      <c r="N66" s="711"/>
      <c r="O66" s="711"/>
      <c r="P66" s="711"/>
      <c r="Q66" s="711"/>
      <c r="R66" s="711"/>
      <c r="S66" s="711"/>
      <c r="T66" s="711"/>
      <c r="U66" s="711"/>
      <c r="V66" s="711"/>
      <c r="W66" s="711"/>
      <c r="X66" s="711"/>
      <c r="Y66" s="711"/>
    </row>
    <row r="67" spans="1:25" s="556" customFormat="1" ht="13" x14ac:dyDescent="0.25">
      <c r="A67" s="555">
        <v>43</v>
      </c>
      <c r="B67" s="1195" t="s">
        <v>147</v>
      </c>
      <c r="C67" s="1195"/>
      <c r="D67" s="553">
        <f>SUM(F67:Y67)</f>
        <v>43769885.526918724</v>
      </c>
      <c r="E67" s="552"/>
      <c r="F67" s="553">
        <f>SUM(F5,F6,F8,F9,F12:F19)</f>
        <v>8331074.0091093211</v>
      </c>
      <c r="G67" s="553">
        <f>SUM(G5,G6,G8,G9,G12:G19)</f>
        <v>479886.11959913722</v>
      </c>
      <c r="H67" s="553">
        <f t="shared" ref="H67:Y67" si="3">SUM(H5,H6,H8,H9,H12:H19)</f>
        <v>4503865.3155971244</v>
      </c>
      <c r="I67" s="553">
        <f t="shared" si="3"/>
        <v>18725309.511485957</v>
      </c>
      <c r="J67" s="553">
        <f t="shared" si="3"/>
        <v>7879802.0454135928</v>
      </c>
      <c r="K67" s="553">
        <f t="shared" si="3"/>
        <v>3534399.902929985</v>
      </c>
      <c r="L67" s="553">
        <f t="shared" si="3"/>
        <v>232695.91122767457</v>
      </c>
      <c r="M67" s="553">
        <f t="shared" si="3"/>
        <v>82852.711555934453</v>
      </c>
      <c r="N67" s="553">
        <f t="shared" si="3"/>
        <v>0</v>
      </c>
      <c r="O67" s="553">
        <f t="shared" si="3"/>
        <v>0</v>
      </c>
      <c r="P67" s="553">
        <f t="shared" si="3"/>
        <v>0</v>
      </c>
      <c r="Q67" s="553">
        <f t="shared" si="3"/>
        <v>0</v>
      </c>
      <c r="R67" s="553">
        <f t="shared" si="3"/>
        <v>0</v>
      </c>
      <c r="S67" s="553">
        <f t="shared" si="3"/>
        <v>0</v>
      </c>
      <c r="T67" s="553">
        <f t="shared" si="3"/>
        <v>0</v>
      </c>
      <c r="U67" s="553">
        <f t="shared" si="3"/>
        <v>0</v>
      </c>
      <c r="V67" s="553">
        <f t="shared" si="3"/>
        <v>0</v>
      </c>
      <c r="W67" s="553">
        <f t="shared" si="3"/>
        <v>0</v>
      </c>
      <c r="X67" s="553">
        <f t="shared" si="3"/>
        <v>0</v>
      </c>
      <c r="Y67" s="553">
        <f t="shared" si="3"/>
        <v>0</v>
      </c>
    </row>
    <row r="68" spans="1:25" s="556" customFormat="1" ht="13" x14ac:dyDescent="0.25">
      <c r="A68" s="556">
        <v>44</v>
      </c>
      <c r="B68" s="1195" t="s">
        <v>149</v>
      </c>
      <c r="C68" s="1195"/>
      <c r="D68" s="553">
        <f>SUM(F68:Y68)</f>
        <v>13604346.686545953</v>
      </c>
      <c r="E68" s="553"/>
      <c r="F68" s="553">
        <f t="shared" ref="F68:Y68" si="4">SUM(F7,F10)</f>
        <v>2902039.4951379746</v>
      </c>
      <c r="G68" s="553">
        <f t="shared" si="4"/>
        <v>204369.89029148378</v>
      </c>
      <c r="H68" s="553">
        <f t="shared" si="4"/>
        <v>1411680.012778894</v>
      </c>
      <c r="I68" s="553">
        <f t="shared" si="4"/>
        <v>5657438.0005254578</v>
      </c>
      <c r="J68" s="553">
        <f t="shared" si="4"/>
        <v>2393097.5842117323</v>
      </c>
      <c r="K68" s="553">
        <f>SUM(K7,K10)</f>
        <v>939888.91934099561</v>
      </c>
      <c r="L68" s="553">
        <f t="shared" si="4"/>
        <v>70670.240491025397</v>
      </c>
      <c r="M68" s="553">
        <f t="shared" si="4"/>
        <v>25162.543768388678</v>
      </c>
      <c r="N68" s="553">
        <f t="shared" si="4"/>
        <v>0</v>
      </c>
      <c r="O68" s="553">
        <f t="shared" si="4"/>
        <v>0</v>
      </c>
      <c r="P68" s="553">
        <f t="shared" si="4"/>
        <v>0</v>
      </c>
      <c r="Q68" s="553">
        <f t="shared" si="4"/>
        <v>0</v>
      </c>
      <c r="R68" s="553">
        <f t="shared" si="4"/>
        <v>0</v>
      </c>
      <c r="S68" s="553">
        <f t="shared" si="4"/>
        <v>0</v>
      </c>
      <c r="T68" s="553">
        <f t="shared" si="4"/>
        <v>0</v>
      </c>
      <c r="U68" s="553">
        <f t="shared" si="4"/>
        <v>0</v>
      </c>
      <c r="V68" s="553">
        <f t="shared" si="4"/>
        <v>0</v>
      </c>
      <c r="W68" s="553">
        <f t="shared" si="4"/>
        <v>0</v>
      </c>
      <c r="X68" s="553">
        <f t="shared" si="4"/>
        <v>0</v>
      </c>
      <c r="Y68" s="553">
        <f t="shared" si="4"/>
        <v>0</v>
      </c>
    </row>
    <row r="69" spans="1:25" s="555" customFormat="1" ht="13" x14ac:dyDescent="0.25">
      <c r="A69" s="555">
        <v>45</v>
      </c>
      <c r="B69" s="1195" t="s">
        <v>2868</v>
      </c>
      <c r="C69" s="1195"/>
      <c r="D69" s="553">
        <f>SUM(F69:Y69)</f>
        <v>8091523.7344238879</v>
      </c>
      <c r="E69" s="553"/>
      <c r="F69" s="553">
        <f t="shared" ref="F69:Y69" si="5">F11</f>
        <v>59577.825387000106</v>
      </c>
      <c r="G69" s="553">
        <f t="shared" si="5"/>
        <v>316.20924329903949</v>
      </c>
      <c r="H69" s="553">
        <f t="shared" si="5"/>
        <v>393037.65606177959</v>
      </c>
      <c r="I69" s="553">
        <f t="shared" si="5"/>
        <v>3418639.3426829297</v>
      </c>
      <c r="J69" s="553">
        <f t="shared" si="5"/>
        <v>3992555.0771791223</v>
      </c>
      <c r="K69" s="553">
        <f t="shared" si="5"/>
        <v>78553.960900172329</v>
      </c>
      <c r="L69" s="553">
        <f t="shared" si="5"/>
        <v>148789.41998583305</v>
      </c>
      <c r="M69" s="553">
        <f t="shared" si="5"/>
        <v>54.24298375214542</v>
      </c>
      <c r="N69" s="553">
        <f t="shared" si="5"/>
        <v>0</v>
      </c>
      <c r="O69" s="553">
        <f t="shared" si="5"/>
        <v>0</v>
      </c>
      <c r="P69" s="553">
        <f t="shared" si="5"/>
        <v>0</v>
      </c>
      <c r="Q69" s="553">
        <f t="shared" si="5"/>
        <v>0</v>
      </c>
      <c r="R69" s="553">
        <f t="shared" si="5"/>
        <v>0</v>
      </c>
      <c r="S69" s="553">
        <f t="shared" si="5"/>
        <v>0</v>
      </c>
      <c r="T69" s="553">
        <f t="shared" si="5"/>
        <v>0</v>
      </c>
      <c r="U69" s="553">
        <f t="shared" si="5"/>
        <v>0</v>
      </c>
      <c r="V69" s="553">
        <f t="shared" si="5"/>
        <v>0</v>
      </c>
      <c r="W69" s="553">
        <f t="shared" si="5"/>
        <v>0</v>
      </c>
      <c r="X69" s="553">
        <f t="shared" si="5"/>
        <v>0</v>
      </c>
      <c r="Y69" s="553">
        <f t="shared" si="5"/>
        <v>0</v>
      </c>
    </row>
    <row r="70" spans="1:25" s="48" customFormat="1" x14ac:dyDescent="0.25">
      <c r="A70" s="122">
        <v>46</v>
      </c>
      <c r="D70" s="46"/>
      <c r="E70" s="46"/>
      <c r="F70" s="46"/>
      <c r="G70" s="46"/>
      <c r="H70" s="46"/>
      <c r="I70" s="46"/>
      <c r="J70" s="46"/>
      <c r="K70" s="46"/>
      <c r="L70" s="46"/>
      <c r="M70" s="46"/>
      <c r="N70" s="46"/>
      <c r="O70" s="46"/>
      <c r="P70" s="46"/>
      <c r="Q70" s="46"/>
      <c r="R70" s="46"/>
      <c r="S70" s="46"/>
      <c r="T70" s="46"/>
      <c r="U70" s="46"/>
      <c r="V70" s="46"/>
      <c r="W70" s="46"/>
      <c r="X70" s="46"/>
      <c r="Y70" s="46"/>
    </row>
    <row r="71" spans="1:25" s="272" customFormat="1" ht="13" hidden="1" x14ac:dyDescent="0.25">
      <c r="A71" s="122">
        <v>47</v>
      </c>
      <c r="B71" s="1196" t="s">
        <v>152</v>
      </c>
      <c r="C71" s="1196"/>
      <c r="D71" s="273">
        <f>SUM(F71:Y71)</f>
        <v>0</v>
      </c>
      <c r="E71" s="273"/>
      <c r="F71" s="273">
        <f>'4. Billing Determinants'!$N21*'2b. Continuity Schedule'!$BT$45</f>
        <v>0</v>
      </c>
      <c r="G71" s="273">
        <f>'4. Billing Determinants'!$N22*'2b. Continuity Schedule'!$BT$45</f>
        <v>0</v>
      </c>
      <c r="H71" s="273">
        <f>'4. Billing Determinants'!$N23*'2b. Continuity Schedule'!$BT$45</f>
        <v>0</v>
      </c>
      <c r="I71" s="273">
        <f>'4. Billing Determinants'!$N24*'2b. Continuity Schedule'!$BT$45</f>
        <v>0</v>
      </c>
      <c r="J71" s="273">
        <f>'4. Billing Determinants'!$N25*'2b. Continuity Schedule'!$BT$45</f>
        <v>0</v>
      </c>
      <c r="K71" s="273">
        <f>'4. Billing Determinants'!$N26*'2b. Continuity Schedule'!$BT$45</f>
        <v>0</v>
      </c>
      <c r="L71" s="273">
        <f>'4. Billing Determinants'!$N27*'2b. Continuity Schedule'!$BT$45</f>
        <v>0</v>
      </c>
      <c r="M71" s="273">
        <f>'4. Billing Determinants'!$N28*'2b. Continuity Schedule'!$BT$45</f>
        <v>0</v>
      </c>
      <c r="N71" s="273">
        <f>'4. Billing Determinants'!$N29*'2b. Continuity Schedule'!$BT$45</f>
        <v>0</v>
      </c>
      <c r="O71" s="273">
        <f>'4. Billing Determinants'!$N30*'2b. Continuity Schedule'!$BT$45</f>
        <v>0</v>
      </c>
      <c r="P71" s="273">
        <f>'4. Billing Determinants'!$N31*'2b. Continuity Schedule'!$BT$45</f>
        <v>0</v>
      </c>
      <c r="Q71" s="273">
        <f>'4. Billing Determinants'!$N32*'2b. Continuity Schedule'!$BT$45</f>
        <v>0</v>
      </c>
      <c r="R71" s="273">
        <f>'4. Billing Determinants'!$N33*'2b. Continuity Schedule'!$BT$45</f>
        <v>0</v>
      </c>
      <c r="S71" s="273">
        <f>'4. Billing Determinants'!$N34*'2b. Continuity Schedule'!$BT$45</f>
        <v>0</v>
      </c>
      <c r="T71" s="273">
        <f>'4. Billing Determinants'!$N35*'2b. Continuity Schedule'!$BT$45</f>
        <v>0</v>
      </c>
      <c r="U71" s="273">
        <f>'4. Billing Determinants'!$N36*'2b. Continuity Schedule'!$BT$45</f>
        <v>0</v>
      </c>
      <c r="V71" s="273">
        <f>'4. Billing Determinants'!$N37*'2b. Continuity Schedule'!$BT$45</f>
        <v>0</v>
      </c>
      <c r="W71" s="273">
        <f>'4. Billing Determinants'!$N38*'2b. Continuity Schedule'!$BT$45</f>
        <v>0</v>
      </c>
      <c r="X71" s="273">
        <f>'4. Billing Determinants'!$N39*'2b. Continuity Schedule'!$BT$45</f>
        <v>0</v>
      </c>
      <c r="Y71" s="273">
        <f>'4. Billing Determinants'!$N40*'2b. Continuity Schedule'!$BT$45</f>
        <v>0</v>
      </c>
    </row>
    <row r="72" spans="1:25" s="48" customFormat="1" x14ac:dyDescent="0.25">
      <c r="A72" s="278">
        <v>48</v>
      </c>
      <c r="D72" s="46"/>
      <c r="E72" s="46"/>
      <c r="F72" s="46"/>
      <c r="G72" s="46"/>
      <c r="H72" s="46"/>
      <c r="I72" s="46"/>
      <c r="J72" s="46"/>
      <c r="K72" s="46"/>
      <c r="L72" s="46"/>
      <c r="M72" s="46"/>
      <c r="N72" s="46"/>
      <c r="O72" s="46"/>
      <c r="P72" s="46"/>
      <c r="Q72" s="46"/>
      <c r="R72" s="46"/>
      <c r="S72" s="46"/>
      <c r="T72" s="46"/>
      <c r="U72" s="46"/>
      <c r="V72" s="46"/>
      <c r="W72" s="46"/>
      <c r="X72" s="46"/>
      <c r="Y72" s="46"/>
    </row>
    <row r="73" spans="1:25" s="558" customFormat="1" ht="13" x14ac:dyDescent="0.25">
      <c r="A73" s="557">
        <v>49</v>
      </c>
      <c r="B73" s="1195" t="s">
        <v>3448</v>
      </c>
      <c r="C73" s="1195"/>
      <c r="D73" s="553">
        <f>SUM(F73:Y73)</f>
        <v>0</v>
      </c>
      <c r="E73" s="552"/>
      <c r="F73" s="553">
        <f>SUM(F22:F52)+F57+F63+F64</f>
        <v>0</v>
      </c>
      <c r="G73" s="553">
        <f t="shared" ref="G73:Y73" si="6">SUM(G22:G52)+G57+G63+G64</f>
        <v>0</v>
      </c>
      <c r="H73" s="553">
        <f t="shared" si="6"/>
        <v>0</v>
      </c>
      <c r="I73" s="553">
        <f t="shared" si="6"/>
        <v>0</v>
      </c>
      <c r="J73" s="553">
        <f t="shared" si="6"/>
        <v>0</v>
      </c>
      <c r="K73" s="553">
        <f t="shared" si="6"/>
        <v>0</v>
      </c>
      <c r="L73" s="553">
        <f t="shared" si="6"/>
        <v>0</v>
      </c>
      <c r="M73" s="553">
        <f t="shared" si="6"/>
        <v>0</v>
      </c>
      <c r="N73" s="553">
        <f t="shared" si="6"/>
        <v>0</v>
      </c>
      <c r="O73" s="553">
        <f t="shared" si="6"/>
        <v>0</v>
      </c>
      <c r="P73" s="553">
        <f t="shared" si="6"/>
        <v>0</v>
      </c>
      <c r="Q73" s="553">
        <f t="shared" si="6"/>
        <v>0</v>
      </c>
      <c r="R73" s="553">
        <f t="shared" si="6"/>
        <v>0</v>
      </c>
      <c r="S73" s="553">
        <f t="shared" si="6"/>
        <v>0</v>
      </c>
      <c r="T73" s="553">
        <f t="shared" si="6"/>
        <v>0</v>
      </c>
      <c r="U73" s="553">
        <f t="shared" si="6"/>
        <v>0</v>
      </c>
      <c r="V73" s="553">
        <f t="shared" si="6"/>
        <v>0</v>
      </c>
      <c r="W73" s="553">
        <f t="shared" si="6"/>
        <v>0</v>
      </c>
      <c r="X73" s="553">
        <f t="shared" si="6"/>
        <v>0</v>
      </c>
      <c r="Y73" s="553">
        <f t="shared" si="6"/>
        <v>0</v>
      </c>
    </row>
    <row r="74" spans="1:25" s="48" customFormat="1" x14ac:dyDescent="0.25">
      <c r="A74" s="122">
        <v>50</v>
      </c>
      <c r="D74" s="46"/>
      <c r="E74" s="46"/>
      <c r="F74" s="46"/>
      <c r="G74" s="46"/>
      <c r="H74" s="46"/>
      <c r="I74" s="46"/>
      <c r="J74" s="46"/>
      <c r="K74" s="46"/>
      <c r="L74" s="46"/>
      <c r="M74" s="46"/>
      <c r="N74" s="46"/>
      <c r="O74" s="46"/>
      <c r="P74" s="46"/>
      <c r="Q74" s="46"/>
      <c r="R74" s="46"/>
      <c r="S74" s="46"/>
      <c r="T74" s="46"/>
      <c r="U74" s="46"/>
      <c r="V74" s="46"/>
      <c r="W74" s="46"/>
      <c r="X74" s="46"/>
      <c r="Y74" s="46"/>
    </row>
    <row r="75" spans="1:25" x14ac:dyDescent="0.25">
      <c r="A75" s="122">
        <v>51</v>
      </c>
      <c r="B75" s="41" t="s">
        <v>124</v>
      </c>
      <c r="C75" s="39">
        <v>1575</v>
      </c>
      <c r="D75" s="40">
        <f>'2b. Continuity Schedule'!BT107</f>
        <v>0</v>
      </c>
      <c r="E75" s="61" t="s">
        <v>139</v>
      </c>
      <c r="F75" s="40">
        <f>IFERROR(IF(F$4="",0,IF($E75="kWh",VLOOKUP(F$4,'4. Billing Determinants'!$B$19:$R$41,4,0)/'4. Billing Determinants'!$E$41*$D75,IF($E75="kW",VLOOKUP(F$4,'4. Billing Determinants'!$B$19:$R$41,5,0)/'4. Billing Determinants'!$F$41*$D75,IF($E75="Non-RPP kWh",VLOOKUP(F$4,'4. Billing Determinants'!$B$19:$R$41,6,0)/'4. Billing Determinants'!$G$41*$D75,IF($E75="Distribution Rev.",VLOOKUP(F$4,'4. Billing Determinants'!$B$19:$R$41,8,0)/'4. Billing Determinants'!$I$41*$D75, VLOOKUP(F$4,'4. Billing Determinants'!$B$19:$R$41,3,0)/'4. Billing Determinants'!$D$41*$D75))))),0)</f>
        <v>0</v>
      </c>
      <c r="G75" s="40">
        <f>IFERROR(IF(G$4="",0,IF($E75="kWh",VLOOKUP(G$4,'4. Billing Determinants'!$B$19:$R$41,4,0)/'4. Billing Determinants'!$E$41*$D75,IF($E75="kW",VLOOKUP(G$4,'4. Billing Determinants'!$B$19:$R$41,5,0)/'4. Billing Determinants'!$F$41*$D75,IF($E75="Non-RPP kWh",VLOOKUP(G$4,'4. Billing Determinants'!$B$19:$R$41,6,0)/'4. Billing Determinants'!$G$41*$D75,IF($E75="Distribution Rev.",VLOOKUP(G$4,'4. Billing Determinants'!$B$19:$R$41,8,0)/'4. Billing Determinants'!$I$41*$D75, VLOOKUP(G$4,'4. Billing Determinants'!$B$19:$R$41,3,0)/'4. Billing Determinants'!$D$41*$D75))))),0)</f>
        <v>0</v>
      </c>
      <c r="H75" s="40">
        <f>IFERROR(IF(H$4="",0,IF($E75="kWh",VLOOKUP(H$4,'4. Billing Determinants'!$B$19:$R$41,4,0)/'4. Billing Determinants'!$E$41*$D75,IF($E75="kW",VLOOKUP(H$4,'4. Billing Determinants'!$B$19:$R$41,5,0)/'4. Billing Determinants'!$F$41*$D75,IF($E75="Non-RPP kWh",VLOOKUP(H$4,'4. Billing Determinants'!$B$19:$R$41,6,0)/'4. Billing Determinants'!$G$41*$D75,IF($E75="Distribution Rev.",VLOOKUP(H$4,'4. Billing Determinants'!$B$19:$R$41,8,0)/'4. Billing Determinants'!$I$41*$D75, VLOOKUP(H$4,'4. Billing Determinants'!$B$19:$R$41,3,0)/'4. Billing Determinants'!$D$41*$D75))))),0)</f>
        <v>0</v>
      </c>
      <c r="I75" s="40">
        <f>IFERROR(IF(I$4="",0,IF($E75="kWh",VLOOKUP(I$4,'4. Billing Determinants'!$B$19:$R$41,4,0)/'4. Billing Determinants'!$E$41*$D75,IF($E75="kW",VLOOKUP(I$4,'4. Billing Determinants'!$B$19:$R$41,5,0)/'4. Billing Determinants'!$F$41*$D75,IF($E75="Non-RPP kWh",VLOOKUP(I$4,'4. Billing Determinants'!$B$19:$R$41,6,0)/'4. Billing Determinants'!$G$41*$D75,IF($E75="Distribution Rev.",VLOOKUP(I$4,'4. Billing Determinants'!$B$19:$R$41,8,0)/'4. Billing Determinants'!$I$41*$D75, VLOOKUP(I$4,'4. Billing Determinants'!$B$19:$R$41,3,0)/'4. Billing Determinants'!$D$41*$D75))))),0)</f>
        <v>0</v>
      </c>
      <c r="J75" s="40">
        <f>IFERROR(IF(J$4="",0,IF($E75="kWh",VLOOKUP(J$4,'4. Billing Determinants'!$B$19:$R$41,4,0)/'4. Billing Determinants'!$E$41*$D75,IF($E75="kW",VLOOKUP(J$4,'4. Billing Determinants'!$B$19:$R$41,5,0)/'4. Billing Determinants'!$F$41*$D75,IF($E75="Non-RPP kWh",VLOOKUP(J$4,'4. Billing Determinants'!$B$19:$R$41,6,0)/'4. Billing Determinants'!$G$41*$D75,IF($E75="Distribution Rev.",VLOOKUP(J$4,'4. Billing Determinants'!$B$19:$R$41,8,0)/'4. Billing Determinants'!$I$41*$D75, VLOOKUP(J$4,'4. Billing Determinants'!$B$19:$R$41,3,0)/'4. Billing Determinants'!$D$41*$D75))))),0)</f>
        <v>0</v>
      </c>
      <c r="K75" s="40">
        <f>IFERROR(IF(K$4="",0,IF($E75="kWh",VLOOKUP(K$4,'4. Billing Determinants'!$B$19:$R$41,4,0)/'4. Billing Determinants'!$E$41*$D75,IF($E75="kW",VLOOKUP(K$4,'4. Billing Determinants'!$B$19:$R$41,5,0)/'4. Billing Determinants'!$F$41*$D75,IF($E75="Non-RPP kWh",VLOOKUP(K$4,'4. Billing Determinants'!$B$19:$R$41,6,0)/'4. Billing Determinants'!$G$41*$D75,IF($E75="Distribution Rev.",VLOOKUP(K$4,'4. Billing Determinants'!$B$19:$R$41,8,0)/'4. Billing Determinants'!$I$41*$D75, VLOOKUP(K$4,'4. Billing Determinants'!$B$19:$R$41,3,0)/'4. Billing Determinants'!$D$41*$D75))))),0)</f>
        <v>0</v>
      </c>
      <c r="L75" s="40">
        <f>IFERROR(IF(L$4="",0,IF($E75="kWh",VLOOKUP(L$4,'4. Billing Determinants'!$B$19:$R$41,4,0)/'4. Billing Determinants'!$E$41*$D75,IF($E75="kW",VLOOKUP(L$4,'4. Billing Determinants'!$B$19:$R$41,5,0)/'4. Billing Determinants'!$F$41*$D75,IF($E75="Non-RPP kWh",VLOOKUP(L$4,'4. Billing Determinants'!$B$19:$R$41,6,0)/'4. Billing Determinants'!$G$41*$D75,IF($E75="Distribution Rev.",VLOOKUP(L$4,'4. Billing Determinants'!$B$19:$R$41,8,0)/'4. Billing Determinants'!$I$41*$D75, VLOOKUP(L$4,'4. Billing Determinants'!$B$19:$R$41,3,0)/'4. Billing Determinants'!$D$41*$D75))))),0)</f>
        <v>0</v>
      </c>
      <c r="M75" s="40">
        <f>IFERROR(IF(M$4="",0,IF($E75="kWh",VLOOKUP(M$4,'4. Billing Determinants'!$B$19:$R$41,4,0)/'4. Billing Determinants'!$E$41*$D75,IF($E75="kW",VLOOKUP(M$4,'4. Billing Determinants'!$B$19:$R$41,5,0)/'4. Billing Determinants'!$F$41*$D75,IF($E75="Non-RPP kWh",VLOOKUP(M$4,'4. Billing Determinants'!$B$19:$R$41,6,0)/'4. Billing Determinants'!$G$41*$D75,IF($E75="Distribution Rev.",VLOOKUP(M$4,'4. Billing Determinants'!$B$19:$R$41,8,0)/'4. Billing Determinants'!$I$41*$D75, VLOOKUP(M$4,'4. Billing Determinants'!$B$19:$R$41,3,0)/'4. Billing Determinants'!$D$41*$D75))))),0)</f>
        <v>0</v>
      </c>
      <c r="N75" s="40">
        <f>IFERROR(IF(N$4="",0,IF($E75="kWh",VLOOKUP(N$4,'4. Billing Determinants'!$B$19:$R$41,4,0)/'4. Billing Determinants'!$E$41*$D75,IF($E75="kW",VLOOKUP(N$4,'4. Billing Determinants'!$B$19:$R$41,5,0)/'4. Billing Determinants'!$F$41*$D75,IF($E75="Non-RPP kWh",VLOOKUP(N$4,'4. Billing Determinants'!$B$19:$R$41,6,0)/'4. Billing Determinants'!$G$41*$D75,IF($E75="Distribution Rev.",VLOOKUP(N$4,'4. Billing Determinants'!$B$19:$R$41,8,0)/'4. Billing Determinants'!$I$41*$D75, VLOOKUP(N$4,'4. Billing Determinants'!$B$19:$R$41,3,0)/'4. Billing Determinants'!$D$41*$D75))))),0)</f>
        <v>0</v>
      </c>
      <c r="O75" s="40">
        <f>IFERROR(IF(O$4="",0,IF($E75="kWh",VLOOKUP(O$4,'4. Billing Determinants'!$B$19:$R$41,4,0)/'4. Billing Determinants'!$E$41*$D75,IF($E75="kW",VLOOKUP(O$4,'4. Billing Determinants'!$B$19:$R$41,5,0)/'4. Billing Determinants'!$F$41*$D75,IF($E75="Non-RPP kWh",VLOOKUP(O$4,'4. Billing Determinants'!$B$19:$R$41,6,0)/'4. Billing Determinants'!$G$41*$D75,IF($E75="Distribution Rev.",VLOOKUP(O$4,'4. Billing Determinants'!$B$19:$R$41,8,0)/'4. Billing Determinants'!$I$41*$D75, VLOOKUP(O$4,'4. Billing Determinants'!$B$19:$R$41,3,0)/'4. Billing Determinants'!$D$41*$D75))))),0)</f>
        <v>0</v>
      </c>
      <c r="P75" s="40">
        <f>IFERROR(IF(P$4="",0,IF($E75="kWh",VLOOKUP(P$4,'4. Billing Determinants'!$B$19:$R$41,4,0)/'4. Billing Determinants'!$E$41*$D75,IF($E75="kW",VLOOKUP(P$4,'4. Billing Determinants'!$B$19:$R$41,5,0)/'4. Billing Determinants'!$F$41*$D75,IF($E75="Non-RPP kWh",VLOOKUP(P$4,'4. Billing Determinants'!$B$19:$R$41,6,0)/'4. Billing Determinants'!$G$41*$D75,IF($E75="Distribution Rev.",VLOOKUP(P$4,'4. Billing Determinants'!$B$19:$R$41,8,0)/'4. Billing Determinants'!$I$41*$D75, VLOOKUP(P$4,'4. Billing Determinants'!$B$19:$R$41,3,0)/'4. Billing Determinants'!$D$41*$D75))))),0)</f>
        <v>0</v>
      </c>
      <c r="Q75" s="40">
        <f>IFERROR(IF(Q$4="",0,IF($E75="kWh",VLOOKUP(Q$4,'4. Billing Determinants'!$B$19:$R$41,4,0)/'4. Billing Determinants'!$E$41*$D75,IF($E75="kW",VLOOKUP(Q$4,'4. Billing Determinants'!$B$19:$R$41,5,0)/'4. Billing Determinants'!$F$41*$D75,IF($E75="Non-RPP kWh",VLOOKUP(Q$4,'4. Billing Determinants'!$B$19:$R$41,6,0)/'4. Billing Determinants'!$G$41*$D75,IF($E75="Distribution Rev.",VLOOKUP(Q$4,'4. Billing Determinants'!$B$19:$R$41,8,0)/'4. Billing Determinants'!$I$41*$D75, VLOOKUP(Q$4,'4. Billing Determinants'!$B$19:$R$41,3,0)/'4. Billing Determinants'!$D$41*$D75))))),0)</f>
        <v>0</v>
      </c>
      <c r="R75" s="40">
        <f>IFERROR(IF(R$4="",0,IF($E75="kWh",VLOOKUP(R$4,'4. Billing Determinants'!$B$19:$R$41,4,0)/'4. Billing Determinants'!$E$41*$D75,IF($E75="kW",VLOOKUP(R$4,'4. Billing Determinants'!$B$19:$R$41,5,0)/'4. Billing Determinants'!$F$41*$D75,IF($E75="Non-RPP kWh",VLOOKUP(R$4,'4. Billing Determinants'!$B$19:$R$41,6,0)/'4. Billing Determinants'!$G$41*$D75,IF($E75="Distribution Rev.",VLOOKUP(R$4,'4. Billing Determinants'!$B$19:$R$41,8,0)/'4. Billing Determinants'!$I$41*$D75, VLOOKUP(R$4,'4. Billing Determinants'!$B$19:$R$41,3,0)/'4. Billing Determinants'!$D$41*$D75))))),0)</f>
        <v>0</v>
      </c>
      <c r="S75" s="40">
        <f>IFERROR(IF(S$4="",0,IF($E75="kWh",VLOOKUP(S$4,'4. Billing Determinants'!$B$19:$R$41,4,0)/'4. Billing Determinants'!$E$41*$D75,IF($E75="kW",VLOOKUP(S$4,'4. Billing Determinants'!$B$19:$R$41,5,0)/'4. Billing Determinants'!$F$41*$D75,IF($E75="Non-RPP kWh",VLOOKUP(S$4,'4. Billing Determinants'!$B$19:$R$41,6,0)/'4. Billing Determinants'!$G$41*$D75,IF($E75="Distribution Rev.",VLOOKUP(S$4,'4. Billing Determinants'!$B$19:$R$41,8,0)/'4. Billing Determinants'!$I$41*$D75, VLOOKUP(S$4,'4. Billing Determinants'!$B$19:$R$41,3,0)/'4. Billing Determinants'!$D$41*$D75))))),0)</f>
        <v>0</v>
      </c>
      <c r="T75" s="40">
        <f>IFERROR(IF(T$4="",0,IF($E75="kWh",VLOOKUP(T$4,'4. Billing Determinants'!$B$19:$R$41,4,0)/'4. Billing Determinants'!$E$41*$D75,IF($E75="kW",VLOOKUP(T$4,'4. Billing Determinants'!$B$19:$R$41,5,0)/'4. Billing Determinants'!$F$41*$D75,IF($E75="Non-RPP kWh",VLOOKUP(T$4,'4. Billing Determinants'!$B$19:$R$41,6,0)/'4. Billing Determinants'!$G$41*$D75,IF($E75="Distribution Rev.",VLOOKUP(T$4,'4. Billing Determinants'!$B$19:$R$41,8,0)/'4. Billing Determinants'!$I$41*$D75, VLOOKUP(T$4,'4. Billing Determinants'!$B$19:$R$41,3,0)/'4. Billing Determinants'!$D$41*$D75))))),0)</f>
        <v>0</v>
      </c>
      <c r="U75" s="40">
        <f>IFERROR(IF(U$4="",0,IF($E75="kWh",VLOOKUP(U$4,'4. Billing Determinants'!$B$19:$R$41,4,0)/'4. Billing Determinants'!$E$41*$D75,IF($E75="kW",VLOOKUP(U$4,'4. Billing Determinants'!$B$19:$R$41,5,0)/'4. Billing Determinants'!$F$41*$D75,IF($E75="Non-RPP kWh",VLOOKUP(U$4,'4. Billing Determinants'!$B$19:$R$41,6,0)/'4. Billing Determinants'!$G$41*$D75,IF($E75="Distribution Rev.",VLOOKUP(U$4,'4. Billing Determinants'!$B$19:$R$41,8,0)/'4. Billing Determinants'!$I$41*$D75, VLOOKUP(U$4,'4. Billing Determinants'!$B$19:$R$41,3,0)/'4. Billing Determinants'!$D$41*$D75))))),0)</f>
        <v>0</v>
      </c>
      <c r="V75" s="40">
        <f>IFERROR(IF(V$4="",0,IF($E75="kWh",VLOOKUP(V$4,'4. Billing Determinants'!$B$19:$R$41,4,0)/'4. Billing Determinants'!$E$41*$D75,IF($E75="kW",VLOOKUP(V$4,'4. Billing Determinants'!$B$19:$R$41,5,0)/'4. Billing Determinants'!$F$41*$D75,IF($E75="Non-RPP kWh",VLOOKUP(V$4,'4. Billing Determinants'!$B$19:$R$41,6,0)/'4. Billing Determinants'!$G$41*$D75,IF($E75="Distribution Rev.",VLOOKUP(V$4,'4. Billing Determinants'!$B$19:$R$41,8,0)/'4. Billing Determinants'!$I$41*$D75, VLOOKUP(V$4,'4. Billing Determinants'!$B$19:$R$41,3,0)/'4. Billing Determinants'!$D$41*$D75))))),0)</f>
        <v>0</v>
      </c>
      <c r="W75" s="40">
        <f>IFERROR(IF(W$4="",0,IF($E75="kWh",VLOOKUP(W$4,'4. Billing Determinants'!$B$19:$R$41,4,0)/'4. Billing Determinants'!$E$41*$D75,IF($E75="kW",VLOOKUP(W$4,'4. Billing Determinants'!$B$19:$R$41,5,0)/'4. Billing Determinants'!$F$41*$D75,IF($E75="Non-RPP kWh",VLOOKUP(W$4,'4. Billing Determinants'!$B$19:$R$41,6,0)/'4. Billing Determinants'!$G$41*$D75,IF($E75="Distribution Rev.",VLOOKUP(W$4,'4. Billing Determinants'!$B$19:$R$41,8,0)/'4. Billing Determinants'!$I$41*$D75, VLOOKUP(W$4,'4. Billing Determinants'!$B$19:$R$41,3,0)/'4. Billing Determinants'!$D$41*$D75))))),0)</f>
        <v>0</v>
      </c>
      <c r="X75" s="40">
        <f>IFERROR(IF(X$4="",0,IF($E75="kWh",VLOOKUP(X$4,'4. Billing Determinants'!$B$19:$R$41,4,0)/'4. Billing Determinants'!$E$41*$D75,IF($E75="kW",VLOOKUP(X$4,'4. Billing Determinants'!$B$19:$R$41,5,0)/'4. Billing Determinants'!$F$41*$D75,IF($E75="Non-RPP kWh",VLOOKUP(X$4,'4. Billing Determinants'!$B$19:$R$41,6,0)/'4. Billing Determinants'!$G$41*$D75,IF($E75="Distribution Rev.",VLOOKUP(X$4,'4. Billing Determinants'!$B$19:$R$41,8,0)/'4. Billing Determinants'!$I$41*$D75, VLOOKUP(X$4,'4. Billing Determinants'!$B$19:$R$41,3,0)/'4. Billing Determinants'!$D$41*$D75))))),0)</f>
        <v>0</v>
      </c>
      <c r="Y75" s="40">
        <f>IFERROR(IF(Y$4="",0,IF($E75="kWh",VLOOKUP(Y$4,'4. Billing Determinants'!$B$19:$R$41,4,0)/'4. Billing Determinants'!$E$41*$D75,IF($E75="kW",VLOOKUP(Y$4,'4. Billing Determinants'!$B$19:$R$41,5,0)/'4. Billing Determinants'!$F$41*$D75,IF($E75="Non-RPP kWh",VLOOKUP(Y$4,'4. Billing Determinants'!$B$19:$R$41,6,0)/'4. Billing Determinants'!$G$41*$D75,IF($E75="Distribution Rev.",VLOOKUP(Y$4,'4. Billing Determinants'!$B$19:$R$41,8,0)/'4. Billing Determinants'!$I$41*$D75, VLOOKUP(Y$4,'4. Billing Determinants'!$B$19:$R$41,3,0)/'4. Billing Determinants'!$D$41*$D75))))),0)</f>
        <v>0</v>
      </c>
    </row>
    <row r="76" spans="1:25" x14ac:dyDescent="0.25">
      <c r="A76" s="278">
        <v>52</v>
      </c>
      <c r="B76" s="41" t="s">
        <v>125</v>
      </c>
      <c r="C76" s="39">
        <v>1576</v>
      </c>
      <c r="D76" s="40">
        <f>'2b. Continuity Schedule'!BT108</f>
        <v>0</v>
      </c>
      <c r="E76" s="61" t="s">
        <v>139</v>
      </c>
      <c r="F76" s="40">
        <f>IFERROR(IF(F$4="",0,IF($E76="kWh",VLOOKUP(F$4,'4. Billing Determinants'!$B$19:$R$41,4,0)/'4. Billing Determinants'!$E$41*$D76,IF($E76="kW",VLOOKUP(F$4,'4. Billing Determinants'!$B$19:$R$41,5,0)/'4. Billing Determinants'!$F$41*$D76,IF($E76="Non-RPP kWh",VLOOKUP(F$4,'4. Billing Determinants'!$B$19:$R$41,6,0)/'4. Billing Determinants'!$G$41*$D76,IF($E76="Distribution Rev.",VLOOKUP(F$4,'4. Billing Determinants'!$B$19:$R$41,8,0)/'4. Billing Determinants'!$I$41*$D76, VLOOKUP(F$4,'4. Billing Determinants'!$B$19:$R$41,3,0)/'4. Billing Determinants'!$D$41*$D76))))),0)</f>
        <v>0</v>
      </c>
      <c r="G76" s="40">
        <f>IFERROR(IF(G$4="",0,IF($E76="kWh",VLOOKUP(G$4,'4. Billing Determinants'!$B$19:$R$41,4,0)/'4. Billing Determinants'!$E$41*$D76,IF($E76="kW",VLOOKUP(G$4,'4. Billing Determinants'!$B$19:$R$41,5,0)/'4. Billing Determinants'!$F$41*$D76,IF($E76="Non-RPP kWh",VLOOKUP(G$4,'4. Billing Determinants'!$B$19:$R$41,6,0)/'4. Billing Determinants'!$G$41*$D76,IF($E76="Distribution Rev.",VLOOKUP(G$4,'4. Billing Determinants'!$B$19:$R$41,8,0)/'4. Billing Determinants'!$I$41*$D76, VLOOKUP(G$4,'4. Billing Determinants'!$B$19:$R$41,3,0)/'4. Billing Determinants'!$D$41*$D76))))),0)</f>
        <v>0</v>
      </c>
      <c r="H76" s="40">
        <f>IFERROR(IF(H$4="",0,IF($E76="kWh",VLOOKUP(H$4,'4. Billing Determinants'!$B$19:$R$41,4,0)/'4. Billing Determinants'!$E$41*$D76,IF($E76="kW",VLOOKUP(H$4,'4. Billing Determinants'!$B$19:$R$41,5,0)/'4. Billing Determinants'!$F$41*$D76,IF($E76="Non-RPP kWh",VLOOKUP(H$4,'4. Billing Determinants'!$B$19:$R$41,6,0)/'4. Billing Determinants'!$G$41*$D76,IF($E76="Distribution Rev.",VLOOKUP(H$4,'4. Billing Determinants'!$B$19:$R$41,8,0)/'4. Billing Determinants'!$I$41*$D76, VLOOKUP(H$4,'4. Billing Determinants'!$B$19:$R$41,3,0)/'4. Billing Determinants'!$D$41*$D76))))),0)</f>
        <v>0</v>
      </c>
      <c r="I76" s="40">
        <f>IFERROR(IF(I$4="",0,IF($E76="kWh",VLOOKUP(I$4,'4. Billing Determinants'!$B$19:$R$41,4,0)/'4. Billing Determinants'!$E$41*$D76,IF($E76="kW",VLOOKUP(I$4,'4. Billing Determinants'!$B$19:$R$41,5,0)/'4. Billing Determinants'!$F$41*$D76,IF($E76="Non-RPP kWh",VLOOKUP(I$4,'4. Billing Determinants'!$B$19:$R$41,6,0)/'4. Billing Determinants'!$G$41*$D76,IF($E76="Distribution Rev.",VLOOKUP(I$4,'4. Billing Determinants'!$B$19:$R$41,8,0)/'4. Billing Determinants'!$I$41*$D76, VLOOKUP(I$4,'4. Billing Determinants'!$B$19:$R$41,3,0)/'4. Billing Determinants'!$D$41*$D76))))),0)</f>
        <v>0</v>
      </c>
      <c r="J76" s="40">
        <f>IFERROR(IF(J$4="",0,IF($E76="kWh",VLOOKUP(J$4,'4. Billing Determinants'!$B$19:$R$41,4,0)/'4. Billing Determinants'!$E$41*$D76,IF($E76="kW",VLOOKUP(J$4,'4. Billing Determinants'!$B$19:$R$41,5,0)/'4. Billing Determinants'!$F$41*$D76,IF($E76="Non-RPP kWh",VLOOKUP(J$4,'4. Billing Determinants'!$B$19:$R$41,6,0)/'4. Billing Determinants'!$G$41*$D76,IF($E76="Distribution Rev.",VLOOKUP(J$4,'4. Billing Determinants'!$B$19:$R$41,8,0)/'4. Billing Determinants'!$I$41*$D76, VLOOKUP(J$4,'4. Billing Determinants'!$B$19:$R$41,3,0)/'4. Billing Determinants'!$D$41*$D76))))),0)</f>
        <v>0</v>
      </c>
      <c r="K76" s="40">
        <f>IFERROR(IF(K$4="",0,IF($E76="kWh",VLOOKUP(K$4,'4. Billing Determinants'!$B$19:$R$41,4,0)/'4. Billing Determinants'!$E$41*$D76,IF($E76="kW",VLOOKUP(K$4,'4. Billing Determinants'!$B$19:$R$41,5,0)/'4. Billing Determinants'!$F$41*$D76,IF($E76="Non-RPP kWh",VLOOKUP(K$4,'4. Billing Determinants'!$B$19:$R$41,6,0)/'4. Billing Determinants'!$G$41*$D76,IF($E76="Distribution Rev.",VLOOKUP(K$4,'4. Billing Determinants'!$B$19:$R$41,8,0)/'4. Billing Determinants'!$I$41*$D76, VLOOKUP(K$4,'4. Billing Determinants'!$B$19:$R$41,3,0)/'4. Billing Determinants'!$D$41*$D76))))),0)</f>
        <v>0</v>
      </c>
      <c r="L76" s="40">
        <f>IFERROR(IF(L$4="",0,IF($E76="kWh",VLOOKUP(L$4,'4. Billing Determinants'!$B$19:$R$41,4,0)/'4. Billing Determinants'!$E$41*$D76,IF($E76="kW",VLOOKUP(L$4,'4. Billing Determinants'!$B$19:$R$41,5,0)/'4. Billing Determinants'!$F$41*$D76,IF($E76="Non-RPP kWh",VLOOKUP(L$4,'4. Billing Determinants'!$B$19:$R$41,6,0)/'4. Billing Determinants'!$G$41*$D76,IF($E76="Distribution Rev.",VLOOKUP(L$4,'4. Billing Determinants'!$B$19:$R$41,8,0)/'4. Billing Determinants'!$I$41*$D76, VLOOKUP(L$4,'4. Billing Determinants'!$B$19:$R$41,3,0)/'4. Billing Determinants'!$D$41*$D76))))),0)</f>
        <v>0</v>
      </c>
      <c r="M76" s="40">
        <f>IFERROR(IF(M$4="",0,IF($E76="kWh",VLOOKUP(M$4,'4. Billing Determinants'!$B$19:$R$41,4,0)/'4. Billing Determinants'!$E$41*$D76,IF($E76="kW",VLOOKUP(M$4,'4. Billing Determinants'!$B$19:$R$41,5,0)/'4. Billing Determinants'!$F$41*$D76,IF($E76="Non-RPP kWh",VLOOKUP(M$4,'4. Billing Determinants'!$B$19:$R$41,6,0)/'4. Billing Determinants'!$G$41*$D76,IF($E76="Distribution Rev.",VLOOKUP(M$4,'4. Billing Determinants'!$B$19:$R$41,8,0)/'4. Billing Determinants'!$I$41*$D76, VLOOKUP(M$4,'4. Billing Determinants'!$B$19:$R$41,3,0)/'4. Billing Determinants'!$D$41*$D76))))),0)</f>
        <v>0</v>
      </c>
      <c r="N76" s="40">
        <f>IFERROR(IF(N$4="",0,IF($E76="kWh",VLOOKUP(N$4,'4. Billing Determinants'!$B$19:$R$41,4,0)/'4. Billing Determinants'!$E$41*$D76,IF($E76="kW",VLOOKUP(N$4,'4. Billing Determinants'!$B$19:$R$41,5,0)/'4. Billing Determinants'!$F$41*$D76,IF($E76="Non-RPP kWh",VLOOKUP(N$4,'4. Billing Determinants'!$B$19:$R$41,6,0)/'4. Billing Determinants'!$G$41*$D76,IF($E76="Distribution Rev.",VLOOKUP(N$4,'4. Billing Determinants'!$B$19:$R$41,8,0)/'4. Billing Determinants'!$I$41*$D76, VLOOKUP(N$4,'4. Billing Determinants'!$B$19:$R$41,3,0)/'4. Billing Determinants'!$D$41*$D76))))),0)</f>
        <v>0</v>
      </c>
      <c r="O76" s="40">
        <f>IFERROR(IF(O$4="",0,IF($E76="kWh",VLOOKUP(O$4,'4. Billing Determinants'!$B$19:$R$41,4,0)/'4. Billing Determinants'!$E$41*$D76,IF($E76="kW",VLOOKUP(O$4,'4. Billing Determinants'!$B$19:$R$41,5,0)/'4. Billing Determinants'!$F$41*$D76,IF($E76="Non-RPP kWh",VLOOKUP(O$4,'4. Billing Determinants'!$B$19:$R$41,6,0)/'4. Billing Determinants'!$G$41*$D76,IF($E76="Distribution Rev.",VLOOKUP(O$4,'4. Billing Determinants'!$B$19:$R$41,8,0)/'4. Billing Determinants'!$I$41*$D76, VLOOKUP(O$4,'4. Billing Determinants'!$B$19:$R$41,3,0)/'4. Billing Determinants'!$D$41*$D76))))),0)</f>
        <v>0</v>
      </c>
      <c r="P76" s="40">
        <f>IFERROR(IF(P$4="",0,IF($E76="kWh",VLOOKUP(P$4,'4. Billing Determinants'!$B$19:$R$41,4,0)/'4. Billing Determinants'!$E$41*$D76,IF($E76="kW",VLOOKUP(P$4,'4. Billing Determinants'!$B$19:$R$41,5,0)/'4. Billing Determinants'!$F$41*$D76,IF($E76="Non-RPP kWh",VLOOKUP(P$4,'4. Billing Determinants'!$B$19:$R$41,6,0)/'4. Billing Determinants'!$G$41*$D76,IF($E76="Distribution Rev.",VLOOKUP(P$4,'4. Billing Determinants'!$B$19:$R$41,8,0)/'4. Billing Determinants'!$I$41*$D76, VLOOKUP(P$4,'4. Billing Determinants'!$B$19:$R$41,3,0)/'4. Billing Determinants'!$D$41*$D76))))),0)</f>
        <v>0</v>
      </c>
      <c r="Q76" s="40">
        <f>IFERROR(IF(Q$4="",0,IF($E76="kWh",VLOOKUP(Q$4,'4. Billing Determinants'!$B$19:$R$41,4,0)/'4. Billing Determinants'!$E$41*$D76,IF($E76="kW",VLOOKUP(Q$4,'4. Billing Determinants'!$B$19:$R$41,5,0)/'4. Billing Determinants'!$F$41*$D76,IF($E76="Non-RPP kWh",VLOOKUP(Q$4,'4. Billing Determinants'!$B$19:$R$41,6,0)/'4. Billing Determinants'!$G$41*$D76,IF($E76="Distribution Rev.",VLOOKUP(Q$4,'4. Billing Determinants'!$B$19:$R$41,8,0)/'4. Billing Determinants'!$I$41*$D76, VLOOKUP(Q$4,'4. Billing Determinants'!$B$19:$R$41,3,0)/'4. Billing Determinants'!$D$41*$D76))))),0)</f>
        <v>0</v>
      </c>
      <c r="R76" s="40">
        <f>IFERROR(IF(R$4="",0,IF($E76="kWh",VLOOKUP(R$4,'4. Billing Determinants'!$B$19:$R$41,4,0)/'4. Billing Determinants'!$E$41*$D76,IF($E76="kW",VLOOKUP(R$4,'4. Billing Determinants'!$B$19:$R$41,5,0)/'4. Billing Determinants'!$F$41*$D76,IF($E76="Non-RPP kWh",VLOOKUP(R$4,'4. Billing Determinants'!$B$19:$R$41,6,0)/'4. Billing Determinants'!$G$41*$D76,IF($E76="Distribution Rev.",VLOOKUP(R$4,'4. Billing Determinants'!$B$19:$R$41,8,0)/'4. Billing Determinants'!$I$41*$D76, VLOOKUP(R$4,'4. Billing Determinants'!$B$19:$R$41,3,0)/'4. Billing Determinants'!$D$41*$D76))))),0)</f>
        <v>0</v>
      </c>
      <c r="S76" s="40">
        <f>IFERROR(IF(S$4="",0,IF($E76="kWh",VLOOKUP(S$4,'4. Billing Determinants'!$B$19:$R$41,4,0)/'4. Billing Determinants'!$E$41*$D76,IF($E76="kW",VLOOKUP(S$4,'4. Billing Determinants'!$B$19:$R$41,5,0)/'4. Billing Determinants'!$F$41*$D76,IF($E76="Non-RPP kWh",VLOOKUP(S$4,'4. Billing Determinants'!$B$19:$R$41,6,0)/'4. Billing Determinants'!$G$41*$D76,IF($E76="Distribution Rev.",VLOOKUP(S$4,'4. Billing Determinants'!$B$19:$R$41,8,0)/'4. Billing Determinants'!$I$41*$D76, VLOOKUP(S$4,'4. Billing Determinants'!$B$19:$R$41,3,0)/'4. Billing Determinants'!$D$41*$D76))))),0)</f>
        <v>0</v>
      </c>
      <c r="T76" s="40">
        <f>IFERROR(IF(T$4="",0,IF($E76="kWh",VLOOKUP(T$4,'4. Billing Determinants'!$B$19:$R$41,4,0)/'4. Billing Determinants'!$E$41*$D76,IF($E76="kW",VLOOKUP(T$4,'4. Billing Determinants'!$B$19:$R$41,5,0)/'4. Billing Determinants'!$F$41*$D76,IF($E76="Non-RPP kWh",VLOOKUP(T$4,'4. Billing Determinants'!$B$19:$R$41,6,0)/'4. Billing Determinants'!$G$41*$D76,IF($E76="Distribution Rev.",VLOOKUP(T$4,'4. Billing Determinants'!$B$19:$R$41,8,0)/'4. Billing Determinants'!$I$41*$D76, VLOOKUP(T$4,'4. Billing Determinants'!$B$19:$R$41,3,0)/'4. Billing Determinants'!$D$41*$D76))))),0)</f>
        <v>0</v>
      </c>
      <c r="U76" s="40">
        <f>IFERROR(IF(U$4="",0,IF($E76="kWh",VLOOKUP(U$4,'4. Billing Determinants'!$B$19:$R$41,4,0)/'4. Billing Determinants'!$E$41*$D76,IF($E76="kW",VLOOKUP(U$4,'4. Billing Determinants'!$B$19:$R$41,5,0)/'4. Billing Determinants'!$F$41*$D76,IF($E76="Non-RPP kWh",VLOOKUP(U$4,'4. Billing Determinants'!$B$19:$R$41,6,0)/'4. Billing Determinants'!$G$41*$D76,IF($E76="Distribution Rev.",VLOOKUP(U$4,'4. Billing Determinants'!$B$19:$R$41,8,0)/'4. Billing Determinants'!$I$41*$D76, VLOOKUP(U$4,'4. Billing Determinants'!$B$19:$R$41,3,0)/'4. Billing Determinants'!$D$41*$D76))))),0)</f>
        <v>0</v>
      </c>
      <c r="V76" s="40">
        <f>IFERROR(IF(V$4="",0,IF($E76="kWh",VLOOKUP(V$4,'4. Billing Determinants'!$B$19:$R$41,4,0)/'4. Billing Determinants'!$E$41*$D76,IF($E76="kW",VLOOKUP(V$4,'4. Billing Determinants'!$B$19:$R$41,5,0)/'4. Billing Determinants'!$F$41*$D76,IF($E76="Non-RPP kWh",VLOOKUP(V$4,'4. Billing Determinants'!$B$19:$R$41,6,0)/'4. Billing Determinants'!$G$41*$D76,IF($E76="Distribution Rev.",VLOOKUP(V$4,'4. Billing Determinants'!$B$19:$R$41,8,0)/'4. Billing Determinants'!$I$41*$D76, VLOOKUP(V$4,'4. Billing Determinants'!$B$19:$R$41,3,0)/'4. Billing Determinants'!$D$41*$D76))))),0)</f>
        <v>0</v>
      </c>
      <c r="W76" s="40">
        <f>IFERROR(IF(W$4="",0,IF($E76="kWh",VLOOKUP(W$4,'4. Billing Determinants'!$B$19:$R$41,4,0)/'4. Billing Determinants'!$E$41*$D76,IF($E76="kW",VLOOKUP(W$4,'4. Billing Determinants'!$B$19:$R$41,5,0)/'4. Billing Determinants'!$F$41*$D76,IF($E76="Non-RPP kWh",VLOOKUP(W$4,'4. Billing Determinants'!$B$19:$R$41,6,0)/'4. Billing Determinants'!$G$41*$D76,IF($E76="Distribution Rev.",VLOOKUP(W$4,'4. Billing Determinants'!$B$19:$R$41,8,0)/'4. Billing Determinants'!$I$41*$D76, VLOOKUP(W$4,'4. Billing Determinants'!$B$19:$R$41,3,0)/'4. Billing Determinants'!$D$41*$D76))))),0)</f>
        <v>0</v>
      </c>
      <c r="X76" s="40">
        <f>IFERROR(IF(X$4="",0,IF($E76="kWh",VLOOKUP(X$4,'4. Billing Determinants'!$B$19:$R$41,4,0)/'4. Billing Determinants'!$E$41*$D76,IF($E76="kW",VLOOKUP(X$4,'4. Billing Determinants'!$B$19:$R$41,5,0)/'4. Billing Determinants'!$F$41*$D76,IF($E76="Non-RPP kWh",VLOOKUP(X$4,'4. Billing Determinants'!$B$19:$R$41,6,0)/'4. Billing Determinants'!$G$41*$D76,IF($E76="Distribution Rev.",VLOOKUP(X$4,'4. Billing Determinants'!$B$19:$R$41,8,0)/'4. Billing Determinants'!$I$41*$D76, VLOOKUP(X$4,'4. Billing Determinants'!$B$19:$R$41,3,0)/'4. Billing Determinants'!$D$41*$D76))))),0)</f>
        <v>0</v>
      </c>
      <c r="Y76" s="40">
        <f>IFERROR(IF(Y$4="",0,IF($E76="kWh",VLOOKUP(Y$4,'4. Billing Determinants'!$B$19:$R$41,4,0)/'4. Billing Determinants'!$E$41*$D76,IF($E76="kW",VLOOKUP(Y$4,'4. Billing Determinants'!$B$19:$R$41,5,0)/'4. Billing Determinants'!$F$41*$D76,IF($E76="Non-RPP kWh",VLOOKUP(Y$4,'4. Billing Determinants'!$B$19:$R$41,6,0)/'4. Billing Determinants'!$G$41*$D76,IF($E76="Distribution Rev.",VLOOKUP(Y$4,'4. Billing Determinants'!$B$19:$R$41,8,0)/'4. Billing Determinants'!$I$41*$D76, VLOOKUP(Y$4,'4. Billing Determinants'!$B$19:$R$41,3,0)/'4. Billing Determinants'!$D$41*$D76))))),0)</f>
        <v>0</v>
      </c>
    </row>
    <row r="77" spans="1:25" s="555" customFormat="1" ht="13" x14ac:dyDescent="0.3">
      <c r="A77" s="555">
        <v>53</v>
      </c>
      <c r="B77" s="559" t="s">
        <v>452</v>
      </c>
      <c r="C77" s="559"/>
      <c r="D77" s="560">
        <f>SUM(D75:D76)</f>
        <v>0</v>
      </c>
      <c r="E77" s="560"/>
      <c r="F77" s="560">
        <f>SUM(F75:F76)</f>
        <v>0</v>
      </c>
      <c r="G77" s="560">
        <f t="shared" ref="G77:Y77" si="7">SUM(G75:G76)</f>
        <v>0</v>
      </c>
      <c r="H77" s="560">
        <f t="shared" si="7"/>
        <v>0</v>
      </c>
      <c r="I77" s="560">
        <f t="shared" si="7"/>
        <v>0</v>
      </c>
      <c r="J77" s="560">
        <f t="shared" si="7"/>
        <v>0</v>
      </c>
      <c r="K77" s="560">
        <f t="shared" si="7"/>
        <v>0</v>
      </c>
      <c r="L77" s="560">
        <f t="shared" si="7"/>
        <v>0</v>
      </c>
      <c r="M77" s="560">
        <f t="shared" si="7"/>
        <v>0</v>
      </c>
      <c r="N77" s="560">
        <f t="shared" si="7"/>
        <v>0</v>
      </c>
      <c r="O77" s="560">
        <f t="shared" si="7"/>
        <v>0</v>
      </c>
      <c r="P77" s="560">
        <f t="shared" si="7"/>
        <v>0</v>
      </c>
      <c r="Q77" s="560">
        <f t="shared" si="7"/>
        <v>0</v>
      </c>
      <c r="R77" s="560">
        <f t="shared" si="7"/>
        <v>0</v>
      </c>
      <c r="S77" s="560">
        <f t="shared" si="7"/>
        <v>0</v>
      </c>
      <c r="T77" s="560">
        <f t="shared" si="7"/>
        <v>0</v>
      </c>
      <c r="U77" s="560">
        <f t="shared" si="7"/>
        <v>0</v>
      </c>
      <c r="V77" s="560">
        <f t="shared" si="7"/>
        <v>0</v>
      </c>
      <c r="W77" s="560">
        <f t="shared" si="7"/>
        <v>0</v>
      </c>
      <c r="X77" s="560">
        <f t="shared" si="7"/>
        <v>0</v>
      </c>
      <c r="Y77" s="560">
        <f t="shared" si="7"/>
        <v>0</v>
      </c>
    </row>
    <row r="79" spans="1:25" ht="13" hidden="1" x14ac:dyDescent="0.25">
      <c r="B79" s="144" t="s">
        <v>151</v>
      </c>
      <c r="C79" s="144"/>
    </row>
    <row r="80" spans="1:25" ht="13" hidden="1" x14ac:dyDescent="0.3">
      <c r="B80" s="145" t="s">
        <v>153</v>
      </c>
      <c r="C80" s="146">
        <f>IF(ISERROR('2a. Continuity Schedule'!BT45/'4. Billing Determinants'!D41), 0, '2a. Continuity Schedule'!BT45/'4. Billing Determinants'!D41)</f>
        <v>0</v>
      </c>
    </row>
    <row r="81" spans="2:25" ht="13" hidden="1" x14ac:dyDescent="0.3">
      <c r="B81" s="145" t="s">
        <v>150</v>
      </c>
      <c r="C81" s="147">
        <f>IF(ISERROR('2a. Continuity Schedule'!BT45/'4. Billing Determinants'!E41), 0, '2a. Continuity Schedule'!BT45/'4. Billing Determinants'!E41)</f>
        <v>0</v>
      </c>
    </row>
    <row r="82" spans="2:25" ht="13" x14ac:dyDescent="0.25">
      <c r="B82" s="551" t="s">
        <v>50</v>
      </c>
      <c r="C82" s="552">
        <v>1568</v>
      </c>
      <c r="D82" s="553">
        <f>'2b. Continuity Schedule'!BT88</f>
        <v>0</v>
      </c>
      <c r="E82" s="552"/>
      <c r="F82" s="553">
        <f>'4. Billing Determinants'!AC21</f>
        <v>0</v>
      </c>
      <c r="G82" s="553">
        <f>'4. Billing Determinants'!AC22</f>
        <v>0</v>
      </c>
      <c r="H82" s="553">
        <f>'4. Billing Determinants'!AC23</f>
        <v>0</v>
      </c>
      <c r="I82" s="553">
        <f>'4. Billing Determinants'!AC24</f>
        <v>0</v>
      </c>
      <c r="J82" s="553">
        <f>'4. Billing Determinants'!AC25</f>
        <v>0</v>
      </c>
      <c r="K82" s="553">
        <f>'4. Billing Determinants'!AC26</f>
        <v>0</v>
      </c>
      <c r="L82" s="553">
        <f>'4. Billing Determinants'!AC27</f>
        <v>0</v>
      </c>
      <c r="M82" s="553">
        <f>'4. Billing Determinants'!AC28</f>
        <v>0</v>
      </c>
      <c r="N82" s="553">
        <f>'4. Billing Determinants'!AC29</f>
        <v>0</v>
      </c>
      <c r="O82" s="553">
        <f>'4. Billing Determinants'!AC30</f>
        <v>0</v>
      </c>
      <c r="P82" s="553">
        <f>'4. Billing Determinants'!AC31</f>
        <v>0</v>
      </c>
      <c r="Q82" s="553">
        <f>'4. Billing Determinants'!AC32</f>
        <v>0</v>
      </c>
      <c r="R82" s="553">
        <f>'4. Billing Determinants'!AC33</f>
        <v>0</v>
      </c>
      <c r="S82" s="553">
        <f>'4. Billing Determinants'!AC34</f>
        <v>0</v>
      </c>
      <c r="T82" s="553">
        <f>'4. Billing Determinants'!AC35</f>
        <v>0</v>
      </c>
      <c r="U82" s="553">
        <f>'4. Billing Determinants'!AC36</f>
        <v>0</v>
      </c>
      <c r="V82" s="553">
        <f>'4. Billing Determinants'!AC37</f>
        <v>0</v>
      </c>
      <c r="W82" s="553">
        <f>'4. Billing Determinants'!AC38</f>
        <v>0</v>
      </c>
      <c r="X82" s="553">
        <f>'4. Billing Determinants'!AC39</f>
        <v>0</v>
      </c>
      <c r="Y82" s="553">
        <f>'4. Billing Determinants'!AC40</f>
        <v>0</v>
      </c>
    </row>
    <row r="84" spans="2:25" ht="13" x14ac:dyDescent="0.25">
      <c r="B84" s="551" t="s">
        <v>3449</v>
      </c>
      <c r="C84" s="552">
        <v>1509</v>
      </c>
      <c r="D84" s="553">
        <f>'2b. Continuity Schedule'!BT110</f>
        <v>0</v>
      </c>
      <c r="E84" s="719" t="s">
        <v>3033</v>
      </c>
      <c r="F84" s="553">
        <f>IFERROR(IF(F$4="",0,IF($E84="kWh",VLOOKUP(F$4,'4. Billing Determinants'!$B$19:$R$41,4,0)/'4. Billing Determinants'!$E$41*$D84,IF($E84="kW",VLOOKUP(F$4,'4. Billing Determinants'!$B$19:$R$41,5,0)/'4. Billing Determinants'!$F$41*$D84,IF($E84="Non-RPP kWh",VLOOKUP(F$4,'4. Billing Determinants'!$B$19:$R$41,6,0)/'4. Billing Determinants'!$G$41*$D84,IF($E84="Distribution Rev.",VLOOKUP(F$4,'4. Billing Determinants'!$B$19:$R$41,8,0)/'4. Billing Determinants'!$I$41*$D84, VLOOKUP(F$4,'4. Billing Determinants'!$B$19:$R$41,3,0)/'4. Billing Determinants'!$D$41*$D84))))),0)</f>
        <v>0</v>
      </c>
      <c r="G84" s="553">
        <f>IFERROR(IF(G$4="",0,IF($E84="kWh",VLOOKUP(G$4,'4. Billing Determinants'!$B$19:$R$41,4,0)/'4. Billing Determinants'!$E$41*$D84,IF($E84="kW",VLOOKUP(G$4,'4. Billing Determinants'!$B$19:$R$41,5,0)/'4. Billing Determinants'!$F$41*$D84,IF($E84="Non-RPP kWh",VLOOKUP(G$4,'4. Billing Determinants'!$B$19:$R$41,6,0)/'4. Billing Determinants'!$G$41*$D84,IF($E84="Distribution Rev.",VLOOKUP(G$4,'4. Billing Determinants'!$B$19:$R$41,8,0)/'4. Billing Determinants'!$I$41*$D84, VLOOKUP(G$4,'4. Billing Determinants'!$B$19:$R$41,3,0)/'4. Billing Determinants'!$D$41*$D84))))),0)</f>
        <v>0</v>
      </c>
      <c r="H84" s="553">
        <f>IFERROR(IF(H$4="",0,IF($E84="kWh",VLOOKUP(H$4,'4. Billing Determinants'!$B$19:$R$41,4,0)/'4. Billing Determinants'!$E$41*$D84,IF($E84="kW",VLOOKUP(H$4,'4. Billing Determinants'!$B$19:$R$41,5,0)/'4. Billing Determinants'!$F$41*$D84,IF($E84="Non-RPP kWh",VLOOKUP(H$4,'4. Billing Determinants'!$B$19:$R$41,6,0)/'4. Billing Determinants'!$G$41*$D84,IF($E84="Distribution Rev.",VLOOKUP(H$4,'4. Billing Determinants'!$B$19:$R$41,8,0)/'4. Billing Determinants'!$I$41*$D84, VLOOKUP(H$4,'4. Billing Determinants'!$B$19:$R$41,3,0)/'4. Billing Determinants'!$D$41*$D84))))),0)</f>
        <v>0</v>
      </c>
      <c r="I84" s="553">
        <f>IFERROR(IF(I$4="",0,IF($E84="kWh",VLOOKUP(I$4,'4. Billing Determinants'!$B$19:$R$41,4,0)/'4. Billing Determinants'!$E$41*$D84,IF($E84="kW",VLOOKUP(I$4,'4. Billing Determinants'!$B$19:$R$41,5,0)/'4. Billing Determinants'!$F$41*$D84,IF($E84="Non-RPP kWh",VLOOKUP(I$4,'4. Billing Determinants'!$B$19:$R$41,6,0)/'4. Billing Determinants'!$G$41*$D84,IF($E84="Distribution Rev.",VLOOKUP(I$4,'4. Billing Determinants'!$B$19:$R$41,8,0)/'4. Billing Determinants'!$I$41*$D84, VLOOKUP(I$4,'4. Billing Determinants'!$B$19:$R$41,3,0)/'4. Billing Determinants'!$D$41*$D84))))),0)</f>
        <v>0</v>
      </c>
      <c r="J84" s="553">
        <f>IFERROR(IF(J$4="",0,IF($E84="kWh",VLOOKUP(J$4,'4. Billing Determinants'!$B$19:$R$41,4,0)/'4. Billing Determinants'!$E$41*$D84,IF($E84="kW",VLOOKUP(J$4,'4. Billing Determinants'!$B$19:$R$41,5,0)/'4. Billing Determinants'!$F$41*$D84,IF($E84="Non-RPP kWh",VLOOKUP(J$4,'4. Billing Determinants'!$B$19:$R$41,6,0)/'4. Billing Determinants'!$G$41*$D84,IF($E84="Distribution Rev.",VLOOKUP(J$4,'4. Billing Determinants'!$B$19:$R$41,8,0)/'4. Billing Determinants'!$I$41*$D84, VLOOKUP(J$4,'4. Billing Determinants'!$B$19:$R$41,3,0)/'4. Billing Determinants'!$D$41*$D84))))),0)</f>
        <v>0</v>
      </c>
      <c r="K84" s="553">
        <f>IFERROR(IF(K$4="",0,IF($E84="kWh",VLOOKUP(K$4,'4. Billing Determinants'!$B$19:$R$41,4,0)/'4. Billing Determinants'!$E$41*$D84,IF($E84="kW",VLOOKUP(K$4,'4. Billing Determinants'!$B$19:$R$41,5,0)/'4. Billing Determinants'!$F$41*$D84,IF($E84="Non-RPP kWh",VLOOKUP(K$4,'4. Billing Determinants'!$B$19:$R$41,6,0)/'4. Billing Determinants'!$G$41*$D84,IF($E84="Distribution Rev.",VLOOKUP(K$4,'4. Billing Determinants'!$B$19:$R$41,8,0)/'4. Billing Determinants'!$I$41*$D84, VLOOKUP(K$4,'4. Billing Determinants'!$B$19:$R$41,3,0)/'4. Billing Determinants'!$D$41*$D84))))),0)</f>
        <v>0</v>
      </c>
      <c r="L84" s="553">
        <f>IFERROR(IF(L$4="",0,IF($E84="kWh",VLOOKUP(L$4,'4. Billing Determinants'!$B$19:$R$41,4,0)/'4. Billing Determinants'!$E$41*$D84,IF($E84="kW",VLOOKUP(L$4,'4. Billing Determinants'!$B$19:$R$41,5,0)/'4. Billing Determinants'!$F$41*$D84,IF($E84="Non-RPP kWh",VLOOKUP(L$4,'4. Billing Determinants'!$B$19:$R$41,6,0)/'4. Billing Determinants'!$G$41*$D84,IF($E84="Distribution Rev.",VLOOKUP(L$4,'4. Billing Determinants'!$B$19:$R$41,8,0)/'4. Billing Determinants'!$I$41*$D84, VLOOKUP(L$4,'4. Billing Determinants'!$B$19:$R$41,3,0)/'4. Billing Determinants'!$D$41*$D84))))),0)</f>
        <v>0</v>
      </c>
      <c r="M84" s="553">
        <f>IFERROR(IF(M$4="",0,IF($E84="kWh",VLOOKUP(M$4,'4. Billing Determinants'!$B$19:$R$41,4,0)/'4. Billing Determinants'!$E$41*$D84,IF($E84="kW",VLOOKUP(M$4,'4. Billing Determinants'!$B$19:$R$41,5,0)/'4. Billing Determinants'!$F$41*$D84,IF($E84="Non-RPP kWh",VLOOKUP(M$4,'4. Billing Determinants'!$B$19:$R$41,6,0)/'4. Billing Determinants'!$G$41*$D84,IF($E84="Distribution Rev.",VLOOKUP(M$4,'4. Billing Determinants'!$B$19:$R$41,8,0)/'4. Billing Determinants'!$I$41*$D84, VLOOKUP(M$4,'4. Billing Determinants'!$B$19:$R$41,3,0)/'4. Billing Determinants'!$D$41*$D84))))),0)</f>
        <v>0</v>
      </c>
      <c r="N84" s="553">
        <f>IFERROR(IF(N$4="",0,IF($E84="kWh",VLOOKUP(N$4,'4. Billing Determinants'!$B$19:$R$41,4,0)/'4. Billing Determinants'!$E$41*$D84,IF($E84="kW",VLOOKUP(N$4,'4. Billing Determinants'!$B$19:$R$41,5,0)/'4. Billing Determinants'!$F$41*$D84,IF($E84="Non-RPP kWh",VLOOKUP(N$4,'4. Billing Determinants'!$B$19:$R$41,6,0)/'4. Billing Determinants'!$G$41*$D84,IF($E84="Distribution Rev.",VLOOKUP(N$4,'4. Billing Determinants'!$B$19:$R$41,8,0)/'4. Billing Determinants'!$I$41*$D84, VLOOKUP(N$4,'4. Billing Determinants'!$B$19:$R$41,3,0)/'4. Billing Determinants'!$D$41*$D84))))),0)</f>
        <v>0</v>
      </c>
      <c r="O84" s="553">
        <f>IFERROR(IF(O$4="",0,IF($E84="kWh",VLOOKUP(O$4,'4. Billing Determinants'!$B$19:$R$41,4,0)/'4. Billing Determinants'!$E$41*$D84,IF($E84="kW",VLOOKUP(O$4,'4. Billing Determinants'!$B$19:$R$41,5,0)/'4. Billing Determinants'!$F$41*$D84,IF($E84="Non-RPP kWh",VLOOKUP(O$4,'4. Billing Determinants'!$B$19:$R$41,6,0)/'4. Billing Determinants'!$G$41*$D84,IF($E84="Distribution Rev.",VLOOKUP(O$4,'4. Billing Determinants'!$B$19:$R$41,8,0)/'4. Billing Determinants'!$I$41*$D84, VLOOKUP(O$4,'4. Billing Determinants'!$B$19:$R$41,3,0)/'4. Billing Determinants'!$D$41*$D84))))),0)</f>
        <v>0</v>
      </c>
      <c r="P84" s="553">
        <f>IFERROR(IF(P$4="",0,IF($E84="kWh",VLOOKUP(P$4,'4. Billing Determinants'!$B$19:$R$41,4,0)/'4. Billing Determinants'!$E$41*$D84,IF($E84="kW",VLOOKUP(P$4,'4. Billing Determinants'!$B$19:$R$41,5,0)/'4. Billing Determinants'!$F$41*$D84,IF($E84="Non-RPP kWh",VLOOKUP(P$4,'4. Billing Determinants'!$B$19:$R$41,6,0)/'4. Billing Determinants'!$G$41*$D84,IF($E84="Distribution Rev.",VLOOKUP(P$4,'4. Billing Determinants'!$B$19:$R$41,8,0)/'4. Billing Determinants'!$I$41*$D84, VLOOKUP(P$4,'4. Billing Determinants'!$B$19:$R$41,3,0)/'4. Billing Determinants'!$D$41*$D84))))),0)</f>
        <v>0</v>
      </c>
      <c r="Q84" s="553">
        <f>IFERROR(IF(Q$4="",0,IF($E84="kWh",VLOOKUP(Q$4,'4. Billing Determinants'!$B$19:$R$41,4,0)/'4. Billing Determinants'!$E$41*$D84,IF($E84="kW",VLOOKUP(Q$4,'4. Billing Determinants'!$B$19:$R$41,5,0)/'4. Billing Determinants'!$F$41*$D84,IF($E84="Non-RPP kWh",VLOOKUP(Q$4,'4. Billing Determinants'!$B$19:$R$41,6,0)/'4. Billing Determinants'!$G$41*$D84,IF($E84="Distribution Rev.",VLOOKUP(Q$4,'4. Billing Determinants'!$B$19:$R$41,8,0)/'4. Billing Determinants'!$I$41*$D84, VLOOKUP(Q$4,'4. Billing Determinants'!$B$19:$R$41,3,0)/'4. Billing Determinants'!$D$41*$D84))))),0)</f>
        <v>0</v>
      </c>
      <c r="R84" s="553">
        <f>IFERROR(IF(R$4="",0,IF($E84="kWh",VLOOKUP(R$4,'4. Billing Determinants'!$B$19:$R$41,4,0)/'4. Billing Determinants'!$E$41*$D84,IF($E84="kW",VLOOKUP(R$4,'4. Billing Determinants'!$B$19:$R$41,5,0)/'4. Billing Determinants'!$F$41*$D84,IF($E84="Non-RPP kWh",VLOOKUP(R$4,'4. Billing Determinants'!$B$19:$R$41,6,0)/'4. Billing Determinants'!$G$41*$D84,IF($E84="Distribution Rev.",VLOOKUP(R$4,'4. Billing Determinants'!$B$19:$R$41,8,0)/'4. Billing Determinants'!$I$41*$D84, VLOOKUP(R$4,'4. Billing Determinants'!$B$19:$R$41,3,0)/'4. Billing Determinants'!$D$41*$D84))))),0)</f>
        <v>0</v>
      </c>
      <c r="S84" s="553">
        <f>IFERROR(IF(S$4="",0,IF($E84="kWh",VLOOKUP(S$4,'4. Billing Determinants'!$B$19:$R$41,4,0)/'4. Billing Determinants'!$E$41*$D84,IF($E84="kW",VLOOKUP(S$4,'4. Billing Determinants'!$B$19:$R$41,5,0)/'4. Billing Determinants'!$F$41*$D84,IF($E84="Non-RPP kWh",VLOOKUP(S$4,'4. Billing Determinants'!$B$19:$R$41,6,0)/'4. Billing Determinants'!$G$41*$D84,IF($E84="Distribution Rev.",VLOOKUP(S$4,'4. Billing Determinants'!$B$19:$R$41,8,0)/'4. Billing Determinants'!$I$41*$D84, VLOOKUP(S$4,'4. Billing Determinants'!$B$19:$R$41,3,0)/'4. Billing Determinants'!$D$41*$D84))))),0)</f>
        <v>0</v>
      </c>
      <c r="T84" s="553">
        <f>IFERROR(IF(T$4="",0,IF($E84="kWh",VLOOKUP(T$4,'4. Billing Determinants'!$B$19:$R$41,4,0)/'4. Billing Determinants'!$E$41*$D84,IF($E84="kW",VLOOKUP(T$4,'4. Billing Determinants'!$B$19:$R$41,5,0)/'4. Billing Determinants'!$F$41*$D84,IF($E84="Non-RPP kWh",VLOOKUP(T$4,'4. Billing Determinants'!$B$19:$R$41,6,0)/'4. Billing Determinants'!$G$41*$D84,IF($E84="Distribution Rev.",VLOOKUP(T$4,'4. Billing Determinants'!$B$19:$R$41,8,0)/'4. Billing Determinants'!$I$41*$D84, VLOOKUP(T$4,'4. Billing Determinants'!$B$19:$R$41,3,0)/'4. Billing Determinants'!$D$41*$D84))))),0)</f>
        <v>0</v>
      </c>
      <c r="U84" s="553">
        <f>IFERROR(IF(U$4="",0,IF($E84="kWh",VLOOKUP(U$4,'4. Billing Determinants'!$B$19:$R$41,4,0)/'4. Billing Determinants'!$E$41*$D84,IF($E84="kW",VLOOKUP(U$4,'4. Billing Determinants'!$B$19:$R$41,5,0)/'4. Billing Determinants'!$F$41*$D84,IF($E84="Non-RPP kWh",VLOOKUP(U$4,'4. Billing Determinants'!$B$19:$R$41,6,0)/'4. Billing Determinants'!$G$41*$D84,IF($E84="Distribution Rev.",VLOOKUP(U$4,'4. Billing Determinants'!$B$19:$R$41,8,0)/'4. Billing Determinants'!$I$41*$D84, VLOOKUP(U$4,'4. Billing Determinants'!$B$19:$R$41,3,0)/'4. Billing Determinants'!$D$41*$D84))))),0)</f>
        <v>0</v>
      </c>
      <c r="V84" s="553">
        <f>IFERROR(IF(V$4="",0,IF($E84="kWh",VLOOKUP(V$4,'4. Billing Determinants'!$B$19:$R$41,4,0)/'4. Billing Determinants'!$E$41*$D84,IF($E84="kW",VLOOKUP(V$4,'4. Billing Determinants'!$B$19:$R$41,5,0)/'4. Billing Determinants'!$F$41*$D84,IF($E84="Non-RPP kWh",VLOOKUP(V$4,'4. Billing Determinants'!$B$19:$R$41,6,0)/'4. Billing Determinants'!$G$41*$D84,IF($E84="Distribution Rev.",VLOOKUP(V$4,'4. Billing Determinants'!$B$19:$R$41,8,0)/'4. Billing Determinants'!$I$41*$D84, VLOOKUP(V$4,'4. Billing Determinants'!$B$19:$R$41,3,0)/'4. Billing Determinants'!$D$41*$D84))))),0)</f>
        <v>0</v>
      </c>
      <c r="W84" s="553">
        <f>IFERROR(IF(W$4="",0,IF($E84="kWh",VLOOKUP(W$4,'4. Billing Determinants'!$B$19:$R$41,4,0)/'4. Billing Determinants'!$E$41*$D84,IF($E84="kW",VLOOKUP(W$4,'4. Billing Determinants'!$B$19:$R$41,5,0)/'4. Billing Determinants'!$F$41*$D84,IF($E84="Non-RPP kWh",VLOOKUP(W$4,'4. Billing Determinants'!$B$19:$R$41,6,0)/'4. Billing Determinants'!$G$41*$D84,IF($E84="Distribution Rev.",VLOOKUP(W$4,'4. Billing Determinants'!$B$19:$R$41,8,0)/'4. Billing Determinants'!$I$41*$D84, VLOOKUP(W$4,'4. Billing Determinants'!$B$19:$R$41,3,0)/'4. Billing Determinants'!$D$41*$D84))))),0)</f>
        <v>0</v>
      </c>
      <c r="X84" s="553">
        <f>IFERROR(IF(X$4="",0,IF($E84="kWh",VLOOKUP(X$4,'4. Billing Determinants'!$B$19:$R$41,4,0)/'4. Billing Determinants'!$E$41*$D84,IF($E84="kW",VLOOKUP(X$4,'4. Billing Determinants'!$B$19:$R$41,5,0)/'4. Billing Determinants'!$F$41*$D84,IF($E84="Non-RPP kWh",VLOOKUP(X$4,'4. Billing Determinants'!$B$19:$R$41,6,0)/'4. Billing Determinants'!$G$41*$D84,IF($E84="Distribution Rev.",VLOOKUP(X$4,'4. Billing Determinants'!$B$19:$R$41,8,0)/'4. Billing Determinants'!$I$41*$D84, VLOOKUP(X$4,'4. Billing Determinants'!$B$19:$R$41,3,0)/'4. Billing Determinants'!$D$41*$D84))))),0)</f>
        <v>0</v>
      </c>
      <c r="Y84" s="553">
        <f>IFERROR(IF(Y$4="",0,IF($E84="kWh",VLOOKUP(Y$4,'4. Billing Determinants'!$B$19:$R$41,4,0)/'4. Billing Determinants'!$E$41*$D84,IF($E84="kW",VLOOKUP(Y$4,'4. Billing Determinants'!$B$19:$R$41,5,0)/'4. Billing Determinants'!$F$41*$D84,IF($E84="Non-RPP kWh",VLOOKUP(Y$4,'4. Billing Determinants'!$B$19:$R$41,6,0)/'4. Billing Determinants'!$G$41*$D84,IF($E84="Distribution Rev.",VLOOKUP(Y$4,'4. Billing Determinants'!$B$19:$R$41,8,0)/'4. Billing Determinants'!$I$41*$D84, VLOOKUP(Y$4,'4. Billing Determinants'!$B$19:$R$41,3,0)/'4. Billing Determinants'!$D$41*$D84))))),0)</f>
        <v>0</v>
      </c>
    </row>
  </sheetData>
  <mergeCells count="7">
    <mergeCell ref="B73:C73"/>
    <mergeCell ref="B60:C60"/>
    <mergeCell ref="B61:C61"/>
    <mergeCell ref="B67:C67"/>
    <mergeCell ref="B68:C68"/>
    <mergeCell ref="B69:C69"/>
    <mergeCell ref="B71:C71"/>
  </mergeCells>
  <dataValidations count="3">
    <dataValidation type="list" allowBlank="1" showInputMessage="1" showErrorMessage="1" sqref="E63:E64 E55:E56 E75:E76 E22 E24:E52" xr:uid="{76585FDC-B5B7-42D4-9B4F-A0DF31A5BAB4}">
      <formula1>"kWh, kW,Distribution Rev., # of Customers"</formula1>
    </dataValidation>
    <dataValidation type="list" allowBlank="1" showInputMessage="1" showErrorMessage="1" sqref="E53 E57" xr:uid="{1368ABA1-ACCE-4489-91B8-7132A5907F5B}">
      <formula1>"kWh, kW, Non-RPP kWh, Distribution Rev."</formula1>
    </dataValidation>
    <dataValidation type="list" allowBlank="1" showInputMessage="1" showErrorMessage="1" sqref="E5 E65 E7:E10" xr:uid="{3F83F004-F96A-421E-B850-2FFA6230F440}">
      <formula1>"kWh, kW"</formula1>
    </dataValidation>
  </dataValidation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pageSetUpPr fitToPage="1"/>
  </sheetPr>
  <dimension ref="A14:AE791"/>
  <sheetViews>
    <sheetView showGridLines="0" topLeftCell="A20" zoomScale="85" zoomScaleNormal="85" workbookViewId="0">
      <selection activeCell="F30" sqref="F30"/>
    </sheetView>
  </sheetViews>
  <sheetFormatPr defaultColWidth="9" defaultRowHeight="14.5" x14ac:dyDescent="0.35"/>
  <cols>
    <col min="1" max="1" width="13.7265625" style="462" customWidth="1"/>
    <col min="2" max="2" width="70" style="462" customWidth="1"/>
    <col min="3" max="3" width="20.26953125" style="462" customWidth="1"/>
    <col min="4" max="4" width="54" style="462" bestFit="1" customWidth="1"/>
    <col min="5" max="5" width="25.54296875" style="462" customWidth="1"/>
    <col min="6" max="9" width="20.54296875" style="462" customWidth="1"/>
    <col min="10" max="12" width="20.54296875" style="462" hidden="1" customWidth="1"/>
    <col min="13" max="13" width="17.81640625" style="462" hidden="1" customWidth="1"/>
    <col min="14" max="14" width="17" style="462" hidden="1" customWidth="1"/>
    <col min="15" max="15" width="19" style="462" hidden="1" customWidth="1"/>
    <col min="16" max="17" width="9" style="462" customWidth="1"/>
    <col min="18" max="26" width="9" style="462"/>
    <col min="27" max="34" width="0" style="462" hidden="1" customWidth="1"/>
    <col min="35" max="16384" width="9" style="462"/>
  </cols>
  <sheetData>
    <row r="14" spans="1:15" x14ac:dyDescent="0.35">
      <c r="A14" s="496" t="s">
        <v>472</v>
      </c>
      <c r="B14" s="467" t="s">
        <v>473</v>
      </c>
      <c r="C14" s="497">
        <f>'1. Information Sheet'!L33</f>
        <v>2021</v>
      </c>
      <c r="D14" s="1211"/>
      <c r="E14" s="1212"/>
      <c r="F14" s="1212"/>
      <c r="G14" s="1212"/>
      <c r="H14" s="1212"/>
      <c r="I14" s="1212"/>
      <c r="J14" s="1212"/>
      <c r="K14" s="1212"/>
    </row>
    <row r="15" spans="1:15" ht="32.25" customHeight="1" x14ac:dyDescent="0.35">
      <c r="B15" s="498"/>
      <c r="C15" s="499"/>
    </row>
    <row r="16" spans="1:15" ht="30" hidden="1" customHeight="1" x14ac:dyDescent="0.35">
      <c r="B16" s="467"/>
      <c r="C16" s="1213" t="s">
        <v>203</v>
      </c>
      <c r="D16" s="1214"/>
      <c r="E16" s="1215"/>
      <c r="F16" s="1205">
        <v>2016</v>
      </c>
      <c r="G16" s="1206"/>
      <c r="H16" s="1205">
        <v>2015</v>
      </c>
      <c r="I16" s="1206"/>
      <c r="J16" s="1205">
        <v>2014</v>
      </c>
      <c r="K16" s="1206"/>
      <c r="L16" s="1205">
        <v>2013</v>
      </c>
      <c r="M16" s="1206"/>
      <c r="N16" s="1205">
        <v>2012</v>
      </c>
      <c r="O16" s="1206"/>
    </row>
    <row r="17" spans="1:31" x14ac:dyDescent="0.35">
      <c r="A17" s="500" t="s">
        <v>474</v>
      </c>
      <c r="B17" s="467" t="s">
        <v>475</v>
      </c>
      <c r="C17" s="497">
        <f>'1. Information Sheet'!L43</f>
        <v>2022</v>
      </c>
      <c r="D17" s="693" t="s">
        <v>476</v>
      </c>
    </row>
    <row r="18" spans="1:31" ht="32.25" customHeight="1" x14ac:dyDescent="0.35">
      <c r="C18" s="499"/>
      <c r="E18" s="498"/>
    </row>
    <row r="19" spans="1:31" ht="72" customHeight="1" x14ac:dyDescent="0.35">
      <c r="A19" s="501" t="s">
        <v>204</v>
      </c>
      <c r="B19" s="467" t="s">
        <v>2953</v>
      </c>
      <c r="C19" s="502" t="s">
        <v>3029</v>
      </c>
      <c r="D19" s="694" t="s">
        <v>3454</v>
      </c>
    </row>
    <row r="20" spans="1:31" ht="21" customHeight="1" x14ac:dyDescent="0.35">
      <c r="D20" s="695"/>
    </row>
    <row r="21" spans="1:31" ht="99" customHeight="1" x14ac:dyDescent="0.35">
      <c r="A21" s="501" t="s">
        <v>205</v>
      </c>
      <c r="B21" s="464" t="s">
        <v>2954</v>
      </c>
      <c r="C21" s="502" t="s">
        <v>3029</v>
      </c>
      <c r="D21" s="694" t="s">
        <v>3455</v>
      </c>
    </row>
    <row r="22" spans="1:31" x14ac:dyDescent="0.35">
      <c r="B22" s="498"/>
    </row>
    <row r="23" spans="1:31" x14ac:dyDescent="0.35">
      <c r="B23" s="498"/>
    </row>
    <row r="24" spans="1:31" x14ac:dyDescent="0.35">
      <c r="A24" s="500"/>
    </row>
    <row r="25" spans="1:31" ht="28" x14ac:dyDescent="0.35">
      <c r="A25" s="501" t="s">
        <v>206</v>
      </c>
      <c r="B25" s="467" t="s">
        <v>477</v>
      </c>
      <c r="C25" s="415">
        <v>8</v>
      </c>
      <c r="P25" s="503"/>
      <c r="Q25" s="503"/>
      <c r="R25" s="503"/>
      <c r="S25" s="503"/>
      <c r="T25" s="503"/>
      <c r="U25" s="503"/>
      <c r="V25" s="503"/>
    </row>
    <row r="26" spans="1:31" x14ac:dyDescent="0.35">
      <c r="P26" s="503"/>
      <c r="Q26" s="503"/>
      <c r="R26" s="503"/>
      <c r="S26" s="503"/>
      <c r="T26" s="503"/>
      <c r="U26" s="503"/>
      <c r="V26" s="503"/>
      <c r="Z26" s="504"/>
      <c r="AA26" s="504"/>
      <c r="AB26" s="504"/>
    </row>
    <row r="27" spans="1:31" x14ac:dyDescent="0.35">
      <c r="A27" s="503"/>
      <c r="B27" s="503"/>
      <c r="C27" s="505" t="s">
        <v>417</v>
      </c>
      <c r="P27" s="503"/>
      <c r="Q27" s="503"/>
      <c r="R27" s="503"/>
      <c r="S27" s="503"/>
      <c r="T27" s="503"/>
      <c r="U27" s="503"/>
      <c r="V27" s="503"/>
      <c r="Z27" s="504"/>
      <c r="AA27" s="504"/>
      <c r="AB27" s="504"/>
      <c r="AC27" s="503"/>
    </row>
    <row r="28" spans="1:31" x14ac:dyDescent="0.35">
      <c r="A28" s="503"/>
      <c r="B28" s="503"/>
      <c r="C28" s="1207" t="s">
        <v>188</v>
      </c>
      <c r="D28" s="1207" t="s">
        <v>207</v>
      </c>
      <c r="E28" s="506"/>
      <c r="F28" s="1209">
        <v>2023</v>
      </c>
      <c r="G28" s="1210"/>
      <c r="H28" s="1209">
        <v>2022</v>
      </c>
      <c r="I28" s="1210"/>
      <c r="J28" s="1209">
        <v>2020</v>
      </c>
      <c r="K28" s="1210"/>
      <c r="L28" s="1209">
        <v>2019</v>
      </c>
      <c r="M28" s="1210"/>
      <c r="N28" s="1209">
        <v>2018</v>
      </c>
      <c r="O28" s="1210"/>
      <c r="P28" s="503"/>
      <c r="Q28" s="503"/>
      <c r="R28" s="503"/>
      <c r="S28" s="503"/>
      <c r="T28" s="503"/>
      <c r="U28" s="503"/>
      <c r="V28" s="503"/>
      <c r="Z28" s="504"/>
      <c r="AA28" s="504"/>
      <c r="AB28" s="504"/>
      <c r="AC28" s="504"/>
      <c r="AD28" s="504"/>
      <c r="AE28" s="504"/>
    </row>
    <row r="29" spans="1:31" x14ac:dyDescent="0.35">
      <c r="A29" s="503"/>
      <c r="B29" s="503"/>
      <c r="C29" s="1208"/>
      <c r="D29" s="1208"/>
      <c r="E29" s="507"/>
      <c r="F29" s="630" t="s">
        <v>209</v>
      </c>
      <c r="G29" s="630" t="s">
        <v>208</v>
      </c>
      <c r="H29" s="630" t="s">
        <v>209</v>
      </c>
      <c r="I29" s="630" t="s">
        <v>208</v>
      </c>
      <c r="J29" s="630" t="s">
        <v>209</v>
      </c>
      <c r="K29" s="630" t="s">
        <v>208</v>
      </c>
      <c r="L29" s="630" t="s">
        <v>209</v>
      </c>
      <c r="M29" s="630" t="s">
        <v>208</v>
      </c>
      <c r="N29" s="630" t="s">
        <v>209</v>
      </c>
      <c r="O29" s="630" t="s">
        <v>208</v>
      </c>
      <c r="P29" s="503"/>
      <c r="Q29" s="503"/>
      <c r="R29" s="503"/>
      <c r="S29" s="503"/>
      <c r="T29" s="503"/>
      <c r="U29" s="503"/>
      <c r="V29" s="503"/>
      <c r="Z29" s="504"/>
      <c r="AA29" s="504"/>
      <c r="AB29" s="504"/>
      <c r="AC29" s="504"/>
      <c r="AD29" s="504"/>
      <c r="AE29" s="504"/>
    </row>
    <row r="30" spans="1:31" x14ac:dyDescent="0.35">
      <c r="A30" s="503" t="str">
        <f>IF(AND(F32=G32,H32=I32,J32=K32,F32="A"),"2016 - kwh",IF(AND(F32=G32,H32=I32,J32&lt;&gt;K32,F32="A"),"2017 - kwh",IF(AND(F32=G32,H32&lt;&gt;I32,F32="A"),"2018 - kwh","N/A")))</f>
        <v>N/A</v>
      </c>
      <c r="B30" s="503" t="str">
        <f>IF(F32&lt;&gt;G32,"2018 - kwh",IF(H32&lt;&gt;I32,"2017 - kwh",IF(J32&lt;&gt;K32,"2016 - kwh","N/A")))</f>
        <v>2018 - kwh</v>
      </c>
      <c r="C30" s="508" t="s">
        <v>195</v>
      </c>
      <c r="D30" s="509" t="s">
        <v>3945</v>
      </c>
      <c r="E30" s="510" t="s">
        <v>139</v>
      </c>
      <c r="F30" s="415">
        <v>11081070.199577</v>
      </c>
      <c r="G30" s="415">
        <v>10155106.828859</v>
      </c>
      <c r="H30" s="415">
        <v>37490933.000228003</v>
      </c>
      <c r="I30" s="415">
        <v>26411164.066281002</v>
      </c>
      <c r="J30" s="415"/>
      <c r="K30" s="415"/>
      <c r="L30" s="415"/>
      <c r="M30" s="415"/>
      <c r="N30" s="415"/>
      <c r="O30" s="415"/>
      <c r="P30" s="503"/>
      <c r="Q30" s="503"/>
      <c r="R30" s="503"/>
      <c r="S30" s="503"/>
      <c r="T30" s="503"/>
      <c r="U30" s="503"/>
      <c r="V30" s="503"/>
      <c r="Z30" s="504"/>
      <c r="AA30" s="504" t="str">
        <f>IF(AND(F32=G32,H32=I32,F32="A"),"2016 - kwh","")</f>
        <v/>
      </c>
      <c r="AB30" s="504" t="str">
        <f>IF(OR(B30="2017 - kwh",B30="2018 - kwh"),"2016 - kwh","")</f>
        <v>2016 - kwh</v>
      </c>
      <c r="AC30" s="504"/>
      <c r="AD30" s="504"/>
      <c r="AE30" s="504"/>
    </row>
    <row r="31" spans="1:31" x14ac:dyDescent="0.35">
      <c r="A31" s="503" t="str">
        <f>IF(AND(F32=G32,H32=I32,J32=K32,F32="A"),"2016 - kw",IF(AND(F32=G32,H32=I32,J32&lt;&gt;K32,F32="A"),"2017 - kw",IF(AND(F32=G32,H32&lt;&gt;I32,F32="A"),"2018 - kw","N/A")))</f>
        <v>N/A</v>
      </c>
      <c r="B31" s="503" t="str">
        <f>IF(F32&lt;&gt;G32,"2018 - kw",IF(H32&lt;&gt;I32,"2017 - kw",IF(J32&lt;&gt;K32,"2016 - kw","N/A")))</f>
        <v>2018 - kw</v>
      </c>
      <c r="C31" s="511"/>
      <c r="D31" s="512" t="str">
        <f>D30 &amp; "kW"</f>
        <v>LARGE USE SERVICE CLASSIFICATIONkW</v>
      </c>
      <c r="E31" s="513" t="s">
        <v>170</v>
      </c>
      <c r="F31" s="415">
        <v>47193.256628000003</v>
      </c>
      <c r="G31" s="415">
        <v>44868.751046999998</v>
      </c>
      <c r="H31" s="415">
        <v>78486.482800999991</v>
      </c>
      <c r="I31" s="415">
        <v>58963.161248999997</v>
      </c>
      <c r="J31" s="415"/>
      <c r="K31" s="415"/>
      <c r="L31" s="415"/>
      <c r="M31" s="415"/>
      <c r="N31" s="415"/>
      <c r="O31" s="415"/>
      <c r="P31" s="503"/>
      <c r="Q31" s="503"/>
      <c r="R31" s="503"/>
      <c r="S31" s="503"/>
      <c r="T31" s="503"/>
      <c r="U31" s="503"/>
      <c r="V31" s="503"/>
      <c r="Z31" s="504"/>
      <c r="AA31" s="504" t="str">
        <f>IF(AND(F32=G32,H32=I32,F32="A"),"2016 - kw","")</f>
        <v/>
      </c>
      <c r="AB31" s="504" t="str">
        <f>IF(OR(B31="2017 - kw",B31="2018 - kw"),"2016 - kw","")</f>
        <v>2016 - kw</v>
      </c>
      <c r="AC31" s="504"/>
      <c r="AD31" s="504"/>
      <c r="AE31" s="504"/>
    </row>
    <row r="32" spans="1:31" x14ac:dyDescent="0.35">
      <c r="A32" s="503"/>
      <c r="B32" s="503"/>
      <c r="C32" s="514"/>
      <c r="D32" s="515"/>
      <c r="E32" s="516" t="s">
        <v>210</v>
      </c>
      <c r="F32" s="502" t="s">
        <v>186</v>
      </c>
      <c r="G32" s="502" t="s">
        <v>187</v>
      </c>
      <c r="H32" s="502" t="s">
        <v>186</v>
      </c>
      <c r="I32" s="502" t="s">
        <v>187</v>
      </c>
      <c r="J32" s="502"/>
      <c r="K32" s="502"/>
      <c r="L32" s="502"/>
      <c r="M32" s="502"/>
      <c r="N32" s="502"/>
      <c r="O32" s="502"/>
      <c r="P32" s="503"/>
      <c r="Q32" s="503"/>
      <c r="R32" s="503"/>
      <c r="S32" s="503"/>
      <c r="T32" s="503"/>
      <c r="U32" s="503"/>
      <c r="V32" s="503"/>
      <c r="Z32" s="504"/>
      <c r="AA32" s="504"/>
      <c r="AB32" s="504"/>
      <c r="AC32" s="504"/>
      <c r="AD32" s="504"/>
      <c r="AE32" s="504"/>
    </row>
    <row r="33" spans="1:31" x14ac:dyDescent="0.35">
      <c r="A33" s="503" t="str">
        <f>IF(AND(F35=G35,H35=I35,J35=K35,F35="A"),"2016 - kwh",IF(AND(F35=G35,H35=I35,J35&lt;&gt;K35,F35="A"),"2017 - kwh",IF(AND(F35=G35,H35&lt;&gt;I35,F35="A"),"2018 - kwh","N/A")))</f>
        <v>N/A</v>
      </c>
      <c r="B33" s="503" t="str">
        <f>IF(F35&lt;&gt;G35,"2018 - kwh",IF(H35&lt;&gt;I35,"2017 - kwh",IF(J35&lt;&gt;K35,"2016 - kwh","N/A")))</f>
        <v>2018 - kwh</v>
      </c>
      <c r="C33" s="508" t="s">
        <v>196</v>
      </c>
      <c r="D33" s="509" t="s">
        <v>3945</v>
      </c>
      <c r="E33" s="510" t="s">
        <v>139</v>
      </c>
      <c r="F33" s="415">
        <v>94350526.001494989</v>
      </c>
      <c r="G33" s="415">
        <v>76421364.904137</v>
      </c>
      <c r="H33" s="415">
        <v>92636632.818752006</v>
      </c>
      <c r="I33" s="415">
        <v>101487170.048016</v>
      </c>
      <c r="J33" s="415"/>
      <c r="K33" s="415"/>
      <c r="L33" s="415"/>
      <c r="M33" s="415"/>
      <c r="N33" s="415"/>
      <c r="O33" s="415"/>
      <c r="P33" s="503"/>
      <c r="Q33" s="503"/>
      <c r="R33" s="503"/>
      <c r="S33" s="503"/>
      <c r="T33" s="503"/>
      <c r="U33" s="503"/>
      <c r="V33" s="503"/>
      <c r="Z33" s="504"/>
      <c r="AA33" s="504" t="str">
        <f>IF(AND(F35=G35,H35=I35,F35="A"),"2016 - kwh","")</f>
        <v/>
      </c>
      <c r="AB33" s="504" t="str">
        <f>IF(OR(B33="2017 - kwh",B33="2018 - kwh"),"2016 - kwh","")</f>
        <v>2016 - kwh</v>
      </c>
      <c r="AC33" s="504"/>
      <c r="AD33" s="504"/>
      <c r="AE33" s="504"/>
    </row>
    <row r="34" spans="1:31" x14ac:dyDescent="0.35">
      <c r="A34" s="503" t="str">
        <f>IF(AND(F35=G35,H35=I35,J35=K35,F35="A"),"2016 - kw",IF(AND(F35=G35,H35=I35,J35&lt;&gt;K35,F35="A"),"2017 - kw",IF(AND(F35=G35,H35&lt;&gt;I35,F35="A"),"2018 - kw","N/A")))</f>
        <v>N/A</v>
      </c>
      <c r="B34" s="503" t="str">
        <f>IF(F35&lt;&gt;G35,"2018 - kw",IF(H35&lt;&gt;I35,"2017 - kw",IF(J35&lt;&gt;K35,"2016 - kw","N/A")))</f>
        <v>2018 - kw</v>
      </c>
      <c r="C34" s="511"/>
      <c r="D34" s="512" t="str">
        <f>D33 &amp; "kW"</f>
        <v>LARGE USE SERVICE CLASSIFICATIONkW</v>
      </c>
      <c r="E34" s="513" t="s">
        <v>170</v>
      </c>
      <c r="F34" s="415">
        <v>226683.36609200001</v>
      </c>
      <c r="G34" s="415">
        <v>190549.85147999998</v>
      </c>
      <c r="H34" s="415">
        <v>252166.71642800004</v>
      </c>
      <c r="I34" s="415">
        <v>258769.87682899999</v>
      </c>
      <c r="J34" s="415"/>
      <c r="K34" s="415"/>
      <c r="L34" s="415"/>
      <c r="M34" s="415"/>
      <c r="N34" s="415"/>
      <c r="O34" s="415"/>
      <c r="P34" s="503"/>
      <c r="Q34" s="503"/>
      <c r="R34" s="503"/>
      <c r="S34" s="503"/>
      <c r="T34" s="503"/>
      <c r="U34" s="503"/>
      <c r="V34" s="503"/>
      <c r="Z34" s="504"/>
      <c r="AA34" s="504" t="str">
        <f>IF(AND(F35=G35,H35=I35,F35="A"),"2016 - kw","")</f>
        <v/>
      </c>
      <c r="AB34" s="504" t="str">
        <f>IF(OR(B34="2017 - kw",B34="2018 - kw"),"2016 - kw","")</f>
        <v>2016 - kw</v>
      </c>
      <c r="AC34" s="504"/>
      <c r="AD34" s="504"/>
      <c r="AE34" s="504"/>
    </row>
    <row r="35" spans="1:31" x14ac:dyDescent="0.35">
      <c r="A35" s="503"/>
      <c r="B35" s="503"/>
      <c r="C35" s="514"/>
      <c r="D35" s="515"/>
      <c r="E35" s="516" t="s">
        <v>210</v>
      </c>
      <c r="F35" s="502" t="s">
        <v>187</v>
      </c>
      <c r="G35" s="502" t="s">
        <v>186</v>
      </c>
      <c r="H35" s="502" t="s">
        <v>187</v>
      </c>
      <c r="I35" s="502" t="s">
        <v>186</v>
      </c>
      <c r="J35" s="502"/>
      <c r="K35" s="502"/>
      <c r="L35" s="502"/>
      <c r="M35" s="502"/>
      <c r="N35" s="502"/>
      <c r="O35" s="502"/>
      <c r="P35" s="503"/>
      <c r="Q35" s="503"/>
      <c r="R35" s="503"/>
      <c r="S35" s="503"/>
      <c r="T35" s="503"/>
      <c r="U35" s="503"/>
      <c r="V35" s="503"/>
      <c r="Z35" s="504"/>
      <c r="AA35" s="504"/>
      <c r="AB35" s="504"/>
      <c r="AC35" s="504"/>
      <c r="AD35" s="504"/>
      <c r="AE35" s="504"/>
    </row>
    <row r="36" spans="1:31" x14ac:dyDescent="0.35">
      <c r="A36" s="503" t="str">
        <f>IF(AND(F38=G38,H38=I38,J38=K38,F38="A"),"2016 - kwh",IF(AND(F38=G38,H38=I38,J38&lt;&gt;K38,F38="A"),"2017 - kwh",IF(AND(F38=G38,H38&lt;&gt;I38,F38="A"),"2018 - kwh","N/A")))</f>
        <v>N/A</v>
      </c>
      <c r="B36" s="503" t="str">
        <f>IF(F38&lt;&gt;G38,"2018 - kwh",IF(H38&lt;&gt;I38,"2017 - kwh",IF(J38&lt;&gt;K38,"2016 - kwh","N/A")))</f>
        <v>2018 - kwh</v>
      </c>
      <c r="C36" s="508" t="s">
        <v>211</v>
      </c>
      <c r="D36" s="509" t="s">
        <v>3944</v>
      </c>
      <c r="E36" s="510" t="s">
        <v>139</v>
      </c>
      <c r="F36" s="415">
        <v>38603618.055548996</v>
      </c>
      <c r="G36" s="415">
        <v>37429524.167085007</v>
      </c>
      <c r="H36" s="415">
        <v>173446107.95762604</v>
      </c>
      <c r="I36" s="415">
        <v>159286596.24071902</v>
      </c>
      <c r="J36" s="415"/>
      <c r="K36" s="415"/>
      <c r="L36" s="415"/>
      <c r="M36" s="415"/>
      <c r="N36" s="415"/>
      <c r="O36" s="415"/>
      <c r="P36" s="503"/>
      <c r="Q36" s="503"/>
      <c r="R36" s="503"/>
      <c r="S36" s="503"/>
      <c r="T36" s="503"/>
      <c r="U36" s="503"/>
      <c r="V36" s="503"/>
      <c r="Z36" s="504"/>
      <c r="AA36" s="504" t="str">
        <f>IF(AND(F38=G38,H38=I38,F38="A"),"2016 - kwh","")</f>
        <v/>
      </c>
      <c r="AB36" s="504" t="str">
        <f>IF(OR(B36="2017 - kwh",B36="2018 - kwh"),"2016 - kwh","")</f>
        <v>2016 - kwh</v>
      </c>
      <c r="AC36" s="504"/>
      <c r="AD36" s="504"/>
      <c r="AE36" s="504"/>
    </row>
    <row r="37" spans="1:31" x14ac:dyDescent="0.35">
      <c r="A37" s="503" t="str">
        <f>IF(AND(F38=G38,H38=I38,J38=K38,F38="A"),"2016 - kw",IF(AND(F38=G38,H38=I38,J38&lt;&gt;K38,F38="A"),"2017 - kw",IF(AND(F38=G38,H38&lt;&gt;I38,F38="A"),"2018 - kw","N/A")))</f>
        <v>N/A</v>
      </c>
      <c r="B37" s="503" t="str">
        <f>IF(F38&lt;&gt;G38,"2018 - kw",IF(H38&lt;&gt;I38,"2017 - kw",IF(J38&lt;&gt;K38,"2016 - kw","N/A")))</f>
        <v>2018 - kw</v>
      </c>
      <c r="C37" s="511"/>
      <c r="D37" s="512" t="str">
        <f>D36 &amp; "kW"</f>
        <v>GENERAL SERVICE 1,000 TO 4,999 KW SERVICE CLASSIFICATIONkW</v>
      </c>
      <c r="E37" s="513" t="s">
        <v>170</v>
      </c>
      <c r="F37" s="415">
        <v>103209.89570600001</v>
      </c>
      <c r="G37" s="415">
        <v>97613.309112999996</v>
      </c>
      <c r="H37" s="415">
        <v>409077.65012399998</v>
      </c>
      <c r="I37" s="415">
        <v>388384.09198399988</v>
      </c>
      <c r="J37" s="415"/>
      <c r="K37" s="415"/>
      <c r="L37" s="415"/>
      <c r="M37" s="415"/>
      <c r="N37" s="415"/>
      <c r="O37" s="415"/>
      <c r="P37" s="503"/>
      <c r="Q37" s="503"/>
      <c r="R37" s="503"/>
      <c r="S37" s="503"/>
      <c r="T37" s="503"/>
      <c r="U37" s="503"/>
      <c r="V37" s="503"/>
      <c r="Z37" s="504"/>
      <c r="AA37" s="504" t="str">
        <f>IF(AND(F38=G38,H38=I38,F38="A"),"2016 - kw","")</f>
        <v/>
      </c>
      <c r="AB37" s="504" t="str">
        <f>IF(OR(B37="2017 - kw",B37="2018 - kw"),"2016 - kw","")</f>
        <v>2016 - kw</v>
      </c>
      <c r="AC37" s="504"/>
      <c r="AD37" s="504"/>
      <c r="AE37" s="504"/>
    </row>
    <row r="38" spans="1:31" x14ac:dyDescent="0.35">
      <c r="A38" s="503"/>
      <c r="B38" s="503"/>
      <c r="C38" s="514"/>
      <c r="D38" s="515"/>
      <c r="E38" s="516" t="s">
        <v>210</v>
      </c>
      <c r="F38" s="502" t="s">
        <v>186</v>
      </c>
      <c r="G38" s="502" t="s">
        <v>187</v>
      </c>
      <c r="H38" s="502" t="s">
        <v>186</v>
      </c>
      <c r="I38" s="502" t="s">
        <v>187</v>
      </c>
      <c r="J38" s="502"/>
      <c r="K38" s="502"/>
      <c r="L38" s="502"/>
      <c r="M38" s="502"/>
      <c r="N38" s="502"/>
      <c r="O38" s="502"/>
      <c r="P38" s="503"/>
      <c r="Q38" s="503"/>
      <c r="R38" s="503"/>
      <c r="S38" s="503"/>
      <c r="T38" s="503"/>
      <c r="U38" s="503"/>
      <c r="V38" s="503"/>
      <c r="Z38" s="504"/>
      <c r="AA38" s="504"/>
      <c r="AB38" s="504"/>
      <c r="AC38" s="504"/>
      <c r="AD38" s="504"/>
      <c r="AE38" s="504"/>
    </row>
    <row r="39" spans="1:31" x14ac:dyDescent="0.35">
      <c r="A39" s="503" t="str">
        <f>IF(AND(F41=G41,H41=I41,J41=K41,F41="A"),"2016 - kwh",IF(AND(F41=G41,H41=I41,J41&lt;&gt;K41,F41="A"),"2017 - kwh",IF(AND(F41=G41,H41&lt;&gt;I41,F41="A"),"2018 - kwh","N/A")))</f>
        <v>N/A</v>
      </c>
      <c r="B39" s="503" t="str">
        <f>IF(F41&lt;&gt;G41,"2018 - kwh",IF(H41&lt;&gt;I41,"2017 - kwh",IF(J41&lt;&gt;K41,"2016 - kwh","N/A")))</f>
        <v>2018 - kwh</v>
      </c>
      <c r="C39" s="508" t="s">
        <v>212</v>
      </c>
      <c r="D39" s="509" t="s">
        <v>3944</v>
      </c>
      <c r="E39" s="510" t="s">
        <v>139</v>
      </c>
      <c r="F39" s="415">
        <v>61201943.651158012</v>
      </c>
      <c r="G39" s="415">
        <v>68525325.264488995</v>
      </c>
      <c r="H39" s="415">
        <v>62903878.311563008</v>
      </c>
      <c r="I39" s="415">
        <v>75109971.301384002</v>
      </c>
      <c r="J39" s="415"/>
      <c r="K39" s="415"/>
      <c r="L39" s="415"/>
      <c r="M39" s="415"/>
      <c r="N39" s="415"/>
      <c r="O39" s="415"/>
      <c r="P39" s="503"/>
      <c r="Q39" s="503"/>
      <c r="R39" s="503"/>
      <c r="S39" s="503"/>
      <c r="T39" s="503"/>
      <c r="U39" s="503"/>
      <c r="V39" s="503"/>
      <c r="Z39" s="504"/>
      <c r="AA39" s="504" t="str">
        <f>IF(AND(F41=G41,H41=I41,F41="A"),"2016 - kwh","")</f>
        <v/>
      </c>
      <c r="AB39" s="504" t="str">
        <f>IF(OR(B39="2017 - kwh",B39="2018 - kwh"),"2016 - kwh","")</f>
        <v>2016 - kwh</v>
      </c>
      <c r="AC39" s="504"/>
      <c r="AD39" s="504"/>
      <c r="AE39" s="504"/>
    </row>
    <row r="40" spans="1:31" x14ac:dyDescent="0.35">
      <c r="A40" s="503" t="str">
        <f>IF(AND(F41=G41,H41=I41,J41=K41,F41="A"),"2016 - kw",IF(AND(F41=G41,H41=I41,J41&lt;&gt;K41,F41="A"),"2017 - kw",IF(AND(F41=G41,H41&lt;&gt;I41,F41="A"),"2018 - kw","N/A")))</f>
        <v>N/A</v>
      </c>
      <c r="B40" s="503" t="str">
        <f>IF(F41&lt;&gt;G41,"2018 - kw",IF(H41&lt;&gt;I41,"2017 - kw",IF(J41&lt;&gt;K41,"2016 - kw","N/A")))</f>
        <v>2018 - kw</v>
      </c>
      <c r="C40" s="511"/>
      <c r="D40" s="512" t="str">
        <f>D39 &amp; "kW"</f>
        <v>GENERAL SERVICE 1,000 TO 4,999 KW SERVICE CLASSIFICATIONkW</v>
      </c>
      <c r="E40" s="513" t="s">
        <v>170</v>
      </c>
      <c r="F40" s="415">
        <v>153047.88929399999</v>
      </c>
      <c r="G40" s="415">
        <v>168069.71871699998</v>
      </c>
      <c r="H40" s="415">
        <v>143085.00628</v>
      </c>
      <c r="I40" s="415">
        <v>160745.76831499999</v>
      </c>
      <c r="J40" s="415"/>
      <c r="K40" s="415"/>
      <c r="L40" s="415"/>
      <c r="M40" s="415"/>
      <c r="N40" s="415"/>
      <c r="O40" s="415"/>
      <c r="P40" s="503"/>
      <c r="Q40" s="503"/>
      <c r="R40" s="503"/>
      <c r="S40" s="503"/>
      <c r="T40" s="503"/>
      <c r="U40" s="503"/>
      <c r="V40" s="503"/>
      <c r="Z40" s="504"/>
      <c r="AA40" s="504" t="str">
        <f>IF(AND(F41=G41,H41=I41,F41="A"),"2016 - kw","")</f>
        <v/>
      </c>
      <c r="AB40" s="504" t="str">
        <f>IF(OR(B40="2017 - kw",B40="2018 - kw"),"2016 - kw","")</f>
        <v>2016 - kw</v>
      </c>
      <c r="AC40" s="504"/>
      <c r="AD40" s="504"/>
      <c r="AE40" s="504"/>
    </row>
    <row r="41" spans="1:31" x14ac:dyDescent="0.35">
      <c r="A41" s="503"/>
      <c r="B41" s="503"/>
      <c r="C41" s="514"/>
      <c r="D41" s="515"/>
      <c r="E41" s="516" t="s">
        <v>210</v>
      </c>
      <c r="F41" s="502" t="s">
        <v>187</v>
      </c>
      <c r="G41" s="502" t="s">
        <v>186</v>
      </c>
      <c r="H41" s="502" t="s">
        <v>187</v>
      </c>
      <c r="I41" s="502" t="s">
        <v>186</v>
      </c>
      <c r="J41" s="502"/>
      <c r="K41" s="502"/>
      <c r="L41" s="502"/>
      <c r="M41" s="502"/>
      <c r="N41" s="502"/>
      <c r="O41" s="502"/>
      <c r="P41" s="503"/>
      <c r="Q41" s="503"/>
      <c r="R41" s="503"/>
      <c r="S41" s="503"/>
      <c r="T41" s="503"/>
      <c r="U41" s="503"/>
      <c r="V41" s="503"/>
      <c r="Z41" s="504"/>
      <c r="AA41" s="504"/>
      <c r="AB41" s="504"/>
      <c r="AC41" s="504"/>
      <c r="AD41" s="504"/>
      <c r="AE41" s="504"/>
    </row>
    <row r="42" spans="1:31" x14ac:dyDescent="0.35">
      <c r="A42" s="503" t="str">
        <f>IF(AND(F44=G44,H44=I44,J44=K44,F44="A"),"2016 - kwh",IF(AND(F44=G44,H44=I44,J44&lt;&gt;K44,F44="A"),"2017 - kwh",IF(AND(F44=G44,H44&lt;&gt;I44,F44="A"),"2018 - kwh","N/A")))</f>
        <v>N/A</v>
      </c>
      <c r="B42" s="503" t="str">
        <f>IF(F44&lt;&gt;G44,"2018 - kwh",IF(H44&lt;&gt;I44,"2017 - kwh",IF(J44&lt;&gt;K44,"2016 - kwh","N/A")))</f>
        <v>2018 - kwh</v>
      </c>
      <c r="C42" s="508" t="s">
        <v>213</v>
      </c>
      <c r="D42" s="509" t="s">
        <v>3943</v>
      </c>
      <c r="E42" s="510" t="s">
        <v>139</v>
      </c>
      <c r="F42" s="415">
        <v>43823529.889747001</v>
      </c>
      <c r="G42" s="415">
        <v>44040062.093667001</v>
      </c>
      <c r="H42" s="415">
        <v>38532605.852175698</v>
      </c>
      <c r="I42" s="415">
        <v>36696388.913371004</v>
      </c>
      <c r="J42" s="415"/>
      <c r="K42" s="415"/>
      <c r="L42" s="415"/>
      <c r="M42" s="415"/>
      <c r="N42" s="415"/>
      <c r="O42" s="415"/>
      <c r="P42" s="503"/>
      <c r="Q42" s="503"/>
      <c r="R42" s="503"/>
      <c r="S42" s="503"/>
      <c r="T42" s="503"/>
      <c r="U42" s="503"/>
      <c r="V42" s="503"/>
      <c r="Z42" s="504"/>
      <c r="AA42" s="504" t="str">
        <f>IF(AND(F44=G44,H44=I44,F44="A"),"2016 - kwh","")</f>
        <v/>
      </c>
      <c r="AB42" s="504" t="str">
        <f>IF(OR(B42="2017 - kwh",B42="2018 - kwh"),"2016 - kwh","")</f>
        <v>2016 - kwh</v>
      </c>
      <c r="AC42" s="504"/>
      <c r="AD42" s="504"/>
      <c r="AE42" s="504"/>
    </row>
    <row r="43" spans="1:31" x14ac:dyDescent="0.35">
      <c r="A43" s="503" t="str">
        <f>IF(AND(F44=G44,H44=I44,J44=K44,F44="A"),"2016 - kw",IF(AND(F44=G44,H44=I44,J44&lt;&gt;K44,F44="A"),"2017 - kw",IF(AND(F44=G44,H44&lt;&gt;I44,F44="A"),"2018 - kw","N/A")))</f>
        <v>N/A</v>
      </c>
      <c r="B43" s="503" t="str">
        <f>IF(F44&lt;&gt;G44,"2018 - kw",IF(H44&lt;&gt;I44,"2017 - kw",IF(J44&lt;&gt;K44,"2016 - kw","N/A")))</f>
        <v>2018 - kw</v>
      </c>
      <c r="C43" s="511"/>
      <c r="D43" s="512" t="str">
        <f>D42 &amp; "kW"</f>
        <v>GENERAL SERVICE 50 TO 999 KW SERVICE CLASSIFICATIONkW</v>
      </c>
      <c r="E43" s="513" t="s">
        <v>170</v>
      </c>
      <c r="F43" s="415">
        <v>104949.899209</v>
      </c>
      <c r="G43" s="415">
        <v>102917.16647899998</v>
      </c>
      <c r="H43" s="415">
        <v>97745.464284483591</v>
      </c>
      <c r="I43" s="415">
        <v>97946.297517999992</v>
      </c>
      <c r="J43" s="415"/>
      <c r="K43" s="415"/>
      <c r="L43" s="415"/>
      <c r="M43" s="415"/>
      <c r="N43" s="415"/>
      <c r="O43" s="415"/>
      <c r="P43" s="503"/>
      <c r="Q43" s="503"/>
      <c r="R43" s="503"/>
      <c r="S43" s="503"/>
      <c r="T43" s="503"/>
      <c r="U43" s="503"/>
      <c r="V43" s="503"/>
      <c r="Z43" s="504"/>
      <c r="AA43" s="504" t="str">
        <f>IF(AND(F44=G44,H44=I44,F44="A"),"2016 - kw","")</f>
        <v/>
      </c>
      <c r="AB43" s="504" t="str">
        <f>IF(OR(B43="2017 - kw",B43="2018 - kw"),"2016 - kw","")</f>
        <v>2016 - kw</v>
      </c>
      <c r="AC43" s="504"/>
      <c r="AD43" s="504"/>
      <c r="AE43" s="504"/>
    </row>
    <row r="44" spans="1:31" x14ac:dyDescent="0.35">
      <c r="A44" s="503"/>
      <c r="B44" s="503"/>
      <c r="C44" s="514"/>
      <c r="D44" s="515"/>
      <c r="E44" s="516" t="s">
        <v>210</v>
      </c>
      <c r="F44" s="502" t="s">
        <v>186</v>
      </c>
      <c r="G44" s="502" t="s">
        <v>187</v>
      </c>
      <c r="H44" s="502" t="s">
        <v>186</v>
      </c>
      <c r="I44" s="502" t="s">
        <v>187</v>
      </c>
      <c r="J44" s="502"/>
      <c r="K44" s="502"/>
      <c r="L44" s="502"/>
      <c r="M44" s="502"/>
      <c r="N44" s="502"/>
      <c r="O44" s="502"/>
      <c r="P44" s="503"/>
      <c r="Q44" s="503"/>
      <c r="R44" s="503"/>
      <c r="S44" s="503"/>
      <c r="T44" s="503"/>
      <c r="U44" s="503"/>
      <c r="V44" s="503"/>
      <c r="Z44" s="504"/>
      <c r="AA44" s="504"/>
      <c r="AB44" s="504"/>
      <c r="AC44" s="504"/>
      <c r="AD44" s="504"/>
      <c r="AE44" s="504"/>
    </row>
    <row r="45" spans="1:31" x14ac:dyDescent="0.35">
      <c r="A45" s="503" t="str">
        <f>IF(AND(F47=G47,H47=I47,J47=K47,F47="A"),"2016 - kwh",IF(AND(F47=G47,H47=I47,J47&lt;&gt;K47,F47="A"),"2017 - kwh",IF(AND(F47=G47,H47&lt;&gt;I47,F47="A"),"2018 - kwh","N/A")))</f>
        <v>N/A</v>
      </c>
      <c r="B45" s="503" t="str">
        <f>IF(F47&lt;&gt;G47,"2018 - kwh",IF(H47&lt;&gt;I47,"2017 - kwh",IF(J47&lt;&gt;K47,"2016 - kwh","N/A")))</f>
        <v>2018 - kwh</v>
      </c>
      <c r="C45" s="508" t="s">
        <v>214</v>
      </c>
      <c r="D45" s="509" t="s">
        <v>3943</v>
      </c>
      <c r="E45" s="510" t="s">
        <v>139</v>
      </c>
      <c r="F45" s="415">
        <v>12469144.884064</v>
      </c>
      <c r="G45" s="415">
        <v>14084886.209265999</v>
      </c>
      <c r="H45" s="415">
        <v>38026735.295527004</v>
      </c>
      <c r="I45" s="415">
        <v>37330252.385630004</v>
      </c>
      <c r="J45" s="415"/>
      <c r="K45" s="415"/>
      <c r="L45" s="415"/>
      <c r="M45" s="415"/>
      <c r="N45" s="415"/>
      <c r="O45" s="415"/>
      <c r="P45" s="503"/>
      <c r="Q45" s="503"/>
      <c r="R45" s="503"/>
      <c r="S45" s="503"/>
      <c r="T45" s="503"/>
      <c r="U45" s="503"/>
      <c r="V45" s="503"/>
      <c r="Z45" s="504"/>
      <c r="AA45" s="504" t="str">
        <f>IF(AND(F47=G47,H47=I47,F47="A"),"2016 - kwh","")</f>
        <v/>
      </c>
      <c r="AB45" s="504" t="str">
        <f>IF(OR(B45="2017 - kwh",B45="2018 - kwh"),"2016 - kwh","")</f>
        <v>2016 - kwh</v>
      </c>
      <c r="AC45" s="504"/>
      <c r="AD45" s="504"/>
      <c r="AE45" s="504"/>
    </row>
    <row r="46" spans="1:31" x14ac:dyDescent="0.35">
      <c r="A46" s="503" t="str">
        <f>IF(AND(F47=G47,H47=I47,J47=K47,F47="A"),"2016 - kw",IF(AND(F47=G47,H47=I47,J47&lt;&gt;K47,F47="A"),"2017 - kw",IF(AND(F47=G47,H47&lt;&gt;I47,F47="A"),"2018 - kw","N/A")))</f>
        <v>N/A</v>
      </c>
      <c r="B46" s="503" t="str">
        <f>IF(F47&lt;&gt;G47,"2018 - kw",IF(H47&lt;&gt;I47,"2017 - kw",IF(J47&lt;&gt;K47,"2016 - kw","N/A")))</f>
        <v>2018 - kw</v>
      </c>
      <c r="C46" s="511"/>
      <c r="D46" s="512" t="str">
        <f>D45 &amp; "kW"</f>
        <v>GENERAL SERVICE 50 TO 999 KW SERVICE CLASSIFICATIONkW</v>
      </c>
      <c r="E46" s="513" t="s">
        <v>170</v>
      </c>
      <c r="F46" s="415">
        <v>34898.340448999996</v>
      </c>
      <c r="G46" s="415">
        <v>39361.915746090905</v>
      </c>
      <c r="H46" s="415">
        <v>88597.37129000001</v>
      </c>
      <c r="I46" s="415">
        <v>86443.259913999995</v>
      </c>
      <c r="J46" s="415"/>
      <c r="K46" s="415"/>
      <c r="L46" s="415"/>
      <c r="M46" s="415"/>
      <c r="N46" s="415"/>
      <c r="O46" s="415"/>
      <c r="P46" s="503"/>
      <c r="Q46" s="503"/>
      <c r="R46" s="503"/>
      <c r="S46" s="503"/>
      <c r="T46" s="503"/>
      <c r="U46" s="503"/>
      <c r="V46" s="503"/>
      <c r="Z46" s="504"/>
      <c r="AA46" s="504" t="str">
        <f>IF(AND(F47=G47,H47=I47,F47="A"),"2016 - kw","")</f>
        <v/>
      </c>
      <c r="AB46" s="504" t="str">
        <f>IF(OR(B46="2017 - kw",B46="2018 - kw"),"2016 - kw","")</f>
        <v>2016 - kw</v>
      </c>
      <c r="AC46" s="504"/>
      <c r="AD46" s="504"/>
      <c r="AE46" s="504"/>
    </row>
    <row r="47" spans="1:31" x14ac:dyDescent="0.35">
      <c r="A47" s="503"/>
      <c r="B47" s="503"/>
      <c r="C47" s="514"/>
      <c r="D47" s="515"/>
      <c r="E47" s="516" t="s">
        <v>210</v>
      </c>
      <c r="F47" s="502" t="s">
        <v>187</v>
      </c>
      <c r="G47" s="502" t="s">
        <v>186</v>
      </c>
      <c r="H47" s="502" t="s">
        <v>187</v>
      </c>
      <c r="I47" s="502" t="s">
        <v>186</v>
      </c>
      <c r="J47" s="502"/>
      <c r="K47" s="502"/>
      <c r="L47" s="502"/>
      <c r="M47" s="502"/>
      <c r="N47" s="502"/>
      <c r="O47" s="502"/>
      <c r="P47" s="503"/>
      <c r="Q47" s="503"/>
      <c r="R47" s="503"/>
      <c r="S47" s="503"/>
      <c r="T47" s="503"/>
      <c r="U47" s="503"/>
      <c r="V47" s="503"/>
      <c r="Z47" s="504"/>
      <c r="AA47" s="504"/>
      <c r="AB47" s="504"/>
      <c r="AC47" s="504"/>
      <c r="AD47" s="504"/>
      <c r="AE47" s="504"/>
    </row>
    <row r="48" spans="1:31" x14ac:dyDescent="0.35">
      <c r="A48" s="503" t="str">
        <f>IF(AND(F50=G50,H50=I50,J50=K50,F50="A"),"2016 - kwh",IF(AND(F50=G50,H50=I50,J50&lt;&gt;K50,F50="A"),"2017 - kwh",IF(AND(F50=G50,H50&lt;&gt;I50,F50="A"),"2018 - kwh","N/A")))</f>
        <v>N/A</v>
      </c>
      <c r="B48" s="503" t="str">
        <f>IF(F50&lt;&gt;G50,"2018 - kwh",IF(H50&lt;&gt;I50,"2017 - kwh",IF(J50&lt;&gt;K50,"2016 - kwh","N/A")))</f>
        <v>2018 - kwh</v>
      </c>
      <c r="C48" s="508" t="s">
        <v>215</v>
      </c>
      <c r="D48" s="509" t="s">
        <v>3942</v>
      </c>
      <c r="E48" s="510" t="s">
        <v>139</v>
      </c>
      <c r="F48" s="415">
        <v>0</v>
      </c>
      <c r="G48" s="415">
        <v>0</v>
      </c>
      <c r="H48" s="415">
        <v>1234356.8750189999</v>
      </c>
      <c r="I48" s="415">
        <v>979397.00001700001</v>
      </c>
      <c r="J48" s="415"/>
      <c r="K48" s="415"/>
      <c r="L48" s="415"/>
      <c r="M48" s="415"/>
      <c r="N48" s="415"/>
      <c r="O48" s="415"/>
      <c r="P48" s="503"/>
      <c r="Q48" s="503"/>
      <c r="R48" s="503"/>
      <c r="S48" s="503"/>
      <c r="T48" s="503"/>
      <c r="U48" s="503"/>
      <c r="V48" s="503"/>
      <c r="Z48" s="504"/>
      <c r="AA48" s="504" t="str">
        <f>IF(AND(F50=G50,H50=I50,F50="A"),"2016 - kwh","")</f>
        <v/>
      </c>
      <c r="AB48" s="504" t="str">
        <f>IF(OR(B48="2017 - kwh",B48="2018 - kwh"),"2016 - kwh","")</f>
        <v>2016 - kwh</v>
      </c>
      <c r="AC48" s="504"/>
      <c r="AD48" s="504"/>
      <c r="AE48" s="504"/>
    </row>
    <row r="49" spans="1:31" x14ac:dyDescent="0.35">
      <c r="A49" s="503" t="str">
        <f>IF(AND(F50=G50,H50=I50,J50=K50,F50="A"),"2016 - kw",IF(AND(F50=G50,H50=I50,J50&lt;&gt;K50,F50="A"),"2017 - kw",IF(AND(F50=G50,H50&lt;&gt;I50,F50="A"),"2018 - kw","N/A")))</f>
        <v>N/A</v>
      </c>
      <c r="B49" s="503" t="str">
        <f>IF(F50&lt;&gt;G50,"2018 - kw",IF(H50&lt;&gt;I50,"2017 - kw",IF(J50&lt;&gt;K50,"2016 - kw","N/A")))</f>
        <v>2018 - kw</v>
      </c>
      <c r="C49" s="511"/>
      <c r="D49" s="512" t="str">
        <f>D48 &amp; "kW"</f>
        <v>GENERAL SERVICE LESS THAN 50 KW SERVICE CLASSIFICATIONkW</v>
      </c>
      <c r="E49" s="513" t="s">
        <v>170</v>
      </c>
      <c r="F49" s="415">
        <v>0</v>
      </c>
      <c r="G49" s="415">
        <v>0</v>
      </c>
      <c r="H49" s="415">
        <v>4477.8</v>
      </c>
      <c r="I49" s="415">
        <v>4177.6750000000002</v>
      </c>
      <c r="J49" s="415"/>
      <c r="K49" s="415"/>
      <c r="L49" s="415"/>
      <c r="M49" s="415"/>
      <c r="N49" s="415"/>
      <c r="O49" s="415"/>
      <c r="P49" s="503"/>
      <c r="Q49" s="503"/>
      <c r="R49" s="503"/>
      <c r="S49" s="503"/>
      <c r="T49" s="503"/>
      <c r="U49" s="503"/>
      <c r="V49" s="503"/>
      <c r="Z49" s="504"/>
      <c r="AA49" s="504" t="str">
        <f>IF(AND(F50=G50,H50=I50,F50="A"),"2016 - kw","")</f>
        <v/>
      </c>
      <c r="AB49" s="504" t="str">
        <f>IF(OR(B49="2017 - kw",B49="2018 - kw"),"2016 - kw","")</f>
        <v>2016 - kw</v>
      </c>
      <c r="AC49" s="504"/>
      <c r="AD49" s="504"/>
      <c r="AE49" s="504"/>
    </row>
    <row r="50" spans="1:31" x14ac:dyDescent="0.35">
      <c r="A50" s="503"/>
      <c r="B50" s="503"/>
      <c r="C50" s="514"/>
      <c r="D50" s="515"/>
      <c r="E50" s="516" t="s">
        <v>210</v>
      </c>
      <c r="F50" s="502" t="s">
        <v>186</v>
      </c>
      <c r="G50" s="502" t="s">
        <v>187</v>
      </c>
      <c r="H50" s="502" t="s">
        <v>186</v>
      </c>
      <c r="I50" s="502" t="s">
        <v>187</v>
      </c>
      <c r="J50" s="502"/>
      <c r="K50" s="502"/>
      <c r="L50" s="502"/>
      <c r="M50" s="502"/>
      <c r="N50" s="502"/>
      <c r="O50" s="502"/>
      <c r="P50" s="503"/>
      <c r="Q50" s="503"/>
      <c r="R50" s="503"/>
      <c r="S50" s="503"/>
      <c r="T50" s="503"/>
      <c r="U50" s="503"/>
      <c r="V50" s="503"/>
      <c r="Z50" s="504"/>
      <c r="AA50" s="504"/>
      <c r="AB50" s="504"/>
      <c r="AC50" s="504"/>
      <c r="AD50" s="504"/>
      <c r="AE50" s="504"/>
    </row>
    <row r="51" spans="1:31" x14ac:dyDescent="0.35">
      <c r="A51" s="503" t="str">
        <f>IF(AND(F53=G53,H53=I53,J53=K53,F53="A"),"2016 - kwh",IF(AND(F53=G53,H53=I53,J53&lt;&gt;K53,F53="A"),"2017 - kwh",IF(AND(F53=G53,H53&lt;&gt;I53,F53="A"),"2018 - kwh","N/A")))</f>
        <v>N/A</v>
      </c>
      <c r="B51" s="503" t="str">
        <f>IF(F53&lt;&gt;G53,"2018 - kwh",IF(H53&lt;&gt;I53,"2017 - kwh",IF(J53&lt;&gt;K53,"2016 - kwh","N/A")))</f>
        <v>2018 - kwh</v>
      </c>
      <c r="C51" s="508" t="s">
        <v>216</v>
      </c>
      <c r="D51" s="509" t="s">
        <v>3942</v>
      </c>
      <c r="E51" s="510" t="s">
        <v>139</v>
      </c>
      <c r="F51" s="415">
        <v>72224.643202000007</v>
      </c>
      <c r="G51" s="415">
        <v>117226.45036</v>
      </c>
      <c r="H51" s="415">
        <v>0</v>
      </c>
      <c r="I51" s="415">
        <v>0</v>
      </c>
      <c r="J51" s="415"/>
      <c r="K51" s="415"/>
      <c r="L51" s="415"/>
      <c r="M51" s="415"/>
      <c r="N51" s="415"/>
      <c r="O51" s="415"/>
      <c r="P51" s="503"/>
      <c r="Q51" s="503"/>
      <c r="R51" s="503"/>
      <c r="S51" s="503"/>
      <c r="T51" s="503"/>
      <c r="U51" s="503"/>
      <c r="V51" s="503"/>
      <c r="Z51" s="504"/>
      <c r="AA51" s="504" t="str">
        <f>IF(AND(F53=G53,H53=I53,F53="A"),"2016 - kwh","")</f>
        <v/>
      </c>
      <c r="AB51" s="504" t="str">
        <f>IF(OR(B51="2017 - kwh",B51="2018 - kwh"),"2016 - kwh","")</f>
        <v>2016 - kwh</v>
      </c>
      <c r="AC51" s="504"/>
      <c r="AD51" s="504"/>
      <c r="AE51" s="504"/>
    </row>
    <row r="52" spans="1:31" x14ac:dyDescent="0.35">
      <c r="A52" s="503" t="str">
        <f>IF(AND(F53=G53,H53=I53,J53=K53,F53="A"),"2016 - kw",IF(AND(F53=G53,H53=I53,J53&lt;&gt;K53,F53="A"),"2017 - kw",IF(AND(F53=G53,H53&lt;&gt;I53,F53="A"),"2018 - kw","N/A")))</f>
        <v>N/A</v>
      </c>
      <c r="B52" s="503" t="str">
        <f>IF(F53&lt;&gt;G53,"2018 - kw",IF(H53&lt;&gt;I53,"2017 - kw",IF(J53&lt;&gt;K53,"2016 - kw","N/A")))</f>
        <v>2018 - kw</v>
      </c>
      <c r="C52" s="511"/>
      <c r="D52" s="512" t="str">
        <f>D51 &amp; "kW"</f>
        <v>GENERAL SERVICE LESS THAN 50 KW SERVICE CLASSIFICATIONkW</v>
      </c>
      <c r="E52" s="513" t="s">
        <v>170</v>
      </c>
      <c r="F52" s="415">
        <v>175.09</v>
      </c>
      <c r="G52" s="415">
        <v>348.64500700000002</v>
      </c>
      <c r="H52" s="415">
        <v>0</v>
      </c>
      <c r="I52" s="415">
        <v>0</v>
      </c>
      <c r="J52" s="415"/>
      <c r="K52" s="415"/>
      <c r="L52" s="415"/>
      <c r="M52" s="415"/>
      <c r="N52" s="415"/>
      <c r="O52" s="415"/>
      <c r="P52" s="503"/>
      <c r="Q52" s="503"/>
      <c r="R52" s="503"/>
      <c r="S52" s="503"/>
      <c r="T52" s="503"/>
      <c r="U52" s="503"/>
      <c r="V52" s="503"/>
      <c r="Z52" s="504"/>
      <c r="AA52" s="504" t="str">
        <f>IF(AND(F53=G53,H53=I53,F53="A"),"2016 - kw","")</f>
        <v/>
      </c>
      <c r="AB52" s="504" t="str">
        <f>IF(OR(B52="2017 - kw",B52="2018 - kw"),"2016 - kw","")</f>
        <v>2016 - kw</v>
      </c>
      <c r="AC52" s="504"/>
      <c r="AD52" s="504"/>
      <c r="AE52" s="504"/>
    </row>
    <row r="53" spans="1:31" x14ac:dyDescent="0.35">
      <c r="A53" s="503"/>
      <c r="B53" s="503"/>
      <c r="C53" s="514"/>
      <c r="D53" s="515"/>
      <c r="E53" s="516" t="s">
        <v>210</v>
      </c>
      <c r="F53" s="502" t="s">
        <v>187</v>
      </c>
      <c r="G53" s="502" t="s">
        <v>186</v>
      </c>
      <c r="H53" s="502" t="s">
        <v>187</v>
      </c>
      <c r="I53" s="502" t="s">
        <v>186</v>
      </c>
      <c r="J53" s="502"/>
      <c r="K53" s="502"/>
      <c r="L53" s="502"/>
      <c r="M53" s="502"/>
      <c r="N53" s="502"/>
      <c r="O53" s="502"/>
      <c r="P53" s="503"/>
      <c r="Q53" s="503"/>
      <c r="R53" s="503"/>
      <c r="S53" s="503"/>
      <c r="T53" s="503"/>
      <c r="U53" s="503"/>
      <c r="V53" s="503"/>
      <c r="Z53" s="504"/>
      <c r="AA53" s="504"/>
      <c r="AB53" s="504"/>
      <c r="AC53" s="504"/>
      <c r="AD53" s="504"/>
      <c r="AE53" s="504"/>
    </row>
    <row r="54" spans="1:31" hidden="1" x14ac:dyDescent="0.35">
      <c r="A54" s="503" t="str">
        <f>IF(AND(F56=G56,H56=I56,J56=K56,F56="A"),"2016 - kwh",IF(AND(F56=G56,H56=I56,J56&lt;&gt;K56,F56="A"),"2017 - kwh",IF(AND(F56=G56,H56&lt;&gt;I56,F56="A"),"2018 - kwh","N/A")))</f>
        <v>N/A</v>
      </c>
      <c r="B54" s="503" t="str">
        <f>IF(F56&lt;&gt;G56,"2018 - kwh",IF(H56&lt;&gt;I56,"2017 - kwh",IF(J56&lt;&gt;K56,"2016 - kwh","N/A")))</f>
        <v>N/A</v>
      </c>
      <c r="C54" s="508" t="s">
        <v>217</v>
      </c>
      <c r="D54" s="509"/>
      <c r="E54" s="510" t="s">
        <v>139</v>
      </c>
      <c r="F54" s="415"/>
      <c r="G54" s="415"/>
      <c r="H54" s="415"/>
      <c r="I54" s="415"/>
      <c r="J54" s="415"/>
      <c r="K54" s="415"/>
      <c r="L54" s="415"/>
      <c r="M54" s="415"/>
      <c r="N54" s="415"/>
      <c r="O54" s="415"/>
      <c r="P54" s="503"/>
      <c r="Q54" s="503"/>
      <c r="R54" s="503"/>
      <c r="S54" s="503"/>
      <c r="T54" s="503"/>
      <c r="U54" s="503"/>
      <c r="V54" s="503"/>
      <c r="Z54" s="504"/>
      <c r="AA54" s="504" t="str">
        <f>IF(AND(F56=G56,H56=I56,F56="A"),"2016 - kwh","")</f>
        <v/>
      </c>
      <c r="AB54" s="504" t="str">
        <f>IF(OR(B54="2017 - kwh",B54="2018 - kwh"),"2016 - kwh","")</f>
        <v/>
      </c>
      <c r="AC54" s="504"/>
      <c r="AD54" s="504"/>
      <c r="AE54" s="504"/>
    </row>
    <row r="55" spans="1:31" hidden="1" x14ac:dyDescent="0.35">
      <c r="A55" s="503" t="str">
        <f>IF(AND(F56=G56,H56=I56,J56=K56,F56="A"),"2016 - kw",IF(AND(F56=G56,H56=I56,J56&lt;&gt;K56,F56="A"),"2017 - kw",IF(AND(F56=G56,H56&lt;&gt;I56,F56="A"),"2018 - kw","N/A")))</f>
        <v>N/A</v>
      </c>
      <c r="B55" s="503" t="str">
        <f>IF(F56&lt;&gt;G56,"2018 - kw",IF(H56&lt;&gt;I56,"2017 - kw",IF(J56&lt;&gt;K56,"2016 - kw","N/A")))</f>
        <v>N/A</v>
      </c>
      <c r="C55" s="511"/>
      <c r="D55" s="512" t="str">
        <f>D54 &amp; "kW"</f>
        <v>kW</v>
      </c>
      <c r="E55" s="513" t="s">
        <v>170</v>
      </c>
      <c r="F55" s="415"/>
      <c r="G55" s="415"/>
      <c r="H55" s="415"/>
      <c r="I55" s="415"/>
      <c r="J55" s="415"/>
      <c r="K55" s="415"/>
      <c r="L55" s="415"/>
      <c r="M55" s="415"/>
      <c r="N55" s="415"/>
      <c r="O55" s="415"/>
      <c r="P55" s="503"/>
      <c r="Q55" s="503"/>
      <c r="R55" s="503"/>
      <c r="S55" s="503"/>
      <c r="T55" s="503"/>
      <c r="U55" s="503"/>
      <c r="V55" s="503"/>
      <c r="Z55" s="504"/>
      <c r="AA55" s="504" t="str">
        <f>IF(AND(F56=G56,H56=I56,F56="A"),"2016 - kw","")</f>
        <v/>
      </c>
      <c r="AB55" s="504" t="str">
        <f>IF(OR(B55="2017 - kw",B55="2018 - kw"),"2016 - kw","")</f>
        <v/>
      </c>
      <c r="AC55" s="504"/>
      <c r="AD55" s="504"/>
      <c r="AE55" s="504"/>
    </row>
    <row r="56" spans="1:31" hidden="1" x14ac:dyDescent="0.35">
      <c r="A56" s="503"/>
      <c r="B56" s="503"/>
      <c r="C56" s="514"/>
      <c r="D56" s="515"/>
      <c r="E56" s="516" t="s">
        <v>210</v>
      </c>
      <c r="F56" s="502"/>
      <c r="G56" s="502"/>
      <c r="H56" s="502"/>
      <c r="I56" s="502"/>
      <c r="J56" s="502"/>
      <c r="K56" s="502"/>
      <c r="L56" s="502"/>
      <c r="M56" s="502"/>
      <c r="N56" s="502"/>
      <c r="O56" s="502"/>
      <c r="P56" s="503"/>
      <c r="Q56" s="503"/>
      <c r="R56" s="503"/>
      <c r="S56" s="503"/>
      <c r="T56" s="503"/>
      <c r="U56" s="503"/>
      <c r="V56" s="503"/>
      <c r="Z56" s="504"/>
      <c r="AA56" s="504"/>
      <c r="AB56" s="504"/>
      <c r="AC56" s="504"/>
      <c r="AD56" s="504"/>
      <c r="AE56" s="504"/>
    </row>
    <row r="57" spans="1:31" hidden="1" x14ac:dyDescent="0.35">
      <c r="A57" s="503" t="str">
        <f>IF(AND(F59=G59,H59=I59,J59=K59,F59="A"),"2016 - kwh",IF(AND(F59=G59,H59=I59,J59&lt;&gt;K59,F59="A"),"2017 - kwh",IF(AND(F59=G59,H59&lt;&gt;I59,F59="A"),"2018 - kwh","N/A")))</f>
        <v>N/A</v>
      </c>
      <c r="B57" s="503" t="str">
        <f>IF(F59&lt;&gt;G59,"2018 - kwh",IF(H59&lt;&gt;I59,"2017 - kwh",IF(J59&lt;&gt;K59,"2016 - kwh","N/A")))</f>
        <v>N/A</v>
      </c>
      <c r="C57" s="508" t="s">
        <v>218</v>
      </c>
      <c r="D57" s="509"/>
      <c r="E57" s="510" t="s">
        <v>139</v>
      </c>
      <c r="F57" s="415"/>
      <c r="G57" s="415"/>
      <c r="H57" s="415"/>
      <c r="I57" s="415"/>
      <c r="J57" s="415"/>
      <c r="K57" s="415"/>
      <c r="L57" s="415"/>
      <c r="M57" s="415"/>
      <c r="N57" s="415"/>
      <c r="O57" s="415"/>
      <c r="P57" s="503"/>
      <c r="Q57" s="503"/>
      <c r="R57" s="503"/>
      <c r="S57" s="503"/>
      <c r="T57" s="503"/>
      <c r="U57" s="503"/>
      <c r="V57" s="503"/>
      <c r="Z57" s="504"/>
      <c r="AA57" s="504" t="str">
        <f>IF(AND(F59=G59,H59=I59,F59="A"),"2016 - kwh","")</f>
        <v/>
      </c>
      <c r="AB57" s="504" t="str">
        <f>IF(OR(B57="2017 - kwh",B57="2018 - kwh"),"2016 - kwh","")</f>
        <v/>
      </c>
      <c r="AC57" s="504"/>
      <c r="AD57" s="504"/>
      <c r="AE57" s="504"/>
    </row>
    <row r="58" spans="1:31" hidden="1" x14ac:dyDescent="0.35">
      <c r="A58" s="503" t="str">
        <f>IF(AND(F59=G59,H59=I59,J59=K59,F59="A"),"2016 - kw",IF(AND(F59=G59,H59=I59,J59&lt;&gt;K59,F59="A"),"2017 - kw",IF(AND(F59=G59,H59&lt;&gt;I59,F59="A"),"2018 - kw","N/A")))</f>
        <v>N/A</v>
      </c>
      <c r="B58" s="503" t="str">
        <f>IF(F59&lt;&gt;G59,"2018 - kw",IF(H59&lt;&gt;I59,"2017 - kw",IF(J59&lt;&gt;K59,"2016 - kw","N/A")))</f>
        <v>N/A</v>
      </c>
      <c r="C58" s="511"/>
      <c r="D58" s="512" t="str">
        <f>D57 &amp; "kW"</f>
        <v>kW</v>
      </c>
      <c r="E58" s="513" t="s">
        <v>170</v>
      </c>
      <c r="F58" s="415"/>
      <c r="G58" s="415"/>
      <c r="H58" s="415"/>
      <c r="I58" s="415"/>
      <c r="J58" s="415"/>
      <c r="K58" s="415"/>
      <c r="L58" s="415"/>
      <c r="M58" s="415"/>
      <c r="N58" s="415"/>
      <c r="O58" s="415"/>
      <c r="P58" s="503"/>
      <c r="Q58" s="503"/>
      <c r="R58" s="503"/>
      <c r="S58" s="503"/>
      <c r="T58" s="503"/>
      <c r="U58" s="503"/>
      <c r="V58" s="503"/>
      <c r="Z58" s="504"/>
      <c r="AA58" s="504" t="str">
        <f>IF(AND(F59=G59,H59=I59,F59="A"),"2016 - kw","")</f>
        <v/>
      </c>
      <c r="AB58" s="504" t="str">
        <f>IF(OR(B58="2017 - kw",B58="2018 - kw"),"2016 - kw","")</f>
        <v/>
      </c>
      <c r="AC58" s="504"/>
      <c r="AD58" s="504"/>
      <c r="AE58" s="504"/>
    </row>
    <row r="59" spans="1:31" hidden="1" x14ac:dyDescent="0.35">
      <c r="A59" s="503"/>
      <c r="B59" s="503"/>
      <c r="C59" s="514"/>
      <c r="D59" s="515"/>
      <c r="E59" s="516" t="s">
        <v>210</v>
      </c>
      <c r="F59" s="502"/>
      <c r="G59" s="502"/>
      <c r="H59" s="502"/>
      <c r="I59" s="502"/>
      <c r="J59" s="502"/>
      <c r="K59" s="502"/>
      <c r="L59" s="502"/>
      <c r="M59" s="502"/>
      <c r="N59" s="502"/>
      <c r="O59" s="502"/>
      <c r="P59" s="503"/>
      <c r="Q59" s="503"/>
      <c r="R59" s="503"/>
      <c r="S59" s="503"/>
      <c r="T59" s="503"/>
      <c r="U59" s="503"/>
      <c r="V59" s="503"/>
      <c r="Z59" s="504"/>
      <c r="AA59" s="504"/>
      <c r="AB59" s="504"/>
      <c r="AC59" s="504"/>
      <c r="AD59" s="504"/>
      <c r="AE59" s="504"/>
    </row>
    <row r="60" spans="1:31" hidden="1" x14ac:dyDescent="0.35">
      <c r="A60" s="503" t="str">
        <f>IF(AND(F62=G62,H62=I62,J62=K62,F62="A"),"2016 - kwh",IF(AND(F62=G62,H62=I62,J62&lt;&gt;K62,F62="A"),"2017 - kwh",IF(AND(F62=G62,H62&lt;&gt;I62,F62="A"),"2018 - kwh","N/A")))</f>
        <v>N/A</v>
      </c>
      <c r="B60" s="503" t="str">
        <f>IF(F62&lt;&gt;G62,"2018 - kwh",IF(H62&lt;&gt;I62,"2017 - kwh",IF(J62&lt;&gt;K62,"2016 - kwh","N/A")))</f>
        <v>N/A</v>
      </c>
      <c r="C60" s="508" t="s">
        <v>219</v>
      </c>
      <c r="D60" s="509"/>
      <c r="E60" s="510" t="s">
        <v>139</v>
      </c>
      <c r="F60" s="415"/>
      <c r="G60" s="415"/>
      <c r="H60" s="415"/>
      <c r="I60" s="415"/>
      <c r="J60" s="415"/>
      <c r="K60" s="415"/>
      <c r="L60" s="415"/>
      <c r="M60" s="415"/>
      <c r="N60" s="415"/>
      <c r="O60" s="415"/>
      <c r="P60" s="503"/>
      <c r="Q60" s="503"/>
      <c r="R60" s="503"/>
      <c r="S60" s="503"/>
      <c r="T60" s="503"/>
      <c r="U60" s="503"/>
      <c r="V60" s="503"/>
      <c r="Z60" s="504"/>
      <c r="AA60" s="504" t="str">
        <f>IF(AND(F62=G62,H62=I62,F62="A"),"2016 - kwh","")</f>
        <v/>
      </c>
      <c r="AB60" s="504" t="str">
        <f>IF(OR(B60="2017 - kwh",B60="2018 - kwh"),"2016 - kwh","")</f>
        <v/>
      </c>
      <c r="AC60" s="504"/>
      <c r="AD60" s="504"/>
      <c r="AE60" s="504"/>
    </row>
    <row r="61" spans="1:31" hidden="1" x14ac:dyDescent="0.35">
      <c r="A61" s="503" t="str">
        <f>IF(AND(F62=G62,H62=I62,J62=K62,F62="A"),"2016 - kw",IF(AND(F62=G62,H62=I62,J62&lt;&gt;K62,F62="A"),"2017 - kw",IF(AND(F62=G62,H62&lt;&gt;I62,F62="A"),"2018 - kw","N/A")))</f>
        <v>N/A</v>
      </c>
      <c r="B61" s="503" t="str">
        <f>IF(F62&lt;&gt;G62,"2018 - kw",IF(H62&lt;&gt;I62,"2017 - kw",IF(J62&lt;&gt;K62,"2016 - kw","N/A")))</f>
        <v>N/A</v>
      </c>
      <c r="C61" s="511"/>
      <c r="D61" s="512" t="str">
        <f>D60 &amp; "kW"</f>
        <v>kW</v>
      </c>
      <c r="E61" s="513" t="s">
        <v>170</v>
      </c>
      <c r="F61" s="415"/>
      <c r="G61" s="415"/>
      <c r="H61" s="415"/>
      <c r="I61" s="415"/>
      <c r="J61" s="415"/>
      <c r="K61" s="415"/>
      <c r="L61" s="415"/>
      <c r="M61" s="415"/>
      <c r="N61" s="415"/>
      <c r="O61" s="415"/>
      <c r="P61" s="503"/>
      <c r="Q61" s="503"/>
      <c r="R61" s="503"/>
      <c r="S61" s="503"/>
      <c r="T61" s="503"/>
      <c r="U61" s="503"/>
      <c r="V61" s="503"/>
      <c r="Z61" s="504"/>
      <c r="AA61" s="504" t="str">
        <f>IF(AND(F62=G62,H62=I62,F62="A"),"2016 - kw","")</f>
        <v/>
      </c>
      <c r="AB61" s="504" t="str">
        <f>IF(OR(B61="2017 - kw",B61="2018 - kw"),"2016 - kw","")</f>
        <v/>
      </c>
      <c r="AC61" s="504"/>
      <c r="AD61" s="504"/>
      <c r="AE61" s="504"/>
    </row>
    <row r="62" spans="1:31" hidden="1" x14ac:dyDescent="0.35">
      <c r="A62" s="503"/>
      <c r="B62" s="503"/>
      <c r="C62" s="514"/>
      <c r="D62" s="515"/>
      <c r="E62" s="516" t="s">
        <v>210</v>
      </c>
      <c r="F62" s="502"/>
      <c r="G62" s="502"/>
      <c r="H62" s="502"/>
      <c r="I62" s="502"/>
      <c r="J62" s="502"/>
      <c r="K62" s="502"/>
      <c r="L62" s="502"/>
      <c r="M62" s="502"/>
      <c r="N62" s="502"/>
      <c r="O62" s="502"/>
      <c r="P62" s="503"/>
      <c r="Q62" s="503"/>
      <c r="R62" s="503"/>
      <c r="S62" s="503"/>
      <c r="T62" s="503"/>
      <c r="U62" s="503"/>
      <c r="V62" s="503"/>
      <c r="Z62" s="504"/>
      <c r="AA62" s="504"/>
      <c r="AB62" s="504"/>
      <c r="AC62" s="504"/>
      <c r="AD62" s="504"/>
      <c r="AE62" s="504"/>
    </row>
    <row r="63" spans="1:31" hidden="1" x14ac:dyDescent="0.35">
      <c r="A63" s="503" t="str">
        <f>IF(AND(F65=G65,H65=I65,J65=K65,F65="A"),"2016 - kwh",IF(AND(F65=G65,H65=I65,J65&lt;&gt;K65,F65="A"),"2017 - kwh",IF(AND(F65=G65,H65&lt;&gt;I65,F65="A"),"2018 - kwh","N/A")))</f>
        <v>N/A</v>
      </c>
      <c r="B63" s="503" t="str">
        <f>IF(F65&lt;&gt;G65,"2018 - kwh",IF(H65&lt;&gt;I65,"2017 - kwh",IF(J65&lt;&gt;K65,"2016 - kwh","N/A")))</f>
        <v>N/A</v>
      </c>
      <c r="C63" s="508" t="s">
        <v>220</v>
      </c>
      <c r="D63" s="509"/>
      <c r="E63" s="510" t="s">
        <v>139</v>
      </c>
      <c r="F63" s="415"/>
      <c r="G63" s="415"/>
      <c r="H63" s="415"/>
      <c r="I63" s="415"/>
      <c r="J63" s="415"/>
      <c r="K63" s="415"/>
      <c r="L63" s="415"/>
      <c r="M63" s="415"/>
      <c r="N63" s="415"/>
      <c r="O63" s="415"/>
      <c r="P63" s="503"/>
      <c r="Q63" s="503"/>
      <c r="R63" s="503"/>
      <c r="S63" s="503"/>
      <c r="T63" s="503"/>
      <c r="U63" s="503"/>
      <c r="V63" s="503"/>
      <c r="Z63" s="504"/>
      <c r="AA63" s="504" t="str">
        <f>IF(AND(F65=G65,H65=I65,F65="A"),"2016 - kwh","")</f>
        <v/>
      </c>
      <c r="AB63" s="504" t="str">
        <f>IF(OR(B63="2017 - kwh",B63="2018 - kwh"),"2016 - kwh","")</f>
        <v/>
      </c>
      <c r="AC63" s="504"/>
      <c r="AD63" s="504"/>
      <c r="AE63" s="504"/>
    </row>
    <row r="64" spans="1:31" hidden="1" x14ac:dyDescent="0.35">
      <c r="A64" s="503" t="str">
        <f>IF(AND(F65=G65,H65=I65,J65=K65,F65="A"),"2016 - kw",IF(AND(F65=G65,H65=I65,J65&lt;&gt;K65,F65="A"),"2017 - kw",IF(AND(F65=G65,H65&lt;&gt;I65,F65="A"),"2018 - kw","N/A")))</f>
        <v>N/A</v>
      </c>
      <c r="B64" s="503" t="str">
        <f>IF(F65&lt;&gt;G65,"2018 - kw",IF(H65&lt;&gt;I65,"2017 - kw",IF(J65&lt;&gt;K65,"2016 - kw","N/A")))</f>
        <v>N/A</v>
      </c>
      <c r="C64" s="511"/>
      <c r="D64" s="512" t="str">
        <f>D63 &amp; "kW"</f>
        <v>kW</v>
      </c>
      <c r="E64" s="513" t="s">
        <v>170</v>
      </c>
      <c r="F64" s="415"/>
      <c r="G64" s="415"/>
      <c r="H64" s="415"/>
      <c r="I64" s="415"/>
      <c r="J64" s="415"/>
      <c r="K64" s="415"/>
      <c r="L64" s="415"/>
      <c r="M64" s="415"/>
      <c r="N64" s="415"/>
      <c r="O64" s="415"/>
      <c r="P64" s="503"/>
      <c r="Q64" s="503"/>
      <c r="R64" s="503"/>
      <c r="S64" s="503"/>
      <c r="T64" s="503"/>
      <c r="U64" s="503"/>
      <c r="V64" s="503"/>
      <c r="Z64" s="504"/>
      <c r="AA64" s="504" t="str">
        <f>IF(AND(F65=G65,H65=I65,F65="A"),"2016 - kw","")</f>
        <v/>
      </c>
      <c r="AB64" s="504" t="str">
        <f>IF(OR(B64="2017 - kw",B64="2018 - kw"),"2016 - kw","")</f>
        <v/>
      </c>
      <c r="AC64" s="504"/>
      <c r="AD64" s="504"/>
      <c r="AE64" s="504"/>
    </row>
    <row r="65" spans="1:31" hidden="1" x14ac:dyDescent="0.35">
      <c r="A65" s="503"/>
      <c r="B65" s="503"/>
      <c r="C65" s="514"/>
      <c r="D65" s="515"/>
      <c r="E65" s="516" t="s">
        <v>210</v>
      </c>
      <c r="F65" s="502"/>
      <c r="G65" s="502"/>
      <c r="H65" s="502"/>
      <c r="I65" s="502"/>
      <c r="J65" s="502"/>
      <c r="K65" s="502"/>
      <c r="L65" s="502"/>
      <c r="M65" s="502"/>
      <c r="N65" s="502"/>
      <c r="O65" s="502"/>
      <c r="P65" s="503"/>
      <c r="Q65" s="503"/>
      <c r="R65" s="503"/>
      <c r="S65" s="503"/>
      <c r="T65" s="503"/>
      <c r="U65" s="503"/>
      <c r="V65" s="503"/>
      <c r="Z65" s="504"/>
      <c r="AA65" s="504"/>
      <c r="AB65" s="504"/>
      <c r="AC65" s="504"/>
      <c r="AD65" s="504"/>
      <c r="AE65" s="504"/>
    </row>
    <row r="66" spans="1:31" hidden="1" x14ac:dyDescent="0.35">
      <c r="A66" s="503" t="str">
        <f>IF(AND(F68=G68,H68=I68,J68=K68,F68="A"),"2016 - kwh",IF(AND(F68=G68,H68=I68,J68&lt;&gt;K68,F68="A"),"2017 - kwh",IF(AND(F68=G68,H68&lt;&gt;I68,F68="A"),"2018 - kwh","N/A")))</f>
        <v>N/A</v>
      </c>
      <c r="B66" s="503" t="str">
        <f>IF(F68&lt;&gt;G68,"2018 - kwh",IF(H68&lt;&gt;I68,"2017 - kwh",IF(J68&lt;&gt;K68,"2016 - kwh","N/A")))</f>
        <v>N/A</v>
      </c>
      <c r="C66" s="508" t="s">
        <v>221</v>
      </c>
      <c r="D66" s="509"/>
      <c r="E66" s="510" t="s">
        <v>139</v>
      </c>
      <c r="F66" s="415"/>
      <c r="G66" s="415"/>
      <c r="H66" s="415"/>
      <c r="I66" s="415"/>
      <c r="J66" s="415"/>
      <c r="K66" s="415"/>
      <c r="L66" s="415"/>
      <c r="M66" s="415"/>
      <c r="N66" s="415"/>
      <c r="O66" s="415"/>
      <c r="P66" s="503"/>
      <c r="Q66" s="503"/>
      <c r="R66" s="503"/>
      <c r="S66" s="503"/>
      <c r="T66" s="503"/>
      <c r="U66" s="503"/>
      <c r="V66" s="503"/>
      <c r="Z66" s="504"/>
      <c r="AA66" s="504" t="str">
        <f>IF(AND(F68=G68,H68=I68,F68="A"),"2016 - kwh","")</f>
        <v/>
      </c>
      <c r="AB66" s="504" t="str">
        <f>IF(OR(B66="2017 - kwh",B66="2018 - kwh"),"2016 - kwh","")</f>
        <v/>
      </c>
      <c r="AC66" s="504"/>
      <c r="AD66" s="504"/>
      <c r="AE66" s="504"/>
    </row>
    <row r="67" spans="1:31" hidden="1" x14ac:dyDescent="0.35">
      <c r="A67" s="503" t="str">
        <f>IF(AND(F68=G68,H68=I68,J68=K68,F68="A"),"2016 - kw",IF(AND(F68=G68,H68=I68,J68&lt;&gt;K68,F68="A"),"2017 - kw",IF(AND(F68=G68,H68&lt;&gt;I68,F68="A"),"2018 - kw","N/A")))</f>
        <v>N/A</v>
      </c>
      <c r="B67" s="503" t="str">
        <f>IF(F68&lt;&gt;G68,"2018 - kw",IF(H68&lt;&gt;I68,"2017 - kw",IF(J68&lt;&gt;K68,"2016 - kw","N/A")))</f>
        <v>N/A</v>
      </c>
      <c r="C67" s="511"/>
      <c r="D67" s="512" t="str">
        <f>D66 &amp; "kW"</f>
        <v>kW</v>
      </c>
      <c r="E67" s="513" t="s">
        <v>170</v>
      </c>
      <c r="F67" s="415"/>
      <c r="G67" s="415"/>
      <c r="H67" s="415"/>
      <c r="I67" s="415"/>
      <c r="J67" s="415"/>
      <c r="K67" s="415"/>
      <c r="L67" s="415"/>
      <c r="M67" s="415"/>
      <c r="N67" s="415"/>
      <c r="O67" s="415"/>
      <c r="P67" s="503"/>
      <c r="Q67" s="503"/>
      <c r="R67" s="503"/>
      <c r="S67" s="503"/>
      <c r="T67" s="503"/>
      <c r="U67" s="503"/>
      <c r="V67" s="503"/>
      <c r="Z67" s="504"/>
      <c r="AA67" s="504" t="str">
        <f>IF(AND(F68=G68,H68=I68,F68="A"),"2016 - kw","")</f>
        <v/>
      </c>
      <c r="AB67" s="504" t="str">
        <f>IF(OR(B67="2017 - kw",B67="2018 - kw"),"2016 - kw","")</f>
        <v/>
      </c>
      <c r="AC67" s="504"/>
      <c r="AD67" s="504"/>
      <c r="AE67" s="504"/>
    </row>
    <row r="68" spans="1:31" hidden="1" x14ac:dyDescent="0.35">
      <c r="A68" s="503"/>
      <c r="B68" s="503"/>
      <c r="C68" s="514"/>
      <c r="D68" s="515"/>
      <c r="E68" s="516" t="s">
        <v>210</v>
      </c>
      <c r="F68" s="502"/>
      <c r="G68" s="502"/>
      <c r="H68" s="502"/>
      <c r="I68" s="502"/>
      <c r="J68" s="502"/>
      <c r="K68" s="502"/>
      <c r="L68" s="502"/>
      <c r="M68" s="502"/>
      <c r="N68" s="502"/>
      <c r="O68" s="502"/>
      <c r="P68" s="503"/>
      <c r="Q68" s="503"/>
      <c r="R68" s="503"/>
      <c r="S68" s="503"/>
      <c r="T68" s="503"/>
      <c r="U68" s="503"/>
      <c r="V68" s="503"/>
      <c r="Z68" s="504"/>
      <c r="AA68" s="504"/>
      <c r="AB68" s="504"/>
      <c r="AC68" s="504"/>
      <c r="AD68" s="504"/>
      <c r="AE68" s="504"/>
    </row>
    <row r="69" spans="1:31" hidden="1" x14ac:dyDescent="0.35">
      <c r="A69" s="503" t="str">
        <f>IF(AND(F71=G71,H71=I71,J71=K71,F71="A"),"2016 - kwh",IF(AND(F71=G71,H71=I71,J71&lt;&gt;K71,F71="A"),"2017 - kwh",IF(AND(F71=G71,H71&lt;&gt;I71,F71="A"),"2018 - kwh","N/A")))</f>
        <v>N/A</v>
      </c>
      <c r="B69" s="503" t="str">
        <f>IF(F71&lt;&gt;G71,"2018 - kwh",IF(H71&lt;&gt;I71,"2017 - kwh",IF(J71&lt;&gt;K71,"2016 - kwh","N/A")))</f>
        <v>N/A</v>
      </c>
      <c r="C69" s="508" t="s">
        <v>222</v>
      </c>
      <c r="D69" s="509"/>
      <c r="E69" s="510" t="s">
        <v>139</v>
      </c>
      <c r="F69" s="415"/>
      <c r="G69" s="415"/>
      <c r="H69" s="415"/>
      <c r="I69" s="415"/>
      <c r="J69" s="415"/>
      <c r="K69" s="415"/>
      <c r="L69" s="415"/>
      <c r="M69" s="415"/>
      <c r="N69" s="415"/>
      <c r="O69" s="415"/>
      <c r="P69" s="503"/>
      <c r="Q69" s="503"/>
      <c r="R69" s="503"/>
      <c r="S69" s="503"/>
      <c r="T69" s="503"/>
      <c r="U69" s="503"/>
      <c r="V69" s="503"/>
      <c r="Z69" s="504"/>
      <c r="AA69" s="504" t="str">
        <f>IF(AND(F71=G71,H71=I71,F71="A"),"2016 - kwh","")</f>
        <v/>
      </c>
      <c r="AB69" s="504" t="str">
        <f>IF(OR(B69="2017 - kwh",B69="2018 - kwh"),"2016 - kwh","")</f>
        <v/>
      </c>
      <c r="AC69" s="504"/>
      <c r="AD69" s="504"/>
      <c r="AE69" s="504"/>
    </row>
    <row r="70" spans="1:31" hidden="1" x14ac:dyDescent="0.35">
      <c r="A70" s="503" t="str">
        <f>IF(AND(F71=G71,H71=I71,J71=K71,F71="A"),"2016 - kw",IF(AND(F71=G71,H71=I71,J71&lt;&gt;K71,F71="A"),"2017 - kw",IF(AND(F71=G71,H71&lt;&gt;I71,F71="A"),"2018 - kw","N/A")))</f>
        <v>N/A</v>
      </c>
      <c r="B70" s="503" t="str">
        <f>IF(F71&lt;&gt;G71,"2018 - kw",IF(H71&lt;&gt;I71,"2017 - kw",IF(J71&lt;&gt;K71,"2016 - kw","N/A")))</f>
        <v>N/A</v>
      </c>
      <c r="C70" s="511"/>
      <c r="D70" s="512" t="str">
        <f>D69 &amp; "kW"</f>
        <v>kW</v>
      </c>
      <c r="E70" s="513" t="s">
        <v>170</v>
      </c>
      <c r="F70" s="415"/>
      <c r="G70" s="415"/>
      <c r="H70" s="415"/>
      <c r="I70" s="415"/>
      <c r="J70" s="415"/>
      <c r="K70" s="415"/>
      <c r="L70" s="415"/>
      <c r="M70" s="415"/>
      <c r="N70" s="415"/>
      <c r="O70" s="415"/>
      <c r="P70" s="503"/>
      <c r="Q70" s="503"/>
      <c r="R70" s="503"/>
      <c r="S70" s="503"/>
      <c r="T70" s="503"/>
      <c r="U70" s="503"/>
      <c r="V70" s="503"/>
      <c r="Z70" s="504"/>
      <c r="AA70" s="504" t="str">
        <f>IF(AND(F71=G71,H71=I71,F71="A"),"2016 - kw","")</f>
        <v/>
      </c>
      <c r="AB70" s="504" t="str">
        <f>IF(OR(B70="2017 - kw",B70="2018 - kw"),"2016 - kw","")</f>
        <v/>
      </c>
      <c r="AC70" s="504"/>
      <c r="AD70" s="504"/>
      <c r="AE70" s="504"/>
    </row>
    <row r="71" spans="1:31" hidden="1" x14ac:dyDescent="0.35">
      <c r="A71" s="503"/>
      <c r="B71" s="503"/>
      <c r="C71" s="514"/>
      <c r="D71" s="515"/>
      <c r="E71" s="516" t="s">
        <v>210</v>
      </c>
      <c r="F71" s="502"/>
      <c r="G71" s="502"/>
      <c r="H71" s="502"/>
      <c r="I71" s="502"/>
      <c r="J71" s="502"/>
      <c r="K71" s="502"/>
      <c r="L71" s="502"/>
      <c r="M71" s="502"/>
      <c r="N71" s="502"/>
      <c r="O71" s="502"/>
      <c r="P71" s="503"/>
      <c r="Q71" s="503"/>
      <c r="R71" s="503"/>
      <c r="S71" s="503"/>
      <c r="T71" s="503"/>
      <c r="U71" s="503"/>
      <c r="V71" s="503"/>
      <c r="Z71" s="504"/>
      <c r="AA71" s="504"/>
      <c r="AB71" s="504"/>
      <c r="AC71" s="504"/>
      <c r="AD71" s="504"/>
      <c r="AE71" s="504"/>
    </row>
    <row r="72" spans="1:31" hidden="1" x14ac:dyDescent="0.35">
      <c r="A72" s="503" t="str">
        <f>IF(AND(F74=G74,H74=I74,J74=K74,F74="A"),"2016 - kwh",IF(AND(F74=G74,H74=I74,J74&lt;&gt;K74,F74="A"),"2017 - kwh",IF(AND(F74=G74,H74&lt;&gt;I74,F74="A"),"2018 - kwh","N/A")))</f>
        <v>N/A</v>
      </c>
      <c r="B72" s="503" t="str">
        <f>IF(F74&lt;&gt;G74,"2018 - kwh",IF(H74&lt;&gt;I74,"2017 - kwh",IF(J74&lt;&gt;K74,"2016 - kwh","N/A")))</f>
        <v>N/A</v>
      </c>
      <c r="C72" s="508" t="s">
        <v>223</v>
      </c>
      <c r="D72" s="509"/>
      <c r="E72" s="510" t="s">
        <v>139</v>
      </c>
      <c r="F72" s="415"/>
      <c r="G72" s="415"/>
      <c r="H72" s="415"/>
      <c r="I72" s="415"/>
      <c r="J72" s="415"/>
      <c r="K72" s="415"/>
      <c r="L72" s="415"/>
      <c r="M72" s="415"/>
      <c r="N72" s="415"/>
      <c r="O72" s="415"/>
      <c r="P72" s="503"/>
      <c r="Q72" s="503"/>
      <c r="R72" s="503"/>
      <c r="S72" s="503"/>
      <c r="T72" s="503"/>
      <c r="U72" s="503"/>
      <c r="V72" s="503"/>
      <c r="Z72" s="504"/>
      <c r="AA72" s="504" t="str">
        <f>IF(AND(F74=G74,H74=I74,F74="A"),"2016 - kwh","")</f>
        <v/>
      </c>
      <c r="AB72" s="504" t="str">
        <f>IF(OR(B72="2017 - kwh",B72="2018 - kwh"),"2016 - kwh","")</f>
        <v/>
      </c>
      <c r="AC72" s="504"/>
      <c r="AD72" s="504"/>
      <c r="AE72" s="504"/>
    </row>
    <row r="73" spans="1:31" hidden="1" x14ac:dyDescent="0.35">
      <c r="A73" s="503" t="str">
        <f>IF(AND(F74=G74,H74=I74,J74=K74,F74="A"),"2016 - kw",IF(AND(F74=G74,H74=I74,J74&lt;&gt;K74,F74="A"),"2017 - kw",IF(AND(F74=G74,H74&lt;&gt;I74,F74="A"),"2018 - kw","N/A")))</f>
        <v>N/A</v>
      </c>
      <c r="B73" s="503" t="str">
        <f>IF(F74&lt;&gt;G74,"2018 - kw",IF(H74&lt;&gt;I74,"2017 - kw",IF(J74&lt;&gt;K74,"2016 - kw","N/A")))</f>
        <v>N/A</v>
      </c>
      <c r="C73" s="511"/>
      <c r="D73" s="512" t="str">
        <f>D72 &amp; "kW"</f>
        <v>kW</v>
      </c>
      <c r="E73" s="513" t="s">
        <v>170</v>
      </c>
      <c r="F73" s="415"/>
      <c r="G73" s="415"/>
      <c r="H73" s="415"/>
      <c r="I73" s="415"/>
      <c r="J73" s="415"/>
      <c r="K73" s="415"/>
      <c r="L73" s="415"/>
      <c r="M73" s="415"/>
      <c r="N73" s="415"/>
      <c r="O73" s="415"/>
      <c r="P73" s="503"/>
      <c r="Q73" s="503"/>
      <c r="R73" s="503"/>
      <c r="S73" s="503"/>
      <c r="T73" s="503"/>
      <c r="U73" s="503"/>
      <c r="V73" s="503"/>
      <c r="Z73" s="504"/>
      <c r="AA73" s="504" t="str">
        <f>IF(AND(F74=G74,H74=I74,F74="A"),"2016 - kw","")</f>
        <v/>
      </c>
      <c r="AB73" s="504" t="str">
        <f>IF(OR(B73="2017 - kw",B73="2018 - kw"),"2016 - kw","")</f>
        <v/>
      </c>
      <c r="AC73" s="504"/>
      <c r="AD73" s="504"/>
      <c r="AE73" s="504"/>
    </row>
    <row r="74" spans="1:31" hidden="1" x14ac:dyDescent="0.35">
      <c r="A74" s="503"/>
      <c r="B74" s="503"/>
      <c r="C74" s="514"/>
      <c r="D74" s="515"/>
      <c r="E74" s="516" t="s">
        <v>210</v>
      </c>
      <c r="F74" s="502"/>
      <c r="G74" s="502"/>
      <c r="H74" s="502"/>
      <c r="I74" s="502"/>
      <c r="J74" s="502"/>
      <c r="K74" s="502"/>
      <c r="L74" s="502"/>
      <c r="M74" s="502"/>
      <c r="N74" s="502"/>
      <c r="O74" s="502"/>
      <c r="P74" s="503"/>
      <c r="Q74" s="503"/>
      <c r="R74" s="503"/>
      <c r="S74" s="503"/>
      <c r="T74" s="503"/>
      <c r="U74" s="503"/>
      <c r="V74" s="503"/>
      <c r="Z74" s="504"/>
      <c r="AA74" s="504"/>
      <c r="AB74" s="504"/>
      <c r="AC74" s="504"/>
      <c r="AD74" s="504"/>
      <c r="AE74" s="504"/>
    </row>
    <row r="75" spans="1:31" hidden="1" x14ac:dyDescent="0.35">
      <c r="A75" s="503" t="str">
        <f>IF(AND(F77=G77,H77=I77,J77=K77,F77="A"),"2016 - kwh",IF(AND(F77=G77,H77=I77,J77&lt;&gt;K77,F77="A"),"2017 - kwh",IF(AND(F77=G77,H77&lt;&gt;I77,F77="A"),"2018 - kwh","N/A")))</f>
        <v>N/A</v>
      </c>
      <c r="B75" s="503" t="str">
        <f>IF(F77&lt;&gt;G77,"2018 - kwh",IF(H77&lt;&gt;I77,"2017 - kwh",IF(J77&lt;&gt;K77,"2016 - kwh","N/A")))</f>
        <v>N/A</v>
      </c>
      <c r="C75" s="508" t="s">
        <v>224</v>
      </c>
      <c r="D75" s="509"/>
      <c r="E75" s="510" t="s">
        <v>139</v>
      </c>
      <c r="F75" s="415"/>
      <c r="G75" s="415"/>
      <c r="H75" s="415"/>
      <c r="I75" s="415"/>
      <c r="J75" s="415"/>
      <c r="K75" s="415"/>
      <c r="L75" s="415"/>
      <c r="M75" s="415"/>
      <c r="N75" s="415"/>
      <c r="O75" s="415"/>
      <c r="P75" s="503"/>
      <c r="Q75" s="503"/>
      <c r="R75" s="503"/>
      <c r="S75" s="503"/>
      <c r="T75" s="503"/>
      <c r="U75" s="503"/>
      <c r="V75" s="503"/>
      <c r="Z75" s="504"/>
      <c r="AA75" s="504" t="str">
        <f>IF(AND(F77=G77,H77=I77,F77="A"),"2016 - kwh","")</f>
        <v/>
      </c>
      <c r="AB75" s="504" t="str">
        <f>IF(OR(B75="2017 - kwh",B75="2018 - kwh"),"2016 - kwh","")</f>
        <v/>
      </c>
      <c r="AC75" s="504"/>
      <c r="AD75" s="504"/>
      <c r="AE75" s="504"/>
    </row>
    <row r="76" spans="1:31" hidden="1" x14ac:dyDescent="0.35">
      <c r="A76" s="503" t="str">
        <f>IF(AND(F77=G77,H77=I77,J77=K77,F77="A"),"2016 - kw",IF(AND(F77=G77,H77=I77,J77&lt;&gt;K77,F77="A"),"2017 - kw",IF(AND(F77=G77,H77&lt;&gt;I77,F77="A"),"2018 - kw","N/A")))</f>
        <v>N/A</v>
      </c>
      <c r="B76" s="503" t="str">
        <f>IF(F77&lt;&gt;G77,"2018 - kw",IF(H77&lt;&gt;I77,"2017 - kw",IF(J77&lt;&gt;K77,"2016 - kw","N/A")))</f>
        <v>N/A</v>
      </c>
      <c r="C76" s="511"/>
      <c r="D76" s="512" t="str">
        <f>D75 &amp; "kW"</f>
        <v>kW</v>
      </c>
      <c r="E76" s="513" t="s">
        <v>170</v>
      </c>
      <c r="F76" s="415"/>
      <c r="G76" s="415"/>
      <c r="H76" s="415"/>
      <c r="I76" s="415"/>
      <c r="J76" s="415"/>
      <c r="K76" s="415"/>
      <c r="L76" s="415"/>
      <c r="M76" s="415"/>
      <c r="N76" s="415"/>
      <c r="O76" s="415"/>
      <c r="P76" s="503"/>
      <c r="Q76" s="503"/>
      <c r="R76" s="503"/>
      <c r="S76" s="503"/>
      <c r="T76" s="503"/>
      <c r="U76" s="503"/>
      <c r="V76" s="503"/>
      <c r="Z76" s="504"/>
      <c r="AA76" s="504" t="str">
        <f>IF(AND(F77=G77,H77=I77,F77="A"),"2016 - kw","")</f>
        <v/>
      </c>
      <c r="AB76" s="504" t="str">
        <f>IF(OR(B76="2017 - kw",B76="2018 - kw"),"2016 - kw","")</f>
        <v/>
      </c>
      <c r="AC76" s="504"/>
      <c r="AD76" s="504"/>
      <c r="AE76" s="504"/>
    </row>
    <row r="77" spans="1:31" hidden="1" x14ac:dyDescent="0.35">
      <c r="A77" s="503"/>
      <c r="B77" s="503"/>
      <c r="C77" s="514"/>
      <c r="D77" s="515"/>
      <c r="E77" s="516" t="s">
        <v>210</v>
      </c>
      <c r="F77" s="502"/>
      <c r="G77" s="502"/>
      <c r="H77" s="502"/>
      <c r="I77" s="502"/>
      <c r="J77" s="502"/>
      <c r="K77" s="502"/>
      <c r="L77" s="502"/>
      <c r="M77" s="502"/>
      <c r="N77" s="502"/>
      <c r="O77" s="502"/>
      <c r="P77" s="503"/>
      <c r="Q77" s="503"/>
      <c r="R77" s="503"/>
      <c r="S77" s="503"/>
      <c r="T77" s="503"/>
      <c r="U77" s="503"/>
      <c r="V77" s="503"/>
      <c r="Z77" s="504"/>
      <c r="AA77" s="504"/>
      <c r="AB77" s="504"/>
      <c r="AC77" s="504"/>
      <c r="AD77" s="504"/>
      <c r="AE77" s="504"/>
    </row>
    <row r="78" spans="1:31" hidden="1" x14ac:dyDescent="0.35">
      <c r="A78" s="503" t="str">
        <f>IF(AND(F80=G80,H80=I80,J80=K80,F80="A"),"2016 - kwh",IF(AND(F80=G80,H80=I80,J80&lt;&gt;K80,F80="A"),"2017 - kwh",IF(AND(F80=G80,H80&lt;&gt;I80,F80="A"),"2018 - kwh","N/A")))</f>
        <v>N/A</v>
      </c>
      <c r="B78" s="503" t="str">
        <f>IF(F80&lt;&gt;G80,"2018 - kwh",IF(H80&lt;&gt;I80,"2017 - kwh",IF(J80&lt;&gt;K80,"2016 - kwh","N/A")))</f>
        <v>N/A</v>
      </c>
      <c r="C78" s="508" t="s">
        <v>225</v>
      </c>
      <c r="D78" s="509"/>
      <c r="E78" s="510" t="s">
        <v>139</v>
      </c>
      <c r="F78" s="415"/>
      <c r="G78" s="415"/>
      <c r="H78" s="415"/>
      <c r="I78" s="415"/>
      <c r="J78" s="415"/>
      <c r="K78" s="415"/>
      <c r="L78" s="415"/>
      <c r="M78" s="415"/>
      <c r="N78" s="415"/>
      <c r="O78" s="415"/>
      <c r="P78" s="503"/>
      <c r="Q78" s="503"/>
      <c r="R78" s="503"/>
      <c r="S78" s="503"/>
      <c r="T78" s="503"/>
      <c r="U78" s="503"/>
      <c r="V78" s="503"/>
      <c r="Z78" s="504"/>
      <c r="AA78" s="504" t="str">
        <f>IF(AND(F80=G80,H80=I80,F80="A"),"2016 - kwh","")</f>
        <v/>
      </c>
      <c r="AB78" s="504" t="str">
        <f>IF(OR(B78="2017 - kwh",B78="2018 - kwh"),"2016 - kwh","")</f>
        <v/>
      </c>
      <c r="AC78" s="504"/>
      <c r="AD78" s="504"/>
      <c r="AE78" s="504"/>
    </row>
    <row r="79" spans="1:31" hidden="1" x14ac:dyDescent="0.35">
      <c r="A79" s="503" t="str">
        <f>IF(AND(F80=G80,H80=I80,J80=K80,F80="A"),"2016 - kw",IF(AND(F80=G80,H80=I80,J80&lt;&gt;K80,F80="A"),"2017 - kw",IF(AND(F80=G80,H80&lt;&gt;I80,F80="A"),"2018 - kw","N/A")))</f>
        <v>N/A</v>
      </c>
      <c r="B79" s="503" t="str">
        <f>IF(F80&lt;&gt;G80,"2018 - kw",IF(H80&lt;&gt;I80,"2017 - kw",IF(J80&lt;&gt;K80,"2016 - kw","N/A")))</f>
        <v>N/A</v>
      </c>
      <c r="C79" s="511"/>
      <c r="D79" s="512" t="str">
        <f>D78 &amp; "kW"</f>
        <v>kW</v>
      </c>
      <c r="E79" s="513" t="s">
        <v>170</v>
      </c>
      <c r="F79" s="415"/>
      <c r="G79" s="415"/>
      <c r="H79" s="415"/>
      <c r="I79" s="415"/>
      <c r="J79" s="415"/>
      <c r="K79" s="415"/>
      <c r="L79" s="415"/>
      <c r="M79" s="415"/>
      <c r="N79" s="415"/>
      <c r="O79" s="415"/>
      <c r="P79" s="503"/>
      <c r="Q79" s="503"/>
      <c r="R79" s="503"/>
      <c r="S79" s="503"/>
      <c r="T79" s="503"/>
      <c r="U79" s="503"/>
      <c r="V79" s="503"/>
      <c r="Z79" s="504"/>
      <c r="AA79" s="504" t="str">
        <f>IF(AND(F80=G80,H80=I80,F80="A"),"2016 - kw","")</f>
        <v/>
      </c>
      <c r="AB79" s="504" t="str">
        <f>IF(OR(B79="2017 - kw",B79="2018 - kw"),"2016 - kw","")</f>
        <v/>
      </c>
      <c r="AC79" s="504"/>
      <c r="AD79" s="504"/>
      <c r="AE79" s="504"/>
    </row>
    <row r="80" spans="1:31" hidden="1" x14ac:dyDescent="0.35">
      <c r="A80" s="503"/>
      <c r="B80" s="503"/>
      <c r="C80" s="514"/>
      <c r="D80" s="515"/>
      <c r="E80" s="516" t="s">
        <v>210</v>
      </c>
      <c r="F80" s="502"/>
      <c r="G80" s="502"/>
      <c r="H80" s="502"/>
      <c r="I80" s="502"/>
      <c r="J80" s="502"/>
      <c r="K80" s="502"/>
      <c r="L80" s="502"/>
      <c r="M80" s="502"/>
      <c r="N80" s="502"/>
      <c r="O80" s="502"/>
      <c r="P80" s="503"/>
      <c r="Q80" s="503"/>
      <c r="R80" s="503"/>
      <c r="S80" s="503"/>
      <c r="T80" s="503"/>
      <c r="U80" s="503"/>
      <c r="V80" s="503"/>
      <c r="Z80" s="504"/>
      <c r="AA80" s="504"/>
      <c r="AB80" s="504"/>
      <c r="AC80" s="504"/>
      <c r="AD80" s="504"/>
      <c r="AE80" s="504"/>
    </row>
    <row r="81" spans="1:31" hidden="1" x14ac:dyDescent="0.35">
      <c r="A81" s="503" t="str">
        <f>IF(AND(F83=G83,H83=I83,J83=K83,F83="A"),"2016 - kwh",IF(AND(F83=G83,H83=I83,J83&lt;&gt;K83,F83="A"),"2017 - kwh",IF(AND(F83=G83,H83&lt;&gt;I83,F83="A"),"2018 - kwh","N/A")))</f>
        <v>N/A</v>
      </c>
      <c r="B81" s="503" t="str">
        <f>IF(F83&lt;&gt;G83,"2018 - kwh",IF(H83&lt;&gt;I83,"2017 - kwh",IF(J83&lt;&gt;K83,"2016 - kwh","N/A")))</f>
        <v>N/A</v>
      </c>
      <c r="C81" s="508" t="s">
        <v>226</v>
      </c>
      <c r="D81" s="509"/>
      <c r="E81" s="510" t="s">
        <v>139</v>
      </c>
      <c r="F81" s="415"/>
      <c r="G81" s="415"/>
      <c r="H81" s="415"/>
      <c r="I81" s="415"/>
      <c r="J81" s="415"/>
      <c r="K81" s="415"/>
      <c r="L81" s="415"/>
      <c r="M81" s="415"/>
      <c r="N81" s="415"/>
      <c r="O81" s="415"/>
      <c r="P81" s="503"/>
      <c r="Q81" s="503"/>
      <c r="R81" s="503"/>
      <c r="S81" s="503"/>
      <c r="T81" s="503"/>
      <c r="U81" s="503"/>
      <c r="V81" s="503"/>
      <c r="Z81" s="504"/>
      <c r="AA81" s="504" t="str">
        <f>IF(AND(F83=G83,H83=I83,F83="A"),"2016 - kwh","")</f>
        <v/>
      </c>
      <c r="AB81" s="504" t="str">
        <f>IF(OR(B81="2017 - kwh",B81="2018 - kwh"),"2016 - kwh","")</f>
        <v/>
      </c>
      <c r="AC81" s="504"/>
      <c r="AD81" s="504"/>
      <c r="AE81" s="504"/>
    </row>
    <row r="82" spans="1:31" hidden="1" x14ac:dyDescent="0.35">
      <c r="A82" s="503" t="str">
        <f>IF(AND(F83=G83,H83=I83,J83=K83,F83="A"),"2016 - kw",IF(AND(F83=G83,H83=I83,J83&lt;&gt;K83,F83="A"),"2017 - kw",IF(AND(F83=G83,H83&lt;&gt;I83,F83="A"),"2018 - kw","N/A")))</f>
        <v>N/A</v>
      </c>
      <c r="B82" s="503" t="str">
        <f>IF(F83&lt;&gt;G83,"2018 - kw",IF(H83&lt;&gt;I83,"2017 - kw",IF(J83&lt;&gt;K83,"2016 - kw","N/A")))</f>
        <v>N/A</v>
      </c>
      <c r="C82" s="511"/>
      <c r="D82" s="512" t="str">
        <f>D81 &amp; "kW"</f>
        <v>kW</v>
      </c>
      <c r="E82" s="513" t="s">
        <v>170</v>
      </c>
      <c r="F82" s="415"/>
      <c r="G82" s="415"/>
      <c r="H82" s="415"/>
      <c r="I82" s="415"/>
      <c r="J82" s="415"/>
      <c r="K82" s="415"/>
      <c r="L82" s="415"/>
      <c r="M82" s="415"/>
      <c r="N82" s="415"/>
      <c r="O82" s="415"/>
      <c r="P82" s="503"/>
      <c r="Q82" s="503"/>
      <c r="R82" s="503"/>
      <c r="S82" s="503"/>
      <c r="T82" s="503"/>
      <c r="U82" s="503"/>
      <c r="V82" s="503"/>
      <c r="Z82" s="504"/>
      <c r="AA82" s="504" t="str">
        <f>IF(AND(F83=G83,H83=I83,F83="A"),"2016 - kw","")</f>
        <v/>
      </c>
      <c r="AB82" s="504" t="str">
        <f>IF(OR(B82="2017 - kw",B82="2018 - kw"),"2016 - kw","")</f>
        <v/>
      </c>
      <c r="AC82" s="504"/>
      <c r="AD82" s="504"/>
      <c r="AE82" s="504"/>
    </row>
    <row r="83" spans="1:31" hidden="1" x14ac:dyDescent="0.35">
      <c r="A83" s="503"/>
      <c r="B83" s="503"/>
      <c r="C83" s="514"/>
      <c r="D83" s="515"/>
      <c r="E83" s="516" t="s">
        <v>210</v>
      </c>
      <c r="F83" s="502"/>
      <c r="G83" s="502"/>
      <c r="H83" s="502"/>
      <c r="I83" s="502"/>
      <c r="J83" s="502"/>
      <c r="K83" s="502"/>
      <c r="L83" s="502"/>
      <c r="M83" s="502"/>
      <c r="N83" s="502"/>
      <c r="O83" s="502"/>
      <c r="P83" s="503"/>
      <c r="Q83" s="503"/>
      <c r="R83" s="503"/>
      <c r="S83" s="503"/>
      <c r="T83" s="503"/>
      <c r="U83" s="503"/>
      <c r="V83" s="503"/>
      <c r="Z83" s="504"/>
      <c r="AA83" s="504"/>
      <c r="AB83" s="504"/>
      <c r="AC83" s="504"/>
      <c r="AD83" s="504"/>
      <c r="AE83" s="504"/>
    </row>
    <row r="84" spans="1:31" hidden="1" x14ac:dyDescent="0.35">
      <c r="A84" s="503" t="str">
        <f>IF(AND(F86=G86,H86=I86,J86=K86,F86="A"),"2016 - kwh",IF(AND(F86=G86,H86=I86,J86&lt;&gt;K86,F86="A"),"2017 - kwh",IF(AND(F86=G86,H86&lt;&gt;I86,F86="A"),"2018 - kwh","N/A")))</f>
        <v>N/A</v>
      </c>
      <c r="B84" s="503" t="str">
        <f>IF(F86&lt;&gt;G86,"2018 - kwh",IF(H86&lt;&gt;I86,"2017 - kwh",IF(J86&lt;&gt;K86,"2016 - kwh","N/A")))</f>
        <v>N/A</v>
      </c>
      <c r="C84" s="508" t="s">
        <v>227</v>
      </c>
      <c r="D84" s="509"/>
      <c r="E84" s="510" t="s">
        <v>139</v>
      </c>
      <c r="F84" s="415"/>
      <c r="G84" s="415"/>
      <c r="H84" s="415"/>
      <c r="I84" s="415"/>
      <c r="J84" s="415"/>
      <c r="K84" s="415"/>
      <c r="L84" s="415"/>
      <c r="M84" s="415"/>
      <c r="N84" s="415"/>
      <c r="O84" s="415"/>
      <c r="P84" s="503"/>
      <c r="Q84" s="503"/>
      <c r="R84" s="503"/>
      <c r="S84" s="503"/>
      <c r="T84" s="503"/>
      <c r="U84" s="503"/>
      <c r="V84" s="503"/>
      <c r="Z84" s="504"/>
      <c r="AA84" s="504" t="str">
        <f>IF(AND(F86=G86,H86=I86,F86="A"),"2016 - kwh","")</f>
        <v/>
      </c>
      <c r="AB84" s="504" t="str">
        <f>IF(OR(B84="2017 - kwh",B84="2018 - kwh"),"2016 - kwh","")</f>
        <v/>
      </c>
      <c r="AC84" s="504"/>
      <c r="AD84" s="504"/>
      <c r="AE84" s="504"/>
    </row>
    <row r="85" spans="1:31" hidden="1" x14ac:dyDescent="0.35">
      <c r="A85" s="503" t="str">
        <f>IF(AND(F86=G86,H86=I86,J86=K86,F86="A"),"2016 - kw",IF(AND(F86=G86,H86=I86,J86&lt;&gt;K86,F86="A"),"2017 - kw",IF(AND(F86=G86,H86&lt;&gt;I86,F86="A"),"2018 - kw","N/A")))</f>
        <v>N/A</v>
      </c>
      <c r="B85" s="503" t="str">
        <f>IF(F86&lt;&gt;G86,"2018 - kw",IF(H86&lt;&gt;I86,"2017 - kw",IF(J86&lt;&gt;K86,"2016 - kw","N/A")))</f>
        <v>N/A</v>
      </c>
      <c r="C85" s="511"/>
      <c r="D85" s="512" t="str">
        <f>D84 &amp; "kW"</f>
        <v>kW</v>
      </c>
      <c r="E85" s="513" t="s">
        <v>170</v>
      </c>
      <c r="F85" s="415"/>
      <c r="G85" s="415"/>
      <c r="H85" s="415"/>
      <c r="I85" s="415"/>
      <c r="J85" s="415"/>
      <c r="K85" s="415"/>
      <c r="L85" s="415"/>
      <c r="M85" s="415"/>
      <c r="N85" s="415"/>
      <c r="O85" s="415"/>
      <c r="P85" s="503"/>
      <c r="Q85" s="503"/>
      <c r="R85" s="503"/>
      <c r="S85" s="503"/>
      <c r="T85" s="503"/>
      <c r="U85" s="503"/>
      <c r="V85" s="503"/>
      <c r="Z85" s="504"/>
      <c r="AA85" s="504" t="str">
        <f>IF(AND(F86=G86,H86=I86,F86="A"),"2016 - kw","")</f>
        <v/>
      </c>
      <c r="AB85" s="504" t="str">
        <f>IF(OR(B85="2017 - kw",B85="2018 - kw"),"2016 - kw","")</f>
        <v/>
      </c>
      <c r="AC85" s="504"/>
      <c r="AD85" s="504"/>
      <c r="AE85" s="504"/>
    </row>
    <row r="86" spans="1:31" hidden="1" x14ac:dyDescent="0.35">
      <c r="A86" s="503"/>
      <c r="B86" s="503"/>
      <c r="C86" s="514"/>
      <c r="D86" s="515"/>
      <c r="E86" s="516" t="s">
        <v>210</v>
      </c>
      <c r="F86" s="502"/>
      <c r="G86" s="502"/>
      <c r="H86" s="502"/>
      <c r="I86" s="502"/>
      <c r="J86" s="502"/>
      <c r="K86" s="502"/>
      <c r="L86" s="502"/>
      <c r="M86" s="502"/>
      <c r="N86" s="502"/>
      <c r="O86" s="502"/>
      <c r="P86" s="503"/>
      <c r="Q86" s="503"/>
      <c r="R86" s="503"/>
      <c r="S86" s="503"/>
      <c r="T86" s="503"/>
      <c r="U86" s="503"/>
      <c r="V86" s="503"/>
      <c r="Z86" s="504"/>
      <c r="AA86" s="504"/>
      <c r="AB86" s="504"/>
      <c r="AC86" s="504"/>
      <c r="AD86" s="504"/>
      <c r="AE86" s="504"/>
    </row>
    <row r="87" spans="1:31" hidden="1" x14ac:dyDescent="0.35">
      <c r="A87" s="503" t="str">
        <f>IF(AND(F89=G89,H89=I89,J89=K89,F89="A"),"2016 - kwh",IF(AND(F89=G89,H89=I89,J89&lt;&gt;K89,F89="A"),"2017 - kwh",IF(AND(F89=G89,H89&lt;&gt;I89,F89="A"),"2018 - kwh","N/A")))</f>
        <v>N/A</v>
      </c>
      <c r="B87" s="503" t="str">
        <f>IF(F89&lt;&gt;G89,"2018 - kwh",IF(H89&lt;&gt;I89,"2017 - kwh",IF(J89&lt;&gt;K89,"2016 - kwh","N/A")))</f>
        <v>N/A</v>
      </c>
      <c r="C87" s="508" t="s">
        <v>228</v>
      </c>
      <c r="D87" s="509"/>
      <c r="E87" s="510" t="s">
        <v>139</v>
      </c>
      <c r="F87" s="415"/>
      <c r="G87" s="415"/>
      <c r="H87" s="415"/>
      <c r="I87" s="415"/>
      <c r="J87" s="415"/>
      <c r="K87" s="415"/>
      <c r="L87" s="415"/>
      <c r="M87" s="415"/>
      <c r="N87" s="415"/>
      <c r="O87" s="415"/>
      <c r="P87" s="503"/>
      <c r="Q87" s="503"/>
      <c r="R87" s="503"/>
      <c r="S87" s="503"/>
      <c r="T87" s="503"/>
      <c r="U87" s="503"/>
      <c r="V87" s="503"/>
      <c r="Z87" s="504"/>
      <c r="AA87" s="504" t="str">
        <f>IF(AND(F89=G89,H89=I89,F89="A"),"2016 - kwh","")</f>
        <v/>
      </c>
      <c r="AB87" s="504" t="str">
        <f>IF(OR(B87="2017 - kwh",B87="2018 - kwh"),"2016 - kwh","")</f>
        <v/>
      </c>
      <c r="AC87" s="504"/>
      <c r="AD87" s="504"/>
      <c r="AE87" s="504"/>
    </row>
    <row r="88" spans="1:31" hidden="1" x14ac:dyDescent="0.35">
      <c r="A88" s="503" t="str">
        <f>IF(AND(F89=G89,H89=I89,J89=K89,F89="A"),"2016 - kw",IF(AND(F89=G89,H89=I89,J89&lt;&gt;K89,F89="A"),"2017 - kw",IF(AND(F89=G89,H89&lt;&gt;I89,F89="A"),"2018 - kw","N/A")))</f>
        <v>N/A</v>
      </c>
      <c r="B88" s="503" t="str">
        <f>IF(F89&lt;&gt;G89,"2018 - kw",IF(H89&lt;&gt;I89,"2017 - kw",IF(J89&lt;&gt;K89,"2016 - kw","N/A")))</f>
        <v>N/A</v>
      </c>
      <c r="C88" s="511"/>
      <c r="D88" s="512" t="str">
        <f>D87 &amp; "kW"</f>
        <v>kW</v>
      </c>
      <c r="E88" s="513" t="s">
        <v>170</v>
      </c>
      <c r="F88" s="415"/>
      <c r="G88" s="415"/>
      <c r="H88" s="415"/>
      <c r="I88" s="415"/>
      <c r="J88" s="415"/>
      <c r="K88" s="415"/>
      <c r="L88" s="415"/>
      <c r="M88" s="415"/>
      <c r="N88" s="415"/>
      <c r="O88" s="415"/>
      <c r="P88" s="503"/>
      <c r="Q88" s="503"/>
      <c r="R88" s="503"/>
      <c r="S88" s="503"/>
      <c r="T88" s="503"/>
      <c r="U88" s="503"/>
      <c r="V88" s="503"/>
      <c r="Z88" s="504"/>
      <c r="AA88" s="504" t="str">
        <f>IF(AND(F89=G89,H89=I89,F89="A"),"2016 - kw","")</f>
        <v/>
      </c>
      <c r="AB88" s="504" t="str">
        <f>IF(OR(B88="2017 - kw",B88="2018 - kw"),"2016 - kw","")</f>
        <v/>
      </c>
      <c r="AC88" s="504"/>
      <c r="AD88" s="504"/>
      <c r="AE88" s="504"/>
    </row>
    <row r="89" spans="1:31" hidden="1" x14ac:dyDescent="0.35">
      <c r="A89" s="503"/>
      <c r="B89" s="503"/>
      <c r="C89" s="514"/>
      <c r="D89" s="515"/>
      <c r="E89" s="516" t="s">
        <v>210</v>
      </c>
      <c r="F89" s="502"/>
      <c r="G89" s="502"/>
      <c r="H89" s="502"/>
      <c r="I89" s="502"/>
      <c r="J89" s="502"/>
      <c r="K89" s="502"/>
      <c r="L89" s="502"/>
      <c r="M89" s="502"/>
      <c r="N89" s="502"/>
      <c r="O89" s="502"/>
      <c r="P89" s="503"/>
      <c r="Q89" s="503"/>
      <c r="R89" s="503"/>
      <c r="S89" s="503"/>
      <c r="T89" s="503"/>
      <c r="U89" s="503"/>
      <c r="V89" s="503"/>
      <c r="Z89" s="504"/>
      <c r="AA89" s="504"/>
      <c r="AB89" s="504"/>
      <c r="AC89" s="504"/>
      <c r="AD89" s="504"/>
      <c r="AE89" s="504"/>
    </row>
    <row r="90" spans="1:31" hidden="1" x14ac:dyDescent="0.35">
      <c r="A90" s="503" t="str">
        <f>IF(AND(F92=G92,H92=I92,J92=K92,F92="A"),"2016 - kwh",IF(AND(F92=G92,H92=I92,J92&lt;&gt;K92,F92="A"),"2017 - kwh",IF(AND(F92=G92,H92&lt;&gt;I92,F92="A"),"2018 - kwh","N/A")))</f>
        <v>N/A</v>
      </c>
      <c r="B90" s="503" t="str">
        <f>IF(F92&lt;&gt;G92,"2018 - kwh",IF(H92&lt;&gt;I92,"2017 - kwh",IF(J92&lt;&gt;K92,"2016 - kwh","N/A")))</f>
        <v>N/A</v>
      </c>
      <c r="C90" s="508" t="s">
        <v>229</v>
      </c>
      <c r="D90" s="509"/>
      <c r="E90" s="510" t="s">
        <v>139</v>
      </c>
      <c r="F90" s="415"/>
      <c r="G90" s="415"/>
      <c r="H90" s="415"/>
      <c r="I90" s="415"/>
      <c r="J90" s="415"/>
      <c r="K90" s="415"/>
      <c r="L90" s="415"/>
      <c r="M90" s="415"/>
      <c r="N90" s="415"/>
      <c r="O90" s="415"/>
      <c r="P90" s="503"/>
      <c r="Q90" s="503"/>
      <c r="R90" s="503"/>
      <c r="S90" s="503"/>
      <c r="T90" s="503"/>
      <c r="U90" s="503"/>
      <c r="V90" s="503"/>
      <c r="Z90" s="504"/>
      <c r="AA90" s="504" t="str">
        <f>IF(AND(F92=G92,H92=I92,F92="A"),"2016 - kwh","")</f>
        <v/>
      </c>
      <c r="AB90" s="504" t="str">
        <f>IF(OR(B90="2017 - kwh",B90="2018 - kwh"),"2016 - kwh","")</f>
        <v/>
      </c>
      <c r="AC90" s="504"/>
      <c r="AD90" s="504"/>
      <c r="AE90" s="504"/>
    </row>
    <row r="91" spans="1:31" hidden="1" x14ac:dyDescent="0.35">
      <c r="A91" s="503" t="str">
        <f>IF(AND(F92=G92,H92=I92,J92=K92,F92="A"),"2016 - kw",IF(AND(F92=G92,H92=I92,J92&lt;&gt;K92,F92="A"),"2017 - kw",IF(AND(F92=G92,H92&lt;&gt;I92,F92="A"),"2018 - kw","N/A")))</f>
        <v>N/A</v>
      </c>
      <c r="B91" s="503" t="str">
        <f>IF(F92&lt;&gt;G92,"2018 - kw",IF(H92&lt;&gt;I92,"2017 - kw",IF(J92&lt;&gt;K92,"2016 - kw","N/A")))</f>
        <v>N/A</v>
      </c>
      <c r="C91" s="511"/>
      <c r="D91" s="512" t="str">
        <f>D90 &amp; "kW"</f>
        <v>kW</v>
      </c>
      <c r="E91" s="513" t="s">
        <v>170</v>
      </c>
      <c r="F91" s="415"/>
      <c r="G91" s="415"/>
      <c r="H91" s="415"/>
      <c r="I91" s="415"/>
      <c r="J91" s="415"/>
      <c r="K91" s="415"/>
      <c r="L91" s="415"/>
      <c r="M91" s="415"/>
      <c r="N91" s="415"/>
      <c r="O91" s="415"/>
      <c r="P91" s="503"/>
      <c r="Q91" s="503"/>
      <c r="R91" s="503"/>
      <c r="S91" s="503"/>
      <c r="T91" s="503"/>
      <c r="U91" s="503"/>
      <c r="V91" s="503"/>
      <c r="Z91" s="504"/>
      <c r="AA91" s="504" t="str">
        <f>IF(AND(F92=G92,H92=I92,F92="A"),"2016 - kw","")</f>
        <v/>
      </c>
      <c r="AB91" s="504" t="str">
        <f>IF(OR(B91="2017 - kw",B91="2018 - kw"),"2016 - kw","")</f>
        <v/>
      </c>
      <c r="AC91" s="504"/>
      <c r="AD91" s="504"/>
      <c r="AE91" s="504"/>
    </row>
    <row r="92" spans="1:31" hidden="1" x14ac:dyDescent="0.35">
      <c r="A92" s="503"/>
      <c r="B92" s="503"/>
      <c r="C92" s="514"/>
      <c r="D92" s="515"/>
      <c r="E92" s="516" t="s">
        <v>210</v>
      </c>
      <c r="F92" s="502"/>
      <c r="G92" s="502"/>
      <c r="H92" s="502"/>
      <c r="I92" s="502"/>
      <c r="J92" s="502"/>
      <c r="K92" s="502"/>
      <c r="L92" s="502"/>
      <c r="M92" s="502"/>
      <c r="N92" s="502"/>
      <c r="O92" s="502"/>
      <c r="P92" s="503"/>
      <c r="Q92" s="503"/>
      <c r="R92" s="503"/>
      <c r="S92" s="503"/>
      <c r="T92" s="503"/>
      <c r="U92" s="503"/>
      <c r="V92" s="503"/>
      <c r="Z92" s="504"/>
      <c r="AA92" s="504"/>
      <c r="AB92" s="504"/>
      <c r="AC92" s="504"/>
      <c r="AD92" s="504"/>
      <c r="AE92" s="504"/>
    </row>
    <row r="93" spans="1:31" hidden="1" x14ac:dyDescent="0.35">
      <c r="A93" s="503" t="str">
        <f>IF(AND(F95=G95,H95=I95,J95=K95,F95="A"),"2016 - kwh",IF(AND(F95=G95,H95=I95,J95&lt;&gt;K95,F95="A"),"2017 - kwh",IF(AND(F95=G95,H95&lt;&gt;I95,F95="A"),"2018 - kwh","N/A")))</f>
        <v>N/A</v>
      </c>
      <c r="B93" s="503" t="str">
        <f>IF(F95&lt;&gt;G95,"2018 - kwh",IF(H95&lt;&gt;I95,"2017 - kwh",IF(J95&lt;&gt;K95,"2016 - kwh","N/A")))</f>
        <v>N/A</v>
      </c>
      <c r="C93" s="508" t="s">
        <v>230</v>
      </c>
      <c r="D93" s="509"/>
      <c r="E93" s="510" t="s">
        <v>139</v>
      </c>
      <c r="F93" s="415"/>
      <c r="G93" s="415"/>
      <c r="H93" s="415"/>
      <c r="I93" s="415"/>
      <c r="J93" s="415"/>
      <c r="K93" s="415"/>
      <c r="L93" s="415"/>
      <c r="M93" s="415"/>
      <c r="N93" s="415"/>
      <c r="O93" s="415"/>
      <c r="P93" s="503"/>
      <c r="Q93" s="503"/>
      <c r="R93" s="503"/>
      <c r="S93" s="503"/>
      <c r="T93" s="503"/>
      <c r="U93" s="503"/>
      <c r="V93" s="503"/>
      <c r="Z93" s="504"/>
      <c r="AA93" s="504" t="str">
        <f>IF(AND(F95=G95,H95=I95,F95="A"),"2016 - kwh","")</f>
        <v/>
      </c>
      <c r="AB93" s="504" t="str">
        <f>IF(OR(B93="2017 - kwh",B93="2018 - kwh"),"2016 - kwh","")</f>
        <v/>
      </c>
      <c r="AC93" s="504"/>
      <c r="AD93" s="504"/>
      <c r="AE93" s="504"/>
    </row>
    <row r="94" spans="1:31" hidden="1" x14ac:dyDescent="0.35">
      <c r="A94" s="503" t="str">
        <f>IF(AND(F95=G95,H95=I95,J95=K95,F95="A"),"2016 - kw",IF(AND(F95=G95,H95=I95,J95&lt;&gt;K95,F95="A"),"2017 - kw",IF(AND(F95=G95,H95&lt;&gt;I95,F95="A"),"2018 - kw","N/A")))</f>
        <v>N/A</v>
      </c>
      <c r="B94" s="503" t="str">
        <f>IF(F95&lt;&gt;G95,"2018 - kw",IF(H95&lt;&gt;I95,"2017 - kw",IF(J95&lt;&gt;K95,"2016 - kw","N/A")))</f>
        <v>N/A</v>
      </c>
      <c r="C94" s="511"/>
      <c r="D94" s="512" t="str">
        <f>D93 &amp; "kW"</f>
        <v>kW</v>
      </c>
      <c r="E94" s="513" t="s">
        <v>170</v>
      </c>
      <c r="F94" s="415"/>
      <c r="G94" s="415"/>
      <c r="H94" s="415"/>
      <c r="I94" s="415"/>
      <c r="J94" s="415"/>
      <c r="K94" s="415"/>
      <c r="L94" s="415"/>
      <c r="M94" s="415"/>
      <c r="N94" s="415"/>
      <c r="O94" s="415"/>
      <c r="P94" s="503"/>
      <c r="Q94" s="503"/>
      <c r="R94" s="503"/>
      <c r="S94" s="503"/>
      <c r="T94" s="503"/>
      <c r="U94" s="503"/>
      <c r="V94" s="503"/>
      <c r="Z94" s="504"/>
      <c r="AA94" s="504" t="str">
        <f>IF(AND(F95=G95,H95=I95,F95="A"),"2016 - kw","")</f>
        <v/>
      </c>
      <c r="AB94" s="504" t="str">
        <f>IF(OR(B94="2017 - kw",B94="2018 - kw"),"2016 - kw","")</f>
        <v/>
      </c>
      <c r="AC94" s="504"/>
      <c r="AD94" s="504"/>
      <c r="AE94" s="504"/>
    </row>
    <row r="95" spans="1:31" hidden="1" x14ac:dyDescent="0.35">
      <c r="A95" s="503"/>
      <c r="B95" s="503"/>
      <c r="C95" s="514"/>
      <c r="D95" s="515"/>
      <c r="E95" s="516" t="s">
        <v>210</v>
      </c>
      <c r="F95" s="502"/>
      <c r="G95" s="502"/>
      <c r="H95" s="502"/>
      <c r="I95" s="502"/>
      <c r="J95" s="502"/>
      <c r="K95" s="502"/>
      <c r="L95" s="502"/>
      <c r="M95" s="502"/>
      <c r="N95" s="502"/>
      <c r="O95" s="502"/>
      <c r="P95" s="503"/>
      <c r="Q95" s="503"/>
      <c r="R95" s="503"/>
      <c r="S95" s="503"/>
      <c r="T95" s="503"/>
      <c r="U95" s="503"/>
      <c r="V95" s="503"/>
      <c r="Z95" s="504"/>
      <c r="AA95" s="504"/>
      <c r="AB95" s="504"/>
      <c r="AC95" s="504"/>
      <c r="AD95" s="504"/>
      <c r="AE95" s="504"/>
    </row>
    <row r="96" spans="1:31" hidden="1" x14ac:dyDescent="0.35">
      <c r="A96" s="503" t="str">
        <f>IF(AND(F98=G98,H98=I98,J98=K98,F98="A"),"2016 - kwh",IF(AND(F98=G98,H98=I98,J98&lt;&gt;K98,F98="A"),"2017 - kwh",IF(AND(F98=G98,H98&lt;&gt;I98,F98="A"),"2018 - kwh","N/A")))</f>
        <v>N/A</v>
      </c>
      <c r="B96" s="503" t="str">
        <f>IF(F98&lt;&gt;G98,"2018 - kwh",IF(H98&lt;&gt;I98,"2017 - kwh",IF(J98&lt;&gt;K98,"2016 - kwh","N/A")))</f>
        <v>N/A</v>
      </c>
      <c r="C96" s="508" t="s">
        <v>231</v>
      </c>
      <c r="D96" s="509"/>
      <c r="E96" s="510" t="s">
        <v>139</v>
      </c>
      <c r="F96" s="415"/>
      <c r="G96" s="415"/>
      <c r="H96" s="415"/>
      <c r="I96" s="415"/>
      <c r="J96" s="415"/>
      <c r="K96" s="415"/>
      <c r="L96" s="415"/>
      <c r="M96" s="415"/>
      <c r="N96" s="415"/>
      <c r="O96" s="415"/>
      <c r="P96" s="503"/>
      <c r="Q96" s="503"/>
      <c r="R96" s="503"/>
      <c r="S96" s="503"/>
      <c r="T96" s="503"/>
      <c r="U96" s="503"/>
      <c r="V96" s="503"/>
      <c r="Z96" s="504"/>
      <c r="AA96" s="504" t="str">
        <f>IF(AND(F98=G98,H98=I98,F98="A"),"2016 - kwh","")</f>
        <v/>
      </c>
      <c r="AB96" s="504" t="str">
        <f>IF(OR(B96="2017 - kwh",B96="2018 - kwh"),"2016 - kwh","")</f>
        <v/>
      </c>
      <c r="AC96" s="504"/>
      <c r="AD96" s="504"/>
      <c r="AE96" s="504"/>
    </row>
    <row r="97" spans="1:31" hidden="1" x14ac:dyDescent="0.35">
      <c r="A97" s="503" t="str">
        <f>IF(AND(F98=G98,H98=I98,J98=K98,F98="A"),"2016 - kw",IF(AND(F98=G98,H98=I98,J98&lt;&gt;K98,F98="A"),"2017 - kw",IF(AND(F98=G98,H98&lt;&gt;I98,F98="A"),"2018 - kw","N/A")))</f>
        <v>N/A</v>
      </c>
      <c r="B97" s="503" t="str">
        <f>IF(F98&lt;&gt;G98,"2018 - kw",IF(H98&lt;&gt;I98,"2017 - kw",IF(J98&lt;&gt;K98,"2016 - kw","N/A")))</f>
        <v>N/A</v>
      </c>
      <c r="C97" s="511"/>
      <c r="D97" s="512" t="str">
        <f>D96 &amp; "kW"</f>
        <v>kW</v>
      </c>
      <c r="E97" s="513" t="s">
        <v>170</v>
      </c>
      <c r="F97" s="415"/>
      <c r="G97" s="415"/>
      <c r="H97" s="415"/>
      <c r="I97" s="415"/>
      <c r="J97" s="415"/>
      <c r="K97" s="415"/>
      <c r="L97" s="415"/>
      <c r="M97" s="415"/>
      <c r="N97" s="415"/>
      <c r="O97" s="415"/>
      <c r="P97" s="503"/>
      <c r="Q97" s="503"/>
      <c r="R97" s="503"/>
      <c r="S97" s="503"/>
      <c r="T97" s="503"/>
      <c r="U97" s="503"/>
      <c r="V97" s="503"/>
      <c r="Z97" s="504"/>
      <c r="AA97" s="504" t="str">
        <f>IF(AND(F98=G98,H98=I98,F98="A"),"2016 - kw","")</f>
        <v/>
      </c>
      <c r="AB97" s="504" t="str">
        <f>IF(OR(B97="2017 - kw",B97="2018 - kw"),"2016 - kw","")</f>
        <v/>
      </c>
      <c r="AC97" s="504"/>
      <c r="AD97" s="504"/>
      <c r="AE97" s="504"/>
    </row>
    <row r="98" spans="1:31" hidden="1" x14ac:dyDescent="0.35">
      <c r="A98" s="503"/>
      <c r="B98" s="503"/>
      <c r="C98" s="514"/>
      <c r="D98" s="515"/>
      <c r="E98" s="516" t="s">
        <v>210</v>
      </c>
      <c r="F98" s="502"/>
      <c r="G98" s="502"/>
      <c r="H98" s="502"/>
      <c r="I98" s="502"/>
      <c r="J98" s="502"/>
      <c r="K98" s="502"/>
      <c r="L98" s="502"/>
      <c r="M98" s="502"/>
      <c r="N98" s="502"/>
      <c r="O98" s="502"/>
      <c r="P98" s="503"/>
      <c r="Q98" s="503"/>
      <c r="R98" s="503"/>
      <c r="S98" s="503"/>
      <c r="T98" s="503"/>
      <c r="U98" s="503"/>
      <c r="V98" s="503"/>
      <c r="Z98" s="504"/>
      <c r="AA98" s="504"/>
      <c r="AB98" s="504"/>
      <c r="AC98" s="504"/>
      <c r="AD98" s="504"/>
      <c r="AE98" s="504"/>
    </row>
    <row r="99" spans="1:31" hidden="1" x14ac:dyDescent="0.35">
      <c r="A99" s="503" t="str">
        <f>IF(AND(F101=G101,H101=I101,J101=K101,F101="A"),"2016 - kwh",IF(AND(F101=G101,H101=I101,J101&lt;&gt;K101,F101="A"),"2017 - kwh",IF(AND(F101=G101,H101&lt;&gt;I101,F101="A"),"2018 - kwh","N/A")))</f>
        <v>N/A</v>
      </c>
      <c r="B99" s="503" t="str">
        <f>IF(F101&lt;&gt;G101,"2018 - kwh",IF(H101&lt;&gt;I101,"2017 - kwh",IF(J101&lt;&gt;K101,"2016 - kwh","N/A")))</f>
        <v>N/A</v>
      </c>
      <c r="C99" s="508" t="s">
        <v>232</v>
      </c>
      <c r="D99" s="509"/>
      <c r="E99" s="510" t="s">
        <v>139</v>
      </c>
      <c r="F99" s="415"/>
      <c r="G99" s="415"/>
      <c r="H99" s="415"/>
      <c r="I99" s="415"/>
      <c r="J99" s="415"/>
      <c r="K99" s="415"/>
      <c r="L99" s="415"/>
      <c r="M99" s="415"/>
      <c r="N99" s="415"/>
      <c r="O99" s="415"/>
      <c r="P99" s="503"/>
      <c r="Q99" s="503"/>
      <c r="R99" s="503"/>
      <c r="S99" s="503"/>
      <c r="T99" s="503"/>
      <c r="U99" s="503"/>
      <c r="V99" s="503"/>
      <c r="Z99" s="504"/>
      <c r="AA99" s="504" t="str">
        <f>IF(AND(F101=G101,H101=I101,F101="A"),"2016 - kwh","")</f>
        <v/>
      </c>
      <c r="AB99" s="504" t="str">
        <f>IF(OR(B99="2017 - kwh",B99="2018 - kwh"),"2016 - kwh","")</f>
        <v/>
      </c>
      <c r="AC99" s="504"/>
      <c r="AD99" s="504"/>
      <c r="AE99" s="504"/>
    </row>
    <row r="100" spans="1:31" hidden="1" x14ac:dyDescent="0.35">
      <c r="A100" s="503" t="str">
        <f>IF(AND(F101=G101,H101=I101,J101=K101,F101="A"),"2016 - kw",IF(AND(F101=G101,H101=I101,J101&lt;&gt;K101,F101="A"),"2017 - kw",IF(AND(F101=G101,H101&lt;&gt;I101,F101="A"),"2018 - kw","N/A")))</f>
        <v>N/A</v>
      </c>
      <c r="B100" s="503" t="str">
        <f>IF(F101&lt;&gt;G101,"2018 - kw",IF(H101&lt;&gt;I101,"2017 - kw",IF(J101&lt;&gt;K101,"2016 - kw","N/A")))</f>
        <v>N/A</v>
      </c>
      <c r="C100" s="511"/>
      <c r="D100" s="512" t="str">
        <f>D99 &amp; "kW"</f>
        <v>kW</v>
      </c>
      <c r="E100" s="513" t="s">
        <v>170</v>
      </c>
      <c r="F100" s="415"/>
      <c r="G100" s="415"/>
      <c r="H100" s="415"/>
      <c r="I100" s="415"/>
      <c r="J100" s="415"/>
      <c r="K100" s="415"/>
      <c r="L100" s="415"/>
      <c r="M100" s="415"/>
      <c r="N100" s="415"/>
      <c r="O100" s="415"/>
      <c r="P100" s="503"/>
      <c r="Q100" s="503"/>
      <c r="R100" s="503"/>
      <c r="S100" s="503"/>
      <c r="T100" s="503"/>
      <c r="U100" s="503"/>
      <c r="V100" s="503"/>
      <c r="Z100" s="504"/>
      <c r="AA100" s="504" t="str">
        <f>IF(AND(F101=G101,H101=I101,F101="A"),"2016 - kw","")</f>
        <v/>
      </c>
      <c r="AB100" s="504" t="str">
        <f>IF(OR(B100="2017 - kw",B100="2018 - kw"),"2016 - kw","")</f>
        <v/>
      </c>
      <c r="AC100" s="504"/>
      <c r="AD100" s="504"/>
      <c r="AE100" s="504"/>
    </row>
    <row r="101" spans="1:31" hidden="1" x14ac:dyDescent="0.35">
      <c r="A101" s="503"/>
      <c r="B101" s="503"/>
      <c r="C101" s="514"/>
      <c r="D101" s="515"/>
      <c r="E101" s="516" t="s">
        <v>210</v>
      </c>
      <c r="F101" s="502"/>
      <c r="G101" s="502"/>
      <c r="H101" s="502"/>
      <c r="I101" s="502"/>
      <c r="J101" s="502"/>
      <c r="K101" s="502"/>
      <c r="L101" s="502"/>
      <c r="M101" s="502"/>
      <c r="N101" s="502"/>
      <c r="O101" s="502"/>
      <c r="P101" s="503"/>
      <c r="Q101" s="503"/>
      <c r="R101" s="503"/>
      <c r="S101" s="503"/>
      <c r="T101" s="503"/>
      <c r="U101" s="503"/>
      <c r="V101" s="503"/>
      <c r="Z101" s="504"/>
      <c r="AA101" s="504"/>
      <c r="AB101" s="504"/>
      <c r="AC101" s="504"/>
      <c r="AD101" s="504"/>
      <c r="AE101" s="504"/>
    </row>
    <row r="102" spans="1:31" hidden="1" x14ac:dyDescent="0.35">
      <c r="A102" s="503" t="str">
        <f>IF(AND(F104=G104,H104=I104,J104=K104,F104="A"),"2016 - kwh",IF(AND(F104=G104,H104=I104,J104&lt;&gt;K104,F104="A"),"2017 - kwh",IF(AND(F104=G104,H104&lt;&gt;I104,F104="A"),"2018 - kwh","N/A")))</f>
        <v>N/A</v>
      </c>
      <c r="B102" s="503" t="str">
        <f>IF(F104&lt;&gt;G104,"2018 - kwh",IF(H104&lt;&gt;I104,"2017 - kwh",IF(J104&lt;&gt;K104,"2016 - kwh","N/A")))</f>
        <v>N/A</v>
      </c>
      <c r="C102" s="508" t="s">
        <v>233</v>
      </c>
      <c r="D102" s="509"/>
      <c r="E102" s="510" t="s">
        <v>139</v>
      </c>
      <c r="F102" s="415"/>
      <c r="G102" s="415"/>
      <c r="H102" s="415"/>
      <c r="I102" s="415"/>
      <c r="J102" s="415"/>
      <c r="K102" s="415"/>
      <c r="L102" s="415"/>
      <c r="M102" s="415"/>
      <c r="N102" s="415"/>
      <c r="O102" s="415"/>
      <c r="P102" s="503"/>
      <c r="Q102" s="503"/>
      <c r="R102" s="503"/>
      <c r="S102" s="503"/>
      <c r="T102" s="503"/>
      <c r="U102" s="503"/>
      <c r="V102" s="503"/>
      <c r="Z102" s="504"/>
      <c r="AA102" s="504" t="str">
        <f>IF(AND(F104=G104,H104=I104,F104="A"),"2016 - kwh","")</f>
        <v/>
      </c>
      <c r="AB102" s="504" t="str">
        <f>IF(OR(B102="2017 - kwh",B102="2018 - kwh"),"2016 - kwh","")</f>
        <v/>
      </c>
      <c r="AC102" s="504"/>
      <c r="AD102" s="504"/>
      <c r="AE102" s="504"/>
    </row>
    <row r="103" spans="1:31" hidden="1" x14ac:dyDescent="0.35">
      <c r="A103" s="503" t="str">
        <f>IF(AND(F104=G104,H104=I104,J104=K104,F104="A"),"2016 - kw",IF(AND(F104=G104,H104=I104,J104&lt;&gt;K104,F104="A"),"2017 - kw",IF(AND(F104=G104,H104&lt;&gt;I104,F104="A"),"2018 - kw","N/A")))</f>
        <v>N/A</v>
      </c>
      <c r="B103" s="503" t="str">
        <f>IF(F104&lt;&gt;G104,"2018 - kw",IF(H104&lt;&gt;I104,"2017 - kw",IF(J104&lt;&gt;K104,"2016 - kw","N/A")))</f>
        <v>N/A</v>
      </c>
      <c r="C103" s="511"/>
      <c r="D103" s="512" t="str">
        <f>D102 &amp; "kW"</f>
        <v>kW</v>
      </c>
      <c r="E103" s="513" t="s">
        <v>170</v>
      </c>
      <c r="F103" s="415"/>
      <c r="G103" s="415"/>
      <c r="H103" s="415"/>
      <c r="I103" s="415"/>
      <c r="J103" s="415"/>
      <c r="K103" s="415"/>
      <c r="L103" s="415"/>
      <c r="M103" s="415"/>
      <c r="N103" s="415"/>
      <c r="O103" s="415"/>
      <c r="P103" s="503"/>
      <c r="Q103" s="503"/>
      <c r="R103" s="503"/>
      <c r="S103" s="503"/>
      <c r="T103" s="503"/>
      <c r="U103" s="503"/>
      <c r="V103" s="503"/>
      <c r="Z103" s="504"/>
      <c r="AA103" s="504" t="str">
        <f>IF(AND(F104=G104,H104=I104,F104="A"),"2016 - kw","")</f>
        <v/>
      </c>
      <c r="AB103" s="504" t="str">
        <f>IF(OR(B103="2017 - kw",B103="2018 - kw"),"2016 - kw","")</f>
        <v/>
      </c>
      <c r="AC103" s="504"/>
      <c r="AD103" s="504"/>
      <c r="AE103" s="504"/>
    </row>
    <row r="104" spans="1:31" hidden="1" x14ac:dyDescent="0.35">
      <c r="A104" s="503"/>
      <c r="B104" s="503"/>
      <c r="C104" s="514"/>
      <c r="D104" s="515"/>
      <c r="E104" s="516" t="s">
        <v>210</v>
      </c>
      <c r="F104" s="502"/>
      <c r="G104" s="502"/>
      <c r="H104" s="502"/>
      <c r="I104" s="502"/>
      <c r="J104" s="502"/>
      <c r="K104" s="502"/>
      <c r="L104" s="502"/>
      <c r="M104" s="502"/>
      <c r="N104" s="502"/>
      <c r="O104" s="502"/>
      <c r="P104" s="503"/>
      <c r="Q104" s="503"/>
      <c r="R104" s="503"/>
      <c r="S104" s="503"/>
      <c r="T104" s="503"/>
      <c r="U104" s="503"/>
      <c r="V104" s="503"/>
      <c r="Z104" s="504"/>
      <c r="AA104" s="504"/>
      <c r="AB104" s="504"/>
      <c r="AC104" s="504"/>
      <c r="AD104" s="504"/>
      <c r="AE104" s="504"/>
    </row>
    <row r="105" spans="1:31" hidden="1" x14ac:dyDescent="0.35">
      <c r="A105" s="503" t="str">
        <f>IF(AND(F107=G107,H107=I107,J107=K107,F107="A"),"2016 - kwh",IF(AND(F107=G107,H107=I107,J107&lt;&gt;K107,F107="A"),"2017 - kwh",IF(AND(F107=G107,H107&lt;&gt;I107,F107="A"),"2018 - kwh","N/A")))</f>
        <v>N/A</v>
      </c>
      <c r="B105" s="503" t="str">
        <f>IF(F107&lt;&gt;G107,"2018 - kwh",IF(H107&lt;&gt;I107,"2017 - kwh",IF(J107&lt;&gt;K107,"2016 - kwh","N/A")))</f>
        <v>N/A</v>
      </c>
      <c r="C105" s="508" t="s">
        <v>234</v>
      </c>
      <c r="D105" s="509"/>
      <c r="E105" s="510" t="s">
        <v>139</v>
      </c>
      <c r="F105" s="415"/>
      <c r="G105" s="415"/>
      <c r="H105" s="415"/>
      <c r="I105" s="415"/>
      <c r="J105" s="415"/>
      <c r="K105" s="415"/>
      <c r="L105" s="415"/>
      <c r="M105" s="415"/>
      <c r="N105" s="415"/>
      <c r="O105" s="415"/>
      <c r="P105" s="503"/>
      <c r="Q105" s="503"/>
      <c r="R105" s="503"/>
      <c r="S105" s="503"/>
      <c r="T105" s="503"/>
      <c r="U105" s="503"/>
      <c r="V105" s="503"/>
      <c r="Z105" s="504"/>
      <c r="AA105" s="504" t="str">
        <f>IF(AND(F107=G107,H107=I107,F107="A"),"2016 - kwh","")</f>
        <v/>
      </c>
      <c r="AB105" s="504" t="str">
        <f>IF(OR(B105="2017 - kwh",B105="2018 - kwh"),"2016 - kwh","")</f>
        <v/>
      </c>
      <c r="AC105" s="504"/>
      <c r="AD105" s="504"/>
      <c r="AE105" s="504"/>
    </row>
    <row r="106" spans="1:31" hidden="1" x14ac:dyDescent="0.35">
      <c r="A106" s="503" t="str">
        <f>IF(AND(F107=G107,H107=I107,J107=K107,F107="A"),"2016 - kw",IF(AND(F107=G107,H107=I107,J107&lt;&gt;K107,F107="A"),"2017 - kw",IF(AND(F107=G107,H107&lt;&gt;I107,F107="A"),"2018 - kw","N/A")))</f>
        <v>N/A</v>
      </c>
      <c r="B106" s="503" t="str">
        <f>IF(F107&lt;&gt;G107,"2018 - kw",IF(H107&lt;&gt;I107,"2017 - kw",IF(J107&lt;&gt;K107,"2016 - kw","N/A")))</f>
        <v>N/A</v>
      </c>
      <c r="C106" s="511"/>
      <c r="D106" s="512" t="str">
        <f>D105 &amp; "kW"</f>
        <v>kW</v>
      </c>
      <c r="E106" s="513" t="s">
        <v>170</v>
      </c>
      <c r="F106" s="415"/>
      <c r="G106" s="415"/>
      <c r="H106" s="415"/>
      <c r="I106" s="415"/>
      <c r="J106" s="415"/>
      <c r="K106" s="415"/>
      <c r="L106" s="415"/>
      <c r="M106" s="415"/>
      <c r="N106" s="415"/>
      <c r="O106" s="415"/>
      <c r="P106" s="503"/>
      <c r="Q106" s="503"/>
      <c r="R106" s="503"/>
      <c r="S106" s="503"/>
      <c r="T106" s="503"/>
      <c r="U106" s="503"/>
      <c r="V106" s="503"/>
      <c r="Z106" s="504"/>
      <c r="AA106" s="504" t="str">
        <f>IF(AND(F107=G107,H107=I107,F107="A"),"2016 - kw","")</f>
        <v/>
      </c>
      <c r="AB106" s="504" t="str">
        <f>IF(OR(B106="2017 - kw",B106="2018 - kw"),"2016 - kw","")</f>
        <v/>
      </c>
      <c r="AC106" s="504"/>
      <c r="AD106" s="504"/>
      <c r="AE106" s="504"/>
    </row>
    <row r="107" spans="1:31" hidden="1" x14ac:dyDescent="0.35">
      <c r="A107" s="503"/>
      <c r="B107" s="503"/>
      <c r="C107" s="514"/>
      <c r="D107" s="515"/>
      <c r="E107" s="516" t="s">
        <v>210</v>
      </c>
      <c r="F107" s="502"/>
      <c r="G107" s="502"/>
      <c r="H107" s="502"/>
      <c r="I107" s="502"/>
      <c r="J107" s="502"/>
      <c r="K107" s="502"/>
      <c r="L107" s="502"/>
      <c r="M107" s="502"/>
      <c r="N107" s="502"/>
      <c r="O107" s="502"/>
      <c r="P107" s="503"/>
      <c r="Q107" s="503"/>
      <c r="R107" s="503"/>
      <c r="S107" s="503"/>
      <c r="T107" s="503"/>
      <c r="U107" s="503"/>
      <c r="V107" s="503"/>
      <c r="Z107" s="504"/>
      <c r="AA107" s="504"/>
      <c r="AB107" s="504"/>
      <c r="AC107" s="504"/>
      <c r="AD107" s="504"/>
      <c r="AE107" s="504"/>
    </row>
    <row r="108" spans="1:31" hidden="1" x14ac:dyDescent="0.35">
      <c r="A108" s="503" t="str">
        <f>IF(AND(F110=G110,H110=I110,J110=K110,F110="A"),"2016 - kwh",IF(AND(F110=G110,H110=I110,J110&lt;&gt;K110,F110="A"),"2017 - kwh",IF(AND(F110=G110,H110&lt;&gt;I110,F110="A"),"2018 - kwh","N/A")))</f>
        <v>N/A</v>
      </c>
      <c r="B108" s="503" t="str">
        <f>IF(F110&lt;&gt;G110,"2018 - kwh",IF(H110&lt;&gt;I110,"2017 - kwh",IF(J110&lt;&gt;K110,"2016 - kwh","N/A")))</f>
        <v>N/A</v>
      </c>
      <c r="C108" s="508" t="s">
        <v>235</v>
      </c>
      <c r="D108" s="509"/>
      <c r="E108" s="510" t="s">
        <v>139</v>
      </c>
      <c r="F108" s="415"/>
      <c r="G108" s="415"/>
      <c r="H108" s="415"/>
      <c r="I108" s="415"/>
      <c r="J108" s="415"/>
      <c r="K108" s="415"/>
      <c r="L108" s="415"/>
      <c r="M108" s="415"/>
      <c r="N108" s="415"/>
      <c r="O108" s="415"/>
      <c r="P108" s="503"/>
      <c r="Q108" s="503"/>
      <c r="R108" s="503"/>
      <c r="S108" s="503"/>
      <c r="T108" s="503"/>
      <c r="U108" s="503"/>
      <c r="V108" s="503"/>
      <c r="Z108" s="504"/>
      <c r="AA108" s="504" t="str">
        <f>IF(AND(F110=G110,H110=I110,F110="A"),"2016 - kwh","")</f>
        <v/>
      </c>
      <c r="AB108" s="504" t="str">
        <f>IF(OR(B108="2017 - kwh",B108="2018 - kwh"),"2016 - kwh","")</f>
        <v/>
      </c>
      <c r="AC108" s="504"/>
      <c r="AD108" s="504"/>
      <c r="AE108" s="504"/>
    </row>
    <row r="109" spans="1:31" hidden="1" x14ac:dyDescent="0.35">
      <c r="A109" s="503" t="str">
        <f>IF(AND(F110=G110,H110=I110,J110=K110,F110="A"),"2016 - kw",IF(AND(F110=G110,H110=I110,J110&lt;&gt;K110,F110="A"),"2017 - kw",IF(AND(F110=G110,H110&lt;&gt;I110,F110="A"),"2018 - kw","N/A")))</f>
        <v>N/A</v>
      </c>
      <c r="B109" s="503" t="str">
        <f>IF(F110&lt;&gt;G110,"2018 - kw",IF(H110&lt;&gt;I110,"2017 - kw",IF(J110&lt;&gt;K110,"2016 - kw","N/A")))</f>
        <v>N/A</v>
      </c>
      <c r="C109" s="511"/>
      <c r="D109" s="512" t="str">
        <f>D108 &amp; "kW"</f>
        <v>kW</v>
      </c>
      <c r="E109" s="513" t="s">
        <v>170</v>
      </c>
      <c r="F109" s="415"/>
      <c r="G109" s="415"/>
      <c r="H109" s="415"/>
      <c r="I109" s="415"/>
      <c r="J109" s="415"/>
      <c r="K109" s="415"/>
      <c r="L109" s="415"/>
      <c r="M109" s="415"/>
      <c r="N109" s="415"/>
      <c r="O109" s="415"/>
      <c r="P109" s="503"/>
      <c r="Q109" s="503"/>
      <c r="R109" s="503"/>
      <c r="S109" s="503"/>
      <c r="T109" s="503"/>
      <c r="U109" s="503"/>
      <c r="V109" s="503"/>
      <c r="Z109" s="504"/>
      <c r="AA109" s="504" t="str">
        <f>IF(AND(F110=G110,H110=I110,F110="A"),"2016 - kw","")</f>
        <v/>
      </c>
      <c r="AB109" s="504" t="str">
        <f>IF(OR(B109="2017 - kw",B109="2018 - kw"),"2016 - kw","")</f>
        <v/>
      </c>
      <c r="AC109" s="504"/>
      <c r="AD109" s="504"/>
      <c r="AE109" s="504"/>
    </row>
    <row r="110" spans="1:31" hidden="1" x14ac:dyDescent="0.35">
      <c r="A110" s="503"/>
      <c r="B110" s="503"/>
      <c r="C110" s="514"/>
      <c r="D110" s="515"/>
      <c r="E110" s="516" t="s">
        <v>210</v>
      </c>
      <c r="F110" s="502"/>
      <c r="G110" s="502"/>
      <c r="H110" s="502"/>
      <c r="I110" s="502"/>
      <c r="J110" s="502"/>
      <c r="K110" s="502"/>
      <c r="L110" s="502"/>
      <c r="M110" s="502"/>
      <c r="N110" s="502"/>
      <c r="O110" s="502"/>
      <c r="P110" s="503"/>
      <c r="Q110" s="503"/>
      <c r="R110" s="503"/>
      <c r="S110" s="503"/>
      <c r="T110" s="503"/>
      <c r="U110" s="503"/>
      <c r="V110" s="503"/>
      <c r="Z110" s="504"/>
      <c r="AA110" s="504"/>
      <c r="AB110" s="504"/>
      <c r="AC110" s="504"/>
      <c r="AD110" s="504"/>
      <c r="AE110" s="504"/>
    </row>
    <row r="111" spans="1:31" hidden="1" x14ac:dyDescent="0.35">
      <c r="A111" s="503" t="str">
        <f>IF(AND(F113=G113,H113=I113,J113=K113,F113="A"),"2016 - kwh",IF(AND(F113=G113,H113=I113,J113&lt;&gt;K113,F113="A"),"2017 - kwh",IF(AND(F113=G113,H113&lt;&gt;I113,F113="A"),"2018 - kwh","N/A")))</f>
        <v>N/A</v>
      </c>
      <c r="B111" s="503" t="str">
        <f>IF(F113&lt;&gt;G113,"2018 - kwh",IF(H113&lt;&gt;I113,"2017 - kwh",IF(J113&lt;&gt;K113,"2016 - kwh","N/A")))</f>
        <v>N/A</v>
      </c>
      <c r="C111" s="508" t="s">
        <v>236</v>
      </c>
      <c r="D111" s="509"/>
      <c r="E111" s="510" t="s">
        <v>139</v>
      </c>
      <c r="F111" s="415"/>
      <c r="G111" s="415"/>
      <c r="H111" s="415"/>
      <c r="I111" s="415"/>
      <c r="J111" s="415"/>
      <c r="K111" s="415"/>
      <c r="L111" s="415"/>
      <c r="M111" s="415"/>
      <c r="N111" s="415"/>
      <c r="O111" s="415"/>
      <c r="P111" s="503"/>
      <c r="Q111" s="503"/>
      <c r="R111" s="503"/>
      <c r="S111" s="503"/>
      <c r="T111" s="503"/>
      <c r="U111" s="503"/>
      <c r="V111" s="503"/>
      <c r="Z111" s="504"/>
      <c r="AA111" s="504" t="str">
        <f>IF(AND(F113=G113,H113=I113,F113="A"),"2016 - kwh","")</f>
        <v/>
      </c>
      <c r="AB111" s="504" t="str">
        <f>IF(OR(B111="2017 - kwh",B111="2018 - kwh"),"2016 - kwh","")</f>
        <v/>
      </c>
      <c r="AC111" s="504"/>
      <c r="AD111" s="504"/>
      <c r="AE111" s="504"/>
    </row>
    <row r="112" spans="1:31" hidden="1" x14ac:dyDescent="0.35">
      <c r="A112" s="503" t="str">
        <f>IF(AND(F113=G113,H113=I113,J113=K113,F113="A"),"2016 - kw",IF(AND(F113=G113,H113=I113,J113&lt;&gt;K113,F113="A"),"2017 - kw",IF(AND(F113=G113,H113&lt;&gt;I113,F113="A"),"2018 - kw","N/A")))</f>
        <v>N/A</v>
      </c>
      <c r="B112" s="503" t="str">
        <f>IF(F113&lt;&gt;G113,"2018 - kw",IF(H113&lt;&gt;I113,"2017 - kw",IF(J113&lt;&gt;K113,"2016 - kw","N/A")))</f>
        <v>N/A</v>
      </c>
      <c r="C112" s="511"/>
      <c r="D112" s="512" t="str">
        <f>D111 &amp; "kW"</f>
        <v>kW</v>
      </c>
      <c r="E112" s="513" t="s">
        <v>170</v>
      </c>
      <c r="F112" s="415"/>
      <c r="G112" s="415"/>
      <c r="H112" s="415"/>
      <c r="I112" s="415"/>
      <c r="J112" s="415"/>
      <c r="K112" s="415"/>
      <c r="L112" s="415"/>
      <c r="M112" s="415"/>
      <c r="N112" s="415"/>
      <c r="O112" s="415"/>
      <c r="P112" s="503"/>
      <c r="Q112" s="503"/>
      <c r="R112" s="503"/>
      <c r="S112" s="503"/>
      <c r="T112" s="503"/>
      <c r="U112" s="503"/>
      <c r="V112" s="503"/>
      <c r="Z112" s="504"/>
      <c r="AA112" s="504" t="str">
        <f>IF(AND(F113=G113,H113=I113,F113="A"),"2016 - kw","")</f>
        <v/>
      </c>
      <c r="AB112" s="504" t="str">
        <f>IF(OR(B112="2017 - kw",B112="2018 - kw"),"2016 - kw","")</f>
        <v/>
      </c>
      <c r="AC112" s="504"/>
      <c r="AD112" s="504"/>
      <c r="AE112" s="504"/>
    </row>
    <row r="113" spans="1:31" hidden="1" x14ac:dyDescent="0.35">
      <c r="A113" s="503"/>
      <c r="B113" s="503"/>
      <c r="C113" s="514"/>
      <c r="D113" s="515"/>
      <c r="E113" s="516" t="s">
        <v>210</v>
      </c>
      <c r="F113" s="502"/>
      <c r="G113" s="502"/>
      <c r="H113" s="502"/>
      <c r="I113" s="502"/>
      <c r="J113" s="502"/>
      <c r="K113" s="502"/>
      <c r="L113" s="502"/>
      <c r="M113" s="502"/>
      <c r="N113" s="502"/>
      <c r="O113" s="502"/>
      <c r="P113" s="503"/>
      <c r="Q113" s="503"/>
      <c r="R113" s="503"/>
      <c r="S113" s="503"/>
      <c r="T113" s="503"/>
      <c r="U113" s="503"/>
      <c r="V113" s="503"/>
      <c r="Z113" s="504"/>
      <c r="AA113" s="504"/>
      <c r="AB113" s="504"/>
      <c r="AC113" s="504"/>
      <c r="AD113" s="504"/>
      <c r="AE113" s="504"/>
    </row>
    <row r="114" spans="1:31" hidden="1" x14ac:dyDescent="0.35">
      <c r="A114" s="503" t="str">
        <f>IF(AND(F116=G116,H116=I116,J116=K116,F116="A"),"2016 - kwh",IF(AND(F116=G116,H116=I116,J116&lt;&gt;K116,F116="A"),"2017 - kwh",IF(AND(F116=G116,H116&lt;&gt;I116,F116="A"),"2018 - kwh","N/A")))</f>
        <v>N/A</v>
      </c>
      <c r="B114" s="503" t="str">
        <f>IF(F116&lt;&gt;G116,"2018 - kwh",IF(H116&lt;&gt;I116,"2017 - kwh",IF(J116&lt;&gt;K116,"2016 - kwh","N/A")))</f>
        <v>N/A</v>
      </c>
      <c r="C114" s="508" t="s">
        <v>237</v>
      </c>
      <c r="D114" s="509"/>
      <c r="E114" s="510" t="s">
        <v>139</v>
      </c>
      <c r="F114" s="415"/>
      <c r="G114" s="415"/>
      <c r="H114" s="415"/>
      <c r="I114" s="415"/>
      <c r="J114" s="415"/>
      <c r="K114" s="415"/>
      <c r="L114" s="415"/>
      <c r="M114" s="415"/>
      <c r="N114" s="415"/>
      <c r="O114" s="415"/>
      <c r="P114" s="503"/>
      <c r="Q114" s="503"/>
      <c r="R114" s="503"/>
      <c r="S114" s="503"/>
      <c r="T114" s="503"/>
      <c r="U114" s="503"/>
      <c r="V114" s="503"/>
      <c r="Z114" s="504"/>
      <c r="AA114" s="504" t="str">
        <f>IF(AND(F116=G116,H116=I116,F116="A"),"2016 - kwh","")</f>
        <v/>
      </c>
      <c r="AB114" s="504" t="str">
        <f>IF(OR(B114="2017 - kwh",B114="2018 - kwh"),"2016 - kwh","")</f>
        <v/>
      </c>
      <c r="AC114" s="504"/>
      <c r="AD114" s="504"/>
      <c r="AE114" s="504"/>
    </row>
    <row r="115" spans="1:31" hidden="1" x14ac:dyDescent="0.35">
      <c r="A115" s="503" t="str">
        <f>IF(AND(F116=G116,H116=I116,J116=K116,F116="A"),"2016 - kw",IF(AND(F116=G116,H116=I116,J116&lt;&gt;K116,F116="A"),"2017 - kw",IF(AND(F116=G116,H116&lt;&gt;I116,F116="A"),"2018 - kw","N/A")))</f>
        <v>N/A</v>
      </c>
      <c r="B115" s="503" t="str">
        <f>IF(F116&lt;&gt;G116,"2018 - kw",IF(H116&lt;&gt;I116,"2017 - kw",IF(J116&lt;&gt;K116,"2016 - kw","N/A")))</f>
        <v>N/A</v>
      </c>
      <c r="C115" s="511"/>
      <c r="D115" s="512" t="str">
        <f>D114 &amp; "kW"</f>
        <v>kW</v>
      </c>
      <c r="E115" s="513" t="s">
        <v>170</v>
      </c>
      <c r="F115" s="415"/>
      <c r="G115" s="415"/>
      <c r="H115" s="415"/>
      <c r="I115" s="415"/>
      <c r="J115" s="415"/>
      <c r="K115" s="415"/>
      <c r="L115" s="415"/>
      <c r="M115" s="415"/>
      <c r="N115" s="415"/>
      <c r="O115" s="415"/>
      <c r="P115" s="503"/>
      <c r="Q115" s="503"/>
      <c r="R115" s="503"/>
      <c r="S115" s="503"/>
      <c r="T115" s="503"/>
      <c r="U115" s="503"/>
      <c r="V115" s="503"/>
      <c r="Z115" s="504"/>
      <c r="AA115" s="504" t="str">
        <f>IF(AND(F116=G116,H116=I116,F116="A"),"2016 - kw","")</f>
        <v/>
      </c>
      <c r="AB115" s="504" t="str">
        <f>IF(OR(B115="2017 - kw",B115="2018 - kw"),"2016 - kw","")</f>
        <v/>
      </c>
      <c r="AC115" s="504"/>
      <c r="AD115" s="504"/>
      <c r="AE115" s="504"/>
    </row>
    <row r="116" spans="1:31" hidden="1" x14ac:dyDescent="0.35">
      <c r="A116" s="503"/>
      <c r="B116" s="503"/>
      <c r="C116" s="514"/>
      <c r="D116" s="515"/>
      <c r="E116" s="516" t="s">
        <v>210</v>
      </c>
      <c r="F116" s="502"/>
      <c r="G116" s="502"/>
      <c r="H116" s="502"/>
      <c r="I116" s="502"/>
      <c r="J116" s="502"/>
      <c r="K116" s="502"/>
      <c r="L116" s="502"/>
      <c r="M116" s="502"/>
      <c r="N116" s="502"/>
      <c r="O116" s="502"/>
      <c r="P116" s="503"/>
      <c r="Q116" s="503"/>
      <c r="R116" s="503"/>
      <c r="S116" s="503"/>
      <c r="T116" s="503"/>
      <c r="U116" s="503"/>
      <c r="V116" s="503"/>
      <c r="Z116" s="504"/>
      <c r="AA116" s="504"/>
      <c r="AB116" s="504"/>
      <c r="AC116" s="504"/>
      <c r="AD116" s="504"/>
      <c r="AE116" s="504"/>
    </row>
    <row r="117" spans="1:31" hidden="1" x14ac:dyDescent="0.35">
      <c r="A117" s="503" t="str">
        <f>IF(AND(F119=G119,H119=I119,J119=K119,F119="A"),"2016 - kwh",IF(AND(F119=G119,H119=I119,J119&lt;&gt;K119,F119="A"),"2017 - kwh",IF(AND(F119=G119,H119&lt;&gt;I119,F119="A"),"2018 - kwh","N/A")))</f>
        <v>N/A</v>
      </c>
      <c r="B117" s="503" t="str">
        <f>IF(F119&lt;&gt;G119,"2018 - kwh",IF(H119&lt;&gt;I119,"2017 - kwh",IF(J119&lt;&gt;K119,"2016 - kwh","N/A")))</f>
        <v>N/A</v>
      </c>
      <c r="C117" s="508" t="s">
        <v>238</v>
      </c>
      <c r="D117" s="509"/>
      <c r="E117" s="510" t="s">
        <v>139</v>
      </c>
      <c r="F117" s="415"/>
      <c r="G117" s="415"/>
      <c r="H117" s="415"/>
      <c r="I117" s="415"/>
      <c r="J117" s="415"/>
      <c r="K117" s="415"/>
      <c r="L117" s="415"/>
      <c r="M117" s="415"/>
      <c r="N117" s="415"/>
      <c r="O117" s="415"/>
      <c r="P117" s="503"/>
      <c r="Q117" s="503"/>
      <c r="R117" s="503"/>
      <c r="S117" s="503"/>
      <c r="T117" s="503"/>
      <c r="U117" s="503"/>
      <c r="V117" s="503"/>
      <c r="Z117" s="504"/>
      <c r="AA117" s="504" t="str">
        <f>IF(AND(F119=G119,H119=I119,F119="A"),"2016 - kwh","")</f>
        <v/>
      </c>
      <c r="AB117" s="504" t="str">
        <f>IF(OR(B117="2017 - kwh",B117="2018 - kwh"),"2016 - kwh","")</f>
        <v/>
      </c>
      <c r="AC117" s="504"/>
      <c r="AD117" s="504"/>
      <c r="AE117" s="504"/>
    </row>
    <row r="118" spans="1:31" hidden="1" x14ac:dyDescent="0.35">
      <c r="A118" s="503" t="str">
        <f>IF(AND(F119=G119,H119=I119,J119=K119,F119="A"),"2016 - kw",IF(AND(F119=G119,H119=I119,J119&lt;&gt;K119,F119="A"),"2017 - kw",IF(AND(F119=G119,H119&lt;&gt;I119,F119="A"),"2018 - kw","N/A")))</f>
        <v>N/A</v>
      </c>
      <c r="B118" s="503" t="str">
        <f>IF(F119&lt;&gt;G119,"2018 - kw",IF(H119&lt;&gt;I119,"2017 - kw",IF(J119&lt;&gt;K119,"2016 - kw","N/A")))</f>
        <v>N/A</v>
      </c>
      <c r="C118" s="511"/>
      <c r="D118" s="512" t="str">
        <f>D117 &amp; "kW"</f>
        <v>kW</v>
      </c>
      <c r="E118" s="513" t="s">
        <v>170</v>
      </c>
      <c r="F118" s="415"/>
      <c r="G118" s="415"/>
      <c r="H118" s="415"/>
      <c r="I118" s="415"/>
      <c r="J118" s="415"/>
      <c r="K118" s="415"/>
      <c r="L118" s="415"/>
      <c r="M118" s="415"/>
      <c r="N118" s="415"/>
      <c r="O118" s="415"/>
      <c r="P118" s="503"/>
      <c r="Q118" s="503"/>
      <c r="R118" s="503"/>
      <c r="S118" s="503"/>
      <c r="T118" s="503"/>
      <c r="U118" s="503"/>
      <c r="V118" s="503"/>
      <c r="Z118" s="504"/>
      <c r="AA118" s="504" t="str">
        <f>IF(AND(F119=G119,H119=I119,F119="A"),"2016 - kw","")</f>
        <v/>
      </c>
      <c r="AB118" s="504" t="str">
        <f>IF(OR(B118="2017 - kw",B118="2018 - kw"),"2016 - kw","")</f>
        <v/>
      </c>
      <c r="AC118" s="504"/>
      <c r="AD118" s="504"/>
      <c r="AE118" s="504"/>
    </row>
    <row r="119" spans="1:31" hidden="1" x14ac:dyDescent="0.35">
      <c r="A119" s="503"/>
      <c r="B119" s="503"/>
      <c r="C119" s="514"/>
      <c r="D119" s="515"/>
      <c r="E119" s="516" t="s">
        <v>210</v>
      </c>
      <c r="F119" s="502"/>
      <c r="G119" s="502"/>
      <c r="H119" s="502"/>
      <c r="I119" s="502"/>
      <c r="J119" s="502"/>
      <c r="K119" s="502"/>
      <c r="L119" s="502"/>
      <c r="M119" s="502"/>
      <c r="N119" s="502"/>
      <c r="O119" s="502"/>
      <c r="P119" s="503"/>
      <c r="Q119" s="503"/>
      <c r="R119" s="503"/>
      <c r="S119" s="503"/>
      <c r="T119" s="503"/>
      <c r="U119" s="503"/>
      <c r="V119" s="503"/>
      <c r="Z119" s="504"/>
      <c r="AA119" s="504"/>
      <c r="AB119" s="504"/>
      <c r="AC119" s="504"/>
      <c r="AD119" s="504"/>
      <c r="AE119" s="504"/>
    </row>
    <row r="120" spans="1:31" hidden="1" x14ac:dyDescent="0.35">
      <c r="A120" s="503" t="str">
        <f>IF(AND(F122=G122,H122=I122,J122=K122,F122="A"),"2016 - kwh",IF(AND(F122=G122,H122=I122,J122&lt;&gt;K122,F122="A"),"2017 - kwh",IF(AND(F122=G122,H122&lt;&gt;I122,F122="A"),"2018 - kwh","N/A")))</f>
        <v>N/A</v>
      </c>
      <c r="B120" s="503" t="str">
        <f>IF(F122&lt;&gt;G122,"2018 - kwh",IF(H122&lt;&gt;I122,"2017 - kwh",IF(J122&lt;&gt;K122,"2016 - kwh","N/A")))</f>
        <v>N/A</v>
      </c>
      <c r="C120" s="508" t="s">
        <v>239</v>
      </c>
      <c r="D120" s="509"/>
      <c r="E120" s="510" t="s">
        <v>139</v>
      </c>
      <c r="F120" s="415"/>
      <c r="G120" s="415"/>
      <c r="H120" s="415"/>
      <c r="I120" s="415"/>
      <c r="J120" s="415"/>
      <c r="K120" s="415"/>
      <c r="L120" s="415"/>
      <c r="M120" s="415"/>
      <c r="N120" s="415"/>
      <c r="O120" s="415"/>
      <c r="P120" s="503"/>
      <c r="Q120" s="503"/>
      <c r="R120" s="503"/>
      <c r="S120" s="503"/>
      <c r="T120" s="503"/>
      <c r="U120" s="503"/>
      <c r="V120" s="503"/>
      <c r="Z120" s="504"/>
      <c r="AA120" s="504" t="str">
        <f>IF(AND(F122=G122,H122=I122,F122="A"),"2016 - kwh","")</f>
        <v/>
      </c>
      <c r="AB120" s="504" t="str">
        <f>IF(OR(B120="2017 - kwh",B120="2018 - kwh"),"2016 - kwh","")</f>
        <v/>
      </c>
      <c r="AC120" s="504"/>
      <c r="AD120" s="504"/>
      <c r="AE120" s="504"/>
    </row>
    <row r="121" spans="1:31" hidden="1" x14ac:dyDescent="0.35">
      <c r="A121" s="503" t="str">
        <f>IF(AND(F122=G122,H122=I122,J122=K122,F122="A"),"2016 - kw",IF(AND(F122=G122,H122=I122,J122&lt;&gt;K122,F122="A"),"2017 - kw",IF(AND(F122=G122,H122&lt;&gt;I122,F122="A"),"2018 - kw","N/A")))</f>
        <v>N/A</v>
      </c>
      <c r="B121" s="503" t="str">
        <f>IF(F122&lt;&gt;G122,"2018 - kw",IF(H122&lt;&gt;I122,"2017 - kw",IF(J122&lt;&gt;K122,"2016 - kw","N/A")))</f>
        <v>N/A</v>
      </c>
      <c r="C121" s="511"/>
      <c r="D121" s="512" t="str">
        <f>D120 &amp; "kW"</f>
        <v>kW</v>
      </c>
      <c r="E121" s="513" t="s">
        <v>170</v>
      </c>
      <c r="F121" s="415"/>
      <c r="G121" s="415"/>
      <c r="H121" s="415"/>
      <c r="I121" s="415"/>
      <c r="J121" s="415"/>
      <c r="K121" s="415"/>
      <c r="L121" s="415"/>
      <c r="M121" s="415"/>
      <c r="N121" s="415"/>
      <c r="O121" s="415"/>
      <c r="P121" s="503"/>
      <c r="Q121" s="503"/>
      <c r="R121" s="503"/>
      <c r="S121" s="503"/>
      <c r="T121" s="503"/>
      <c r="U121" s="503"/>
      <c r="V121" s="503"/>
      <c r="Z121" s="504"/>
      <c r="AA121" s="504" t="str">
        <f>IF(AND(F122=G122,H122=I122,F122="A"),"2016 - kw","")</f>
        <v/>
      </c>
      <c r="AB121" s="504" t="str">
        <f>IF(OR(B121="2017 - kw",B121="2018 - kw"),"2016 - kw","")</f>
        <v/>
      </c>
      <c r="AC121" s="504"/>
      <c r="AD121" s="504"/>
      <c r="AE121" s="504"/>
    </row>
    <row r="122" spans="1:31" hidden="1" x14ac:dyDescent="0.35">
      <c r="A122" s="503"/>
      <c r="B122" s="503"/>
      <c r="C122" s="514"/>
      <c r="D122" s="515"/>
      <c r="E122" s="516" t="s">
        <v>210</v>
      </c>
      <c r="F122" s="502"/>
      <c r="G122" s="502"/>
      <c r="H122" s="502"/>
      <c r="I122" s="502"/>
      <c r="J122" s="502"/>
      <c r="K122" s="502"/>
      <c r="L122" s="502"/>
      <c r="M122" s="502"/>
      <c r="N122" s="502"/>
      <c r="O122" s="502"/>
      <c r="P122" s="503"/>
      <c r="Q122" s="503"/>
      <c r="R122" s="503"/>
      <c r="S122" s="503"/>
      <c r="T122" s="503"/>
      <c r="U122" s="503"/>
      <c r="V122" s="503"/>
      <c r="Z122" s="504"/>
      <c r="AA122" s="504"/>
      <c r="AB122" s="504"/>
      <c r="AC122" s="504"/>
      <c r="AD122" s="504"/>
      <c r="AE122" s="504"/>
    </row>
    <row r="123" spans="1:31" hidden="1" x14ac:dyDescent="0.35">
      <c r="A123" s="503" t="str">
        <f>IF(AND(F125=G125,H125=I125,J125=K125,F125="A"),"2016 - kwh",IF(AND(F125=G125,H125=I125,J125&lt;&gt;K125,F125="A"),"2017 - kwh",IF(AND(F125=G125,H125&lt;&gt;I125,F125="A"),"2018 - kwh","N/A")))</f>
        <v>N/A</v>
      </c>
      <c r="B123" s="503" t="str">
        <f>IF(F125&lt;&gt;G125,"2018 - kwh",IF(H125&lt;&gt;I125,"2017 - kwh",IF(J125&lt;&gt;K125,"2016 - kwh","N/A")))</f>
        <v>N/A</v>
      </c>
      <c r="C123" s="508" t="s">
        <v>240</v>
      </c>
      <c r="D123" s="509"/>
      <c r="E123" s="510" t="s">
        <v>139</v>
      </c>
      <c r="F123" s="415"/>
      <c r="G123" s="415"/>
      <c r="H123" s="415"/>
      <c r="I123" s="415"/>
      <c r="J123" s="415"/>
      <c r="K123" s="415"/>
      <c r="L123" s="415"/>
      <c r="M123" s="415"/>
      <c r="N123" s="415"/>
      <c r="O123" s="415"/>
      <c r="P123" s="503"/>
      <c r="Q123" s="503"/>
      <c r="R123" s="503"/>
      <c r="S123" s="503"/>
      <c r="T123" s="503"/>
      <c r="U123" s="503"/>
      <c r="V123" s="503"/>
      <c r="Z123" s="504"/>
      <c r="AA123" s="504" t="str">
        <f>IF(AND(F125=G125,H125=I125,F125="A"),"2016 - kwh","")</f>
        <v/>
      </c>
      <c r="AB123" s="504" t="str">
        <f>IF(OR(B123="2017 - kwh",B123="2018 - kwh"),"2016 - kwh","")</f>
        <v/>
      </c>
      <c r="AC123" s="504"/>
      <c r="AD123" s="504"/>
      <c r="AE123" s="504"/>
    </row>
    <row r="124" spans="1:31" hidden="1" x14ac:dyDescent="0.35">
      <c r="A124" s="503" t="str">
        <f>IF(AND(F125=G125,H125=I125,J125=K125,F125="A"),"2016 - kw",IF(AND(F125=G125,H125=I125,J125&lt;&gt;K125,F125="A"),"2017 - kw",IF(AND(F125=G125,H125&lt;&gt;I125,F125="A"),"2018 - kw","N/A")))</f>
        <v>N/A</v>
      </c>
      <c r="B124" s="503" t="str">
        <f>IF(F125&lt;&gt;G125,"2018 - kw",IF(H125&lt;&gt;I125,"2017 - kw",IF(J125&lt;&gt;K125,"2016 - kw","N/A")))</f>
        <v>N/A</v>
      </c>
      <c r="C124" s="511"/>
      <c r="D124" s="512" t="str">
        <f>D123 &amp; "kW"</f>
        <v>kW</v>
      </c>
      <c r="E124" s="513" t="s">
        <v>170</v>
      </c>
      <c r="F124" s="415"/>
      <c r="G124" s="415"/>
      <c r="H124" s="415"/>
      <c r="I124" s="415"/>
      <c r="J124" s="415"/>
      <c r="K124" s="415"/>
      <c r="L124" s="415"/>
      <c r="M124" s="415"/>
      <c r="N124" s="415"/>
      <c r="O124" s="415"/>
      <c r="P124" s="503"/>
      <c r="Q124" s="503"/>
      <c r="R124" s="503"/>
      <c r="S124" s="503"/>
      <c r="T124" s="503"/>
      <c r="U124" s="503"/>
      <c r="V124" s="503"/>
      <c r="Z124" s="504"/>
      <c r="AA124" s="504" t="str">
        <f>IF(AND(F125=G125,H125=I125,F125="A"),"2016 - kw","")</f>
        <v/>
      </c>
      <c r="AB124" s="504" t="str">
        <f>IF(OR(B124="2017 - kw",B124="2018 - kw"),"2016 - kw","")</f>
        <v/>
      </c>
      <c r="AC124" s="504"/>
      <c r="AD124" s="504"/>
      <c r="AE124" s="504"/>
    </row>
    <row r="125" spans="1:31" hidden="1" x14ac:dyDescent="0.35">
      <c r="A125" s="503"/>
      <c r="B125" s="503"/>
      <c r="C125" s="514"/>
      <c r="D125" s="515"/>
      <c r="E125" s="516" t="s">
        <v>210</v>
      </c>
      <c r="F125" s="502"/>
      <c r="G125" s="502"/>
      <c r="H125" s="502"/>
      <c r="I125" s="502"/>
      <c r="J125" s="502"/>
      <c r="K125" s="502"/>
      <c r="L125" s="502"/>
      <c r="M125" s="502"/>
      <c r="N125" s="502"/>
      <c r="O125" s="502"/>
      <c r="P125" s="503"/>
      <c r="Q125" s="503"/>
      <c r="R125" s="503"/>
      <c r="S125" s="503"/>
      <c r="T125" s="503"/>
      <c r="U125" s="503"/>
      <c r="V125" s="503"/>
      <c r="Z125" s="504"/>
      <c r="AA125" s="504"/>
      <c r="AB125" s="504"/>
      <c r="AC125" s="504"/>
      <c r="AD125" s="504"/>
      <c r="AE125" s="504"/>
    </row>
    <row r="126" spans="1:31" hidden="1" x14ac:dyDescent="0.35">
      <c r="A126" s="503" t="str">
        <f>IF(AND(F128=G128,H128=I128,J128=K128,F128="A"),"2016 - kwh",IF(AND(F128=G128,H128=I128,J128&lt;&gt;K128,F128="A"),"2017 - kwh",IF(AND(F128=G128,H128&lt;&gt;I128,F128="A"),"2018 - kwh","N/A")))</f>
        <v>N/A</v>
      </c>
      <c r="B126" s="503" t="str">
        <f>IF(F128&lt;&gt;G128,"2018 - kwh",IF(H128&lt;&gt;I128,"2017 - kwh",IF(J128&lt;&gt;K128,"2016 - kwh","N/A")))</f>
        <v>N/A</v>
      </c>
      <c r="C126" s="508" t="s">
        <v>241</v>
      </c>
      <c r="D126" s="509"/>
      <c r="E126" s="510" t="s">
        <v>139</v>
      </c>
      <c r="F126" s="415"/>
      <c r="G126" s="415"/>
      <c r="H126" s="415"/>
      <c r="I126" s="415"/>
      <c r="J126" s="415"/>
      <c r="K126" s="415"/>
      <c r="L126" s="415"/>
      <c r="M126" s="415"/>
      <c r="N126" s="415"/>
      <c r="O126" s="415"/>
      <c r="P126" s="503"/>
      <c r="Q126" s="503"/>
      <c r="R126" s="503"/>
      <c r="S126" s="503"/>
      <c r="T126" s="503"/>
      <c r="U126" s="503"/>
      <c r="V126" s="503"/>
      <c r="Z126" s="504"/>
      <c r="AA126" s="504" t="str">
        <f>IF(AND(F128=G128,H128=I128,F128="A"),"2016 - kwh","")</f>
        <v/>
      </c>
      <c r="AB126" s="504" t="str">
        <f>IF(OR(B126="2017 - kwh",B126="2018 - kwh"),"2016 - kwh","")</f>
        <v/>
      </c>
      <c r="AC126" s="504"/>
      <c r="AD126" s="504"/>
      <c r="AE126" s="504"/>
    </row>
    <row r="127" spans="1:31" hidden="1" x14ac:dyDescent="0.35">
      <c r="A127" s="503" t="str">
        <f>IF(AND(F128=G128,H128=I128,J128=K128,F128="A"),"2016 - kw",IF(AND(F128=G128,H128=I128,J128&lt;&gt;K128,F128="A"),"2017 - kw",IF(AND(F128=G128,H128&lt;&gt;I128,F128="A"),"2018 - kw","N/A")))</f>
        <v>N/A</v>
      </c>
      <c r="B127" s="503" t="str">
        <f>IF(F128&lt;&gt;G128,"2018 - kw",IF(H128&lt;&gt;I128,"2017 - kw",IF(J128&lt;&gt;K128,"2016 - kw","N/A")))</f>
        <v>N/A</v>
      </c>
      <c r="C127" s="511"/>
      <c r="D127" s="512" t="str">
        <f>D126 &amp; "kW"</f>
        <v>kW</v>
      </c>
      <c r="E127" s="513" t="s">
        <v>170</v>
      </c>
      <c r="F127" s="415"/>
      <c r="G127" s="415"/>
      <c r="H127" s="415"/>
      <c r="I127" s="415"/>
      <c r="J127" s="415"/>
      <c r="K127" s="415"/>
      <c r="L127" s="415"/>
      <c r="M127" s="415"/>
      <c r="N127" s="415"/>
      <c r="O127" s="415"/>
      <c r="P127" s="503"/>
      <c r="Q127" s="503"/>
      <c r="R127" s="503"/>
      <c r="S127" s="503"/>
      <c r="T127" s="503"/>
      <c r="U127" s="503"/>
      <c r="V127" s="503"/>
      <c r="Z127" s="504"/>
      <c r="AA127" s="504" t="str">
        <f>IF(AND(F128=G128,H128=I128,F128="A"),"2016 - kw","")</f>
        <v/>
      </c>
      <c r="AB127" s="504" t="str">
        <f>IF(OR(B127="2017 - kw",B127="2018 - kw"),"2016 - kw","")</f>
        <v/>
      </c>
      <c r="AC127" s="504"/>
      <c r="AD127" s="504"/>
      <c r="AE127" s="504"/>
    </row>
    <row r="128" spans="1:31" hidden="1" x14ac:dyDescent="0.35">
      <c r="A128" s="503"/>
      <c r="B128" s="503"/>
      <c r="C128" s="514"/>
      <c r="D128" s="515"/>
      <c r="E128" s="516" t="s">
        <v>210</v>
      </c>
      <c r="F128" s="502"/>
      <c r="G128" s="502"/>
      <c r="H128" s="502"/>
      <c r="I128" s="502"/>
      <c r="J128" s="502"/>
      <c r="K128" s="502"/>
      <c r="L128" s="502"/>
      <c r="M128" s="502"/>
      <c r="N128" s="502"/>
      <c r="O128" s="502"/>
      <c r="P128" s="503"/>
      <c r="Q128" s="503"/>
      <c r="R128" s="503"/>
      <c r="S128" s="503"/>
      <c r="T128" s="503"/>
      <c r="U128" s="503"/>
      <c r="V128" s="503"/>
      <c r="Z128" s="504"/>
      <c r="AA128" s="504"/>
      <c r="AB128" s="504"/>
      <c r="AC128" s="504"/>
      <c r="AD128" s="504"/>
      <c r="AE128" s="504"/>
    </row>
    <row r="129" spans="1:31" hidden="1" x14ac:dyDescent="0.35">
      <c r="A129" s="503" t="str">
        <f>IF(AND(F131=G131,H131=I131,J131=K131,F131="A"),"2016 - kwh",IF(AND(F131=G131,H131=I131,J131&lt;&gt;K131,F131="A"),"2017 - kwh",IF(AND(F131=G131,H131&lt;&gt;I131,F131="A"),"2018 - kwh","N/A")))</f>
        <v>N/A</v>
      </c>
      <c r="B129" s="503" t="str">
        <f>IF(F131&lt;&gt;G131,"2018 - kwh",IF(H131&lt;&gt;I131,"2017 - kwh",IF(J131&lt;&gt;K131,"2016 - kwh","N/A")))</f>
        <v>N/A</v>
      </c>
      <c r="C129" s="508" t="s">
        <v>242</v>
      </c>
      <c r="D129" s="509"/>
      <c r="E129" s="510" t="s">
        <v>139</v>
      </c>
      <c r="F129" s="415"/>
      <c r="G129" s="415"/>
      <c r="H129" s="415"/>
      <c r="I129" s="415"/>
      <c r="J129" s="415"/>
      <c r="K129" s="415"/>
      <c r="L129" s="415"/>
      <c r="M129" s="415"/>
      <c r="N129" s="415"/>
      <c r="O129" s="415"/>
      <c r="P129" s="503"/>
      <c r="Q129" s="503"/>
      <c r="R129" s="503"/>
      <c r="S129" s="503"/>
      <c r="T129" s="503"/>
      <c r="U129" s="503"/>
      <c r="V129" s="503"/>
      <c r="Z129" s="504"/>
      <c r="AA129" s="504" t="str">
        <f>IF(AND(F131=G131,H131=I131,F131="A"),"2016 - kwh","")</f>
        <v/>
      </c>
      <c r="AB129" s="504" t="str">
        <f>IF(OR(B129="2017 - kwh",B129="2018 - kwh"),"2016 - kwh","")</f>
        <v/>
      </c>
      <c r="AC129" s="504"/>
      <c r="AD129" s="504"/>
      <c r="AE129" s="504"/>
    </row>
    <row r="130" spans="1:31" hidden="1" x14ac:dyDescent="0.35">
      <c r="A130" s="503" t="str">
        <f>IF(AND(F131=G131,H131=I131,J131=K131,F131="A"),"2016 - kw",IF(AND(F131=G131,H131=I131,J131&lt;&gt;K131,F131="A"),"2017 - kw",IF(AND(F131=G131,H131&lt;&gt;I131,F131="A"),"2018 - kw","N/A")))</f>
        <v>N/A</v>
      </c>
      <c r="B130" s="503" t="str">
        <f>IF(F131&lt;&gt;G131,"2018 - kw",IF(H131&lt;&gt;I131,"2017 - kw",IF(J131&lt;&gt;K131,"2016 - kw","N/A")))</f>
        <v>N/A</v>
      </c>
      <c r="C130" s="511"/>
      <c r="D130" s="512" t="str">
        <f>D129 &amp; "kW"</f>
        <v>kW</v>
      </c>
      <c r="E130" s="513" t="s">
        <v>170</v>
      </c>
      <c r="F130" s="415"/>
      <c r="G130" s="415"/>
      <c r="H130" s="415"/>
      <c r="I130" s="415"/>
      <c r="J130" s="415"/>
      <c r="K130" s="415"/>
      <c r="L130" s="415"/>
      <c r="M130" s="415"/>
      <c r="N130" s="415"/>
      <c r="O130" s="415"/>
      <c r="P130" s="503"/>
      <c r="Q130" s="503"/>
      <c r="R130" s="503"/>
      <c r="S130" s="503"/>
      <c r="T130" s="503"/>
      <c r="U130" s="503"/>
      <c r="V130" s="503"/>
      <c r="Z130" s="504"/>
      <c r="AA130" s="504" t="str">
        <f>IF(AND(F131=G131,H131=I131,F131="A"),"2016 - kw","")</f>
        <v/>
      </c>
      <c r="AB130" s="504" t="str">
        <f>IF(OR(B130="2017 - kw",B130="2018 - kw"),"2016 - kw","")</f>
        <v/>
      </c>
      <c r="AC130" s="504"/>
      <c r="AD130" s="504"/>
      <c r="AE130" s="504"/>
    </row>
    <row r="131" spans="1:31" hidden="1" x14ac:dyDescent="0.35">
      <c r="A131" s="503"/>
      <c r="B131" s="503"/>
      <c r="C131" s="514"/>
      <c r="D131" s="515"/>
      <c r="E131" s="516" t="s">
        <v>210</v>
      </c>
      <c r="F131" s="502"/>
      <c r="G131" s="502"/>
      <c r="H131" s="502"/>
      <c r="I131" s="502"/>
      <c r="J131" s="502"/>
      <c r="K131" s="502"/>
      <c r="L131" s="502"/>
      <c r="M131" s="502"/>
      <c r="N131" s="502"/>
      <c r="O131" s="502"/>
      <c r="P131" s="503"/>
      <c r="Q131" s="503"/>
      <c r="R131" s="503"/>
      <c r="S131" s="503"/>
      <c r="T131" s="503"/>
      <c r="U131" s="503"/>
      <c r="V131" s="503"/>
      <c r="Z131" s="504"/>
      <c r="AA131" s="504"/>
      <c r="AB131" s="504"/>
      <c r="AC131" s="504"/>
      <c r="AD131" s="504"/>
      <c r="AE131" s="504"/>
    </row>
    <row r="132" spans="1:31" hidden="1" x14ac:dyDescent="0.35">
      <c r="A132" s="503" t="str">
        <f>IF(AND(F134=G134,H134=I134,J134=K134,F134="A"),"2016 - kwh",IF(AND(F134=G134,H134=I134,J134&lt;&gt;K134,F134="A"),"2017 - kwh",IF(AND(F134=G134,H134&lt;&gt;I134,F134="A"),"2018 - kwh","N/A")))</f>
        <v>N/A</v>
      </c>
      <c r="B132" s="503" t="str">
        <f>IF(F134&lt;&gt;G134,"2018 - kwh",IF(H134&lt;&gt;I134,"2017 - kwh",IF(J134&lt;&gt;K134,"2016 - kwh","N/A")))</f>
        <v>N/A</v>
      </c>
      <c r="C132" s="508" t="s">
        <v>243</v>
      </c>
      <c r="D132" s="509"/>
      <c r="E132" s="510" t="s">
        <v>139</v>
      </c>
      <c r="F132" s="415"/>
      <c r="G132" s="415"/>
      <c r="H132" s="415"/>
      <c r="I132" s="415"/>
      <c r="J132" s="415"/>
      <c r="K132" s="415"/>
      <c r="L132" s="415"/>
      <c r="M132" s="415"/>
      <c r="N132" s="415"/>
      <c r="O132" s="415"/>
      <c r="P132" s="503"/>
      <c r="Q132" s="503"/>
      <c r="R132" s="503"/>
      <c r="S132" s="503"/>
      <c r="T132" s="503"/>
      <c r="U132" s="503"/>
      <c r="V132" s="503"/>
      <c r="Z132" s="504"/>
      <c r="AA132" s="504" t="str">
        <f>IF(AND(F134=G134,H134=I134,F134="A"),"2016 - kwh","")</f>
        <v/>
      </c>
      <c r="AB132" s="504" t="str">
        <f>IF(OR(B132="2017 - kwh",B132="2018 - kwh"),"2016 - kwh","")</f>
        <v/>
      </c>
      <c r="AC132" s="504"/>
      <c r="AD132" s="504"/>
      <c r="AE132" s="504"/>
    </row>
    <row r="133" spans="1:31" hidden="1" x14ac:dyDescent="0.35">
      <c r="A133" s="503" t="str">
        <f>IF(AND(F134=G134,H134=I134,J134=K134,F134="A"),"2016 - kw",IF(AND(F134=G134,H134=I134,J134&lt;&gt;K134,F134="A"),"2017 - kw",IF(AND(F134=G134,H134&lt;&gt;I134,F134="A"),"2018 - kw","N/A")))</f>
        <v>N/A</v>
      </c>
      <c r="B133" s="503" t="str">
        <f>IF(F134&lt;&gt;G134,"2018 - kw",IF(H134&lt;&gt;I134,"2017 - kw",IF(J134&lt;&gt;K134,"2016 - kw","N/A")))</f>
        <v>N/A</v>
      </c>
      <c r="C133" s="511"/>
      <c r="D133" s="512" t="str">
        <f>D132 &amp; "kW"</f>
        <v>kW</v>
      </c>
      <c r="E133" s="513" t="s">
        <v>170</v>
      </c>
      <c r="F133" s="415"/>
      <c r="G133" s="415"/>
      <c r="H133" s="415"/>
      <c r="I133" s="415"/>
      <c r="J133" s="415"/>
      <c r="K133" s="415"/>
      <c r="L133" s="415"/>
      <c r="M133" s="415"/>
      <c r="N133" s="415"/>
      <c r="O133" s="415"/>
      <c r="P133" s="503"/>
      <c r="Q133" s="503"/>
      <c r="R133" s="503"/>
      <c r="S133" s="503"/>
      <c r="T133" s="503"/>
      <c r="U133" s="503"/>
      <c r="V133" s="503"/>
      <c r="Z133" s="504"/>
      <c r="AA133" s="504" t="str">
        <f>IF(AND(F134=G134,H134=I134,F134="A"),"2016 - kw","")</f>
        <v/>
      </c>
      <c r="AB133" s="504" t="str">
        <f>IF(OR(B133="2017 - kw",B133="2018 - kw"),"2016 - kw","")</f>
        <v/>
      </c>
      <c r="AC133" s="504"/>
      <c r="AD133" s="504"/>
      <c r="AE133" s="504"/>
    </row>
    <row r="134" spans="1:31" hidden="1" x14ac:dyDescent="0.35">
      <c r="A134" s="503"/>
      <c r="B134" s="503"/>
      <c r="C134" s="514"/>
      <c r="D134" s="515"/>
      <c r="E134" s="516" t="s">
        <v>210</v>
      </c>
      <c r="F134" s="502"/>
      <c r="G134" s="502"/>
      <c r="H134" s="502"/>
      <c r="I134" s="502"/>
      <c r="J134" s="502"/>
      <c r="K134" s="502"/>
      <c r="L134" s="502"/>
      <c r="M134" s="502"/>
      <c r="N134" s="502"/>
      <c r="O134" s="502"/>
      <c r="P134" s="503"/>
      <c r="Q134" s="503"/>
      <c r="R134" s="503"/>
      <c r="S134" s="503"/>
      <c r="T134" s="503"/>
      <c r="U134" s="503"/>
      <c r="V134" s="503"/>
      <c r="Z134" s="504"/>
      <c r="AA134" s="504"/>
      <c r="AB134" s="504"/>
      <c r="AC134" s="504"/>
      <c r="AD134" s="504"/>
      <c r="AE134" s="504"/>
    </row>
    <row r="135" spans="1:31" hidden="1" x14ac:dyDescent="0.35">
      <c r="A135" s="503" t="str">
        <f>IF(AND(F137=G137,H137=I137,J137=K137,F137="A"),"2016 - kwh",IF(AND(F137=G137,H137=I137,J137&lt;&gt;K137,F137="A"),"2017 - kwh",IF(AND(F137=G137,H137&lt;&gt;I137,F137="A"),"2018 - kwh","N/A")))</f>
        <v>N/A</v>
      </c>
      <c r="B135" s="503" t="str">
        <f>IF(F137&lt;&gt;G137,"2018 - kwh",IF(H137&lt;&gt;I137,"2017 - kwh",IF(J137&lt;&gt;K137,"2016 - kwh","N/A")))</f>
        <v>N/A</v>
      </c>
      <c r="C135" s="508" t="s">
        <v>244</v>
      </c>
      <c r="D135" s="509"/>
      <c r="E135" s="510" t="s">
        <v>139</v>
      </c>
      <c r="F135" s="415"/>
      <c r="G135" s="415"/>
      <c r="H135" s="415"/>
      <c r="I135" s="415"/>
      <c r="J135" s="415"/>
      <c r="K135" s="415"/>
      <c r="L135" s="415"/>
      <c r="M135" s="415"/>
      <c r="N135" s="415"/>
      <c r="O135" s="415"/>
      <c r="P135" s="503"/>
      <c r="Q135" s="503"/>
      <c r="R135" s="503"/>
      <c r="S135" s="503"/>
      <c r="T135" s="503"/>
      <c r="U135" s="503"/>
      <c r="V135" s="503"/>
      <c r="Z135" s="504"/>
      <c r="AA135" s="504" t="str">
        <f>IF(AND(F137=G137,H137=I137,F137="A"),"2016 - kwh","")</f>
        <v/>
      </c>
      <c r="AB135" s="504" t="str">
        <f>IF(OR(B135="2017 - kwh",B135="2018 - kwh"),"2016 - kwh","")</f>
        <v/>
      </c>
      <c r="AC135" s="504"/>
      <c r="AD135" s="504"/>
      <c r="AE135" s="504"/>
    </row>
    <row r="136" spans="1:31" hidden="1" x14ac:dyDescent="0.35">
      <c r="A136" s="503" t="str">
        <f>IF(AND(F137=G137,H137=I137,J137=K137,F137="A"),"2016 - kw",IF(AND(F137=G137,H137=I137,J137&lt;&gt;K137,F137="A"),"2017 - kw",IF(AND(F137=G137,H137&lt;&gt;I137,F137="A"),"2018 - kw","N/A")))</f>
        <v>N/A</v>
      </c>
      <c r="B136" s="503" t="str">
        <f>IF(F137&lt;&gt;G137,"2018 - kw",IF(H137&lt;&gt;I137,"2017 - kw",IF(J137&lt;&gt;K137,"2016 - kw","N/A")))</f>
        <v>N/A</v>
      </c>
      <c r="C136" s="511"/>
      <c r="D136" s="512" t="str">
        <f>D135 &amp; "kW"</f>
        <v>kW</v>
      </c>
      <c r="E136" s="513" t="s">
        <v>170</v>
      </c>
      <c r="F136" s="415"/>
      <c r="G136" s="415"/>
      <c r="H136" s="415"/>
      <c r="I136" s="415"/>
      <c r="J136" s="415"/>
      <c r="K136" s="415"/>
      <c r="L136" s="415"/>
      <c r="M136" s="415"/>
      <c r="N136" s="415"/>
      <c r="O136" s="415"/>
      <c r="P136" s="503"/>
      <c r="Q136" s="503"/>
      <c r="R136" s="503"/>
      <c r="S136" s="503"/>
      <c r="T136" s="503"/>
      <c r="U136" s="503"/>
      <c r="V136" s="503"/>
      <c r="Z136" s="504"/>
      <c r="AA136" s="504" t="str">
        <f>IF(AND(F137=G137,H137=I137,F137="A"),"2016 - kw","")</f>
        <v/>
      </c>
      <c r="AB136" s="504" t="str">
        <f>IF(OR(B136="2017 - kw",B136="2018 - kw"),"2016 - kw","")</f>
        <v/>
      </c>
      <c r="AC136" s="504"/>
      <c r="AD136" s="504"/>
      <c r="AE136" s="504"/>
    </row>
    <row r="137" spans="1:31" hidden="1" x14ac:dyDescent="0.35">
      <c r="A137" s="503"/>
      <c r="B137" s="503"/>
      <c r="C137" s="514"/>
      <c r="D137" s="515"/>
      <c r="E137" s="516" t="s">
        <v>210</v>
      </c>
      <c r="F137" s="502"/>
      <c r="G137" s="502"/>
      <c r="H137" s="502"/>
      <c r="I137" s="502"/>
      <c r="J137" s="502"/>
      <c r="K137" s="502"/>
      <c r="L137" s="502"/>
      <c r="M137" s="502"/>
      <c r="N137" s="502"/>
      <c r="O137" s="502"/>
      <c r="P137" s="503"/>
      <c r="Q137" s="503"/>
      <c r="R137" s="503"/>
      <c r="S137" s="503"/>
      <c r="T137" s="503"/>
      <c r="U137" s="503"/>
      <c r="V137" s="503"/>
      <c r="Z137" s="504"/>
      <c r="AA137" s="504"/>
      <c r="AB137" s="504"/>
      <c r="AC137" s="504"/>
      <c r="AD137" s="504"/>
      <c r="AE137" s="504"/>
    </row>
    <row r="138" spans="1:31" hidden="1" x14ac:dyDescent="0.35">
      <c r="A138" s="503" t="str">
        <f>IF(AND(F140=G140,H140=I140,J140=K140,F140="A"),"2016 - kwh",IF(AND(F140=G140,H140=I140,J140&lt;&gt;K140,F140="A"),"2017 - kwh",IF(AND(F140=G140,H140&lt;&gt;I140,F140="A"),"2018 - kwh","N/A")))</f>
        <v>N/A</v>
      </c>
      <c r="B138" s="503" t="str">
        <f>IF(F140&lt;&gt;G140,"2018 - kwh",IF(H140&lt;&gt;I140,"2017 - kwh",IF(J140&lt;&gt;K140,"2016 - kwh","N/A")))</f>
        <v>N/A</v>
      </c>
      <c r="C138" s="508" t="s">
        <v>245</v>
      </c>
      <c r="D138" s="509"/>
      <c r="E138" s="510" t="s">
        <v>139</v>
      </c>
      <c r="F138" s="415"/>
      <c r="G138" s="415"/>
      <c r="H138" s="415"/>
      <c r="I138" s="415"/>
      <c r="J138" s="415"/>
      <c r="K138" s="415"/>
      <c r="L138" s="415"/>
      <c r="M138" s="415"/>
      <c r="N138" s="415"/>
      <c r="O138" s="415"/>
      <c r="P138" s="503"/>
      <c r="Q138" s="503"/>
      <c r="R138" s="503"/>
      <c r="S138" s="503"/>
      <c r="T138" s="503"/>
      <c r="U138" s="503"/>
      <c r="V138" s="503"/>
      <c r="Z138" s="504"/>
      <c r="AA138" s="504" t="str">
        <f>IF(AND(F140=G140,H140=I140,F140="A"),"2016 - kwh","")</f>
        <v/>
      </c>
      <c r="AB138" s="504" t="str">
        <f>IF(OR(B138="2017 - kwh",B138="2018 - kwh"),"2016 - kwh","")</f>
        <v/>
      </c>
      <c r="AC138" s="504"/>
      <c r="AD138" s="504"/>
      <c r="AE138" s="504"/>
    </row>
    <row r="139" spans="1:31" hidden="1" x14ac:dyDescent="0.35">
      <c r="A139" s="503" t="str">
        <f>IF(AND(F140=G140,H140=I140,J140=K140,F140="A"),"2016 - kw",IF(AND(F140=G140,H140=I140,J140&lt;&gt;K140,F140="A"),"2017 - kw",IF(AND(F140=G140,H140&lt;&gt;I140,F140="A"),"2018 - kw","N/A")))</f>
        <v>N/A</v>
      </c>
      <c r="B139" s="503" t="str">
        <f>IF(F140&lt;&gt;G140,"2018 - kw",IF(H140&lt;&gt;I140,"2017 - kw",IF(J140&lt;&gt;K140,"2016 - kw","N/A")))</f>
        <v>N/A</v>
      </c>
      <c r="C139" s="511"/>
      <c r="D139" s="512" t="str">
        <f>D138 &amp; "kW"</f>
        <v>kW</v>
      </c>
      <c r="E139" s="513" t="s">
        <v>170</v>
      </c>
      <c r="F139" s="415"/>
      <c r="G139" s="415"/>
      <c r="H139" s="415"/>
      <c r="I139" s="415"/>
      <c r="J139" s="415"/>
      <c r="K139" s="415"/>
      <c r="L139" s="415"/>
      <c r="M139" s="415"/>
      <c r="N139" s="415"/>
      <c r="O139" s="415"/>
      <c r="P139" s="503"/>
      <c r="Q139" s="503"/>
      <c r="R139" s="503"/>
      <c r="S139" s="503"/>
      <c r="T139" s="503"/>
      <c r="U139" s="503"/>
      <c r="V139" s="503"/>
      <c r="Z139" s="504"/>
      <c r="AA139" s="504" t="str">
        <f>IF(AND(F140=G140,H140=I140,F140="A"),"2016 - kw","")</f>
        <v/>
      </c>
      <c r="AB139" s="504" t="str">
        <f>IF(OR(B139="2017 - kw",B139="2018 - kw"),"2016 - kw","")</f>
        <v/>
      </c>
      <c r="AC139" s="504"/>
      <c r="AD139" s="504"/>
      <c r="AE139" s="504"/>
    </row>
    <row r="140" spans="1:31" hidden="1" x14ac:dyDescent="0.35">
      <c r="A140" s="503"/>
      <c r="B140" s="503"/>
      <c r="C140" s="514"/>
      <c r="D140" s="515"/>
      <c r="E140" s="516" t="s">
        <v>210</v>
      </c>
      <c r="F140" s="502"/>
      <c r="G140" s="502"/>
      <c r="H140" s="502"/>
      <c r="I140" s="502"/>
      <c r="J140" s="502"/>
      <c r="K140" s="502"/>
      <c r="L140" s="502"/>
      <c r="M140" s="502"/>
      <c r="N140" s="502"/>
      <c r="O140" s="502"/>
      <c r="P140" s="503"/>
      <c r="Q140" s="503"/>
      <c r="R140" s="503"/>
      <c r="S140" s="503"/>
      <c r="T140" s="503"/>
      <c r="U140" s="503"/>
      <c r="V140" s="503"/>
      <c r="Z140" s="504"/>
      <c r="AA140" s="504"/>
      <c r="AB140" s="504"/>
      <c r="AC140" s="504"/>
      <c r="AD140" s="504"/>
      <c r="AE140" s="504"/>
    </row>
    <row r="141" spans="1:31" hidden="1" x14ac:dyDescent="0.35">
      <c r="A141" s="503" t="str">
        <f>IF(AND(F143=G143,H143=I143,J143=K143,F143="A"),"2016 - kwh",IF(AND(F143=G143,H143=I143,J143&lt;&gt;K143,F143="A"),"2017 - kwh",IF(AND(F143=G143,H143&lt;&gt;I143,F143="A"),"2018 - kwh","N/A")))</f>
        <v>N/A</v>
      </c>
      <c r="B141" s="503" t="str">
        <f>IF(F143&lt;&gt;G143,"2018 - kwh",IF(H143&lt;&gt;I143,"2017 - kwh",IF(J143&lt;&gt;K143,"2016 - kwh","N/A")))</f>
        <v>N/A</v>
      </c>
      <c r="C141" s="508" t="s">
        <v>246</v>
      </c>
      <c r="D141" s="509"/>
      <c r="E141" s="510" t="s">
        <v>139</v>
      </c>
      <c r="F141" s="415"/>
      <c r="G141" s="415"/>
      <c r="H141" s="415"/>
      <c r="I141" s="415"/>
      <c r="J141" s="415"/>
      <c r="K141" s="415"/>
      <c r="L141" s="415"/>
      <c r="M141" s="415"/>
      <c r="N141" s="415"/>
      <c r="O141" s="415"/>
      <c r="P141" s="503"/>
      <c r="Q141" s="503"/>
      <c r="R141" s="503"/>
      <c r="S141" s="503"/>
      <c r="T141" s="503"/>
      <c r="U141" s="503"/>
      <c r="V141" s="503"/>
      <c r="Z141" s="504"/>
      <c r="AA141" s="504" t="str">
        <f>IF(AND(F143=G143,H143=I143,F143="A"),"2016 - kwh","")</f>
        <v/>
      </c>
      <c r="AB141" s="504" t="str">
        <f>IF(OR(B141="2017 - kwh",B141="2018 - kwh"),"2016 - kwh","")</f>
        <v/>
      </c>
      <c r="AC141" s="504"/>
      <c r="AD141" s="504"/>
      <c r="AE141" s="504"/>
    </row>
    <row r="142" spans="1:31" hidden="1" x14ac:dyDescent="0.35">
      <c r="A142" s="503" t="str">
        <f>IF(AND(F143=G143,H143=I143,J143=K143,F143="A"),"2016 - kw",IF(AND(F143=G143,H143=I143,J143&lt;&gt;K143,F143="A"),"2017 - kw",IF(AND(F143=G143,H143&lt;&gt;I143,F143="A"),"2018 - kw","N/A")))</f>
        <v>N/A</v>
      </c>
      <c r="B142" s="503" t="str">
        <f>IF(F143&lt;&gt;G143,"2018 - kw",IF(H143&lt;&gt;I143,"2017 - kw",IF(J143&lt;&gt;K143,"2016 - kw","N/A")))</f>
        <v>N/A</v>
      </c>
      <c r="C142" s="511"/>
      <c r="D142" s="512" t="str">
        <f>D141 &amp; "kW"</f>
        <v>kW</v>
      </c>
      <c r="E142" s="513" t="s">
        <v>170</v>
      </c>
      <c r="F142" s="415"/>
      <c r="G142" s="415"/>
      <c r="H142" s="415"/>
      <c r="I142" s="415"/>
      <c r="J142" s="415"/>
      <c r="K142" s="415"/>
      <c r="L142" s="415"/>
      <c r="M142" s="415"/>
      <c r="N142" s="415"/>
      <c r="O142" s="415"/>
      <c r="P142" s="503"/>
      <c r="Q142" s="503"/>
      <c r="R142" s="503"/>
      <c r="S142" s="503"/>
      <c r="T142" s="503"/>
      <c r="U142" s="503"/>
      <c r="V142" s="503"/>
      <c r="Z142" s="504"/>
      <c r="AA142" s="504" t="str">
        <f>IF(AND(F143=G143,H143=I143,F143="A"),"2016 - kw","")</f>
        <v/>
      </c>
      <c r="AB142" s="504" t="str">
        <f>IF(OR(B142="2017 - kw",B142="2018 - kw"),"2016 - kw","")</f>
        <v/>
      </c>
      <c r="AC142" s="504"/>
      <c r="AD142" s="504"/>
      <c r="AE142" s="504"/>
    </row>
    <row r="143" spans="1:31" hidden="1" x14ac:dyDescent="0.35">
      <c r="A143" s="503"/>
      <c r="B143" s="503"/>
      <c r="C143" s="514"/>
      <c r="D143" s="515"/>
      <c r="E143" s="516" t="s">
        <v>210</v>
      </c>
      <c r="F143" s="502"/>
      <c r="G143" s="502"/>
      <c r="H143" s="502"/>
      <c r="I143" s="502"/>
      <c r="J143" s="502"/>
      <c r="K143" s="502"/>
      <c r="L143" s="502"/>
      <c r="M143" s="502"/>
      <c r="N143" s="502"/>
      <c r="O143" s="502"/>
      <c r="P143" s="503"/>
      <c r="Q143" s="503"/>
      <c r="R143" s="503"/>
      <c r="S143" s="503"/>
      <c r="T143" s="503"/>
      <c r="U143" s="503"/>
      <c r="V143" s="503"/>
      <c r="Z143" s="504"/>
      <c r="AA143" s="504"/>
      <c r="AB143" s="504"/>
      <c r="AC143" s="504"/>
      <c r="AD143" s="504"/>
      <c r="AE143" s="504"/>
    </row>
    <row r="144" spans="1:31" hidden="1" x14ac:dyDescent="0.35">
      <c r="A144" s="503" t="str">
        <f>IF(AND(F146=G146,H146=I146,J146=K146,F146="A"),"2016 - kwh",IF(AND(F146=G146,H146=I146,J146&lt;&gt;K146,F146="A"),"2017 - kwh",IF(AND(F146=G146,H146&lt;&gt;I146,F146="A"),"2018 - kwh","N/A")))</f>
        <v>N/A</v>
      </c>
      <c r="B144" s="503" t="str">
        <f>IF(F146&lt;&gt;G146,"2018 - kwh",IF(H146&lt;&gt;I146,"2017 - kwh",IF(J146&lt;&gt;K146,"2016 - kwh","N/A")))</f>
        <v>N/A</v>
      </c>
      <c r="C144" s="508" t="s">
        <v>247</v>
      </c>
      <c r="D144" s="509"/>
      <c r="E144" s="510" t="s">
        <v>139</v>
      </c>
      <c r="F144" s="415"/>
      <c r="G144" s="415"/>
      <c r="H144" s="415"/>
      <c r="I144" s="415"/>
      <c r="J144" s="415"/>
      <c r="K144" s="415"/>
      <c r="L144" s="415"/>
      <c r="M144" s="415"/>
      <c r="N144" s="415"/>
      <c r="O144" s="415"/>
      <c r="P144" s="503"/>
      <c r="Q144" s="503"/>
      <c r="R144" s="503"/>
      <c r="S144" s="503"/>
      <c r="T144" s="503"/>
      <c r="U144" s="503"/>
      <c r="V144" s="503"/>
      <c r="Z144" s="504"/>
      <c r="AA144" s="504" t="str">
        <f>IF(AND(F146=G146,H146=I146,F146="A"),"2016 - kwh","")</f>
        <v/>
      </c>
      <c r="AB144" s="504" t="str">
        <f>IF(OR(B144="2017 - kwh",B144="2018 - kwh"),"2016 - kwh","")</f>
        <v/>
      </c>
      <c r="AC144" s="504"/>
      <c r="AD144" s="504"/>
      <c r="AE144" s="504"/>
    </row>
    <row r="145" spans="1:31" hidden="1" x14ac:dyDescent="0.35">
      <c r="A145" s="503" t="str">
        <f>IF(AND(F146=G146,H146=I146,J146=K146,F146="A"),"2016 - kw",IF(AND(F146=G146,H146=I146,J146&lt;&gt;K146,F146="A"),"2017 - kw",IF(AND(F146=G146,H146&lt;&gt;I146,F146="A"),"2018 - kw","N/A")))</f>
        <v>N/A</v>
      </c>
      <c r="B145" s="503" t="str">
        <f>IF(F146&lt;&gt;G146,"2018 - kw",IF(H146&lt;&gt;I146,"2017 - kw",IF(J146&lt;&gt;K146,"2016 - kw","N/A")))</f>
        <v>N/A</v>
      </c>
      <c r="C145" s="511"/>
      <c r="D145" s="512" t="str">
        <f>D144 &amp; "kW"</f>
        <v>kW</v>
      </c>
      <c r="E145" s="513" t="s">
        <v>170</v>
      </c>
      <c r="F145" s="415"/>
      <c r="G145" s="415"/>
      <c r="H145" s="415"/>
      <c r="I145" s="415"/>
      <c r="J145" s="415"/>
      <c r="K145" s="415"/>
      <c r="L145" s="415"/>
      <c r="M145" s="415"/>
      <c r="N145" s="415"/>
      <c r="O145" s="415"/>
      <c r="P145" s="503"/>
      <c r="Q145" s="503"/>
      <c r="R145" s="503"/>
      <c r="S145" s="503"/>
      <c r="T145" s="503"/>
      <c r="U145" s="503"/>
      <c r="V145" s="503"/>
      <c r="Z145" s="504"/>
      <c r="AA145" s="504" t="str">
        <f>IF(AND(F146=G146,H146=I146,F146="A"),"2016 - kw","")</f>
        <v/>
      </c>
      <c r="AB145" s="504" t="str">
        <f>IF(OR(B145="2017 - kw",B145="2018 - kw"),"2016 - kw","")</f>
        <v/>
      </c>
      <c r="AC145" s="504"/>
      <c r="AD145" s="504"/>
      <c r="AE145" s="504"/>
    </row>
    <row r="146" spans="1:31" hidden="1" x14ac:dyDescent="0.35">
      <c r="A146" s="503"/>
      <c r="B146" s="503"/>
      <c r="C146" s="514"/>
      <c r="D146" s="515"/>
      <c r="E146" s="516" t="s">
        <v>210</v>
      </c>
      <c r="F146" s="502"/>
      <c r="G146" s="502"/>
      <c r="H146" s="502"/>
      <c r="I146" s="502"/>
      <c r="J146" s="502"/>
      <c r="K146" s="502"/>
      <c r="L146" s="502"/>
      <c r="M146" s="502"/>
      <c r="N146" s="502"/>
      <c r="O146" s="502"/>
      <c r="P146" s="503"/>
      <c r="Q146" s="503"/>
      <c r="R146" s="503"/>
      <c r="S146" s="503"/>
      <c r="T146" s="503"/>
      <c r="U146" s="503"/>
      <c r="V146" s="503"/>
      <c r="Z146" s="504"/>
      <c r="AA146" s="504"/>
      <c r="AB146" s="504"/>
      <c r="AC146" s="504"/>
      <c r="AD146" s="504"/>
      <c r="AE146" s="504"/>
    </row>
    <row r="147" spans="1:31" hidden="1" x14ac:dyDescent="0.35">
      <c r="A147" s="503" t="str">
        <f>IF(AND(F149=G149,H149=I149,J149=K149,F149="A"),"2016 - kwh",IF(AND(F149=G149,H149=I149,J149&lt;&gt;K149,F149="A"),"2017 - kwh",IF(AND(F149=G149,H149&lt;&gt;I149,F149="A"),"2018 - kwh","N/A")))</f>
        <v>N/A</v>
      </c>
      <c r="B147" s="503" t="str">
        <f>IF(F149&lt;&gt;G149,"2018 - kwh",IF(H149&lt;&gt;I149,"2017 - kwh",IF(J149&lt;&gt;K149,"2016 - kwh","N/A")))</f>
        <v>N/A</v>
      </c>
      <c r="C147" s="508" t="s">
        <v>248</v>
      </c>
      <c r="D147" s="509"/>
      <c r="E147" s="510" t="s">
        <v>139</v>
      </c>
      <c r="F147" s="415"/>
      <c r="G147" s="415"/>
      <c r="H147" s="415"/>
      <c r="I147" s="415"/>
      <c r="J147" s="415"/>
      <c r="K147" s="415"/>
      <c r="L147" s="415"/>
      <c r="M147" s="415"/>
      <c r="N147" s="415"/>
      <c r="O147" s="415"/>
      <c r="P147" s="503"/>
      <c r="Q147" s="503"/>
      <c r="R147" s="503"/>
      <c r="S147" s="503"/>
      <c r="T147" s="503"/>
      <c r="U147" s="503"/>
      <c r="V147" s="503"/>
      <c r="Z147" s="504"/>
      <c r="AA147" s="504" t="str">
        <f>IF(AND(F149=G149,H149=I149,F149="A"),"2016 - kwh","")</f>
        <v/>
      </c>
      <c r="AB147" s="504" t="str">
        <f>IF(OR(B147="2017 - kwh",B147="2018 - kwh"),"2016 - kwh","")</f>
        <v/>
      </c>
      <c r="AC147" s="504"/>
      <c r="AD147" s="504"/>
      <c r="AE147" s="504"/>
    </row>
    <row r="148" spans="1:31" hidden="1" x14ac:dyDescent="0.35">
      <c r="A148" s="503" t="str">
        <f>IF(AND(F149=G149,H149=I149,J149=K149,F149="A"),"2016 - kw",IF(AND(F149=G149,H149=I149,J149&lt;&gt;K149,F149="A"),"2017 - kw",IF(AND(F149=G149,H149&lt;&gt;I149,F149="A"),"2018 - kw","N/A")))</f>
        <v>N/A</v>
      </c>
      <c r="B148" s="503" t="str">
        <f>IF(F149&lt;&gt;G149,"2018 - kw",IF(H149&lt;&gt;I149,"2017 - kw",IF(J149&lt;&gt;K149,"2016 - kw","N/A")))</f>
        <v>N/A</v>
      </c>
      <c r="C148" s="511"/>
      <c r="D148" s="512" t="str">
        <f>D147 &amp; "kW"</f>
        <v>kW</v>
      </c>
      <c r="E148" s="513" t="s">
        <v>170</v>
      </c>
      <c r="F148" s="415"/>
      <c r="G148" s="415"/>
      <c r="H148" s="415"/>
      <c r="I148" s="415"/>
      <c r="J148" s="415"/>
      <c r="K148" s="415"/>
      <c r="L148" s="415"/>
      <c r="M148" s="415"/>
      <c r="N148" s="415"/>
      <c r="O148" s="415"/>
      <c r="P148" s="503"/>
      <c r="Q148" s="503"/>
      <c r="R148" s="503"/>
      <c r="S148" s="503"/>
      <c r="T148" s="503"/>
      <c r="U148" s="503"/>
      <c r="V148" s="503"/>
      <c r="Z148" s="504"/>
      <c r="AA148" s="504" t="str">
        <f>IF(AND(F149=G149,H149=I149,F149="A"),"2016 - kw","")</f>
        <v/>
      </c>
      <c r="AB148" s="504" t="str">
        <f>IF(OR(B148="2017 - kw",B148="2018 - kw"),"2016 - kw","")</f>
        <v/>
      </c>
      <c r="AC148" s="504"/>
      <c r="AD148" s="504"/>
      <c r="AE148" s="504"/>
    </row>
    <row r="149" spans="1:31" hidden="1" x14ac:dyDescent="0.35">
      <c r="A149" s="503"/>
      <c r="B149" s="503"/>
      <c r="C149" s="514"/>
      <c r="D149" s="515"/>
      <c r="E149" s="516" t="s">
        <v>210</v>
      </c>
      <c r="F149" s="502"/>
      <c r="G149" s="502"/>
      <c r="H149" s="502"/>
      <c r="I149" s="502"/>
      <c r="J149" s="502"/>
      <c r="K149" s="502"/>
      <c r="L149" s="502"/>
      <c r="M149" s="502"/>
      <c r="N149" s="502"/>
      <c r="O149" s="502"/>
      <c r="P149" s="503"/>
      <c r="Q149" s="503"/>
      <c r="R149" s="503"/>
      <c r="S149" s="503"/>
      <c r="T149" s="503"/>
      <c r="U149" s="503"/>
      <c r="V149" s="503"/>
      <c r="Z149" s="504"/>
      <c r="AA149" s="504"/>
      <c r="AB149" s="504"/>
      <c r="AC149" s="504"/>
      <c r="AD149" s="504"/>
      <c r="AE149" s="504"/>
    </row>
    <row r="150" spans="1:31" hidden="1" x14ac:dyDescent="0.35">
      <c r="A150" s="503" t="str">
        <f>IF(AND(F152=G152,H152=I152,J152=K152,F152="A"),"2016 - kwh",IF(AND(F152=G152,H152=I152,J152&lt;&gt;K152,F152="A"),"2017 - kwh",IF(AND(F152=G152,H152&lt;&gt;I152,F152="A"),"2018 - kwh","N/A")))</f>
        <v>N/A</v>
      </c>
      <c r="B150" s="503" t="str">
        <f>IF(F152&lt;&gt;G152,"2018 - kwh",IF(H152&lt;&gt;I152,"2017 - kwh",IF(J152&lt;&gt;K152,"2016 - kwh","N/A")))</f>
        <v>N/A</v>
      </c>
      <c r="C150" s="508" t="s">
        <v>249</v>
      </c>
      <c r="D150" s="509"/>
      <c r="E150" s="510" t="s">
        <v>139</v>
      </c>
      <c r="F150" s="415"/>
      <c r="G150" s="415"/>
      <c r="H150" s="415"/>
      <c r="I150" s="415"/>
      <c r="J150" s="415"/>
      <c r="K150" s="415"/>
      <c r="L150" s="415"/>
      <c r="M150" s="415"/>
      <c r="N150" s="415"/>
      <c r="O150" s="415"/>
      <c r="P150" s="503"/>
      <c r="Q150" s="503"/>
      <c r="R150" s="503"/>
      <c r="S150" s="503"/>
      <c r="T150" s="503"/>
      <c r="U150" s="503"/>
      <c r="V150" s="503"/>
      <c r="Z150" s="504"/>
      <c r="AA150" s="504" t="str">
        <f>IF(AND(F152=G152,H152=I152,F152="A"),"2016 - kwh","")</f>
        <v/>
      </c>
      <c r="AB150" s="504" t="str">
        <f>IF(OR(B150="2017 - kwh",B150="2018 - kwh"),"2016 - kwh","")</f>
        <v/>
      </c>
      <c r="AC150" s="504"/>
      <c r="AD150" s="504"/>
      <c r="AE150" s="504"/>
    </row>
    <row r="151" spans="1:31" hidden="1" x14ac:dyDescent="0.35">
      <c r="A151" s="503" t="str">
        <f>IF(AND(F152=G152,H152=I152,J152=K152,F152="A"),"2016 - kw",IF(AND(F152=G152,H152=I152,J152&lt;&gt;K152,F152="A"),"2017 - kw",IF(AND(F152=G152,H152&lt;&gt;I152,F152="A"),"2018 - kw","N/A")))</f>
        <v>N/A</v>
      </c>
      <c r="B151" s="503" t="str">
        <f>IF(F152&lt;&gt;G152,"2018 - kw",IF(H152&lt;&gt;I152,"2017 - kw",IF(J152&lt;&gt;K152,"2016 - kw","N/A")))</f>
        <v>N/A</v>
      </c>
      <c r="C151" s="511"/>
      <c r="D151" s="512" t="str">
        <f>D150 &amp; "kW"</f>
        <v>kW</v>
      </c>
      <c r="E151" s="513" t="s">
        <v>170</v>
      </c>
      <c r="F151" s="415"/>
      <c r="G151" s="415"/>
      <c r="H151" s="415"/>
      <c r="I151" s="415"/>
      <c r="J151" s="415"/>
      <c r="K151" s="415"/>
      <c r="L151" s="415"/>
      <c r="M151" s="415"/>
      <c r="N151" s="415"/>
      <c r="O151" s="415"/>
      <c r="P151" s="503"/>
      <c r="Q151" s="503"/>
      <c r="R151" s="503"/>
      <c r="S151" s="503"/>
      <c r="T151" s="503"/>
      <c r="U151" s="503"/>
      <c r="V151" s="503"/>
      <c r="Z151" s="504"/>
      <c r="AA151" s="504" t="str">
        <f>IF(AND(F152=G152,H152=I152,F152="A"),"2016 - kw","")</f>
        <v/>
      </c>
      <c r="AB151" s="504" t="str">
        <f>IF(OR(B151="2017 - kw",B151="2018 - kw"),"2016 - kw","")</f>
        <v/>
      </c>
      <c r="AC151" s="504"/>
      <c r="AD151" s="504"/>
      <c r="AE151" s="504"/>
    </row>
    <row r="152" spans="1:31" hidden="1" x14ac:dyDescent="0.35">
      <c r="A152" s="503"/>
      <c r="B152" s="503"/>
      <c r="C152" s="514"/>
      <c r="D152" s="515"/>
      <c r="E152" s="516" t="s">
        <v>210</v>
      </c>
      <c r="F152" s="502"/>
      <c r="G152" s="502"/>
      <c r="H152" s="502"/>
      <c r="I152" s="502"/>
      <c r="J152" s="502"/>
      <c r="K152" s="502"/>
      <c r="L152" s="502"/>
      <c r="M152" s="502"/>
      <c r="N152" s="502"/>
      <c r="O152" s="502"/>
      <c r="P152" s="503"/>
      <c r="Q152" s="503"/>
      <c r="R152" s="503"/>
      <c r="S152" s="503"/>
      <c r="T152" s="503"/>
      <c r="U152" s="503"/>
      <c r="V152" s="503"/>
      <c r="Z152" s="504"/>
      <c r="AA152" s="504"/>
      <c r="AB152" s="504"/>
      <c r="AC152" s="504"/>
      <c r="AD152" s="504"/>
      <c r="AE152" s="504"/>
    </row>
    <row r="153" spans="1:31" hidden="1" x14ac:dyDescent="0.35">
      <c r="A153" s="503" t="str">
        <f>IF(AND(F155=G155,H155=I155,J155=K155,F155="A"),"2016 - kwh",IF(AND(F155=G155,H155=I155,J155&lt;&gt;K155,F155="A"),"2017 - kwh",IF(AND(F155=G155,H155&lt;&gt;I155,F155="A"),"2018 - kwh","N/A")))</f>
        <v>N/A</v>
      </c>
      <c r="B153" s="503" t="str">
        <f>IF(F155&lt;&gt;G155,"2018 - kwh",IF(H155&lt;&gt;I155,"2017 - kwh",IF(J155&lt;&gt;K155,"2016 - kwh","N/A")))</f>
        <v>N/A</v>
      </c>
      <c r="C153" s="508" t="s">
        <v>250</v>
      </c>
      <c r="D153" s="509"/>
      <c r="E153" s="510" t="s">
        <v>139</v>
      </c>
      <c r="F153" s="415"/>
      <c r="G153" s="415"/>
      <c r="H153" s="415"/>
      <c r="I153" s="415"/>
      <c r="J153" s="415"/>
      <c r="K153" s="415"/>
      <c r="L153" s="415"/>
      <c r="M153" s="415"/>
      <c r="N153" s="415"/>
      <c r="O153" s="415"/>
      <c r="P153" s="503"/>
      <c r="Q153" s="503"/>
      <c r="R153" s="503"/>
      <c r="S153" s="503"/>
      <c r="T153" s="503"/>
      <c r="U153" s="503"/>
      <c r="V153" s="503"/>
      <c r="Z153" s="504"/>
      <c r="AA153" s="504" t="str">
        <f>IF(AND(F155=G155,H155=I155,F155="A"),"2016 - kwh","")</f>
        <v/>
      </c>
      <c r="AB153" s="504" t="str">
        <f>IF(OR(B153="2017 - kwh",B153="2018 - kwh"),"2016 - kwh","")</f>
        <v/>
      </c>
      <c r="AC153" s="504"/>
      <c r="AD153" s="504"/>
      <c r="AE153" s="504"/>
    </row>
    <row r="154" spans="1:31" hidden="1" x14ac:dyDescent="0.35">
      <c r="A154" s="503" t="str">
        <f>IF(AND(F155=G155,H155=I155,J155=K155,F155="A"),"2016 - kw",IF(AND(F155=G155,H155=I155,J155&lt;&gt;K155,F155="A"),"2017 - kw",IF(AND(F155=G155,H155&lt;&gt;I155,F155="A"),"2018 - kw","N/A")))</f>
        <v>N/A</v>
      </c>
      <c r="B154" s="503" t="str">
        <f>IF(F155&lt;&gt;G155,"2018 - kw",IF(H155&lt;&gt;I155,"2017 - kw",IF(J155&lt;&gt;K155,"2016 - kw","N/A")))</f>
        <v>N/A</v>
      </c>
      <c r="C154" s="511"/>
      <c r="D154" s="512" t="str">
        <f>D153 &amp; "kW"</f>
        <v>kW</v>
      </c>
      <c r="E154" s="513" t="s">
        <v>170</v>
      </c>
      <c r="F154" s="415"/>
      <c r="G154" s="415"/>
      <c r="H154" s="415"/>
      <c r="I154" s="415"/>
      <c r="J154" s="415"/>
      <c r="K154" s="415"/>
      <c r="L154" s="415"/>
      <c r="M154" s="415"/>
      <c r="N154" s="415"/>
      <c r="O154" s="415"/>
      <c r="P154" s="503"/>
      <c r="Q154" s="503"/>
      <c r="R154" s="503"/>
      <c r="S154" s="503"/>
      <c r="T154" s="503"/>
      <c r="U154" s="503"/>
      <c r="V154" s="503"/>
      <c r="Z154" s="504"/>
      <c r="AA154" s="504" t="str">
        <f>IF(AND(F155=G155,H155=I155,F155="A"),"2016 - kw","")</f>
        <v/>
      </c>
      <c r="AB154" s="504" t="str">
        <f>IF(OR(B154="2017 - kw",B154="2018 - kw"),"2016 - kw","")</f>
        <v/>
      </c>
      <c r="AC154" s="504"/>
      <c r="AD154" s="504"/>
      <c r="AE154" s="504"/>
    </row>
    <row r="155" spans="1:31" hidden="1" x14ac:dyDescent="0.35">
      <c r="A155" s="503"/>
      <c r="B155" s="503"/>
      <c r="C155" s="514"/>
      <c r="D155" s="515"/>
      <c r="E155" s="516" t="s">
        <v>210</v>
      </c>
      <c r="F155" s="502"/>
      <c r="G155" s="502"/>
      <c r="H155" s="502"/>
      <c r="I155" s="502"/>
      <c r="J155" s="502"/>
      <c r="K155" s="502"/>
      <c r="L155" s="502"/>
      <c r="M155" s="502"/>
      <c r="N155" s="502"/>
      <c r="O155" s="502"/>
      <c r="P155" s="503"/>
      <c r="Q155" s="503"/>
      <c r="R155" s="503"/>
      <c r="S155" s="503"/>
      <c r="T155" s="503"/>
      <c r="U155" s="503"/>
      <c r="V155" s="503"/>
      <c r="Z155" s="504"/>
      <c r="AA155" s="504"/>
      <c r="AB155" s="504"/>
      <c r="AC155" s="504"/>
      <c r="AD155" s="504"/>
      <c r="AE155" s="504"/>
    </row>
    <row r="156" spans="1:31" hidden="1" x14ac:dyDescent="0.35">
      <c r="A156" s="503" t="str">
        <f>IF(AND(F158=G158,H158=I158,J158=K158,F158="A"),"2016 - kwh",IF(AND(F158=G158,H158=I158,J158&lt;&gt;K158,F158="A"),"2017 - kwh",IF(AND(F158=G158,H158&lt;&gt;I158,F158="A"),"2018 - kwh","N/A")))</f>
        <v>N/A</v>
      </c>
      <c r="B156" s="503" t="str">
        <f>IF(F158&lt;&gt;G158,"2018 - kwh",IF(H158&lt;&gt;I158,"2017 - kwh",IF(J158&lt;&gt;K158,"2016 - kwh","N/A")))</f>
        <v>N/A</v>
      </c>
      <c r="C156" s="508" t="s">
        <v>251</v>
      </c>
      <c r="D156" s="509"/>
      <c r="E156" s="510" t="s">
        <v>139</v>
      </c>
      <c r="F156" s="415"/>
      <c r="G156" s="415"/>
      <c r="H156" s="415"/>
      <c r="I156" s="415"/>
      <c r="J156" s="415"/>
      <c r="K156" s="415"/>
      <c r="L156" s="415"/>
      <c r="M156" s="415"/>
      <c r="N156" s="415"/>
      <c r="O156" s="415"/>
      <c r="P156" s="503"/>
      <c r="Q156" s="503"/>
      <c r="R156" s="503"/>
      <c r="S156" s="503"/>
      <c r="T156" s="503"/>
      <c r="U156" s="503"/>
      <c r="V156" s="503"/>
      <c r="Z156" s="504"/>
      <c r="AA156" s="504" t="str">
        <f>IF(AND(F158=G158,H158=I158,F158="A"),"2016 - kwh","")</f>
        <v/>
      </c>
      <c r="AB156" s="504" t="str">
        <f>IF(OR(B156="2017 - kwh",B156="2018 - kwh"),"2016 - kwh","")</f>
        <v/>
      </c>
      <c r="AC156" s="504"/>
      <c r="AD156" s="504"/>
      <c r="AE156" s="504"/>
    </row>
    <row r="157" spans="1:31" hidden="1" x14ac:dyDescent="0.35">
      <c r="A157" s="503" t="str">
        <f>IF(AND(F158=G158,H158=I158,J158=K158,F158="A"),"2016 - kw",IF(AND(F158=G158,H158=I158,J158&lt;&gt;K158,F158="A"),"2017 - kw",IF(AND(F158=G158,H158&lt;&gt;I158,F158="A"),"2018 - kw","N/A")))</f>
        <v>N/A</v>
      </c>
      <c r="B157" s="503" t="str">
        <f>IF(F158&lt;&gt;G158,"2018 - kw",IF(H158&lt;&gt;I158,"2017 - kw",IF(J158&lt;&gt;K158,"2016 - kw","N/A")))</f>
        <v>N/A</v>
      </c>
      <c r="C157" s="511"/>
      <c r="D157" s="512" t="str">
        <f>D156 &amp; "kW"</f>
        <v>kW</v>
      </c>
      <c r="E157" s="513" t="s">
        <v>170</v>
      </c>
      <c r="F157" s="415"/>
      <c r="G157" s="415"/>
      <c r="H157" s="415"/>
      <c r="I157" s="415"/>
      <c r="J157" s="415"/>
      <c r="K157" s="415"/>
      <c r="L157" s="415"/>
      <c r="M157" s="415"/>
      <c r="N157" s="415"/>
      <c r="O157" s="415"/>
      <c r="P157" s="503"/>
      <c r="Q157" s="503"/>
      <c r="R157" s="503"/>
      <c r="S157" s="503"/>
      <c r="T157" s="503"/>
      <c r="U157" s="503"/>
      <c r="V157" s="503"/>
      <c r="Z157" s="504"/>
      <c r="AA157" s="504" t="str">
        <f>IF(AND(F158=G158,H158=I158,F158="A"),"2016 - kw","")</f>
        <v/>
      </c>
      <c r="AB157" s="504" t="str">
        <f>IF(OR(B157="2017 - kw",B157="2018 - kw"),"2016 - kw","")</f>
        <v/>
      </c>
      <c r="AC157" s="504"/>
      <c r="AD157" s="504"/>
      <c r="AE157" s="504"/>
    </row>
    <row r="158" spans="1:31" hidden="1" x14ac:dyDescent="0.35">
      <c r="A158" s="503"/>
      <c r="B158" s="503"/>
      <c r="C158" s="514"/>
      <c r="D158" s="515"/>
      <c r="E158" s="516" t="s">
        <v>210</v>
      </c>
      <c r="F158" s="502"/>
      <c r="G158" s="502"/>
      <c r="H158" s="502"/>
      <c r="I158" s="502"/>
      <c r="J158" s="502"/>
      <c r="K158" s="502"/>
      <c r="L158" s="502"/>
      <c r="M158" s="502"/>
      <c r="N158" s="502"/>
      <c r="O158" s="502"/>
      <c r="P158" s="503"/>
      <c r="Q158" s="503"/>
      <c r="R158" s="503"/>
      <c r="S158" s="503"/>
      <c r="T158" s="503"/>
      <c r="U158" s="503"/>
      <c r="V158" s="503"/>
      <c r="Z158" s="504"/>
      <c r="AA158" s="504"/>
      <c r="AB158" s="504"/>
      <c r="AC158" s="504"/>
      <c r="AD158" s="504"/>
      <c r="AE158" s="504"/>
    </row>
    <row r="159" spans="1:31" hidden="1" x14ac:dyDescent="0.35">
      <c r="A159" s="503" t="str">
        <f>IF(AND(F161=G161,H161=I161,J161=K161,F161="A"),"2016 - kwh",IF(AND(F161=G161,H161=I161,J161&lt;&gt;K161,F161="A"),"2017 - kwh",IF(AND(F161=G161,H161&lt;&gt;I161,F161="A"),"2018 - kwh","N/A")))</f>
        <v>N/A</v>
      </c>
      <c r="B159" s="503" t="str">
        <f>IF(F161&lt;&gt;G161,"2018 - kwh",IF(H161&lt;&gt;I161,"2017 - kwh",IF(J161&lt;&gt;K161,"2016 - kwh","N/A")))</f>
        <v>N/A</v>
      </c>
      <c r="C159" s="508" t="s">
        <v>252</v>
      </c>
      <c r="D159" s="509"/>
      <c r="E159" s="510" t="s">
        <v>139</v>
      </c>
      <c r="F159" s="415"/>
      <c r="G159" s="415"/>
      <c r="H159" s="415"/>
      <c r="I159" s="415"/>
      <c r="J159" s="415"/>
      <c r="K159" s="415"/>
      <c r="L159" s="415"/>
      <c r="M159" s="415"/>
      <c r="N159" s="415"/>
      <c r="O159" s="415"/>
      <c r="P159" s="503"/>
      <c r="Q159" s="503"/>
      <c r="R159" s="503"/>
      <c r="S159" s="503"/>
      <c r="T159" s="503"/>
      <c r="U159" s="503"/>
      <c r="V159" s="503"/>
      <c r="Z159" s="504"/>
      <c r="AA159" s="504" t="str">
        <f>IF(AND(F161=G161,H161=I161,F161="A"),"2016 - kwh","")</f>
        <v/>
      </c>
      <c r="AB159" s="504" t="str">
        <f>IF(OR(B159="2017 - kwh",B159="2018 - kwh"),"2016 - kwh","")</f>
        <v/>
      </c>
      <c r="AC159" s="504"/>
      <c r="AD159" s="504"/>
      <c r="AE159" s="504"/>
    </row>
    <row r="160" spans="1:31" hidden="1" x14ac:dyDescent="0.35">
      <c r="A160" s="503" t="str">
        <f>IF(AND(F161=G161,H161=I161,J161=K161,F161="A"),"2016 - kw",IF(AND(F161=G161,H161=I161,J161&lt;&gt;K161,F161="A"),"2017 - kw",IF(AND(F161=G161,H161&lt;&gt;I161,F161="A"),"2018 - kw","N/A")))</f>
        <v>N/A</v>
      </c>
      <c r="B160" s="503" t="str">
        <f>IF(F161&lt;&gt;G161,"2018 - kw",IF(H161&lt;&gt;I161,"2017 - kw",IF(J161&lt;&gt;K161,"2016 - kw","N/A")))</f>
        <v>N/A</v>
      </c>
      <c r="C160" s="511"/>
      <c r="D160" s="512" t="str">
        <f>D159 &amp; "kW"</f>
        <v>kW</v>
      </c>
      <c r="E160" s="513" t="s">
        <v>170</v>
      </c>
      <c r="F160" s="415"/>
      <c r="G160" s="415"/>
      <c r="H160" s="415"/>
      <c r="I160" s="415"/>
      <c r="J160" s="415"/>
      <c r="K160" s="415"/>
      <c r="L160" s="415"/>
      <c r="M160" s="415"/>
      <c r="N160" s="415"/>
      <c r="O160" s="415"/>
      <c r="P160" s="503"/>
      <c r="Q160" s="503"/>
      <c r="R160" s="503"/>
      <c r="S160" s="503"/>
      <c r="T160" s="503"/>
      <c r="U160" s="503"/>
      <c r="V160" s="503"/>
      <c r="Z160" s="504"/>
      <c r="AA160" s="504" t="str">
        <f>IF(AND(F161=G161,H161=I161,F161="A"),"2016 - kw","")</f>
        <v/>
      </c>
      <c r="AB160" s="504" t="str">
        <f>IF(OR(B160="2017 - kw",B160="2018 - kw"),"2016 - kw","")</f>
        <v/>
      </c>
      <c r="AC160" s="504"/>
      <c r="AD160" s="504"/>
      <c r="AE160" s="504"/>
    </row>
    <row r="161" spans="1:31" hidden="1" x14ac:dyDescent="0.35">
      <c r="A161" s="503"/>
      <c r="B161" s="503"/>
      <c r="C161" s="514"/>
      <c r="D161" s="515"/>
      <c r="E161" s="516" t="s">
        <v>210</v>
      </c>
      <c r="F161" s="502"/>
      <c r="G161" s="502"/>
      <c r="H161" s="502"/>
      <c r="I161" s="502"/>
      <c r="J161" s="502"/>
      <c r="K161" s="502"/>
      <c r="L161" s="502"/>
      <c r="M161" s="502"/>
      <c r="N161" s="502"/>
      <c r="O161" s="502"/>
      <c r="P161" s="503"/>
      <c r="Q161" s="503"/>
      <c r="R161" s="503"/>
      <c r="S161" s="503"/>
      <c r="T161" s="503"/>
      <c r="U161" s="503"/>
      <c r="V161" s="503"/>
      <c r="Z161" s="504"/>
      <c r="AA161" s="504"/>
      <c r="AB161" s="504"/>
      <c r="AC161" s="504"/>
      <c r="AD161" s="504"/>
      <c r="AE161" s="504"/>
    </row>
    <row r="162" spans="1:31" hidden="1" x14ac:dyDescent="0.35">
      <c r="A162" s="503" t="str">
        <f>IF(AND(F164=G164,H164=I164,J164=K164,F164="A"),"2016 - kwh",IF(AND(F164=G164,H164=I164,J164&lt;&gt;K164,F164="A"),"2017 - kwh",IF(AND(F164=G164,H164&lt;&gt;I164,F164="A"),"2018 - kwh","N/A")))</f>
        <v>N/A</v>
      </c>
      <c r="B162" s="503" t="str">
        <f>IF(F164&lt;&gt;G164,"2018 - kwh",IF(H164&lt;&gt;I164,"2017 - kwh",IF(J164&lt;&gt;K164,"2016 - kwh","N/A")))</f>
        <v>N/A</v>
      </c>
      <c r="C162" s="508" t="s">
        <v>253</v>
      </c>
      <c r="D162" s="509"/>
      <c r="E162" s="510" t="s">
        <v>139</v>
      </c>
      <c r="F162" s="415"/>
      <c r="G162" s="415"/>
      <c r="H162" s="415"/>
      <c r="I162" s="415"/>
      <c r="J162" s="415"/>
      <c r="K162" s="415"/>
      <c r="L162" s="415"/>
      <c r="M162" s="415"/>
      <c r="N162" s="415"/>
      <c r="O162" s="415"/>
      <c r="P162" s="503"/>
      <c r="Q162" s="503"/>
      <c r="R162" s="503"/>
      <c r="S162" s="503"/>
      <c r="T162" s="503"/>
      <c r="U162" s="503"/>
      <c r="V162" s="503"/>
      <c r="Z162" s="504"/>
      <c r="AA162" s="504" t="str">
        <f>IF(AND(F164=G164,H164=I164,F164="A"),"2016 - kwh","")</f>
        <v/>
      </c>
      <c r="AB162" s="504" t="str">
        <f>IF(OR(B162="2017 - kwh",B162="2018 - kwh"),"2016 - kwh","")</f>
        <v/>
      </c>
      <c r="AC162" s="504"/>
      <c r="AD162" s="504"/>
      <c r="AE162" s="504"/>
    </row>
    <row r="163" spans="1:31" hidden="1" x14ac:dyDescent="0.35">
      <c r="A163" s="503" t="str">
        <f>IF(AND(F164=G164,H164=I164,J164=K164,F164="A"),"2016 - kw",IF(AND(F164=G164,H164=I164,J164&lt;&gt;K164,F164="A"),"2017 - kw",IF(AND(F164=G164,H164&lt;&gt;I164,F164="A"),"2018 - kw","N/A")))</f>
        <v>N/A</v>
      </c>
      <c r="B163" s="503" t="str">
        <f>IF(F164&lt;&gt;G164,"2018 - kw",IF(H164&lt;&gt;I164,"2017 - kw",IF(J164&lt;&gt;K164,"2016 - kw","N/A")))</f>
        <v>N/A</v>
      </c>
      <c r="C163" s="511"/>
      <c r="D163" s="512" t="str">
        <f>D162 &amp; "kW"</f>
        <v>kW</v>
      </c>
      <c r="E163" s="513" t="s">
        <v>170</v>
      </c>
      <c r="F163" s="415"/>
      <c r="G163" s="415"/>
      <c r="H163" s="415"/>
      <c r="I163" s="415"/>
      <c r="J163" s="415"/>
      <c r="K163" s="415"/>
      <c r="L163" s="415"/>
      <c r="M163" s="415"/>
      <c r="N163" s="415"/>
      <c r="O163" s="415"/>
      <c r="P163" s="503"/>
      <c r="Q163" s="503"/>
      <c r="R163" s="503"/>
      <c r="S163" s="503"/>
      <c r="T163" s="503"/>
      <c r="U163" s="503"/>
      <c r="V163" s="503"/>
      <c r="Z163" s="504"/>
      <c r="AA163" s="504" t="str">
        <f>IF(AND(F164=G164,H164=I164,F164="A"),"2016 - kw","")</f>
        <v/>
      </c>
      <c r="AB163" s="504" t="str">
        <f>IF(OR(B163="2017 - kw",B163="2018 - kw"),"2016 - kw","")</f>
        <v/>
      </c>
      <c r="AC163" s="504"/>
      <c r="AD163" s="504"/>
      <c r="AE163" s="504"/>
    </row>
    <row r="164" spans="1:31" hidden="1" x14ac:dyDescent="0.35">
      <c r="A164" s="503"/>
      <c r="B164" s="503"/>
      <c r="C164" s="514"/>
      <c r="D164" s="515"/>
      <c r="E164" s="516" t="s">
        <v>210</v>
      </c>
      <c r="F164" s="502"/>
      <c r="G164" s="502"/>
      <c r="H164" s="502"/>
      <c r="I164" s="502"/>
      <c r="J164" s="502"/>
      <c r="K164" s="502"/>
      <c r="L164" s="502"/>
      <c r="M164" s="502"/>
      <c r="N164" s="502"/>
      <c r="O164" s="502"/>
      <c r="P164" s="503"/>
      <c r="Q164" s="503"/>
      <c r="R164" s="503"/>
      <c r="S164" s="503"/>
      <c r="T164" s="503"/>
      <c r="U164" s="503"/>
      <c r="V164" s="503"/>
      <c r="Z164" s="504"/>
      <c r="AA164" s="504"/>
      <c r="AB164" s="504"/>
      <c r="AC164" s="504"/>
      <c r="AD164" s="504"/>
      <c r="AE164" s="504"/>
    </row>
    <row r="165" spans="1:31" hidden="1" x14ac:dyDescent="0.35">
      <c r="A165" s="503" t="str">
        <f>IF(AND(F167=G167,H167=I167,J167=K167,F167="A"),"2016 - kwh",IF(AND(F167=G167,H167=I167,J167&lt;&gt;K167,F167="A"),"2017 - kwh",IF(AND(F167=G167,H167&lt;&gt;I167,F167="A"),"2018 - kwh","N/A")))</f>
        <v>N/A</v>
      </c>
      <c r="B165" s="503" t="str">
        <f>IF(F167&lt;&gt;G167,"2018 - kwh",IF(H167&lt;&gt;I167,"2017 - kwh",IF(J167&lt;&gt;K167,"2016 - kwh","N/A")))</f>
        <v>N/A</v>
      </c>
      <c r="C165" s="508" t="s">
        <v>254</v>
      </c>
      <c r="D165" s="509"/>
      <c r="E165" s="510" t="s">
        <v>139</v>
      </c>
      <c r="F165" s="415"/>
      <c r="G165" s="415"/>
      <c r="H165" s="415"/>
      <c r="I165" s="415"/>
      <c r="J165" s="415"/>
      <c r="K165" s="415"/>
      <c r="L165" s="415"/>
      <c r="M165" s="415"/>
      <c r="N165" s="415"/>
      <c r="O165" s="415"/>
      <c r="P165" s="503"/>
      <c r="Q165" s="503"/>
      <c r="R165" s="503"/>
      <c r="S165" s="503"/>
      <c r="T165" s="503"/>
      <c r="U165" s="503"/>
      <c r="V165" s="503"/>
      <c r="Z165" s="504"/>
      <c r="AA165" s="504" t="str">
        <f>IF(AND(F167=G167,H167=I167,F167="A"),"2016 - kwh","")</f>
        <v/>
      </c>
      <c r="AB165" s="504" t="str">
        <f>IF(OR(B165="2017 - kwh",B165="2018 - kwh"),"2016 - kwh","")</f>
        <v/>
      </c>
      <c r="AC165" s="504"/>
      <c r="AD165" s="504"/>
      <c r="AE165" s="504"/>
    </row>
    <row r="166" spans="1:31" hidden="1" x14ac:dyDescent="0.35">
      <c r="A166" s="503" t="str">
        <f>IF(AND(F167=G167,H167=I167,J167=K167,F167="A"),"2016 - kw",IF(AND(F167=G167,H167=I167,J167&lt;&gt;K167,F167="A"),"2017 - kw",IF(AND(F167=G167,H167&lt;&gt;I167,F167="A"),"2018 - kw","N/A")))</f>
        <v>N/A</v>
      </c>
      <c r="B166" s="503" t="str">
        <f>IF(F167&lt;&gt;G167,"2018 - kw",IF(H167&lt;&gt;I167,"2017 - kw",IF(J167&lt;&gt;K167,"2016 - kw","N/A")))</f>
        <v>N/A</v>
      </c>
      <c r="C166" s="511"/>
      <c r="D166" s="512" t="str">
        <f>D165 &amp; "kW"</f>
        <v>kW</v>
      </c>
      <c r="E166" s="513" t="s">
        <v>170</v>
      </c>
      <c r="F166" s="415"/>
      <c r="G166" s="415"/>
      <c r="H166" s="415"/>
      <c r="I166" s="415"/>
      <c r="J166" s="415"/>
      <c r="K166" s="415"/>
      <c r="L166" s="415"/>
      <c r="M166" s="415"/>
      <c r="N166" s="415"/>
      <c r="O166" s="415"/>
      <c r="P166" s="503"/>
      <c r="Q166" s="503"/>
      <c r="R166" s="503"/>
      <c r="S166" s="503"/>
      <c r="T166" s="503"/>
      <c r="U166" s="503"/>
      <c r="V166" s="503"/>
      <c r="Z166" s="504"/>
      <c r="AA166" s="504" t="str">
        <f>IF(AND(F167=G167,H167=I167,F167="A"),"2016 - kw","")</f>
        <v/>
      </c>
      <c r="AB166" s="504" t="str">
        <f>IF(OR(B166="2017 - kw",B166="2018 - kw"),"2016 - kw","")</f>
        <v/>
      </c>
      <c r="AC166" s="504"/>
      <c r="AD166" s="504"/>
      <c r="AE166" s="504"/>
    </row>
    <row r="167" spans="1:31" hidden="1" x14ac:dyDescent="0.35">
      <c r="A167" s="503"/>
      <c r="B167" s="503"/>
      <c r="C167" s="514"/>
      <c r="D167" s="515"/>
      <c r="E167" s="516" t="s">
        <v>210</v>
      </c>
      <c r="F167" s="502"/>
      <c r="G167" s="502"/>
      <c r="H167" s="502"/>
      <c r="I167" s="502"/>
      <c r="J167" s="502"/>
      <c r="K167" s="502"/>
      <c r="L167" s="502"/>
      <c r="M167" s="502"/>
      <c r="N167" s="502"/>
      <c r="O167" s="502"/>
      <c r="P167" s="503"/>
      <c r="Q167" s="503"/>
      <c r="R167" s="503"/>
      <c r="S167" s="503"/>
      <c r="T167" s="503"/>
      <c r="U167" s="503"/>
      <c r="V167" s="503"/>
      <c r="Z167" s="504"/>
      <c r="AA167" s="504"/>
      <c r="AB167" s="504"/>
      <c r="AC167" s="504"/>
      <c r="AD167" s="504"/>
      <c r="AE167" s="504"/>
    </row>
    <row r="168" spans="1:31" hidden="1" x14ac:dyDescent="0.35">
      <c r="A168" s="503" t="str">
        <f>IF(AND(F170=G170,H170=I170,J170=K170,F170="A"),"2016 - kwh",IF(AND(F170=G170,H170=I170,J170&lt;&gt;K170,F170="A"),"2017 - kwh",IF(AND(F170=G170,H170&lt;&gt;I170,F170="A"),"2018 - kwh","N/A")))</f>
        <v>N/A</v>
      </c>
      <c r="B168" s="503" t="str">
        <f>IF(F170&lt;&gt;G170,"2018 - kwh",IF(H170&lt;&gt;I170,"2017 - kwh",IF(J170&lt;&gt;K170,"2016 - kwh","N/A")))</f>
        <v>N/A</v>
      </c>
      <c r="C168" s="508" t="s">
        <v>255</v>
      </c>
      <c r="D168" s="509"/>
      <c r="E168" s="510" t="s">
        <v>139</v>
      </c>
      <c r="F168" s="415"/>
      <c r="G168" s="415"/>
      <c r="H168" s="415"/>
      <c r="I168" s="415"/>
      <c r="J168" s="415"/>
      <c r="K168" s="415"/>
      <c r="L168" s="415"/>
      <c r="M168" s="415"/>
      <c r="N168" s="415"/>
      <c r="O168" s="415"/>
      <c r="P168" s="503"/>
      <c r="Q168" s="503"/>
      <c r="R168" s="503"/>
      <c r="S168" s="503"/>
      <c r="T168" s="503"/>
      <c r="U168" s="503"/>
      <c r="V168" s="503"/>
      <c r="Z168" s="504"/>
      <c r="AA168" s="504" t="str">
        <f>IF(AND(F170=G170,H170=I170,F170="A"),"2016 - kwh","")</f>
        <v/>
      </c>
      <c r="AB168" s="504" t="str">
        <f>IF(OR(B168="2017 - kwh",B168="2018 - kwh"),"2016 - kwh","")</f>
        <v/>
      </c>
      <c r="AC168" s="504"/>
      <c r="AD168" s="504"/>
      <c r="AE168" s="504"/>
    </row>
    <row r="169" spans="1:31" hidden="1" x14ac:dyDescent="0.35">
      <c r="A169" s="503" t="str">
        <f>IF(AND(F170=G170,H170=I170,J170=K170,F170="A"),"2016 - kw",IF(AND(F170=G170,H170=I170,J170&lt;&gt;K170,F170="A"),"2017 - kw",IF(AND(F170=G170,H170&lt;&gt;I170,F170="A"),"2018 - kw","N/A")))</f>
        <v>N/A</v>
      </c>
      <c r="B169" s="503" t="str">
        <f>IF(F170&lt;&gt;G170,"2018 - kw",IF(H170&lt;&gt;I170,"2017 - kw",IF(J170&lt;&gt;K170,"2016 - kw","N/A")))</f>
        <v>N/A</v>
      </c>
      <c r="C169" s="511"/>
      <c r="D169" s="512" t="str">
        <f>D168 &amp; "kW"</f>
        <v>kW</v>
      </c>
      <c r="E169" s="513" t="s">
        <v>170</v>
      </c>
      <c r="F169" s="415"/>
      <c r="G169" s="415"/>
      <c r="H169" s="415"/>
      <c r="I169" s="415"/>
      <c r="J169" s="415"/>
      <c r="K169" s="415"/>
      <c r="L169" s="415"/>
      <c r="M169" s="415"/>
      <c r="N169" s="415"/>
      <c r="O169" s="415"/>
      <c r="P169" s="503"/>
      <c r="Q169" s="503"/>
      <c r="R169" s="503"/>
      <c r="S169" s="503"/>
      <c r="T169" s="503"/>
      <c r="U169" s="503"/>
      <c r="V169" s="503"/>
      <c r="Z169" s="504"/>
      <c r="AA169" s="504" t="str">
        <f>IF(AND(F170=G170,H170=I170,F170="A"),"2016 - kw","")</f>
        <v/>
      </c>
      <c r="AB169" s="504" t="str">
        <f>IF(OR(B169="2017 - kw",B169="2018 - kw"),"2016 - kw","")</f>
        <v/>
      </c>
      <c r="AC169" s="504"/>
      <c r="AD169" s="504"/>
      <c r="AE169" s="504"/>
    </row>
    <row r="170" spans="1:31" hidden="1" x14ac:dyDescent="0.35">
      <c r="A170" s="503"/>
      <c r="B170" s="503"/>
      <c r="C170" s="514"/>
      <c r="D170" s="515"/>
      <c r="E170" s="516" t="s">
        <v>210</v>
      </c>
      <c r="F170" s="502"/>
      <c r="G170" s="502"/>
      <c r="H170" s="502"/>
      <c r="I170" s="502"/>
      <c r="J170" s="502"/>
      <c r="K170" s="502"/>
      <c r="L170" s="502"/>
      <c r="M170" s="502"/>
      <c r="N170" s="502"/>
      <c r="O170" s="502"/>
      <c r="P170" s="503"/>
      <c r="Q170" s="503"/>
      <c r="R170" s="503"/>
      <c r="S170" s="503"/>
      <c r="T170" s="503"/>
      <c r="U170" s="503"/>
      <c r="V170" s="503"/>
      <c r="Z170" s="504"/>
      <c r="AA170" s="504"/>
      <c r="AB170" s="504"/>
      <c r="AC170" s="504"/>
      <c r="AD170" s="504"/>
      <c r="AE170" s="504"/>
    </row>
    <row r="171" spans="1:31" hidden="1" x14ac:dyDescent="0.35">
      <c r="A171" s="503" t="str">
        <f>IF(AND(F173=G173,H173=I173,J173=K173,F173="A"),"2016 - kwh",IF(AND(F173=G173,H173=I173,J173&lt;&gt;K173,F173="A"),"2017 - kwh",IF(AND(F173=G173,H173&lt;&gt;I173,F173="A"),"2018 - kwh","N/A")))</f>
        <v>N/A</v>
      </c>
      <c r="B171" s="503" t="str">
        <f>IF(F173&lt;&gt;G173,"2018 - kwh",IF(H173&lt;&gt;I173,"2017 - kwh",IF(J173&lt;&gt;K173,"2016 - kwh","N/A")))</f>
        <v>N/A</v>
      </c>
      <c r="C171" s="508" t="s">
        <v>256</v>
      </c>
      <c r="D171" s="509"/>
      <c r="E171" s="510" t="s">
        <v>139</v>
      </c>
      <c r="F171" s="415"/>
      <c r="G171" s="415"/>
      <c r="H171" s="415"/>
      <c r="I171" s="415"/>
      <c r="J171" s="415"/>
      <c r="K171" s="415"/>
      <c r="L171" s="415"/>
      <c r="M171" s="415"/>
      <c r="N171" s="415"/>
      <c r="O171" s="415"/>
      <c r="P171" s="503"/>
      <c r="Q171" s="503"/>
      <c r="R171" s="503"/>
      <c r="S171" s="503"/>
      <c r="T171" s="503"/>
      <c r="U171" s="503"/>
      <c r="V171" s="503"/>
      <c r="Z171" s="504"/>
      <c r="AA171" s="504" t="str">
        <f>IF(AND(F173=G173,H173=I173,F173="A"),"2016 - kwh","")</f>
        <v/>
      </c>
      <c r="AB171" s="504" t="str">
        <f>IF(OR(B171="2017 - kwh",B171="2018 - kwh"),"2016 - kwh","")</f>
        <v/>
      </c>
      <c r="AC171" s="504"/>
      <c r="AD171" s="504"/>
      <c r="AE171" s="504"/>
    </row>
    <row r="172" spans="1:31" hidden="1" x14ac:dyDescent="0.35">
      <c r="A172" s="503" t="str">
        <f>IF(AND(F173=G173,H173=I173,J173=K173,F173="A"),"2016 - kw",IF(AND(F173=G173,H173=I173,J173&lt;&gt;K173,F173="A"),"2017 - kw",IF(AND(F173=G173,H173&lt;&gt;I173,F173="A"),"2018 - kw","N/A")))</f>
        <v>N/A</v>
      </c>
      <c r="B172" s="503" t="str">
        <f>IF(F173&lt;&gt;G173,"2018 - kw",IF(H173&lt;&gt;I173,"2017 - kw",IF(J173&lt;&gt;K173,"2016 - kw","N/A")))</f>
        <v>N/A</v>
      </c>
      <c r="C172" s="511"/>
      <c r="D172" s="512" t="str">
        <f>D171 &amp; "kW"</f>
        <v>kW</v>
      </c>
      <c r="E172" s="513" t="s">
        <v>170</v>
      </c>
      <c r="F172" s="415"/>
      <c r="G172" s="415"/>
      <c r="H172" s="415"/>
      <c r="I172" s="415"/>
      <c r="J172" s="415"/>
      <c r="K172" s="415"/>
      <c r="L172" s="415"/>
      <c r="M172" s="415"/>
      <c r="N172" s="415"/>
      <c r="O172" s="415"/>
      <c r="P172" s="503"/>
      <c r="Q172" s="503"/>
      <c r="R172" s="503"/>
      <c r="S172" s="503"/>
      <c r="T172" s="503"/>
      <c r="U172" s="503"/>
      <c r="V172" s="503"/>
      <c r="Z172" s="504"/>
      <c r="AA172" s="504" t="str">
        <f>IF(AND(F173=G173,H173=I173,F173="A"),"2016 - kw","")</f>
        <v/>
      </c>
      <c r="AB172" s="504" t="str">
        <f>IF(OR(B172="2017 - kw",B172="2018 - kw"),"2016 - kw","")</f>
        <v/>
      </c>
      <c r="AC172" s="504"/>
      <c r="AD172" s="504"/>
      <c r="AE172" s="504"/>
    </row>
    <row r="173" spans="1:31" hidden="1" x14ac:dyDescent="0.35">
      <c r="A173" s="503"/>
      <c r="B173" s="503"/>
      <c r="C173" s="514"/>
      <c r="D173" s="515"/>
      <c r="E173" s="516" t="s">
        <v>210</v>
      </c>
      <c r="F173" s="502"/>
      <c r="G173" s="502"/>
      <c r="H173" s="502"/>
      <c r="I173" s="502"/>
      <c r="J173" s="502"/>
      <c r="K173" s="502"/>
      <c r="L173" s="502"/>
      <c r="M173" s="502"/>
      <c r="N173" s="502"/>
      <c r="O173" s="502"/>
      <c r="P173" s="503"/>
      <c r="Q173" s="503"/>
      <c r="R173" s="503"/>
      <c r="S173" s="503"/>
      <c r="T173" s="503"/>
      <c r="U173" s="503"/>
      <c r="V173" s="503"/>
      <c r="Z173" s="504"/>
      <c r="AA173" s="504"/>
      <c r="AB173" s="504"/>
      <c r="AC173" s="504"/>
      <c r="AD173" s="504"/>
      <c r="AE173" s="504"/>
    </row>
    <row r="174" spans="1:31" hidden="1" x14ac:dyDescent="0.35">
      <c r="A174" s="503" t="str">
        <f>IF(AND(F176=G176,H176=I176,J176=K176,F176="A"),"2016 - kwh",IF(AND(F176=G176,H176=I176,J176&lt;&gt;K176,F176="A"),"2017 - kwh",IF(AND(F176=G176,H176&lt;&gt;I176,F176="A"),"2018 - kwh","N/A")))</f>
        <v>N/A</v>
      </c>
      <c r="B174" s="503" t="str">
        <f>IF(F176&lt;&gt;G176,"2018 - kwh",IF(H176&lt;&gt;I176,"2017 - kwh",IF(J176&lt;&gt;K176,"2016 - kwh","N/A")))</f>
        <v>N/A</v>
      </c>
      <c r="C174" s="508" t="s">
        <v>257</v>
      </c>
      <c r="D174" s="509"/>
      <c r="E174" s="510" t="s">
        <v>139</v>
      </c>
      <c r="F174" s="415"/>
      <c r="G174" s="415"/>
      <c r="H174" s="415"/>
      <c r="I174" s="415"/>
      <c r="J174" s="415"/>
      <c r="K174" s="415"/>
      <c r="L174" s="415"/>
      <c r="M174" s="415"/>
      <c r="N174" s="415"/>
      <c r="O174" s="415"/>
      <c r="P174" s="503"/>
      <c r="Q174" s="503"/>
      <c r="R174" s="503"/>
      <c r="S174" s="503"/>
      <c r="T174" s="503"/>
      <c r="U174" s="503"/>
      <c r="V174" s="503"/>
      <c r="Z174" s="504"/>
      <c r="AA174" s="504" t="str">
        <f>IF(AND(F176=G176,H176=I176,F176="A"),"2016 - kwh","")</f>
        <v/>
      </c>
      <c r="AB174" s="504" t="str">
        <f>IF(OR(B174="2017 - kwh",B174="2018 - kwh"),"2016 - kwh","")</f>
        <v/>
      </c>
      <c r="AC174" s="504"/>
      <c r="AD174" s="504"/>
      <c r="AE174" s="504"/>
    </row>
    <row r="175" spans="1:31" hidden="1" x14ac:dyDescent="0.35">
      <c r="A175" s="503" t="str">
        <f>IF(AND(F176=G176,H176=I176,J176=K176,F176="A"),"2016 - kw",IF(AND(F176=G176,H176=I176,J176&lt;&gt;K176,F176="A"),"2017 - kw",IF(AND(F176=G176,H176&lt;&gt;I176,F176="A"),"2018 - kw","N/A")))</f>
        <v>N/A</v>
      </c>
      <c r="B175" s="503" t="str">
        <f>IF(F176&lt;&gt;G176,"2018 - kw",IF(H176&lt;&gt;I176,"2017 - kw",IF(J176&lt;&gt;K176,"2016 - kw","N/A")))</f>
        <v>N/A</v>
      </c>
      <c r="C175" s="511"/>
      <c r="D175" s="512" t="str">
        <f>D174 &amp; "kW"</f>
        <v>kW</v>
      </c>
      <c r="E175" s="513" t="s">
        <v>170</v>
      </c>
      <c r="F175" s="415"/>
      <c r="G175" s="415"/>
      <c r="H175" s="415"/>
      <c r="I175" s="415"/>
      <c r="J175" s="415"/>
      <c r="K175" s="415"/>
      <c r="L175" s="415"/>
      <c r="M175" s="415"/>
      <c r="N175" s="415"/>
      <c r="O175" s="415"/>
      <c r="P175" s="503"/>
      <c r="Q175" s="503"/>
      <c r="R175" s="503"/>
      <c r="S175" s="503"/>
      <c r="T175" s="503"/>
      <c r="U175" s="503"/>
      <c r="V175" s="503"/>
      <c r="Z175" s="504"/>
      <c r="AA175" s="504" t="str">
        <f>IF(AND(F176=G176,H176=I176,F176="A"),"2016 - kw","")</f>
        <v/>
      </c>
      <c r="AB175" s="504" t="str">
        <f>IF(OR(B175="2017 - kw",B175="2018 - kw"),"2016 - kw","")</f>
        <v/>
      </c>
      <c r="AC175" s="504"/>
      <c r="AD175" s="504"/>
      <c r="AE175" s="504"/>
    </row>
    <row r="176" spans="1:31" hidden="1" x14ac:dyDescent="0.35">
      <c r="A176" s="503"/>
      <c r="B176" s="503"/>
      <c r="C176" s="514"/>
      <c r="D176" s="515"/>
      <c r="E176" s="516" t="s">
        <v>210</v>
      </c>
      <c r="F176" s="502"/>
      <c r="G176" s="502"/>
      <c r="H176" s="502"/>
      <c r="I176" s="502"/>
      <c r="J176" s="502"/>
      <c r="K176" s="502"/>
      <c r="L176" s="502"/>
      <c r="M176" s="502"/>
      <c r="N176" s="502"/>
      <c r="O176" s="502"/>
      <c r="P176" s="503"/>
      <c r="Q176" s="503"/>
      <c r="R176" s="503"/>
      <c r="S176" s="503"/>
      <c r="T176" s="503"/>
      <c r="U176" s="503"/>
      <c r="V176" s="503"/>
      <c r="Z176" s="504"/>
      <c r="AA176" s="504"/>
      <c r="AB176" s="504"/>
      <c r="AC176" s="504"/>
      <c r="AD176" s="504"/>
      <c r="AE176" s="504"/>
    </row>
    <row r="177" spans="1:31" hidden="1" x14ac:dyDescent="0.35">
      <c r="A177" s="503" t="str">
        <f>IF(AND(F179=G179,H179=I179,J179=K179,F179="A"),"2016 - kwh",IF(AND(F179=G179,H179=I179,J179&lt;&gt;K179,F179="A"),"2017 - kwh",IF(AND(F179=G179,H179&lt;&gt;I179,F179="A"),"2018 - kwh","N/A")))</f>
        <v>N/A</v>
      </c>
      <c r="B177" s="503" t="str">
        <f>IF(F179&lt;&gt;G179,"2018 - kwh",IF(H179&lt;&gt;I179,"2017 - kwh",IF(J179&lt;&gt;K179,"2016 - kwh","N/A")))</f>
        <v>N/A</v>
      </c>
      <c r="C177" s="508" t="s">
        <v>258</v>
      </c>
      <c r="D177" s="509"/>
      <c r="E177" s="510" t="s">
        <v>139</v>
      </c>
      <c r="F177" s="415"/>
      <c r="G177" s="415"/>
      <c r="H177" s="415"/>
      <c r="I177" s="415"/>
      <c r="J177" s="415"/>
      <c r="K177" s="415"/>
      <c r="L177" s="415"/>
      <c r="M177" s="415"/>
      <c r="N177" s="415"/>
      <c r="O177" s="415"/>
      <c r="P177" s="503"/>
      <c r="Q177" s="503"/>
      <c r="R177" s="503"/>
      <c r="S177" s="503"/>
      <c r="T177" s="503"/>
      <c r="U177" s="503"/>
      <c r="V177" s="503"/>
      <c r="Z177" s="504"/>
      <c r="AA177" s="504" t="str">
        <f>IF(AND(F179=G179,H179=I179,F179="A"),"2016 - kwh","")</f>
        <v/>
      </c>
      <c r="AB177" s="504" t="str">
        <f>IF(OR(B177="2017 - kwh",B177="2018 - kwh"),"2016 - kwh","")</f>
        <v/>
      </c>
      <c r="AC177" s="504"/>
      <c r="AD177" s="504"/>
      <c r="AE177" s="504"/>
    </row>
    <row r="178" spans="1:31" hidden="1" x14ac:dyDescent="0.35">
      <c r="A178" s="503" t="str">
        <f>IF(AND(F179=G179,H179=I179,J179=K179,F179="A"),"2016 - kw",IF(AND(F179=G179,H179=I179,J179&lt;&gt;K179,F179="A"),"2017 - kw",IF(AND(F179=G179,H179&lt;&gt;I179,F179="A"),"2018 - kw","N/A")))</f>
        <v>N/A</v>
      </c>
      <c r="B178" s="503" t="str">
        <f>IF(F179&lt;&gt;G179,"2018 - kw",IF(H179&lt;&gt;I179,"2017 - kw",IF(J179&lt;&gt;K179,"2016 - kw","N/A")))</f>
        <v>N/A</v>
      </c>
      <c r="C178" s="511"/>
      <c r="D178" s="512" t="str">
        <f>D177 &amp; "kW"</f>
        <v>kW</v>
      </c>
      <c r="E178" s="513" t="s">
        <v>170</v>
      </c>
      <c r="F178" s="415"/>
      <c r="G178" s="415"/>
      <c r="H178" s="415"/>
      <c r="I178" s="415"/>
      <c r="J178" s="415"/>
      <c r="K178" s="415"/>
      <c r="L178" s="415"/>
      <c r="M178" s="415"/>
      <c r="N178" s="415"/>
      <c r="O178" s="415"/>
      <c r="P178" s="503"/>
      <c r="Q178" s="503"/>
      <c r="R178" s="503"/>
      <c r="S178" s="503"/>
      <c r="T178" s="503"/>
      <c r="U178" s="503"/>
      <c r="V178" s="503"/>
      <c r="Z178" s="504"/>
      <c r="AA178" s="504" t="str">
        <f>IF(AND(F179=G179,H179=I179,F179="A"),"2016 - kw","")</f>
        <v/>
      </c>
      <c r="AB178" s="504" t="str">
        <f>IF(OR(B178="2017 - kw",B178="2018 - kw"),"2016 - kw","")</f>
        <v/>
      </c>
      <c r="AC178" s="504"/>
      <c r="AD178" s="504"/>
      <c r="AE178" s="504"/>
    </row>
    <row r="179" spans="1:31" hidden="1" x14ac:dyDescent="0.35">
      <c r="A179" s="503"/>
      <c r="B179" s="503"/>
      <c r="C179" s="514"/>
      <c r="D179" s="515"/>
      <c r="E179" s="516" t="s">
        <v>210</v>
      </c>
      <c r="F179" s="502"/>
      <c r="G179" s="502"/>
      <c r="H179" s="502"/>
      <c r="I179" s="502"/>
      <c r="J179" s="502"/>
      <c r="K179" s="502"/>
      <c r="L179" s="502"/>
      <c r="M179" s="502"/>
      <c r="N179" s="502"/>
      <c r="O179" s="502"/>
      <c r="P179" s="503"/>
      <c r="Q179" s="503"/>
      <c r="R179" s="503"/>
      <c r="S179" s="503"/>
      <c r="T179" s="503"/>
      <c r="U179" s="503"/>
      <c r="V179" s="503"/>
      <c r="Z179" s="504"/>
      <c r="AA179" s="504"/>
      <c r="AB179" s="504"/>
      <c r="AC179" s="504"/>
      <c r="AD179" s="504"/>
      <c r="AE179" s="504"/>
    </row>
    <row r="180" spans="1:31" hidden="1" x14ac:dyDescent="0.35">
      <c r="A180" s="503" t="str">
        <f>IF(AND(F182=G182,H182=I182,J182=K182,F182="A"),"2016 - kwh",IF(AND(F182=G182,H182=I182,J182&lt;&gt;K182,F182="A"),"2017 - kwh",IF(AND(F182=G182,H182&lt;&gt;I182,F182="A"),"2018 - kwh","N/A")))</f>
        <v>N/A</v>
      </c>
      <c r="B180" s="503" t="str">
        <f>IF(F182&lt;&gt;G182,"2018 - kwh",IF(H182&lt;&gt;I182,"2017 - kwh",IF(J182&lt;&gt;K182,"2016 - kwh","N/A")))</f>
        <v>N/A</v>
      </c>
      <c r="C180" s="508" t="s">
        <v>259</v>
      </c>
      <c r="D180" s="509"/>
      <c r="E180" s="510" t="s">
        <v>139</v>
      </c>
      <c r="F180" s="415"/>
      <c r="G180" s="415"/>
      <c r="H180" s="415"/>
      <c r="I180" s="415"/>
      <c r="J180" s="415"/>
      <c r="K180" s="415"/>
      <c r="L180" s="415"/>
      <c r="M180" s="415"/>
      <c r="N180" s="415"/>
      <c r="O180" s="415"/>
      <c r="P180" s="503"/>
      <c r="Q180" s="503"/>
      <c r="R180" s="503"/>
      <c r="S180" s="503"/>
      <c r="T180" s="503"/>
      <c r="U180" s="503"/>
      <c r="V180" s="503"/>
      <c r="Z180" s="504"/>
      <c r="AA180" s="504" t="str">
        <f>IF(AND(F182=G182,H182=I182,F182="A"),"2016 - kwh","")</f>
        <v/>
      </c>
      <c r="AB180" s="504" t="str">
        <f>IF(OR(B180="2017 - kwh",B180="2018 - kwh"),"2016 - kwh","")</f>
        <v/>
      </c>
      <c r="AC180" s="504"/>
      <c r="AD180" s="504"/>
      <c r="AE180" s="504"/>
    </row>
    <row r="181" spans="1:31" hidden="1" x14ac:dyDescent="0.35">
      <c r="A181" s="503" t="str">
        <f>IF(AND(F182=G182,H182=I182,J182=K182,F182="A"),"2016 - kw",IF(AND(F182=G182,H182=I182,J182&lt;&gt;K182,F182="A"),"2017 - kw",IF(AND(F182=G182,H182&lt;&gt;I182,F182="A"),"2018 - kw","N/A")))</f>
        <v>N/A</v>
      </c>
      <c r="B181" s="503" t="str">
        <f>IF(F182&lt;&gt;G182,"2018 - kw",IF(H182&lt;&gt;I182,"2017 - kw",IF(J182&lt;&gt;K182,"2016 - kw","N/A")))</f>
        <v>N/A</v>
      </c>
      <c r="C181" s="511"/>
      <c r="D181" s="512" t="str">
        <f>D180 &amp; "kW"</f>
        <v>kW</v>
      </c>
      <c r="E181" s="513" t="s">
        <v>170</v>
      </c>
      <c r="F181" s="415"/>
      <c r="G181" s="415"/>
      <c r="H181" s="415"/>
      <c r="I181" s="415"/>
      <c r="J181" s="415"/>
      <c r="K181" s="415"/>
      <c r="L181" s="415"/>
      <c r="M181" s="415"/>
      <c r="N181" s="415"/>
      <c r="O181" s="415"/>
      <c r="P181" s="503"/>
      <c r="Q181" s="503"/>
      <c r="R181" s="503"/>
      <c r="S181" s="503"/>
      <c r="T181" s="503"/>
      <c r="U181" s="503"/>
      <c r="V181" s="503"/>
      <c r="Z181" s="504"/>
      <c r="AA181" s="504" t="str">
        <f>IF(AND(F182=G182,H182=I182,F182="A"),"2016 - kw","")</f>
        <v/>
      </c>
      <c r="AB181" s="504" t="str">
        <f>IF(OR(B181="2017 - kw",B181="2018 - kw"),"2016 - kw","")</f>
        <v/>
      </c>
      <c r="AC181" s="504"/>
      <c r="AD181" s="504"/>
      <c r="AE181" s="504"/>
    </row>
    <row r="182" spans="1:31" hidden="1" x14ac:dyDescent="0.35">
      <c r="A182" s="503"/>
      <c r="B182" s="503"/>
      <c r="C182" s="514"/>
      <c r="D182" s="515"/>
      <c r="E182" s="516" t="s">
        <v>210</v>
      </c>
      <c r="F182" s="502"/>
      <c r="G182" s="502"/>
      <c r="H182" s="502"/>
      <c r="I182" s="502"/>
      <c r="J182" s="502"/>
      <c r="K182" s="502"/>
      <c r="L182" s="502"/>
      <c r="M182" s="502"/>
      <c r="N182" s="502"/>
      <c r="O182" s="502"/>
      <c r="P182" s="503"/>
      <c r="Q182" s="503"/>
      <c r="R182" s="503"/>
      <c r="S182" s="503"/>
      <c r="T182" s="503"/>
      <c r="U182" s="503"/>
      <c r="V182" s="503"/>
      <c r="Z182" s="504"/>
      <c r="AA182" s="504"/>
      <c r="AB182" s="504"/>
      <c r="AC182" s="504"/>
      <c r="AD182" s="504"/>
      <c r="AE182" s="504"/>
    </row>
    <row r="183" spans="1:31" hidden="1" x14ac:dyDescent="0.35">
      <c r="A183" s="503" t="str">
        <f>IF(AND(F185=G185,H185=I185,J185=K185,F185="A"),"2016 - kwh",IF(AND(F185=G185,H185=I185,J185&lt;&gt;K185,F185="A"),"2017 - kwh",IF(AND(F185=G185,H185&lt;&gt;I185,F185="A"),"2018 - kwh","N/A")))</f>
        <v>N/A</v>
      </c>
      <c r="B183" s="503" t="str">
        <f>IF(F185&lt;&gt;G185,"2018 - kwh",IF(H185&lt;&gt;I185,"2017 - kwh",IF(J185&lt;&gt;K185,"2016 - kwh","N/A")))</f>
        <v>N/A</v>
      </c>
      <c r="C183" s="508" t="s">
        <v>260</v>
      </c>
      <c r="D183" s="509"/>
      <c r="E183" s="510" t="s">
        <v>139</v>
      </c>
      <c r="F183" s="415"/>
      <c r="G183" s="415"/>
      <c r="H183" s="415"/>
      <c r="I183" s="415"/>
      <c r="J183" s="415"/>
      <c r="K183" s="415"/>
      <c r="L183" s="415"/>
      <c r="M183" s="415"/>
      <c r="N183" s="415"/>
      <c r="O183" s="415"/>
      <c r="P183" s="503"/>
      <c r="Q183" s="503"/>
      <c r="R183" s="503"/>
      <c r="S183" s="503"/>
      <c r="T183" s="503"/>
      <c r="U183" s="503"/>
      <c r="V183" s="503"/>
      <c r="Z183" s="504"/>
      <c r="AA183" s="504" t="str">
        <f>IF(AND(F185=G185,H185=I185,F185="A"),"2016 - kwh","")</f>
        <v/>
      </c>
      <c r="AB183" s="504" t="str">
        <f>IF(OR(B183="2017 - kwh",B183="2018 - kwh"),"2016 - kwh","")</f>
        <v/>
      </c>
      <c r="AC183" s="504"/>
      <c r="AD183" s="504"/>
      <c r="AE183" s="504"/>
    </row>
    <row r="184" spans="1:31" hidden="1" x14ac:dyDescent="0.35">
      <c r="A184" s="503" t="str">
        <f>IF(AND(F185=G185,H185=I185,J185=K185,F185="A"),"2016 - kw",IF(AND(F185=G185,H185=I185,J185&lt;&gt;K185,F185="A"),"2017 - kw",IF(AND(F185=G185,H185&lt;&gt;I185,F185="A"),"2018 - kw","N/A")))</f>
        <v>N/A</v>
      </c>
      <c r="B184" s="503" t="str">
        <f>IF(F185&lt;&gt;G185,"2018 - kw",IF(H185&lt;&gt;I185,"2017 - kw",IF(J185&lt;&gt;K185,"2016 - kw","N/A")))</f>
        <v>N/A</v>
      </c>
      <c r="C184" s="511"/>
      <c r="D184" s="512" t="str">
        <f>D183 &amp; "kW"</f>
        <v>kW</v>
      </c>
      <c r="E184" s="513" t="s">
        <v>170</v>
      </c>
      <c r="F184" s="415"/>
      <c r="G184" s="415"/>
      <c r="H184" s="415"/>
      <c r="I184" s="415"/>
      <c r="J184" s="415"/>
      <c r="K184" s="415"/>
      <c r="L184" s="415"/>
      <c r="M184" s="415"/>
      <c r="N184" s="415"/>
      <c r="O184" s="415"/>
      <c r="P184" s="503"/>
      <c r="Q184" s="503"/>
      <c r="R184" s="503"/>
      <c r="S184" s="503"/>
      <c r="T184" s="503"/>
      <c r="U184" s="503"/>
      <c r="V184" s="503"/>
      <c r="Z184" s="504"/>
      <c r="AA184" s="504" t="str">
        <f>IF(AND(F185=G185,H185=I185,F185="A"),"2016 - kw","")</f>
        <v/>
      </c>
      <c r="AB184" s="504" t="str">
        <f>IF(OR(B184="2017 - kw",B184="2018 - kw"),"2016 - kw","")</f>
        <v/>
      </c>
      <c r="AC184" s="504"/>
      <c r="AD184" s="504"/>
      <c r="AE184" s="504"/>
    </row>
    <row r="185" spans="1:31" hidden="1" x14ac:dyDescent="0.35">
      <c r="A185" s="503"/>
      <c r="B185" s="503"/>
      <c r="C185" s="514"/>
      <c r="D185" s="515"/>
      <c r="E185" s="516" t="s">
        <v>210</v>
      </c>
      <c r="F185" s="502"/>
      <c r="G185" s="502"/>
      <c r="H185" s="502"/>
      <c r="I185" s="502"/>
      <c r="J185" s="502"/>
      <c r="K185" s="502"/>
      <c r="L185" s="502"/>
      <c r="M185" s="502"/>
      <c r="N185" s="502"/>
      <c r="O185" s="502"/>
      <c r="P185" s="503"/>
      <c r="Q185" s="503"/>
      <c r="R185" s="503"/>
      <c r="S185" s="503"/>
      <c r="T185" s="503"/>
      <c r="U185" s="503"/>
      <c r="V185" s="503"/>
      <c r="Z185" s="504"/>
      <c r="AA185" s="504"/>
      <c r="AB185" s="504"/>
      <c r="AC185" s="504"/>
      <c r="AD185" s="504"/>
      <c r="AE185" s="504"/>
    </row>
    <row r="186" spans="1:31" hidden="1" x14ac:dyDescent="0.35">
      <c r="A186" s="503" t="str">
        <f>IF(AND(F188=G188,H188=I188,J188=K188,F188="A"),"2016 - kwh",IF(AND(F188=G188,H188=I188,J188&lt;&gt;K188,F188="A"),"2017 - kwh",IF(AND(F188=G188,H188&lt;&gt;I188,F188="A"),"2018 - kwh","N/A")))</f>
        <v>N/A</v>
      </c>
      <c r="B186" s="503" t="str">
        <f>IF(F188&lt;&gt;G188,"2018 - kwh",IF(H188&lt;&gt;I188,"2017 - kwh",IF(J188&lt;&gt;K188,"2016 - kwh","N/A")))</f>
        <v>N/A</v>
      </c>
      <c r="C186" s="508" t="s">
        <v>261</v>
      </c>
      <c r="D186" s="509"/>
      <c r="E186" s="510" t="s">
        <v>139</v>
      </c>
      <c r="F186" s="415"/>
      <c r="G186" s="415"/>
      <c r="H186" s="415"/>
      <c r="I186" s="415"/>
      <c r="J186" s="415"/>
      <c r="K186" s="415"/>
      <c r="L186" s="415"/>
      <c r="M186" s="415"/>
      <c r="N186" s="415"/>
      <c r="O186" s="415"/>
      <c r="P186" s="503"/>
      <c r="Q186" s="503"/>
      <c r="R186" s="503"/>
      <c r="S186" s="503"/>
      <c r="T186" s="503"/>
      <c r="U186" s="503"/>
      <c r="V186" s="503"/>
      <c r="Z186" s="504"/>
      <c r="AA186" s="504" t="str">
        <f>IF(AND(F188=G188,H188=I188,F188="A"),"2016 - kwh","")</f>
        <v/>
      </c>
      <c r="AB186" s="504" t="str">
        <f>IF(OR(B186="2017 - kwh",B186="2018 - kwh"),"2016 - kwh","")</f>
        <v/>
      </c>
      <c r="AC186" s="504"/>
      <c r="AD186" s="504"/>
      <c r="AE186" s="504"/>
    </row>
    <row r="187" spans="1:31" hidden="1" x14ac:dyDescent="0.35">
      <c r="A187" s="503" t="str">
        <f>IF(AND(F188=G188,H188=I188,J188=K188,F188="A"),"2016 - kw",IF(AND(F188=G188,H188=I188,J188&lt;&gt;K188,F188="A"),"2017 - kw",IF(AND(F188=G188,H188&lt;&gt;I188,F188="A"),"2018 - kw","N/A")))</f>
        <v>N/A</v>
      </c>
      <c r="B187" s="503" t="str">
        <f>IF(F188&lt;&gt;G188,"2018 - kw",IF(H188&lt;&gt;I188,"2017 - kw",IF(J188&lt;&gt;K188,"2016 - kw","N/A")))</f>
        <v>N/A</v>
      </c>
      <c r="C187" s="511"/>
      <c r="D187" s="512" t="str">
        <f>D186 &amp; "kW"</f>
        <v>kW</v>
      </c>
      <c r="E187" s="513" t="s">
        <v>170</v>
      </c>
      <c r="F187" s="415"/>
      <c r="G187" s="415"/>
      <c r="H187" s="415"/>
      <c r="I187" s="415"/>
      <c r="J187" s="415"/>
      <c r="K187" s="415"/>
      <c r="L187" s="415"/>
      <c r="M187" s="415"/>
      <c r="N187" s="415"/>
      <c r="O187" s="415"/>
      <c r="P187" s="503"/>
      <c r="Q187" s="503"/>
      <c r="R187" s="503"/>
      <c r="S187" s="503"/>
      <c r="T187" s="503"/>
      <c r="U187" s="503"/>
      <c r="V187" s="503"/>
      <c r="Z187" s="504"/>
      <c r="AA187" s="504" t="str">
        <f>IF(AND(F188=G188,H188=I188,F188="A"),"2016 - kw","")</f>
        <v/>
      </c>
      <c r="AB187" s="504" t="str">
        <f>IF(OR(B187="2017 - kw",B187="2018 - kw"),"2016 - kw","")</f>
        <v/>
      </c>
      <c r="AC187" s="504"/>
      <c r="AD187" s="504"/>
      <c r="AE187" s="504"/>
    </row>
    <row r="188" spans="1:31" hidden="1" x14ac:dyDescent="0.35">
      <c r="A188" s="503"/>
      <c r="B188" s="503"/>
      <c r="C188" s="514"/>
      <c r="D188" s="515"/>
      <c r="E188" s="516" t="s">
        <v>210</v>
      </c>
      <c r="F188" s="502"/>
      <c r="G188" s="502"/>
      <c r="H188" s="502"/>
      <c r="I188" s="502"/>
      <c r="J188" s="502"/>
      <c r="K188" s="502"/>
      <c r="L188" s="502"/>
      <c r="M188" s="502"/>
      <c r="N188" s="502"/>
      <c r="O188" s="502"/>
      <c r="P188" s="503"/>
      <c r="Q188" s="503"/>
      <c r="R188" s="503"/>
      <c r="S188" s="503"/>
      <c r="T188" s="503"/>
      <c r="U188" s="503"/>
      <c r="V188" s="503"/>
      <c r="Z188" s="504"/>
      <c r="AA188" s="504"/>
      <c r="AB188" s="504"/>
      <c r="AC188" s="504"/>
      <c r="AD188" s="504"/>
      <c r="AE188" s="504"/>
    </row>
    <row r="189" spans="1:31" hidden="1" x14ac:dyDescent="0.35">
      <c r="A189" s="503" t="str">
        <f>IF(AND(F191=G191,H191=I191,J191=K191,F191="A"),"2016 - kwh",IF(AND(F191=G191,H191=I191,J191&lt;&gt;K191,F191="A"),"2017 - kwh",IF(AND(F191=G191,H191&lt;&gt;I191,F191="A"),"2018 - kwh","N/A")))</f>
        <v>N/A</v>
      </c>
      <c r="B189" s="503" t="str">
        <f>IF(F191&lt;&gt;G191,"2018 - kwh",IF(H191&lt;&gt;I191,"2017 - kwh",IF(J191&lt;&gt;K191,"2016 - kwh","N/A")))</f>
        <v>N/A</v>
      </c>
      <c r="C189" s="508" t="s">
        <v>262</v>
      </c>
      <c r="D189" s="509"/>
      <c r="E189" s="510" t="s">
        <v>139</v>
      </c>
      <c r="F189" s="415"/>
      <c r="G189" s="415"/>
      <c r="H189" s="415"/>
      <c r="I189" s="415"/>
      <c r="J189" s="415"/>
      <c r="K189" s="415"/>
      <c r="L189" s="415"/>
      <c r="M189" s="415"/>
      <c r="N189" s="415"/>
      <c r="O189" s="415"/>
      <c r="P189" s="503"/>
      <c r="Q189" s="503"/>
      <c r="R189" s="503"/>
      <c r="S189" s="503"/>
      <c r="T189" s="503"/>
      <c r="U189" s="503"/>
      <c r="V189" s="503"/>
      <c r="Z189" s="504"/>
      <c r="AA189" s="504" t="str">
        <f>IF(AND(F191=G191,H191=I191,F191="A"),"2016 - kwh","")</f>
        <v/>
      </c>
      <c r="AB189" s="504" t="str">
        <f>IF(OR(B189="2017 - kwh",B189="2018 - kwh"),"2016 - kwh","")</f>
        <v/>
      </c>
      <c r="AC189" s="504"/>
      <c r="AD189" s="504"/>
      <c r="AE189" s="504"/>
    </row>
    <row r="190" spans="1:31" hidden="1" x14ac:dyDescent="0.35">
      <c r="A190" s="503" t="str">
        <f>IF(AND(F191=G191,H191=I191,J191=K191,F191="A"),"2016 - kw",IF(AND(F191=G191,H191=I191,J191&lt;&gt;K191,F191="A"),"2017 - kw",IF(AND(F191=G191,H191&lt;&gt;I191,F191="A"),"2018 - kw","N/A")))</f>
        <v>N/A</v>
      </c>
      <c r="B190" s="503" t="str">
        <f>IF(F191&lt;&gt;G191,"2018 - kw",IF(H191&lt;&gt;I191,"2017 - kw",IF(J191&lt;&gt;K191,"2016 - kw","N/A")))</f>
        <v>N/A</v>
      </c>
      <c r="C190" s="511"/>
      <c r="D190" s="512" t="str">
        <f>D189 &amp; "kW"</f>
        <v>kW</v>
      </c>
      <c r="E190" s="513" t="s">
        <v>170</v>
      </c>
      <c r="F190" s="415"/>
      <c r="G190" s="415"/>
      <c r="H190" s="415"/>
      <c r="I190" s="415"/>
      <c r="J190" s="415"/>
      <c r="K190" s="415"/>
      <c r="L190" s="415"/>
      <c r="M190" s="415"/>
      <c r="N190" s="415"/>
      <c r="O190" s="415"/>
      <c r="P190" s="503"/>
      <c r="Q190" s="503"/>
      <c r="R190" s="503"/>
      <c r="S190" s="503"/>
      <c r="T190" s="503"/>
      <c r="U190" s="503"/>
      <c r="V190" s="503"/>
      <c r="Z190" s="504"/>
      <c r="AA190" s="504" t="str">
        <f>IF(AND(F191=G191,H191=I191,F191="A"),"2016 - kw","")</f>
        <v/>
      </c>
      <c r="AB190" s="504" t="str">
        <f>IF(OR(B190="2017 - kw",B190="2018 - kw"),"2016 - kw","")</f>
        <v/>
      </c>
      <c r="AC190" s="504"/>
      <c r="AD190" s="504"/>
      <c r="AE190" s="504"/>
    </row>
    <row r="191" spans="1:31" hidden="1" x14ac:dyDescent="0.35">
      <c r="A191" s="503"/>
      <c r="B191" s="503"/>
      <c r="C191" s="514"/>
      <c r="D191" s="515"/>
      <c r="E191" s="516" t="s">
        <v>210</v>
      </c>
      <c r="F191" s="502"/>
      <c r="G191" s="502"/>
      <c r="H191" s="502"/>
      <c r="I191" s="502"/>
      <c r="J191" s="502"/>
      <c r="K191" s="502"/>
      <c r="L191" s="502"/>
      <c r="M191" s="502"/>
      <c r="N191" s="502"/>
      <c r="O191" s="502"/>
      <c r="P191" s="503"/>
      <c r="Q191" s="503"/>
      <c r="R191" s="503"/>
      <c r="S191" s="503"/>
      <c r="T191" s="503"/>
      <c r="U191" s="503"/>
      <c r="V191" s="503"/>
      <c r="Z191" s="504"/>
      <c r="AA191" s="504"/>
      <c r="AB191" s="504"/>
      <c r="AC191" s="504"/>
      <c r="AD191" s="504"/>
      <c r="AE191" s="504"/>
    </row>
    <row r="192" spans="1:31" hidden="1" x14ac:dyDescent="0.35">
      <c r="A192" s="503" t="str">
        <f>IF(AND(F194=G194,H194=I194,J194=K194,F194="A"),"2016 - kwh",IF(AND(F194=G194,H194=I194,J194&lt;&gt;K194,F194="A"),"2017 - kwh",IF(AND(F194=G194,H194&lt;&gt;I194,F194="A"),"2018 - kwh","N/A")))</f>
        <v>N/A</v>
      </c>
      <c r="B192" s="503" t="str">
        <f>IF(F194&lt;&gt;G194,"2018 - kwh",IF(H194&lt;&gt;I194,"2017 - kwh",IF(J194&lt;&gt;K194,"2016 - kwh","N/A")))</f>
        <v>N/A</v>
      </c>
      <c r="C192" s="508" t="s">
        <v>263</v>
      </c>
      <c r="D192" s="509"/>
      <c r="E192" s="510" t="s">
        <v>139</v>
      </c>
      <c r="F192" s="415"/>
      <c r="G192" s="415"/>
      <c r="H192" s="415"/>
      <c r="I192" s="415"/>
      <c r="J192" s="415"/>
      <c r="K192" s="415"/>
      <c r="L192" s="415"/>
      <c r="M192" s="415"/>
      <c r="N192" s="415"/>
      <c r="O192" s="415"/>
      <c r="P192" s="503"/>
      <c r="Q192" s="503"/>
      <c r="R192" s="503"/>
      <c r="S192" s="503"/>
      <c r="T192" s="503"/>
      <c r="U192" s="503"/>
      <c r="V192" s="503"/>
      <c r="Z192" s="504"/>
      <c r="AA192" s="504" t="str">
        <f>IF(AND(F194=G194,H194=I194,F194="A"),"2016 - kwh","")</f>
        <v/>
      </c>
      <c r="AB192" s="504" t="str">
        <f>IF(OR(B192="2017 - kwh",B192="2018 - kwh"),"2016 - kwh","")</f>
        <v/>
      </c>
      <c r="AC192" s="504"/>
      <c r="AD192" s="504"/>
      <c r="AE192" s="504"/>
    </row>
    <row r="193" spans="1:31" hidden="1" x14ac:dyDescent="0.35">
      <c r="A193" s="503" t="str">
        <f>IF(AND(F194=G194,H194=I194,J194=K194,F194="A"),"2016 - kw",IF(AND(F194=G194,H194=I194,J194&lt;&gt;K194,F194="A"),"2017 - kw",IF(AND(F194=G194,H194&lt;&gt;I194,F194="A"),"2018 - kw","N/A")))</f>
        <v>N/A</v>
      </c>
      <c r="B193" s="503" t="str">
        <f>IF(F194&lt;&gt;G194,"2018 - kw",IF(H194&lt;&gt;I194,"2017 - kw",IF(J194&lt;&gt;K194,"2016 - kw","N/A")))</f>
        <v>N/A</v>
      </c>
      <c r="C193" s="511"/>
      <c r="D193" s="512" t="str">
        <f>D192 &amp; "kW"</f>
        <v>kW</v>
      </c>
      <c r="E193" s="513" t="s">
        <v>170</v>
      </c>
      <c r="F193" s="415"/>
      <c r="G193" s="415"/>
      <c r="H193" s="415"/>
      <c r="I193" s="415"/>
      <c r="J193" s="415"/>
      <c r="K193" s="415"/>
      <c r="L193" s="415"/>
      <c r="M193" s="415"/>
      <c r="N193" s="415"/>
      <c r="O193" s="415"/>
      <c r="P193" s="503"/>
      <c r="Q193" s="503"/>
      <c r="R193" s="503"/>
      <c r="S193" s="503"/>
      <c r="T193" s="503"/>
      <c r="U193" s="503"/>
      <c r="V193" s="503"/>
      <c r="Z193" s="504"/>
      <c r="AA193" s="504" t="str">
        <f>IF(AND(F194=G194,H194=I194,F194="A"),"2016 - kw","")</f>
        <v/>
      </c>
      <c r="AB193" s="504" t="str">
        <f>IF(OR(B193="2017 - kw",B193="2018 - kw"),"2016 - kw","")</f>
        <v/>
      </c>
      <c r="AC193" s="504"/>
      <c r="AD193" s="504"/>
      <c r="AE193" s="504"/>
    </row>
    <row r="194" spans="1:31" hidden="1" x14ac:dyDescent="0.35">
      <c r="A194" s="503"/>
      <c r="B194" s="503"/>
      <c r="C194" s="514"/>
      <c r="D194" s="515"/>
      <c r="E194" s="516" t="s">
        <v>210</v>
      </c>
      <c r="F194" s="502"/>
      <c r="G194" s="502"/>
      <c r="H194" s="502"/>
      <c r="I194" s="502"/>
      <c r="J194" s="502"/>
      <c r="K194" s="502"/>
      <c r="L194" s="502"/>
      <c r="M194" s="502"/>
      <c r="N194" s="502"/>
      <c r="O194" s="502"/>
      <c r="P194" s="503"/>
      <c r="Q194" s="503"/>
      <c r="R194" s="503"/>
      <c r="S194" s="503"/>
      <c r="T194" s="503"/>
      <c r="U194" s="503"/>
      <c r="V194" s="503"/>
      <c r="Z194" s="504"/>
      <c r="AA194" s="504"/>
      <c r="AB194" s="504"/>
      <c r="AC194" s="504"/>
      <c r="AD194" s="504"/>
      <c r="AE194" s="504"/>
    </row>
    <row r="195" spans="1:31" hidden="1" x14ac:dyDescent="0.35">
      <c r="A195" s="503" t="str">
        <f>IF(AND(F197=G197,H197=I197,J197=K197,F197="A"),"2016 - kwh",IF(AND(F197=G197,H197=I197,J197&lt;&gt;K197,F197="A"),"2017 - kwh",IF(AND(F197=G197,H197&lt;&gt;I197,F197="A"),"2018 - kwh","N/A")))</f>
        <v>N/A</v>
      </c>
      <c r="B195" s="503" t="str">
        <f>IF(F197&lt;&gt;G197,"2018 - kwh",IF(H197&lt;&gt;I197,"2017 - kwh",IF(J197&lt;&gt;K197,"2016 - kwh","N/A")))</f>
        <v>N/A</v>
      </c>
      <c r="C195" s="508" t="s">
        <v>264</v>
      </c>
      <c r="D195" s="509"/>
      <c r="E195" s="510" t="s">
        <v>139</v>
      </c>
      <c r="F195" s="415"/>
      <c r="G195" s="415"/>
      <c r="H195" s="415"/>
      <c r="I195" s="415"/>
      <c r="J195" s="415"/>
      <c r="K195" s="415"/>
      <c r="L195" s="415"/>
      <c r="M195" s="415"/>
      <c r="N195" s="415"/>
      <c r="O195" s="415"/>
      <c r="P195" s="503"/>
      <c r="Q195" s="503"/>
      <c r="R195" s="503"/>
      <c r="S195" s="503"/>
      <c r="T195" s="503"/>
      <c r="U195" s="503"/>
      <c r="V195" s="503"/>
      <c r="Z195" s="504"/>
      <c r="AA195" s="504" t="str">
        <f>IF(AND(F197=G197,H197=I197,F197="A"),"2016 - kwh","")</f>
        <v/>
      </c>
      <c r="AB195" s="504" t="str">
        <f>IF(OR(B195="2017 - kwh",B195="2018 - kwh"),"2016 - kwh","")</f>
        <v/>
      </c>
      <c r="AC195" s="504"/>
      <c r="AD195" s="504"/>
      <c r="AE195" s="504"/>
    </row>
    <row r="196" spans="1:31" hidden="1" x14ac:dyDescent="0.35">
      <c r="A196" s="503" t="str">
        <f>IF(AND(F197=G197,H197=I197,J197=K197,F197="A"),"2016 - kw",IF(AND(F197=G197,H197=I197,J197&lt;&gt;K197,F197="A"),"2017 - kw",IF(AND(F197=G197,H197&lt;&gt;I197,F197="A"),"2018 - kw","N/A")))</f>
        <v>N/A</v>
      </c>
      <c r="B196" s="503" t="str">
        <f>IF(F197&lt;&gt;G197,"2018 - kw",IF(H197&lt;&gt;I197,"2017 - kw",IF(J197&lt;&gt;K197,"2016 - kw","N/A")))</f>
        <v>N/A</v>
      </c>
      <c r="C196" s="511"/>
      <c r="D196" s="512" t="str">
        <f>D195 &amp; "kW"</f>
        <v>kW</v>
      </c>
      <c r="E196" s="513" t="s">
        <v>170</v>
      </c>
      <c r="F196" s="415"/>
      <c r="G196" s="415"/>
      <c r="H196" s="415"/>
      <c r="I196" s="415"/>
      <c r="J196" s="415"/>
      <c r="K196" s="415"/>
      <c r="L196" s="415"/>
      <c r="M196" s="415"/>
      <c r="N196" s="415"/>
      <c r="O196" s="415"/>
      <c r="P196" s="503"/>
      <c r="Q196" s="503"/>
      <c r="R196" s="503"/>
      <c r="S196" s="503"/>
      <c r="T196" s="503"/>
      <c r="U196" s="503"/>
      <c r="V196" s="503"/>
      <c r="Z196" s="504"/>
      <c r="AA196" s="504" t="str">
        <f>IF(AND(F197=G197,H197=I197,F197="A"),"2016 - kw","")</f>
        <v/>
      </c>
      <c r="AB196" s="504" t="str">
        <f>IF(OR(B196="2017 - kw",B196="2018 - kw"),"2016 - kw","")</f>
        <v/>
      </c>
      <c r="AC196" s="504"/>
      <c r="AD196" s="504"/>
      <c r="AE196" s="504"/>
    </row>
    <row r="197" spans="1:31" hidden="1" x14ac:dyDescent="0.35">
      <c r="A197" s="503"/>
      <c r="B197" s="503"/>
      <c r="C197" s="514"/>
      <c r="D197" s="515"/>
      <c r="E197" s="516" t="s">
        <v>210</v>
      </c>
      <c r="F197" s="502"/>
      <c r="G197" s="502"/>
      <c r="H197" s="502"/>
      <c r="I197" s="502"/>
      <c r="J197" s="502"/>
      <c r="K197" s="502"/>
      <c r="L197" s="502"/>
      <c r="M197" s="502"/>
      <c r="N197" s="502"/>
      <c r="O197" s="502"/>
      <c r="P197" s="503"/>
      <c r="Q197" s="503"/>
      <c r="R197" s="503"/>
      <c r="S197" s="503"/>
      <c r="T197" s="503"/>
      <c r="U197" s="503"/>
      <c r="V197" s="503"/>
      <c r="Z197" s="504"/>
      <c r="AA197" s="504"/>
      <c r="AB197" s="504"/>
      <c r="AC197" s="504"/>
      <c r="AD197" s="504"/>
      <c r="AE197" s="504"/>
    </row>
    <row r="198" spans="1:31" hidden="1" x14ac:dyDescent="0.35">
      <c r="A198" s="503" t="str">
        <f>IF(AND(F200=G200,H200=I200,J200=K200,F200="A"),"2016 - kwh",IF(AND(F200=G200,H200=I200,J200&lt;&gt;K200,F200="A"),"2017 - kwh",IF(AND(F200=G200,H200&lt;&gt;I200,F200="A"),"2018 - kwh","N/A")))</f>
        <v>N/A</v>
      </c>
      <c r="B198" s="503" t="str">
        <f>IF(F200&lt;&gt;G200,"2018 - kwh",IF(H200&lt;&gt;I200,"2017 - kwh",IF(J200&lt;&gt;K200,"2016 - kwh","N/A")))</f>
        <v>N/A</v>
      </c>
      <c r="C198" s="508" t="s">
        <v>265</v>
      </c>
      <c r="D198" s="509"/>
      <c r="E198" s="510" t="s">
        <v>139</v>
      </c>
      <c r="F198" s="415"/>
      <c r="G198" s="415"/>
      <c r="H198" s="415"/>
      <c r="I198" s="415"/>
      <c r="J198" s="415"/>
      <c r="K198" s="415"/>
      <c r="L198" s="415"/>
      <c r="M198" s="415"/>
      <c r="N198" s="415"/>
      <c r="O198" s="415"/>
      <c r="P198" s="503"/>
      <c r="Q198" s="503"/>
      <c r="R198" s="503"/>
      <c r="S198" s="503"/>
      <c r="T198" s="503"/>
      <c r="U198" s="503"/>
      <c r="V198" s="503"/>
      <c r="Z198" s="504"/>
      <c r="AA198" s="504" t="str">
        <f>IF(AND(F200=G200,H200=I200,F200="A"),"2016 - kwh","")</f>
        <v/>
      </c>
      <c r="AB198" s="504" t="str">
        <f>IF(OR(B198="2017 - kwh",B198="2018 - kwh"),"2016 - kwh","")</f>
        <v/>
      </c>
      <c r="AC198" s="504"/>
      <c r="AD198" s="504"/>
      <c r="AE198" s="504"/>
    </row>
    <row r="199" spans="1:31" hidden="1" x14ac:dyDescent="0.35">
      <c r="A199" s="503" t="str">
        <f>IF(AND(F200=G200,H200=I200,J200=K200,F200="A"),"2016 - kw",IF(AND(F200=G200,H200=I200,J200&lt;&gt;K200,F200="A"),"2017 - kw",IF(AND(F200=G200,H200&lt;&gt;I200,F200="A"),"2018 - kw","N/A")))</f>
        <v>N/A</v>
      </c>
      <c r="B199" s="503" t="str">
        <f>IF(F200&lt;&gt;G200,"2018 - kw",IF(H200&lt;&gt;I200,"2017 - kw",IF(J200&lt;&gt;K200,"2016 - kw","N/A")))</f>
        <v>N/A</v>
      </c>
      <c r="C199" s="511"/>
      <c r="D199" s="512" t="str">
        <f>D198 &amp; "kW"</f>
        <v>kW</v>
      </c>
      <c r="E199" s="513" t="s">
        <v>170</v>
      </c>
      <c r="F199" s="415"/>
      <c r="G199" s="415"/>
      <c r="H199" s="415"/>
      <c r="I199" s="415"/>
      <c r="J199" s="415"/>
      <c r="K199" s="415"/>
      <c r="L199" s="415"/>
      <c r="M199" s="415"/>
      <c r="N199" s="415"/>
      <c r="O199" s="415"/>
      <c r="P199" s="503"/>
      <c r="Q199" s="503"/>
      <c r="R199" s="503"/>
      <c r="S199" s="503"/>
      <c r="T199" s="503"/>
      <c r="U199" s="503"/>
      <c r="V199" s="503"/>
      <c r="Z199" s="504"/>
      <c r="AA199" s="504" t="str">
        <f>IF(AND(F200=G200,H200=I200,F200="A"),"2016 - kw","")</f>
        <v/>
      </c>
      <c r="AB199" s="504" t="str">
        <f>IF(OR(B199="2017 - kw",B199="2018 - kw"),"2016 - kw","")</f>
        <v/>
      </c>
      <c r="AC199" s="504"/>
      <c r="AD199" s="504"/>
      <c r="AE199" s="504"/>
    </row>
    <row r="200" spans="1:31" hidden="1" x14ac:dyDescent="0.35">
      <c r="A200" s="503"/>
      <c r="B200" s="503"/>
      <c r="C200" s="514"/>
      <c r="D200" s="515"/>
      <c r="E200" s="516" t="s">
        <v>210</v>
      </c>
      <c r="F200" s="502"/>
      <c r="G200" s="502"/>
      <c r="H200" s="502"/>
      <c r="I200" s="502"/>
      <c r="J200" s="502"/>
      <c r="K200" s="502"/>
      <c r="L200" s="502"/>
      <c r="M200" s="502"/>
      <c r="N200" s="502"/>
      <c r="O200" s="502"/>
      <c r="P200" s="503"/>
      <c r="Q200" s="503"/>
      <c r="R200" s="503"/>
      <c r="S200" s="503"/>
      <c r="T200" s="503"/>
      <c r="U200" s="503"/>
      <c r="V200" s="503"/>
      <c r="Z200" s="504"/>
      <c r="AA200" s="504"/>
      <c r="AB200" s="504"/>
      <c r="AC200" s="504"/>
      <c r="AD200" s="504"/>
      <c r="AE200" s="504"/>
    </row>
    <row r="201" spans="1:31" hidden="1" x14ac:dyDescent="0.35">
      <c r="A201" s="503" t="str">
        <f>IF(AND(F203=G203,H203=I203,J203=K203,F203="A"),"2016 - kwh",IF(AND(F203=G203,H203=I203,J203&lt;&gt;K203,F203="A"),"2017 - kwh",IF(AND(F203=G203,H203&lt;&gt;I203,F203="A"),"2018 - kwh","N/A")))</f>
        <v>N/A</v>
      </c>
      <c r="B201" s="503" t="str">
        <f>IF(F203&lt;&gt;G203,"2018 - kwh",IF(H203&lt;&gt;I203,"2017 - kwh",IF(J203&lt;&gt;K203,"2016 - kwh","N/A")))</f>
        <v>N/A</v>
      </c>
      <c r="C201" s="508" t="s">
        <v>266</v>
      </c>
      <c r="D201" s="509"/>
      <c r="E201" s="510" t="s">
        <v>139</v>
      </c>
      <c r="F201" s="415"/>
      <c r="G201" s="415"/>
      <c r="H201" s="415"/>
      <c r="I201" s="415"/>
      <c r="J201" s="415"/>
      <c r="K201" s="415"/>
      <c r="L201" s="415"/>
      <c r="M201" s="415"/>
      <c r="N201" s="415"/>
      <c r="O201" s="415"/>
      <c r="P201" s="503"/>
      <c r="Q201" s="503"/>
      <c r="R201" s="503"/>
      <c r="S201" s="503"/>
      <c r="T201" s="503"/>
      <c r="U201" s="503"/>
      <c r="V201" s="503"/>
      <c r="Z201" s="504"/>
      <c r="AA201" s="504" t="str">
        <f>IF(AND(F203=G203,H203=I203,F203="A"),"2016 - kwh","")</f>
        <v/>
      </c>
      <c r="AB201" s="504" t="str">
        <f>IF(OR(B201="2017 - kwh",B201="2018 - kwh"),"2016 - kwh","")</f>
        <v/>
      </c>
      <c r="AC201" s="504"/>
      <c r="AD201" s="504"/>
      <c r="AE201" s="504"/>
    </row>
    <row r="202" spans="1:31" hidden="1" x14ac:dyDescent="0.35">
      <c r="A202" s="503" t="str">
        <f>IF(AND(F203=G203,H203=I203,J203=K203,F203="A"),"2016 - kw",IF(AND(F203=G203,H203=I203,J203&lt;&gt;K203,F203="A"),"2017 - kw",IF(AND(F203=G203,H203&lt;&gt;I203,F203="A"),"2018 - kw","N/A")))</f>
        <v>N/A</v>
      </c>
      <c r="B202" s="503" t="str">
        <f>IF(F203&lt;&gt;G203,"2018 - kw",IF(H203&lt;&gt;I203,"2017 - kw",IF(J203&lt;&gt;K203,"2016 - kw","N/A")))</f>
        <v>N/A</v>
      </c>
      <c r="C202" s="511"/>
      <c r="D202" s="512" t="str">
        <f>D201 &amp; "kW"</f>
        <v>kW</v>
      </c>
      <c r="E202" s="513" t="s">
        <v>170</v>
      </c>
      <c r="F202" s="415"/>
      <c r="G202" s="415"/>
      <c r="H202" s="415"/>
      <c r="I202" s="415"/>
      <c r="J202" s="415"/>
      <c r="K202" s="415"/>
      <c r="L202" s="415"/>
      <c r="M202" s="415"/>
      <c r="N202" s="415"/>
      <c r="O202" s="415"/>
      <c r="P202" s="503"/>
      <c r="Q202" s="503"/>
      <c r="R202" s="503"/>
      <c r="S202" s="503"/>
      <c r="T202" s="503"/>
      <c r="U202" s="503"/>
      <c r="V202" s="503"/>
      <c r="Z202" s="504"/>
      <c r="AA202" s="504" t="str">
        <f>IF(AND(F203=G203,H203=I203,F203="A"),"2016 - kw","")</f>
        <v/>
      </c>
      <c r="AB202" s="504" t="str">
        <f>IF(OR(B202="2017 - kw",B202="2018 - kw"),"2016 - kw","")</f>
        <v/>
      </c>
      <c r="AC202" s="504"/>
      <c r="AD202" s="504"/>
      <c r="AE202" s="504"/>
    </row>
    <row r="203" spans="1:31" hidden="1" x14ac:dyDescent="0.35">
      <c r="A203" s="503"/>
      <c r="B203" s="503"/>
      <c r="C203" s="514"/>
      <c r="D203" s="515"/>
      <c r="E203" s="516" t="s">
        <v>210</v>
      </c>
      <c r="F203" s="502"/>
      <c r="G203" s="502"/>
      <c r="H203" s="502"/>
      <c r="I203" s="502"/>
      <c r="J203" s="502"/>
      <c r="K203" s="502"/>
      <c r="L203" s="502"/>
      <c r="M203" s="502"/>
      <c r="N203" s="502"/>
      <c r="O203" s="502"/>
      <c r="P203" s="503"/>
      <c r="Q203" s="503"/>
      <c r="R203" s="503"/>
      <c r="S203" s="503"/>
      <c r="T203" s="503"/>
      <c r="U203" s="503"/>
      <c r="V203" s="503"/>
      <c r="Z203" s="504"/>
      <c r="AA203" s="504"/>
      <c r="AB203" s="504"/>
      <c r="AC203" s="504"/>
      <c r="AD203" s="504"/>
      <c r="AE203" s="504"/>
    </row>
    <row r="204" spans="1:31" hidden="1" x14ac:dyDescent="0.35">
      <c r="A204" s="503" t="str">
        <f>IF(AND(F206=G206,H206=I206,J206=K206,F206="A"),"2016 - kwh",IF(AND(F206=G206,H206=I206,J206&lt;&gt;K206,F206="A"),"2017 - kwh",IF(AND(F206=G206,H206&lt;&gt;I206,F206="A"),"2018 - kwh","N/A")))</f>
        <v>N/A</v>
      </c>
      <c r="B204" s="503" t="str">
        <f>IF(F206&lt;&gt;G206,"2018 - kwh",IF(H206&lt;&gt;I206,"2017 - kwh",IF(J206&lt;&gt;K206,"2016 - kwh","N/A")))</f>
        <v>N/A</v>
      </c>
      <c r="C204" s="508" t="s">
        <v>267</v>
      </c>
      <c r="D204" s="509"/>
      <c r="E204" s="510" t="s">
        <v>139</v>
      </c>
      <c r="F204" s="415"/>
      <c r="G204" s="415"/>
      <c r="H204" s="415"/>
      <c r="I204" s="415"/>
      <c r="J204" s="415"/>
      <c r="K204" s="415"/>
      <c r="L204" s="415"/>
      <c r="M204" s="415"/>
      <c r="N204" s="415"/>
      <c r="O204" s="415"/>
      <c r="P204" s="503"/>
      <c r="Q204" s="503"/>
      <c r="R204" s="503"/>
      <c r="S204" s="503"/>
      <c r="T204" s="503"/>
      <c r="U204" s="503"/>
      <c r="V204" s="503"/>
      <c r="Z204" s="504"/>
      <c r="AA204" s="504" t="str">
        <f>IF(AND(F206=G206,H206=I206,F206="A"),"2016 - kwh","")</f>
        <v/>
      </c>
      <c r="AB204" s="504" t="str">
        <f>IF(OR(B204="2017 - kwh",B204="2018 - kwh"),"2016 - kwh","")</f>
        <v/>
      </c>
      <c r="AC204" s="504"/>
      <c r="AD204" s="504"/>
      <c r="AE204" s="504"/>
    </row>
    <row r="205" spans="1:31" hidden="1" x14ac:dyDescent="0.35">
      <c r="A205" s="503" t="str">
        <f>IF(AND(F206=G206,H206=I206,J206=K206,F206="A"),"2016 - kw",IF(AND(F206=G206,H206=I206,J206&lt;&gt;K206,F206="A"),"2017 - kw",IF(AND(F206=G206,H206&lt;&gt;I206,F206="A"),"2018 - kw","N/A")))</f>
        <v>N/A</v>
      </c>
      <c r="B205" s="503" t="str">
        <f>IF(F206&lt;&gt;G206,"2018 - kw",IF(H206&lt;&gt;I206,"2017 - kw",IF(J206&lt;&gt;K206,"2016 - kw","N/A")))</f>
        <v>N/A</v>
      </c>
      <c r="C205" s="511"/>
      <c r="D205" s="512" t="str">
        <f>D204 &amp; "kW"</f>
        <v>kW</v>
      </c>
      <c r="E205" s="513" t="s">
        <v>170</v>
      </c>
      <c r="F205" s="415"/>
      <c r="G205" s="415"/>
      <c r="H205" s="415"/>
      <c r="I205" s="415"/>
      <c r="J205" s="415"/>
      <c r="K205" s="415"/>
      <c r="L205" s="415"/>
      <c r="M205" s="415"/>
      <c r="N205" s="415"/>
      <c r="O205" s="415"/>
      <c r="P205" s="503"/>
      <c r="Q205" s="503"/>
      <c r="R205" s="503"/>
      <c r="S205" s="503"/>
      <c r="T205" s="503"/>
      <c r="U205" s="503"/>
      <c r="V205" s="503"/>
      <c r="Z205" s="504"/>
      <c r="AA205" s="504" t="str">
        <f>IF(AND(F206=G206,H206=I206,F206="A"),"2016 - kw","")</f>
        <v/>
      </c>
      <c r="AB205" s="504" t="str">
        <f>IF(OR(B205="2017 - kw",B205="2018 - kw"),"2016 - kw","")</f>
        <v/>
      </c>
      <c r="AC205" s="504"/>
      <c r="AD205" s="504"/>
      <c r="AE205" s="504"/>
    </row>
    <row r="206" spans="1:31" hidden="1" x14ac:dyDescent="0.35">
      <c r="A206" s="503"/>
      <c r="B206" s="503"/>
      <c r="C206" s="514"/>
      <c r="D206" s="515"/>
      <c r="E206" s="516" t="s">
        <v>210</v>
      </c>
      <c r="F206" s="502"/>
      <c r="G206" s="502"/>
      <c r="H206" s="502"/>
      <c r="I206" s="502"/>
      <c r="J206" s="502"/>
      <c r="K206" s="502"/>
      <c r="L206" s="502"/>
      <c r="M206" s="502"/>
      <c r="N206" s="502"/>
      <c r="O206" s="502"/>
      <c r="P206" s="503"/>
      <c r="Q206" s="503"/>
      <c r="R206" s="503"/>
      <c r="S206" s="503"/>
      <c r="T206" s="503"/>
      <c r="U206" s="503"/>
      <c r="V206" s="503"/>
      <c r="Z206" s="504"/>
      <c r="AA206" s="504"/>
      <c r="AB206" s="504"/>
      <c r="AC206" s="504"/>
      <c r="AD206" s="504"/>
      <c r="AE206" s="504"/>
    </row>
    <row r="207" spans="1:31" hidden="1" x14ac:dyDescent="0.35">
      <c r="A207" s="503" t="str">
        <f>IF(AND(F209=G209,H209=I209,J209=K209,F209="A"),"2016 - kwh",IF(AND(F209=G209,H209=I209,J209&lt;&gt;K209,F209="A"),"2017 - kwh",IF(AND(F209=G209,H209&lt;&gt;I209,F209="A"),"2018 - kwh","N/A")))</f>
        <v>N/A</v>
      </c>
      <c r="B207" s="503" t="str">
        <f>IF(F209&lt;&gt;G209,"2018 - kwh",IF(H209&lt;&gt;I209,"2017 - kwh",IF(J209&lt;&gt;K209,"2016 - kwh","N/A")))</f>
        <v>N/A</v>
      </c>
      <c r="C207" s="508" t="s">
        <v>268</v>
      </c>
      <c r="D207" s="509"/>
      <c r="E207" s="510" t="s">
        <v>139</v>
      </c>
      <c r="F207" s="415"/>
      <c r="G207" s="415"/>
      <c r="H207" s="415"/>
      <c r="I207" s="415"/>
      <c r="J207" s="415"/>
      <c r="K207" s="415"/>
      <c r="L207" s="415"/>
      <c r="M207" s="415"/>
      <c r="N207" s="415"/>
      <c r="O207" s="415"/>
      <c r="P207" s="503"/>
      <c r="Q207" s="503"/>
      <c r="R207" s="503"/>
      <c r="S207" s="503"/>
      <c r="T207" s="503"/>
      <c r="U207" s="503"/>
      <c r="V207" s="503"/>
      <c r="Z207" s="504"/>
      <c r="AA207" s="504" t="str">
        <f>IF(AND(F209=G209,H209=I209,F209="A"),"2016 - kwh","")</f>
        <v/>
      </c>
      <c r="AB207" s="504" t="str">
        <f>IF(OR(B207="2017 - kwh",B207="2018 - kwh"),"2016 - kwh","")</f>
        <v/>
      </c>
      <c r="AC207" s="504"/>
      <c r="AD207" s="504"/>
      <c r="AE207" s="504"/>
    </row>
    <row r="208" spans="1:31" hidden="1" x14ac:dyDescent="0.35">
      <c r="A208" s="503" t="str">
        <f>IF(AND(F209=G209,H209=I209,J209=K209,F209="A"),"2016 - kw",IF(AND(F209=G209,H209=I209,J209&lt;&gt;K209,F209="A"),"2017 - kw",IF(AND(F209=G209,H209&lt;&gt;I209,F209="A"),"2018 - kw","N/A")))</f>
        <v>N/A</v>
      </c>
      <c r="B208" s="503" t="str">
        <f>IF(F209&lt;&gt;G209,"2018 - kw",IF(H209&lt;&gt;I209,"2017 - kw",IF(J209&lt;&gt;K209,"2016 - kw","N/A")))</f>
        <v>N/A</v>
      </c>
      <c r="C208" s="511"/>
      <c r="D208" s="512" t="str">
        <f>D207 &amp; "kW"</f>
        <v>kW</v>
      </c>
      <c r="E208" s="513" t="s">
        <v>170</v>
      </c>
      <c r="F208" s="415"/>
      <c r="G208" s="415"/>
      <c r="H208" s="415"/>
      <c r="I208" s="415"/>
      <c r="J208" s="415"/>
      <c r="K208" s="415"/>
      <c r="L208" s="415"/>
      <c r="M208" s="415"/>
      <c r="N208" s="415"/>
      <c r="O208" s="415"/>
      <c r="P208" s="503"/>
      <c r="Q208" s="503"/>
      <c r="R208" s="503"/>
      <c r="S208" s="503"/>
      <c r="T208" s="503"/>
      <c r="U208" s="503"/>
      <c r="V208" s="503"/>
      <c r="Z208" s="504"/>
      <c r="AA208" s="504" t="str">
        <f>IF(AND(F209=G209,H209=I209,F209="A"),"2016 - kw","")</f>
        <v/>
      </c>
      <c r="AB208" s="504" t="str">
        <f>IF(OR(B208="2017 - kw",B208="2018 - kw"),"2016 - kw","")</f>
        <v/>
      </c>
      <c r="AC208" s="504"/>
      <c r="AD208" s="504"/>
      <c r="AE208" s="504"/>
    </row>
    <row r="209" spans="1:31" hidden="1" x14ac:dyDescent="0.35">
      <c r="A209" s="503"/>
      <c r="B209" s="503"/>
      <c r="C209" s="514"/>
      <c r="D209" s="515"/>
      <c r="E209" s="516" t="s">
        <v>210</v>
      </c>
      <c r="F209" s="502"/>
      <c r="G209" s="502"/>
      <c r="H209" s="502"/>
      <c r="I209" s="502"/>
      <c r="J209" s="502"/>
      <c r="K209" s="502"/>
      <c r="L209" s="502"/>
      <c r="M209" s="502"/>
      <c r="N209" s="502"/>
      <c r="O209" s="502"/>
      <c r="P209" s="503"/>
      <c r="Q209" s="503"/>
      <c r="R209" s="503"/>
      <c r="S209" s="503"/>
      <c r="T209" s="503"/>
      <c r="U209" s="503"/>
      <c r="V209" s="503"/>
      <c r="Z209" s="504"/>
      <c r="AA209" s="504"/>
      <c r="AB209" s="504"/>
      <c r="AC209" s="504"/>
      <c r="AD209" s="504"/>
      <c r="AE209" s="504"/>
    </row>
    <row r="210" spans="1:31" hidden="1" x14ac:dyDescent="0.35">
      <c r="A210" s="503" t="str">
        <f>IF(AND(F212=G212,H212=I212,J212=K212,F212="A"),"2016 - kwh",IF(AND(F212=G212,H212=I212,J212&lt;&gt;K212,F212="A"),"2017 - kwh",IF(AND(F212=G212,H212&lt;&gt;I212,F212="A"),"2018 - kwh","N/A")))</f>
        <v>N/A</v>
      </c>
      <c r="B210" s="503" t="str">
        <f>IF(F212&lt;&gt;G212,"2018 - kwh",IF(H212&lt;&gt;I212,"2017 - kwh",IF(J212&lt;&gt;K212,"2016 - kwh","N/A")))</f>
        <v>N/A</v>
      </c>
      <c r="C210" s="508" t="s">
        <v>269</v>
      </c>
      <c r="D210" s="509"/>
      <c r="E210" s="510" t="s">
        <v>139</v>
      </c>
      <c r="F210" s="415"/>
      <c r="G210" s="415"/>
      <c r="H210" s="415"/>
      <c r="I210" s="415"/>
      <c r="J210" s="415"/>
      <c r="K210" s="415"/>
      <c r="L210" s="415"/>
      <c r="M210" s="415"/>
      <c r="N210" s="415"/>
      <c r="O210" s="415"/>
      <c r="P210" s="503"/>
      <c r="Q210" s="503"/>
      <c r="R210" s="503"/>
      <c r="S210" s="503"/>
      <c r="T210" s="503"/>
      <c r="U210" s="503"/>
      <c r="V210" s="503"/>
      <c r="Z210" s="504"/>
      <c r="AA210" s="504" t="str">
        <f>IF(AND(F212=G212,H212=I212,F212="A"),"2016 - kwh","")</f>
        <v/>
      </c>
      <c r="AB210" s="504" t="str">
        <f>IF(OR(B210="2017 - kwh",B210="2018 - kwh"),"2016 - kwh","")</f>
        <v/>
      </c>
      <c r="AC210" s="504"/>
      <c r="AD210" s="504"/>
      <c r="AE210" s="504"/>
    </row>
    <row r="211" spans="1:31" hidden="1" x14ac:dyDescent="0.35">
      <c r="A211" s="503" t="str">
        <f>IF(AND(F212=G212,H212=I212,J212=K212,F212="A"),"2016 - kw",IF(AND(F212=G212,H212=I212,J212&lt;&gt;K212,F212="A"),"2017 - kw",IF(AND(F212=G212,H212&lt;&gt;I212,F212="A"),"2018 - kw","N/A")))</f>
        <v>N/A</v>
      </c>
      <c r="B211" s="503" t="str">
        <f>IF(F212&lt;&gt;G212,"2018 - kw",IF(H212&lt;&gt;I212,"2017 - kw",IF(J212&lt;&gt;K212,"2016 - kw","N/A")))</f>
        <v>N/A</v>
      </c>
      <c r="C211" s="511"/>
      <c r="D211" s="512" t="str">
        <f>D210 &amp; "kW"</f>
        <v>kW</v>
      </c>
      <c r="E211" s="513" t="s">
        <v>170</v>
      </c>
      <c r="F211" s="415"/>
      <c r="G211" s="415"/>
      <c r="H211" s="415"/>
      <c r="I211" s="415"/>
      <c r="J211" s="415"/>
      <c r="K211" s="415"/>
      <c r="L211" s="415"/>
      <c r="M211" s="415"/>
      <c r="N211" s="415"/>
      <c r="O211" s="415"/>
      <c r="P211" s="503"/>
      <c r="Q211" s="503"/>
      <c r="R211" s="503"/>
      <c r="S211" s="503"/>
      <c r="T211" s="503"/>
      <c r="U211" s="503"/>
      <c r="V211" s="503"/>
      <c r="Z211" s="504"/>
      <c r="AA211" s="504" t="str">
        <f>IF(AND(F212=G212,H212=I212,F212="A"),"2016 - kw","")</f>
        <v/>
      </c>
      <c r="AB211" s="504" t="str">
        <f>IF(OR(B211="2017 - kw",B211="2018 - kw"),"2016 - kw","")</f>
        <v/>
      </c>
      <c r="AC211" s="504"/>
      <c r="AD211" s="504"/>
      <c r="AE211" s="504"/>
    </row>
    <row r="212" spans="1:31" hidden="1" x14ac:dyDescent="0.35">
      <c r="A212" s="503"/>
      <c r="B212" s="503"/>
      <c r="C212" s="514"/>
      <c r="D212" s="515"/>
      <c r="E212" s="516" t="s">
        <v>210</v>
      </c>
      <c r="F212" s="502"/>
      <c r="G212" s="502"/>
      <c r="H212" s="502"/>
      <c r="I212" s="502"/>
      <c r="J212" s="502"/>
      <c r="K212" s="502"/>
      <c r="L212" s="502"/>
      <c r="M212" s="502"/>
      <c r="N212" s="502"/>
      <c r="O212" s="502"/>
      <c r="P212" s="503"/>
      <c r="Q212" s="503"/>
      <c r="R212" s="503"/>
      <c r="S212" s="503"/>
      <c r="T212" s="503"/>
      <c r="U212" s="503"/>
      <c r="V212" s="503"/>
      <c r="Z212" s="504"/>
      <c r="AA212" s="504"/>
      <c r="AB212" s="504"/>
      <c r="AC212" s="504"/>
      <c r="AD212" s="504"/>
      <c r="AE212" s="504"/>
    </row>
    <row r="213" spans="1:31" hidden="1" x14ac:dyDescent="0.35">
      <c r="A213" s="503" t="str">
        <f>IF(AND(F215=G215,H215=I215,J215=K215,F215="A"),"2016 - kwh",IF(AND(F215=G215,H215=I215,J215&lt;&gt;K215,F215="A"),"2017 - kwh",IF(AND(F215=G215,H215&lt;&gt;I215,F215="A"),"2018 - kwh","N/A")))</f>
        <v>N/A</v>
      </c>
      <c r="B213" s="503" t="str">
        <f>IF(F215&lt;&gt;G215,"2018 - kwh",IF(H215&lt;&gt;I215,"2017 - kwh",IF(J215&lt;&gt;K215,"2016 - kwh","N/A")))</f>
        <v>N/A</v>
      </c>
      <c r="C213" s="508" t="s">
        <v>270</v>
      </c>
      <c r="D213" s="509"/>
      <c r="E213" s="510" t="s">
        <v>139</v>
      </c>
      <c r="F213" s="415"/>
      <c r="G213" s="415"/>
      <c r="H213" s="415"/>
      <c r="I213" s="415"/>
      <c r="J213" s="415"/>
      <c r="K213" s="415"/>
      <c r="L213" s="415"/>
      <c r="M213" s="415"/>
      <c r="N213" s="415"/>
      <c r="O213" s="415"/>
      <c r="P213" s="503"/>
      <c r="Q213" s="503"/>
      <c r="R213" s="503"/>
      <c r="S213" s="503"/>
      <c r="T213" s="503"/>
      <c r="U213" s="503"/>
      <c r="V213" s="503"/>
      <c r="Z213" s="504"/>
      <c r="AA213" s="504" t="str">
        <f>IF(AND(F215=G215,H215=I215,F215="A"),"2016 - kwh","")</f>
        <v/>
      </c>
      <c r="AB213" s="504" t="str">
        <f>IF(OR(B213="2017 - kwh",B213="2018 - kwh"),"2016 - kwh","")</f>
        <v/>
      </c>
      <c r="AC213" s="504"/>
      <c r="AD213" s="504"/>
      <c r="AE213" s="504"/>
    </row>
    <row r="214" spans="1:31" hidden="1" x14ac:dyDescent="0.35">
      <c r="A214" s="503" t="str">
        <f>IF(AND(F215=G215,H215=I215,J215=K215,F215="A"),"2016 - kw",IF(AND(F215=G215,H215=I215,J215&lt;&gt;K215,F215="A"),"2017 - kw",IF(AND(F215=G215,H215&lt;&gt;I215,F215="A"),"2018 - kw","N/A")))</f>
        <v>N/A</v>
      </c>
      <c r="B214" s="503" t="str">
        <f>IF(F215&lt;&gt;G215,"2018 - kw",IF(H215&lt;&gt;I215,"2017 - kw",IF(J215&lt;&gt;K215,"2016 - kw","N/A")))</f>
        <v>N/A</v>
      </c>
      <c r="C214" s="511"/>
      <c r="D214" s="512" t="str">
        <f>D213 &amp; "kW"</f>
        <v>kW</v>
      </c>
      <c r="E214" s="513" t="s">
        <v>170</v>
      </c>
      <c r="F214" s="415"/>
      <c r="G214" s="415"/>
      <c r="H214" s="415"/>
      <c r="I214" s="415"/>
      <c r="J214" s="415"/>
      <c r="K214" s="415"/>
      <c r="L214" s="415"/>
      <c r="M214" s="415"/>
      <c r="N214" s="415"/>
      <c r="O214" s="415"/>
      <c r="P214" s="503"/>
      <c r="Q214" s="503"/>
      <c r="R214" s="503"/>
      <c r="S214" s="503"/>
      <c r="T214" s="503"/>
      <c r="U214" s="503"/>
      <c r="V214" s="503"/>
      <c r="Z214" s="504"/>
      <c r="AA214" s="504" t="str">
        <f>IF(AND(F215=G215,H215=I215,F215="A"),"2016 - kw","")</f>
        <v/>
      </c>
      <c r="AB214" s="504" t="str">
        <f>IF(OR(B214="2017 - kw",B214="2018 - kw"),"2016 - kw","")</f>
        <v/>
      </c>
      <c r="AC214" s="504"/>
      <c r="AD214" s="504"/>
      <c r="AE214" s="504"/>
    </row>
    <row r="215" spans="1:31" hidden="1" x14ac:dyDescent="0.35">
      <c r="A215" s="503"/>
      <c r="B215" s="503"/>
      <c r="C215" s="514"/>
      <c r="D215" s="515"/>
      <c r="E215" s="516" t="s">
        <v>210</v>
      </c>
      <c r="F215" s="502"/>
      <c r="G215" s="502"/>
      <c r="H215" s="502"/>
      <c r="I215" s="502"/>
      <c r="J215" s="502"/>
      <c r="K215" s="502"/>
      <c r="L215" s="502"/>
      <c r="M215" s="502"/>
      <c r="N215" s="502"/>
      <c r="O215" s="502"/>
      <c r="P215" s="503"/>
      <c r="Q215" s="503"/>
      <c r="R215" s="503"/>
      <c r="S215" s="503"/>
      <c r="T215" s="503"/>
      <c r="U215" s="503"/>
      <c r="V215" s="503"/>
      <c r="Z215" s="504"/>
      <c r="AA215" s="504"/>
      <c r="AB215" s="504"/>
      <c r="AC215" s="504"/>
      <c r="AD215" s="504"/>
      <c r="AE215" s="504"/>
    </row>
    <row r="216" spans="1:31" hidden="1" x14ac:dyDescent="0.35">
      <c r="A216" s="503" t="str">
        <f>IF(AND(F218=G218,H218=I218,J218=K218,F218="A"),"2016 - kwh",IF(AND(F218=G218,H218=I218,J218&lt;&gt;K218,F218="A"),"2017 - kwh",IF(AND(F218=G218,H218&lt;&gt;I218,F218="A"),"2018 - kwh","N/A")))</f>
        <v>N/A</v>
      </c>
      <c r="B216" s="503" t="str">
        <f>IF(F218&lt;&gt;G218,"2018 - kwh",IF(H218&lt;&gt;I218,"2017 - kwh",IF(J218&lt;&gt;K218,"2016 - kwh","N/A")))</f>
        <v>N/A</v>
      </c>
      <c r="C216" s="508" t="s">
        <v>271</v>
      </c>
      <c r="D216" s="509"/>
      <c r="E216" s="510" t="s">
        <v>139</v>
      </c>
      <c r="F216" s="415"/>
      <c r="G216" s="415"/>
      <c r="H216" s="415"/>
      <c r="I216" s="415"/>
      <c r="J216" s="415"/>
      <c r="K216" s="415"/>
      <c r="L216" s="415"/>
      <c r="M216" s="415"/>
      <c r="N216" s="415"/>
      <c r="O216" s="415"/>
      <c r="P216" s="503"/>
      <c r="Q216" s="503"/>
      <c r="R216" s="503"/>
      <c r="S216" s="503"/>
      <c r="T216" s="503"/>
      <c r="U216" s="503"/>
      <c r="V216" s="503"/>
      <c r="Z216" s="504"/>
      <c r="AA216" s="504" t="str">
        <f>IF(AND(F218=G218,H218=I218,F218="A"),"2016 - kwh","")</f>
        <v/>
      </c>
      <c r="AB216" s="504" t="str">
        <f>IF(OR(B216="2017 - kwh",B216="2018 - kwh"),"2016 - kwh","")</f>
        <v/>
      </c>
      <c r="AC216" s="504"/>
      <c r="AD216" s="504"/>
      <c r="AE216" s="504"/>
    </row>
    <row r="217" spans="1:31" hidden="1" x14ac:dyDescent="0.35">
      <c r="A217" s="503" t="str">
        <f>IF(AND(F218=G218,H218=I218,J218=K218,F218="A"),"2016 - kw",IF(AND(F218=G218,H218=I218,J218&lt;&gt;K218,F218="A"),"2017 - kw",IF(AND(F218=G218,H218&lt;&gt;I218,F218="A"),"2018 - kw","N/A")))</f>
        <v>N/A</v>
      </c>
      <c r="B217" s="503" t="str">
        <f>IF(F218&lt;&gt;G218,"2018 - kw",IF(H218&lt;&gt;I218,"2017 - kw",IF(J218&lt;&gt;K218,"2016 - kw","N/A")))</f>
        <v>N/A</v>
      </c>
      <c r="C217" s="511"/>
      <c r="D217" s="512" t="str">
        <f>D216 &amp; "kW"</f>
        <v>kW</v>
      </c>
      <c r="E217" s="513" t="s">
        <v>170</v>
      </c>
      <c r="F217" s="415"/>
      <c r="G217" s="415"/>
      <c r="H217" s="415"/>
      <c r="I217" s="415"/>
      <c r="J217" s="415"/>
      <c r="K217" s="415"/>
      <c r="L217" s="415"/>
      <c r="M217" s="415"/>
      <c r="N217" s="415"/>
      <c r="O217" s="415"/>
      <c r="P217" s="503"/>
      <c r="Q217" s="503"/>
      <c r="R217" s="503"/>
      <c r="S217" s="503"/>
      <c r="T217" s="503"/>
      <c r="U217" s="503"/>
      <c r="V217" s="503"/>
      <c r="Z217" s="504"/>
      <c r="AA217" s="504" t="str">
        <f>IF(AND(F218=G218,H218=I218,F218="A"),"2016 - kw","")</f>
        <v/>
      </c>
      <c r="AB217" s="504" t="str">
        <f>IF(OR(B217="2017 - kw",B217="2018 - kw"),"2016 - kw","")</f>
        <v/>
      </c>
      <c r="AC217" s="504"/>
      <c r="AD217" s="504"/>
      <c r="AE217" s="504"/>
    </row>
    <row r="218" spans="1:31" hidden="1" x14ac:dyDescent="0.35">
      <c r="A218" s="503"/>
      <c r="B218" s="503"/>
      <c r="C218" s="514"/>
      <c r="D218" s="515"/>
      <c r="E218" s="516" t="s">
        <v>210</v>
      </c>
      <c r="F218" s="502"/>
      <c r="G218" s="502"/>
      <c r="H218" s="502"/>
      <c r="I218" s="502"/>
      <c r="J218" s="502"/>
      <c r="K218" s="502"/>
      <c r="L218" s="502"/>
      <c r="M218" s="502"/>
      <c r="N218" s="502"/>
      <c r="O218" s="502"/>
      <c r="P218" s="503"/>
      <c r="Q218" s="503"/>
      <c r="R218" s="503"/>
      <c r="S218" s="503"/>
      <c r="T218" s="503"/>
      <c r="U218" s="503"/>
      <c r="V218" s="503"/>
      <c r="Z218" s="504"/>
      <c r="AA218" s="504"/>
      <c r="AB218" s="504"/>
      <c r="AC218" s="504"/>
      <c r="AD218" s="504"/>
      <c r="AE218" s="504"/>
    </row>
    <row r="219" spans="1:31" hidden="1" x14ac:dyDescent="0.35">
      <c r="A219" s="503" t="str">
        <f>IF(AND(F221=G221,H221=I221,J221=K221,F221="A"),"2016 - kwh",IF(AND(F221=G221,H221=I221,J221&lt;&gt;K221,F221="A"),"2017 - kwh",IF(AND(F221=G221,H221&lt;&gt;I221,F221="A"),"2018 - kwh","N/A")))</f>
        <v>N/A</v>
      </c>
      <c r="B219" s="503" t="str">
        <f>IF(F221&lt;&gt;G221,"2018 - kwh",IF(H221&lt;&gt;I221,"2017 - kwh",IF(J221&lt;&gt;K221,"2016 - kwh","N/A")))</f>
        <v>N/A</v>
      </c>
      <c r="C219" s="508" t="s">
        <v>272</v>
      </c>
      <c r="D219" s="509"/>
      <c r="E219" s="510" t="s">
        <v>139</v>
      </c>
      <c r="F219" s="415"/>
      <c r="G219" s="415"/>
      <c r="H219" s="415"/>
      <c r="I219" s="415"/>
      <c r="J219" s="415"/>
      <c r="K219" s="415"/>
      <c r="L219" s="415"/>
      <c r="M219" s="415"/>
      <c r="N219" s="415"/>
      <c r="O219" s="415"/>
      <c r="P219" s="503"/>
      <c r="Q219" s="503"/>
      <c r="R219" s="503"/>
      <c r="S219" s="503"/>
      <c r="T219" s="503"/>
      <c r="U219" s="503"/>
      <c r="V219" s="503"/>
      <c r="Z219" s="504"/>
      <c r="AA219" s="504" t="str">
        <f>IF(AND(F221=G221,H221=I221,F221="A"),"2016 - kwh","")</f>
        <v/>
      </c>
      <c r="AB219" s="504" t="str">
        <f>IF(OR(B219="2017 - kwh",B219="2018 - kwh"),"2016 - kwh","")</f>
        <v/>
      </c>
      <c r="AC219" s="504"/>
      <c r="AD219" s="504"/>
      <c r="AE219" s="504"/>
    </row>
    <row r="220" spans="1:31" hidden="1" x14ac:dyDescent="0.35">
      <c r="A220" s="503" t="str">
        <f>IF(AND(F221=G221,H221=I221,J221=K221,F221="A"),"2016 - kw",IF(AND(F221=G221,H221=I221,J221&lt;&gt;K221,F221="A"),"2017 - kw",IF(AND(F221=G221,H221&lt;&gt;I221,F221="A"),"2018 - kw","N/A")))</f>
        <v>N/A</v>
      </c>
      <c r="B220" s="503" t="str">
        <f>IF(F221&lt;&gt;G221,"2018 - kw",IF(H221&lt;&gt;I221,"2017 - kw",IF(J221&lt;&gt;K221,"2016 - kw","N/A")))</f>
        <v>N/A</v>
      </c>
      <c r="C220" s="511"/>
      <c r="D220" s="512" t="str">
        <f>D219 &amp; "kW"</f>
        <v>kW</v>
      </c>
      <c r="E220" s="513" t="s">
        <v>170</v>
      </c>
      <c r="F220" s="415"/>
      <c r="G220" s="415"/>
      <c r="H220" s="415"/>
      <c r="I220" s="415"/>
      <c r="J220" s="415"/>
      <c r="K220" s="415"/>
      <c r="L220" s="415"/>
      <c r="M220" s="415"/>
      <c r="N220" s="415"/>
      <c r="O220" s="415"/>
      <c r="P220" s="503"/>
      <c r="Q220" s="503"/>
      <c r="R220" s="503"/>
      <c r="S220" s="503"/>
      <c r="T220" s="503"/>
      <c r="U220" s="503"/>
      <c r="V220" s="503"/>
      <c r="Z220" s="504"/>
      <c r="AA220" s="504" t="str">
        <f>IF(AND(F221=G221,H221=I221,F221="A"),"2016 - kw","")</f>
        <v/>
      </c>
      <c r="AB220" s="504" t="str">
        <f>IF(OR(B220="2017 - kw",B220="2018 - kw"),"2016 - kw","")</f>
        <v/>
      </c>
      <c r="AC220" s="504"/>
      <c r="AD220" s="504"/>
      <c r="AE220" s="504"/>
    </row>
    <row r="221" spans="1:31" hidden="1" x14ac:dyDescent="0.35">
      <c r="A221" s="503"/>
      <c r="B221" s="503"/>
      <c r="C221" s="514"/>
      <c r="D221" s="515"/>
      <c r="E221" s="516" t="s">
        <v>210</v>
      </c>
      <c r="F221" s="502"/>
      <c r="G221" s="502"/>
      <c r="H221" s="502"/>
      <c r="I221" s="502"/>
      <c r="J221" s="502"/>
      <c r="K221" s="502"/>
      <c r="L221" s="502"/>
      <c r="M221" s="502"/>
      <c r="N221" s="502"/>
      <c r="O221" s="502"/>
      <c r="P221" s="503"/>
      <c r="Q221" s="503"/>
      <c r="R221" s="503"/>
      <c r="S221" s="503"/>
      <c r="T221" s="503"/>
      <c r="U221" s="503"/>
      <c r="V221" s="503"/>
      <c r="Z221" s="504"/>
      <c r="AA221" s="504"/>
      <c r="AB221" s="504"/>
      <c r="AC221" s="504"/>
      <c r="AD221" s="504"/>
      <c r="AE221" s="504"/>
    </row>
    <row r="222" spans="1:31" hidden="1" x14ac:dyDescent="0.35">
      <c r="A222" s="503" t="str">
        <f>IF(AND(F224=G224,H224=I224,J224=K224,F224="A"),"2016 - kwh",IF(AND(F224=G224,H224=I224,J224&lt;&gt;K224,F224="A"),"2017 - kwh",IF(AND(F224=G224,H224&lt;&gt;I224,F224="A"),"2018 - kwh","N/A")))</f>
        <v>N/A</v>
      </c>
      <c r="B222" s="503" t="str">
        <f>IF(F224&lt;&gt;G224,"2018 - kwh",IF(H224&lt;&gt;I224,"2017 - kwh",IF(J224&lt;&gt;K224,"2016 - kwh","N/A")))</f>
        <v>N/A</v>
      </c>
      <c r="C222" s="508" t="s">
        <v>273</v>
      </c>
      <c r="D222" s="509"/>
      <c r="E222" s="510" t="s">
        <v>139</v>
      </c>
      <c r="F222" s="415"/>
      <c r="G222" s="415"/>
      <c r="H222" s="415"/>
      <c r="I222" s="415"/>
      <c r="J222" s="415"/>
      <c r="K222" s="415"/>
      <c r="L222" s="415"/>
      <c r="M222" s="415"/>
      <c r="N222" s="415"/>
      <c r="O222" s="415"/>
      <c r="P222" s="503"/>
      <c r="Q222" s="503"/>
      <c r="R222" s="503"/>
      <c r="S222" s="503"/>
      <c r="T222" s="503"/>
      <c r="U222" s="503"/>
      <c r="V222" s="503"/>
      <c r="Z222" s="504"/>
      <c r="AA222" s="504" t="str">
        <f>IF(AND(F224=G224,H224=I224,F224="A"),"2016 - kwh","")</f>
        <v/>
      </c>
      <c r="AB222" s="504" t="str">
        <f>IF(OR(B222="2017 - kwh",B222="2018 - kwh"),"2016 - kwh","")</f>
        <v/>
      </c>
      <c r="AC222" s="504"/>
      <c r="AD222" s="504"/>
      <c r="AE222" s="504"/>
    </row>
    <row r="223" spans="1:31" hidden="1" x14ac:dyDescent="0.35">
      <c r="A223" s="503" t="str">
        <f>IF(AND(F224=G224,H224=I224,J224=K224,F224="A"),"2016 - kw",IF(AND(F224=G224,H224=I224,J224&lt;&gt;K224,F224="A"),"2017 - kw",IF(AND(F224=G224,H224&lt;&gt;I224,F224="A"),"2018 - kw","N/A")))</f>
        <v>N/A</v>
      </c>
      <c r="B223" s="503" t="str">
        <f>IF(F224&lt;&gt;G224,"2018 - kw",IF(H224&lt;&gt;I224,"2017 - kw",IF(J224&lt;&gt;K224,"2016 - kw","N/A")))</f>
        <v>N/A</v>
      </c>
      <c r="C223" s="511"/>
      <c r="D223" s="512" t="str">
        <f>D222 &amp; "kW"</f>
        <v>kW</v>
      </c>
      <c r="E223" s="513" t="s">
        <v>170</v>
      </c>
      <c r="F223" s="415"/>
      <c r="G223" s="415"/>
      <c r="H223" s="415"/>
      <c r="I223" s="415"/>
      <c r="J223" s="415"/>
      <c r="K223" s="415"/>
      <c r="L223" s="415"/>
      <c r="M223" s="415"/>
      <c r="N223" s="415"/>
      <c r="O223" s="415"/>
      <c r="P223" s="503"/>
      <c r="Q223" s="503"/>
      <c r="R223" s="503"/>
      <c r="S223" s="503"/>
      <c r="T223" s="503"/>
      <c r="U223" s="503"/>
      <c r="V223" s="503"/>
      <c r="Z223" s="504"/>
      <c r="AA223" s="504" t="str">
        <f>IF(AND(F224=G224,H224=I224,F224="A"),"2016 - kw","")</f>
        <v/>
      </c>
      <c r="AB223" s="504" t="str">
        <f>IF(OR(B223="2017 - kw",B223="2018 - kw"),"2016 - kw","")</f>
        <v/>
      </c>
      <c r="AC223" s="504"/>
      <c r="AD223" s="504"/>
      <c r="AE223" s="504"/>
    </row>
    <row r="224" spans="1:31" hidden="1" x14ac:dyDescent="0.35">
      <c r="A224" s="503"/>
      <c r="B224" s="503"/>
      <c r="C224" s="514"/>
      <c r="D224" s="515"/>
      <c r="E224" s="516" t="s">
        <v>210</v>
      </c>
      <c r="F224" s="502"/>
      <c r="G224" s="502"/>
      <c r="H224" s="502"/>
      <c r="I224" s="502"/>
      <c r="J224" s="502"/>
      <c r="K224" s="502"/>
      <c r="L224" s="502"/>
      <c r="M224" s="502"/>
      <c r="N224" s="502"/>
      <c r="O224" s="502"/>
      <c r="P224" s="503"/>
      <c r="Q224" s="503"/>
      <c r="R224" s="503"/>
      <c r="S224" s="503"/>
      <c r="T224" s="503"/>
      <c r="U224" s="503"/>
      <c r="V224" s="503"/>
      <c r="Z224" s="504"/>
      <c r="AA224" s="504"/>
      <c r="AB224" s="504"/>
      <c r="AC224" s="504"/>
      <c r="AD224" s="504"/>
      <c r="AE224" s="504"/>
    </row>
    <row r="225" spans="1:31" hidden="1" x14ac:dyDescent="0.35">
      <c r="A225" s="503" t="str">
        <f>IF(AND(F227=G227,H227=I227,J227=K227,F227="A"),"2016 - kwh",IF(AND(F227=G227,H227=I227,J227&lt;&gt;K227,F227="A"),"2017 - kwh",IF(AND(F227=G227,H227&lt;&gt;I227,F227="A"),"2018 - kwh","N/A")))</f>
        <v>N/A</v>
      </c>
      <c r="B225" s="503" t="str">
        <f>IF(F227&lt;&gt;G227,"2018 - kwh",IF(H227&lt;&gt;I227,"2017 - kwh",IF(J227&lt;&gt;K227,"2016 - kwh","N/A")))</f>
        <v>N/A</v>
      </c>
      <c r="C225" s="508" t="s">
        <v>274</v>
      </c>
      <c r="D225" s="509"/>
      <c r="E225" s="510" t="s">
        <v>139</v>
      </c>
      <c r="F225" s="415"/>
      <c r="G225" s="415"/>
      <c r="H225" s="415"/>
      <c r="I225" s="415"/>
      <c r="J225" s="415"/>
      <c r="K225" s="415"/>
      <c r="L225" s="415"/>
      <c r="M225" s="415"/>
      <c r="N225" s="415"/>
      <c r="O225" s="415"/>
      <c r="P225" s="503"/>
      <c r="Q225" s="503"/>
      <c r="R225" s="503"/>
      <c r="S225" s="503"/>
      <c r="T225" s="503"/>
      <c r="U225" s="503"/>
      <c r="V225" s="503"/>
      <c r="Z225" s="504"/>
      <c r="AA225" s="504" t="str">
        <f>IF(AND(F227=G227,H227=I227,F227="A"),"2016 - kwh","")</f>
        <v/>
      </c>
      <c r="AB225" s="504" t="str">
        <f>IF(OR(B225="2017 - kwh",B225="2018 - kwh"),"2016 - kwh","")</f>
        <v/>
      </c>
      <c r="AC225" s="504"/>
      <c r="AD225" s="504"/>
      <c r="AE225" s="504"/>
    </row>
    <row r="226" spans="1:31" hidden="1" x14ac:dyDescent="0.35">
      <c r="A226" s="503" t="str">
        <f>IF(AND(F227=G227,H227=I227,J227=K227,F227="A"),"2016 - kw",IF(AND(F227=G227,H227=I227,J227&lt;&gt;K227,F227="A"),"2017 - kw",IF(AND(F227=G227,H227&lt;&gt;I227,F227="A"),"2018 - kw","N/A")))</f>
        <v>N/A</v>
      </c>
      <c r="B226" s="503" t="str">
        <f>IF(F227&lt;&gt;G227,"2018 - kw",IF(H227&lt;&gt;I227,"2017 - kw",IF(J227&lt;&gt;K227,"2016 - kw","N/A")))</f>
        <v>N/A</v>
      </c>
      <c r="C226" s="511"/>
      <c r="D226" s="512" t="str">
        <f>D225 &amp; "kW"</f>
        <v>kW</v>
      </c>
      <c r="E226" s="513" t="s">
        <v>170</v>
      </c>
      <c r="F226" s="415"/>
      <c r="G226" s="415"/>
      <c r="H226" s="415"/>
      <c r="I226" s="415"/>
      <c r="J226" s="415"/>
      <c r="K226" s="415"/>
      <c r="L226" s="415"/>
      <c r="M226" s="415"/>
      <c r="N226" s="415"/>
      <c r="O226" s="415"/>
      <c r="P226" s="503"/>
      <c r="Q226" s="503"/>
      <c r="R226" s="503"/>
      <c r="S226" s="503"/>
      <c r="T226" s="503"/>
      <c r="U226" s="503"/>
      <c r="V226" s="503"/>
      <c r="Z226" s="504"/>
      <c r="AA226" s="504" t="str">
        <f>IF(AND(F227=G227,H227=I227,F227="A"),"2016 - kw","")</f>
        <v/>
      </c>
      <c r="AB226" s="504" t="str">
        <f>IF(OR(B226="2017 - kw",B226="2018 - kw"),"2016 - kw","")</f>
        <v/>
      </c>
      <c r="AC226" s="504"/>
      <c r="AD226" s="504"/>
      <c r="AE226" s="504"/>
    </row>
    <row r="227" spans="1:31" hidden="1" x14ac:dyDescent="0.35">
      <c r="A227" s="503"/>
      <c r="B227" s="503"/>
      <c r="C227" s="514"/>
      <c r="D227" s="515"/>
      <c r="E227" s="516" t="s">
        <v>210</v>
      </c>
      <c r="F227" s="502"/>
      <c r="G227" s="502"/>
      <c r="H227" s="502"/>
      <c r="I227" s="502"/>
      <c r="J227" s="502"/>
      <c r="K227" s="502"/>
      <c r="L227" s="502"/>
      <c r="M227" s="502"/>
      <c r="N227" s="502"/>
      <c r="O227" s="502"/>
      <c r="P227" s="503"/>
      <c r="Q227" s="503"/>
      <c r="R227" s="503"/>
      <c r="S227" s="503"/>
      <c r="T227" s="503"/>
      <c r="U227" s="503"/>
      <c r="V227" s="503"/>
      <c r="Z227" s="504"/>
      <c r="AA227" s="504"/>
      <c r="AB227" s="504"/>
      <c r="AC227" s="504"/>
      <c r="AD227" s="504"/>
      <c r="AE227" s="504"/>
    </row>
    <row r="228" spans="1:31" hidden="1" x14ac:dyDescent="0.35">
      <c r="A228" s="503" t="str">
        <f>IF(AND(F230=G230,H230=I230,J230=K230,F230="A"),"2016 - kwh",IF(AND(F230=G230,H230=I230,J230&lt;&gt;K230,F230="A"),"2017 - kwh",IF(AND(F230=G230,H230&lt;&gt;I230,F230="A"),"2018 - kwh","N/A")))</f>
        <v>N/A</v>
      </c>
      <c r="B228" s="503" t="str">
        <f>IF(F230&lt;&gt;G230,"2018 - kwh",IF(H230&lt;&gt;I230,"2017 - kwh",IF(J230&lt;&gt;K230,"2016 - kwh","N/A")))</f>
        <v>N/A</v>
      </c>
      <c r="C228" s="508" t="s">
        <v>275</v>
      </c>
      <c r="D228" s="509"/>
      <c r="E228" s="510" t="s">
        <v>139</v>
      </c>
      <c r="F228" s="415"/>
      <c r="G228" s="415"/>
      <c r="H228" s="415"/>
      <c r="I228" s="415"/>
      <c r="J228" s="415"/>
      <c r="K228" s="415"/>
      <c r="L228" s="415"/>
      <c r="M228" s="415"/>
      <c r="N228" s="415"/>
      <c r="O228" s="415"/>
      <c r="P228" s="503"/>
      <c r="Q228" s="503"/>
      <c r="R228" s="503"/>
      <c r="S228" s="503"/>
      <c r="T228" s="503"/>
      <c r="U228" s="503"/>
      <c r="V228" s="503"/>
      <c r="Z228" s="504"/>
      <c r="AA228" s="504" t="str">
        <f>IF(AND(F230=G230,H230=I230,F230="A"),"2016 - kwh","")</f>
        <v/>
      </c>
      <c r="AB228" s="504" t="str">
        <f>IF(OR(B228="2017 - kwh",B228="2018 - kwh"),"2016 - kwh","")</f>
        <v/>
      </c>
      <c r="AC228" s="504"/>
      <c r="AD228" s="504"/>
      <c r="AE228" s="504"/>
    </row>
    <row r="229" spans="1:31" hidden="1" x14ac:dyDescent="0.35">
      <c r="A229" s="503" t="str">
        <f>IF(AND(F230=G230,H230=I230,J230=K230,F230="A"),"2016 - kw",IF(AND(F230=G230,H230=I230,J230&lt;&gt;K230,F230="A"),"2017 - kw",IF(AND(F230=G230,H230&lt;&gt;I230,F230="A"),"2018 - kw","N/A")))</f>
        <v>N/A</v>
      </c>
      <c r="B229" s="503" t="str">
        <f>IF(F230&lt;&gt;G230,"2018 - kw",IF(H230&lt;&gt;I230,"2017 - kw",IF(J230&lt;&gt;K230,"2016 - kw","N/A")))</f>
        <v>N/A</v>
      </c>
      <c r="C229" s="511"/>
      <c r="D229" s="512" t="str">
        <f>D228 &amp; "kW"</f>
        <v>kW</v>
      </c>
      <c r="E229" s="513" t="s">
        <v>170</v>
      </c>
      <c r="F229" s="415"/>
      <c r="G229" s="415"/>
      <c r="H229" s="415"/>
      <c r="I229" s="415"/>
      <c r="J229" s="415"/>
      <c r="K229" s="415"/>
      <c r="L229" s="415"/>
      <c r="M229" s="415"/>
      <c r="N229" s="415"/>
      <c r="O229" s="415"/>
      <c r="P229" s="503"/>
      <c r="Q229" s="503"/>
      <c r="R229" s="503"/>
      <c r="S229" s="503"/>
      <c r="T229" s="503"/>
      <c r="U229" s="503"/>
      <c r="V229" s="503"/>
      <c r="Z229" s="504"/>
      <c r="AA229" s="504" t="str">
        <f>IF(AND(F230=G230,H230=I230,F230="A"),"2016 - kw","")</f>
        <v/>
      </c>
      <c r="AB229" s="504" t="str">
        <f>IF(OR(B229="2017 - kw",B229="2018 - kw"),"2016 - kw","")</f>
        <v/>
      </c>
      <c r="AC229" s="504"/>
      <c r="AD229" s="504"/>
      <c r="AE229" s="504"/>
    </row>
    <row r="230" spans="1:31" hidden="1" x14ac:dyDescent="0.35">
      <c r="A230" s="503"/>
      <c r="B230" s="503"/>
      <c r="C230" s="514"/>
      <c r="D230" s="515"/>
      <c r="E230" s="516" t="s">
        <v>210</v>
      </c>
      <c r="F230" s="502"/>
      <c r="G230" s="502"/>
      <c r="H230" s="502"/>
      <c r="I230" s="502"/>
      <c r="J230" s="502"/>
      <c r="K230" s="502"/>
      <c r="L230" s="502"/>
      <c r="M230" s="502"/>
      <c r="N230" s="502"/>
      <c r="O230" s="502"/>
      <c r="P230" s="503"/>
      <c r="Q230" s="503"/>
      <c r="R230" s="503"/>
      <c r="S230" s="503"/>
      <c r="T230" s="503"/>
      <c r="U230" s="503"/>
      <c r="V230" s="503"/>
      <c r="Z230" s="504"/>
      <c r="AA230" s="504"/>
      <c r="AB230" s="504"/>
      <c r="AC230" s="504"/>
      <c r="AD230" s="504"/>
      <c r="AE230" s="504"/>
    </row>
    <row r="231" spans="1:31" hidden="1" x14ac:dyDescent="0.35">
      <c r="A231" s="503" t="str">
        <f>IF(AND(F233=G233,H233=I233,J233=K233,F233="A"),"2016 - kwh",IF(AND(F233=G233,H233=I233,J233&lt;&gt;K233,F233="A"),"2017 - kwh",IF(AND(F233=G233,H233&lt;&gt;I233,F233="A"),"2018 - kwh","N/A")))</f>
        <v>N/A</v>
      </c>
      <c r="B231" s="503" t="str">
        <f>IF(F233&lt;&gt;G233,"2018 - kwh",IF(H233&lt;&gt;I233,"2017 - kwh",IF(J233&lt;&gt;K233,"2016 - kwh","N/A")))</f>
        <v>N/A</v>
      </c>
      <c r="C231" s="508" t="s">
        <v>276</v>
      </c>
      <c r="D231" s="509"/>
      <c r="E231" s="510" t="s">
        <v>139</v>
      </c>
      <c r="F231" s="415"/>
      <c r="G231" s="415"/>
      <c r="H231" s="415"/>
      <c r="I231" s="415"/>
      <c r="J231" s="415"/>
      <c r="K231" s="415"/>
      <c r="L231" s="415"/>
      <c r="M231" s="415"/>
      <c r="N231" s="415"/>
      <c r="O231" s="415"/>
      <c r="P231" s="503"/>
      <c r="Q231" s="503"/>
      <c r="R231" s="503"/>
      <c r="S231" s="503"/>
      <c r="T231" s="503"/>
      <c r="U231" s="503"/>
      <c r="V231" s="503"/>
      <c r="Z231" s="504"/>
      <c r="AA231" s="504" t="str">
        <f>IF(AND(F233=G233,H233=I233,F233="A"),"2016 - kwh","")</f>
        <v/>
      </c>
      <c r="AB231" s="504" t="str">
        <f>IF(OR(B231="2017 - kwh",B231="2018 - kwh"),"2016 - kwh","")</f>
        <v/>
      </c>
      <c r="AC231" s="504"/>
      <c r="AD231" s="504"/>
      <c r="AE231" s="504"/>
    </row>
    <row r="232" spans="1:31" hidden="1" x14ac:dyDescent="0.35">
      <c r="A232" s="503" t="str">
        <f>IF(AND(F233=G233,H233=I233,J233=K233,F233="A"),"2016 - kw",IF(AND(F233=G233,H233=I233,J233&lt;&gt;K233,F233="A"),"2017 - kw",IF(AND(F233=G233,H233&lt;&gt;I233,F233="A"),"2018 - kw","N/A")))</f>
        <v>N/A</v>
      </c>
      <c r="B232" s="503" t="str">
        <f>IF(F233&lt;&gt;G233,"2018 - kw",IF(H233&lt;&gt;I233,"2017 - kw",IF(J233&lt;&gt;K233,"2016 - kw","N/A")))</f>
        <v>N/A</v>
      </c>
      <c r="C232" s="511"/>
      <c r="D232" s="512" t="str">
        <f>D231 &amp; "kW"</f>
        <v>kW</v>
      </c>
      <c r="E232" s="513" t="s">
        <v>170</v>
      </c>
      <c r="F232" s="415"/>
      <c r="G232" s="415"/>
      <c r="H232" s="415"/>
      <c r="I232" s="415"/>
      <c r="J232" s="415"/>
      <c r="K232" s="415"/>
      <c r="L232" s="415"/>
      <c r="M232" s="415"/>
      <c r="N232" s="415"/>
      <c r="O232" s="415"/>
      <c r="P232" s="503"/>
      <c r="Q232" s="503"/>
      <c r="R232" s="503"/>
      <c r="S232" s="503"/>
      <c r="T232" s="503"/>
      <c r="U232" s="503"/>
      <c r="V232" s="503"/>
      <c r="Z232" s="504"/>
      <c r="AA232" s="504" t="str">
        <f>IF(AND(F233=G233,H233=I233,F233="A"),"2016 - kw","")</f>
        <v/>
      </c>
      <c r="AB232" s="504" t="str">
        <f>IF(OR(B232="2017 - kw",B232="2018 - kw"),"2016 - kw","")</f>
        <v/>
      </c>
      <c r="AC232" s="504"/>
      <c r="AD232" s="504"/>
      <c r="AE232" s="504"/>
    </row>
    <row r="233" spans="1:31" hidden="1" x14ac:dyDescent="0.35">
      <c r="A233" s="503"/>
      <c r="B233" s="503"/>
      <c r="C233" s="514"/>
      <c r="D233" s="515"/>
      <c r="E233" s="516" t="s">
        <v>210</v>
      </c>
      <c r="F233" s="502"/>
      <c r="G233" s="502"/>
      <c r="H233" s="502"/>
      <c r="I233" s="502"/>
      <c r="J233" s="502"/>
      <c r="K233" s="502"/>
      <c r="L233" s="502"/>
      <c r="M233" s="502"/>
      <c r="N233" s="502"/>
      <c r="O233" s="502"/>
      <c r="P233" s="503"/>
      <c r="Q233" s="503"/>
      <c r="R233" s="503"/>
      <c r="S233" s="503"/>
      <c r="T233" s="503"/>
      <c r="U233" s="503"/>
      <c r="V233" s="503"/>
      <c r="Z233" s="504"/>
      <c r="AA233" s="504"/>
      <c r="AB233" s="504"/>
      <c r="AC233" s="504"/>
      <c r="AD233" s="504"/>
      <c r="AE233" s="504"/>
    </row>
    <row r="234" spans="1:31" hidden="1" x14ac:dyDescent="0.35">
      <c r="A234" s="503" t="str">
        <f>IF(AND(F236=G236,H236=I236,J236=K236,F236="A"),"2016 - kwh",IF(AND(F236=G236,H236=I236,J236&lt;&gt;K236,F236="A"),"2017 - kwh",IF(AND(F236=G236,H236&lt;&gt;I236,F236="A"),"2018 - kwh","N/A")))</f>
        <v>N/A</v>
      </c>
      <c r="B234" s="503" t="str">
        <f>IF(F236&lt;&gt;G236,"2018 - kwh",IF(H236&lt;&gt;I236,"2017 - kwh",IF(J236&lt;&gt;K236,"2016 - kwh","N/A")))</f>
        <v>N/A</v>
      </c>
      <c r="C234" s="508" t="s">
        <v>277</v>
      </c>
      <c r="D234" s="509"/>
      <c r="E234" s="510" t="s">
        <v>139</v>
      </c>
      <c r="F234" s="415"/>
      <c r="G234" s="415"/>
      <c r="H234" s="415"/>
      <c r="I234" s="415"/>
      <c r="J234" s="415"/>
      <c r="K234" s="415"/>
      <c r="L234" s="415"/>
      <c r="M234" s="415"/>
      <c r="N234" s="415"/>
      <c r="O234" s="415"/>
      <c r="P234" s="503"/>
      <c r="Q234" s="503"/>
      <c r="R234" s="503"/>
      <c r="S234" s="503"/>
      <c r="T234" s="503"/>
      <c r="U234" s="503"/>
      <c r="V234" s="503"/>
      <c r="Z234" s="504"/>
      <c r="AA234" s="504" t="str">
        <f>IF(AND(F236=G236,H236=I236,F236="A"),"2016 - kwh","")</f>
        <v/>
      </c>
      <c r="AB234" s="504" t="str">
        <f>IF(OR(B234="2017 - kwh",B234="2018 - kwh"),"2016 - kwh","")</f>
        <v/>
      </c>
      <c r="AC234" s="504"/>
      <c r="AD234" s="504"/>
      <c r="AE234" s="504"/>
    </row>
    <row r="235" spans="1:31" hidden="1" x14ac:dyDescent="0.35">
      <c r="A235" s="503" t="str">
        <f>IF(AND(F236=G236,H236=I236,J236=K236,F236="A"),"2016 - kw",IF(AND(F236=G236,H236=I236,J236&lt;&gt;K236,F236="A"),"2017 - kw",IF(AND(F236=G236,H236&lt;&gt;I236,F236="A"),"2018 - kw","N/A")))</f>
        <v>N/A</v>
      </c>
      <c r="B235" s="503" t="str">
        <f>IF(F236&lt;&gt;G236,"2018 - kw",IF(H236&lt;&gt;I236,"2017 - kw",IF(J236&lt;&gt;K236,"2016 - kw","N/A")))</f>
        <v>N/A</v>
      </c>
      <c r="C235" s="511"/>
      <c r="D235" s="512" t="str">
        <f>D234 &amp; "kW"</f>
        <v>kW</v>
      </c>
      <c r="E235" s="513" t="s">
        <v>170</v>
      </c>
      <c r="F235" s="415"/>
      <c r="G235" s="415"/>
      <c r="H235" s="415"/>
      <c r="I235" s="415"/>
      <c r="J235" s="415"/>
      <c r="K235" s="415"/>
      <c r="L235" s="415"/>
      <c r="M235" s="415"/>
      <c r="N235" s="415"/>
      <c r="O235" s="415"/>
      <c r="P235" s="503"/>
      <c r="Q235" s="503"/>
      <c r="R235" s="503"/>
      <c r="S235" s="503"/>
      <c r="T235" s="503"/>
      <c r="U235" s="503"/>
      <c r="V235" s="503"/>
      <c r="Z235" s="504"/>
      <c r="AA235" s="504" t="str">
        <f>IF(AND(F236=G236,H236=I236,F236="A"),"2016 - kw","")</f>
        <v/>
      </c>
      <c r="AB235" s="504" t="str">
        <f>IF(OR(B235="2017 - kw",B235="2018 - kw"),"2016 - kw","")</f>
        <v/>
      </c>
      <c r="AC235" s="504"/>
      <c r="AD235" s="504"/>
      <c r="AE235" s="504"/>
    </row>
    <row r="236" spans="1:31" hidden="1" x14ac:dyDescent="0.35">
      <c r="A236" s="503"/>
      <c r="B236" s="503"/>
      <c r="C236" s="514"/>
      <c r="D236" s="515"/>
      <c r="E236" s="516" t="s">
        <v>210</v>
      </c>
      <c r="F236" s="502"/>
      <c r="G236" s="502"/>
      <c r="H236" s="502"/>
      <c r="I236" s="502"/>
      <c r="J236" s="502"/>
      <c r="K236" s="502"/>
      <c r="L236" s="502"/>
      <c r="M236" s="502"/>
      <c r="N236" s="502"/>
      <c r="O236" s="502"/>
      <c r="P236" s="503"/>
      <c r="Q236" s="503"/>
      <c r="R236" s="503"/>
      <c r="S236" s="503"/>
      <c r="T236" s="503"/>
      <c r="U236" s="503"/>
      <c r="V236" s="503"/>
      <c r="Z236" s="504"/>
      <c r="AA236" s="504"/>
      <c r="AB236" s="504"/>
      <c r="AC236" s="504"/>
      <c r="AD236" s="504"/>
      <c r="AE236" s="504"/>
    </row>
    <row r="237" spans="1:31" hidden="1" x14ac:dyDescent="0.35">
      <c r="A237" s="503" t="str">
        <f>IF(AND(F239=G239,H239=I239,J239=K239,F239="A"),"2016 - kwh",IF(AND(F239=G239,H239=I239,J239&lt;&gt;K239,F239="A"),"2017 - kwh",IF(AND(F239=G239,H239&lt;&gt;I239,F239="A"),"2018 - kwh","N/A")))</f>
        <v>N/A</v>
      </c>
      <c r="B237" s="503" t="str">
        <f>IF(F239&lt;&gt;G239,"2018 - kwh",IF(H239&lt;&gt;I239,"2017 - kwh",IF(J239&lt;&gt;K239,"2016 - kwh","N/A")))</f>
        <v>N/A</v>
      </c>
      <c r="C237" s="508" t="s">
        <v>278</v>
      </c>
      <c r="D237" s="509"/>
      <c r="E237" s="510" t="s">
        <v>139</v>
      </c>
      <c r="F237" s="415"/>
      <c r="G237" s="415"/>
      <c r="H237" s="415"/>
      <c r="I237" s="415"/>
      <c r="J237" s="415"/>
      <c r="K237" s="415"/>
      <c r="L237" s="415"/>
      <c r="M237" s="415"/>
      <c r="N237" s="415"/>
      <c r="O237" s="415"/>
      <c r="P237" s="503"/>
      <c r="Q237" s="503"/>
      <c r="R237" s="503"/>
      <c r="S237" s="503"/>
      <c r="T237" s="503"/>
      <c r="U237" s="503"/>
      <c r="V237" s="503"/>
      <c r="Z237" s="504"/>
      <c r="AA237" s="504" t="str">
        <f>IF(AND(F239=G239,H239=I239,F239="A"),"2016 - kwh","")</f>
        <v/>
      </c>
      <c r="AB237" s="504" t="str">
        <f>IF(OR(B237="2017 - kwh",B237="2018 - kwh"),"2016 - kwh","")</f>
        <v/>
      </c>
      <c r="AC237" s="504"/>
      <c r="AD237" s="504"/>
      <c r="AE237" s="504"/>
    </row>
    <row r="238" spans="1:31" hidden="1" x14ac:dyDescent="0.35">
      <c r="A238" s="503" t="str">
        <f>IF(AND(F239=G239,H239=I239,J239=K239,F239="A"),"2016 - kw",IF(AND(F239=G239,H239=I239,J239&lt;&gt;K239,F239="A"),"2017 - kw",IF(AND(F239=G239,H239&lt;&gt;I239,F239="A"),"2018 - kw","N/A")))</f>
        <v>N/A</v>
      </c>
      <c r="B238" s="503" t="str">
        <f>IF(F239&lt;&gt;G239,"2018 - kw",IF(H239&lt;&gt;I239,"2017 - kw",IF(J239&lt;&gt;K239,"2016 - kw","N/A")))</f>
        <v>N/A</v>
      </c>
      <c r="C238" s="511"/>
      <c r="D238" s="512" t="str">
        <f>D237 &amp; "kW"</f>
        <v>kW</v>
      </c>
      <c r="E238" s="513" t="s">
        <v>170</v>
      </c>
      <c r="F238" s="415"/>
      <c r="G238" s="415"/>
      <c r="H238" s="415"/>
      <c r="I238" s="415"/>
      <c r="J238" s="415"/>
      <c r="K238" s="415"/>
      <c r="L238" s="415"/>
      <c r="M238" s="415"/>
      <c r="N238" s="415"/>
      <c r="O238" s="415"/>
      <c r="P238" s="503"/>
      <c r="Q238" s="503"/>
      <c r="R238" s="503"/>
      <c r="S238" s="503"/>
      <c r="T238" s="503"/>
      <c r="U238" s="503"/>
      <c r="V238" s="503"/>
      <c r="Z238" s="504"/>
      <c r="AA238" s="504" t="str">
        <f>IF(AND(F239=G239,H239=I239,F239="A"),"2016 - kw","")</f>
        <v/>
      </c>
      <c r="AB238" s="504" t="str">
        <f>IF(OR(B238="2017 - kw",B238="2018 - kw"),"2016 - kw","")</f>
        <v/>
      </c>
      <c r="AC238" s="504"/>
      <c r="AD238" s="504"/>
      <c r="AE238" s="504"/>
    </row>
    <row r="239" spans="1:31" hidden="1" x14ac:dyDescent="0.35">
      <c r="A239" s="503"/>
      <c r="B239" s="503"/>
      <c r="C239" s="514"/>
      <c r="D239" s="515"/>
      <c r="E239" s="516" t="s">
        <v>210</v>
      </c>
      <c r="F239" s="502"/>
      <c r="G239" s="502"/>
      <c r="H239" s="502"/>
      <c r="I239" s="502"/>
      <c r="J239" s="502"/>
      <c r="K239" s="502"/>
      <c r="L239" s="502"/>
      <c r="M239" s="502"/>
      <c r="N239" s="502"/>
      <c r="O239" s="502"/>
      <c r="P239" s="503"/>
      <c r="Q239" s="503"/>
      <c r="R239" s="503"/>
      <c r="S239" s="503"/>
      <c r="T239" s="503"/>
      <c r="U239" s="503"/>
      <c r="V239" s="503"/>
      <c r="Z239" s="504"/>
      <c r="AA239" s="504"/>
      <c r="AB239" s="504"/>
      <c r="AC239" s="504"/>
      <c r="AD239" s="504"/>
      <c r="AE239" s="504"/>
    </row>
    <row r="240" spans="1:31" hidden="1" x14ac:dyDescent="0.35">
      <c r="A240" s="503" t="str">
        <f>IF(AND(F242=G242,H242=I242,J242=K242,F242="A"),"2016 - kwh",IF(AND(F242=G242,H242=I242,J242&lt;&gt;K242,F242="A"),"2017 - kwh",IF(AND(F242=G242,H242&lt;&gt;I242,F242="A"),"2018 - kwh","N/A")))</f>
        <v>N/A</v>
      </c>
      <c r="B240" s="503" t="str">
        <f>IF(F242&lt;&gt;G242,"2018 - kwh",IF(H242&lt;&gt;I242,"2017 - kwh",IF(J242&lt;&gt;K242,"2016 - kwh","N/A")))</f>
        <v>N/A</v>
      </c>
      <c r="C240" s="508" t="s">
        <v>279</v>
      </c>
      <c r="D240" s="509"/>
      <c r="E240" s="510" t="s">
        <v>139</v>
      </c>
      <c r="F240" s="415"/>
      <c r="G240" s="415"/>
      <c r="H240" s="415"/>
      <c r="I240" s="415"/>
      <c r="J240" s="415"/>
      <c r="K240" s="415"/>
      <c r="L240" s="415"/>
      <c r="M240" s="415"/>
      <c r="N240" s="415"/>
      <c r="O240" s="415"/>
      <c r="P240" s="503"/>
      <c r="Q240" s="503"/>
      <c r="R240" s="503"/>
      <c r="S240" s="503"/>
      <c r="T240" s="503"/>
      <c r="U240" s="503"/>
      <c r="V240" s="503"/>
      <c r="Z240" s="504"/>
      <c r="AA240" s="504" t="str">
        <f>IF(AND(F242=G242,H242=I242,F242="A"),"2016 - kwh","")</f>
        <v/>
      </c>
      <c r="AB240" s="504" t="str">
        <f>IF(OR(B240="2017 - kwh",B240="2018 - kwh"),"2016 - kwh","")</f>
        <v/>
      </c>
      <c r="AC240" s="504"/>
      <c r="AD240" s="504"/>
      <c r="AE240" s="504"/>
    </row>
    <row r="241" spans="1:31" hidden="1" x14ac:dyDescent="0.35">
      <c r="A241" s="503" t="str">
        <f>IF(AND(F242=G242,H242=I242,J242=K242,F242="A"),"2016 - kw",IF(AND(F242=G242,H242=I242,J242&lt;&gt;K242,F242="A"),"2017 - kw",IF(AND(F242=G242,H242&lt;&gt;I242,F242="A"),"2018 - kw","N/A")))</f>
        <v>N/A</v>
      </c>
      <c r="B241" s="503" t="str">
        <f>IF(F242&lt;&gt;G242,"2018 - kw",IF(H242&lt;&gt;I242,"2017 - kw",IF(J242&lt;&gt;K242,"2016 - kw","N/A")))</f>
        <v>N/A</v>
      </c>
      <c r="C241" s="511"/>
      <c r="D241" s="512" t="str">
        <f>D240 &amp; "kW"</f>
        <v>kW</v>
      </c>
      <c r="E241" s="513" t="s">
        <v>170</v>
      </c>
      <c r="F241" s="415"/>
      <c r="G241" s="415"/>
      <c r="H241" s="415"/>
      <c r="I241" s="415"/>
      <c r="J241" s="415"/>
      <c r="K241" s="415"/>
      <c r="L241" s="415"/>
      <c r="M241" s="415"/>
      <c r="N241" s="415"/>
      <c r="O241" s="415"/>
      <c r="P241" s="503"/>
      <c r="Q241" s="503"/>
      <c r="R241" s="503"/>
      <c r="S241" s="503"/>
      <c r="T241" s="503"/>
      <c r="U241" s="503"/>
      <c r="V241" s="503"/>
      <c r="Z241" s="504"/>
      <c r="AA241" s="504" t="str">
        <f>IF(AND(F242=G242,H242=I242,F242="A"),"2016 - kw","")</f>
        <v/>
      </c>
      <c r="AB241" s="504" t="str">
        <f>IF(OR(B241="2017 - kw",B241="2018 - kw"),"2016 - kw","")</f>
        <v/>
      </c>
      <c r="AC241" s="504"/>
      <c r="AD241" s="504"/>
      <c r="AE241" s="504"/>
    </row>
    <row r="242" spans="1:31" hidden="1" x14ac:dyDescent="0.35">
      <c r="A242" s="503"/>
      <c r="B242" s="503"/>
      <c r="C242" s="514"/>
      <c r="D242" s="515"/>
      <c r="E242" s="516" t="s">
        <v>210</v>
      </c>
      <c r="F242" s="502"/>
      <c r="G242" s="502"/>
      <c r="H242" s="502"/>
      <c r="I242" s="502"/>
      <c r="J242" s="502"/>
      <c r="K242" s="502"/>
      <c r="L242" s="502"/>
      <c r="M242" s="502"/>
      <c r="N242" s="502"/>
      <c r="O242" s="502"/>
      <c r="P242" s="503"/>
      <c r="Q242" s="503"/>
      <c r="R242" s="503"/>
      <c r="S242" s="503"/>
      <c r="T242" s="503"/>
      <c r="U242" s="503"/>
      <c r="V242" s="503"/>
      <c r="Z242" s="504"/>
      <c r="AA242" s="504"/>
      <c r="AB242" s="504"/>
      <c r="AC242" s="504"/>
      <c r="AD242" s="504"/>
      <c r="AE242" s="504"/>
    </row>
    <row r="243" spans="1:31" hidden="1" x14ac:dyDescent="0.35">
      <c r="A243" s="503" t="str">
        <f>IF(AND(F245=G245,H245=I245,J245=K245,F245="A"),"2016 - kwh",IF(AND(F245=G245,H245=I245,J245&lt;&gt;K245,F245="A"),"2017 - kwh",IF(AND(F245=G245,H245&lt;&gt;I245,F245="A"),"2018 - kwh","N/A")))</f>
        <v>N/A</v>
      </c>
      <c r="B243" s="503" t="str">
        <f>IF(F245&lt;&gt;G245,"2018 - kwh",IF(H245&lt;&gt;I245,"2017 - kwh",IF(J245&lt;&gt;K245,"2016 - kwh","N/A")))</f>
        <v>N/A</v>
      </c>
      <c r="C243" s="508" t="s">
        <v>280</v>
      </c>
      <c r="D243" s="509"/>
      <c r="E243" s="510" t="s">
        <v>139</v>
      </c>
      <c r="F243" s="415"/>
      <c r="G243" s="415"/>
      <c r="H243" s="415"/>
      <c r="I243" s="415"/>
      <c r="J243" s="415"/>
      <c r="K243" s="415"/>
      <c r="L243" s="415"/>
      <c r="M243" s="415"/>
      <c r="N243" s="415"/>
      <c r="O243" s="415"/>
      <c r="P243" s="503"/>
      <c r="Q243" s="503"/>
      <c r="R243" s="503"/>
      <c r="S243" s="503"/>
      <c r="T243" s="503"/>
      <c r="U243" s="503"/>
      <c r="V243" s="503"/>
      <c r="Z243" s="504"/>
      <c r="AA243" s="504" t="str">
        <f>IF(AND(F245=G245,H245=I245,F245="A"),"2016 - kwh","")</f>
        <v/>
      </c>
      <c r="AB243" s="504" t="str">
        <f>IF(OR(B243="2017 - kwh",B243="2018 - kwh"),"2016 - kwh","")</f>
        <v/>
      </c>
      <c r="AC243" s="504"/>
      <c r="AD243" s="504"/>
      <c r="AE243" s="504"/>
    </row>
    <row r="244" spans="1:31" hidden="1" x14ac:dyDescent="0.35">
      <c r="A244" s="503" t="str">
        <f>IF(AND(F245=G245,H245=I245,J245=K245,F245="A"),"2016 - kw",IF(AND(F245=G245,H245=I245,J245&lt;&gt;K245,F245="A"),"2017 - kw",IF(AND(F245=G245,H245&lt;&gt;I245,F245="A"),"2018 - kw","N/A")))</f>
        <v>N/A</v>
      </c>
      <c r="B244" s="503" t="str">
        <f>IF(F245&lt;&gt;G245,"2018 - kw",IF(H245&lt;&gt;I245,"2017 - kw",IF(J245&lt;&gt;K245,"2016 - kw","N/A")))</f>
        <v>N/A</v>
      </c>
      <c r="C244" s="511"/>
      <c r="D244" s="512" t="str">
        <f>D243 &amp; "kW"</f>
        <v>kW</v>
      </c>
      <c r="E244" s="513" t="s">
        <v>170</v>
      </c>
      <c r="F244" s="415"/>
      <c r="G244" s="415"/>
      <c r="H244" s="415"/>
      <c r="I244" s="415"/>
      <c r="J244" s="415"/>
      <c r="K244" s="415"/>
      <c r="L244" s="415"/>
      <c r="M244" s="415"/>
      <c r="N244" s="415"/>
      <c r="O244" s="415"/>
      <c r="P244" s="503"/>
      <c r="Q244" s="503"/>
      <c r="R244" s="503"/>
      <c r="S244" s="503"/>
      <c r="T244" s="503"/>
      <c r="U244" s="503"/>
      <c r="V244" s="503"/>
      <c r="Z244" s="504"/>
      <c r="AA244" s="504" t="str">
        <f>IF(AND(F245=G245,H245=I245,F245="A"),"2016 - kw","")</f>
        <v/>
      </c>
      <c r="AB244" s="504" t="str">
        <f>IF(OR(B244="2017 - kw",B244="2018 - kw"),"2016 - kw","")</f>
        <v/>
      </c>
      <c r="AC244" s="504"/>
      <c r="AD244" s="504"/>
      <c r="AE244" s="504"/>
    </row>
    <row r="245" spans="1:31" hidden="1" x14ac:dyDescent="0.35">
      <c r="A245" s="503"/>
      <c r="B245" s="503"/>
      <c r="C245" s="514"/>
      <c r="D245" s="515"/>
      <c r="E245" s="516" t="s">
        <v>210</v>
      </c>
      <c r="F245" s="502"/>
      <c r="G245" s="502"/>
      <c r="H245" s="502"/>
      <c r="I245" s="502"/>
      <c r="J245" s="502"/>
      <c r="K245" s="502"/>
      <c r="L245" s="502"/>
      <c r="M245" s="502"/>
      <c r="N245" s="502"/>
      <c r="O245" s="502"/>
      <c r="P245" s="503"/>
      <c r="Q245" s="503"/>
      <c r="R245" s="503"/>
      <c r="S245" s="503"/>
      <c r="T245" s="503"/>
      <c r="U245" s="503"/>
      <c r="V245" s="503"/>
      <c r="Z245" s="504"/>
      <c r="AA245" s="504"/>
      <c r="AB245" s="504"/>
      <c r="AC245" s="504"/>
      <c r="AD245" s="504"/>
      <c r="AE245" s="504"/>
    </row>
    <row r="246" spans="1:31" hidden="1" x14ac:dyDescent="0.35">
      <c r="A246" s="503" t="str">
        <f>IF(AND(F248=G248,H248=I248,J248=K248,F248="A"),"2016 - kwh",IF(AND(F248=G248,H248=I248,J248&lt;&gt;K248,F248="A"),"2017 - kwh",IF(AND(F248=G248,H248&lt;&gt;I248,F248="A"),"2018 - kwh","N/A")))</f>
        <v>N/A</v>
      </c>
      <c r="B246" s="503" t="str">
        <f>IF(F248&lt;&gt;G248,"2018 - kwh",IF(H248&lt;&gt;I248,"2017 - kwh",IF(J248&lt;&gt;K248,"2016 - kwh","N/A")))</f>
        <v>N/A</v>
      </c>
      <c r="C246" s="508" t="s">
        <v>281</v>
      </c>
      <c r="D246" s="509"/>
      <c r="E246" s="510" t="s">
        <v>139</v>
      </c>
      <c r="F246" s="415"/>
      <c r="G246" s="415"/>
      <c r="H246" s="415"/>
      <c r="I246" s="415"/>
      <c r="J246" s="415"/>
      <c r="K246" s="415"/>
      <c r="L246" s="415"/>
      <c r="M246" s="415"/>
      <c r="N246" s="415"/>
      <c r="O246" s="415"/>
      <c r="P246" s="503"/>
      <c r="Q246" s="503"/>
      <c r="R246" s="503"/>
      <c r="S246" s="503"/>
      <c r="T246" s="503"/>
      <c r="U246" s="503"/>
      <c r="V246" s="503"/>
      <c r="Z246" s="504"/>
      <c r="AA246" s="504" t="str">
        <f>IF(AND(F248=G248,H248=I248,F248="A"),"2016 - kwh","")</f>
        <v/>
      </c>
      <c r="AB246" s="504" t="str">
        <f>IF(OR(B246="2017 - kwh",B246="2018 - kwh"),"2016 - kwh","")</f>
        <v/>
      </c>
      <c r="AC246" s="504"/>
      <c r="AD246" s="504"/>
      <c r="AE246" s="504"/>
    </row>
    <row r="247" spans="1:31" hidden="1" x14ac:dyDescent="0.35">
      <c r="A247" s="503" t="str">
        <f>IF(AND(F248=G248,H248=I248,J248=K248,F248="A"),"2016 - kw",IF(AND(F248=G248,H248=I248,J248&lt;&gt;K248,F248="A"),"2017 - kw",IF(AND(F248=G248,H248&lt;&gt;I248,F248="A"),"2018 - kw","N/A")))</f>
        <v>N/A</v>
      </c>
      <c r="B247" s="503" t="str">
        <f>IF(F248&lt;&gt;G248,"2018 - kw",IF(H248&lt;&gt;I248,"2017 - kw",IF(J248&lt;&gt;K248,"2016 - kw","N/A")))</f>
        <v>N/A</v>
      </c>
      <c r="C247" s="511"/>
      <c r="D247" s="512" t="str">
        <f>D246 &amp; "kW"</f>
        <v>kW</v>
      </c>
      <c r="E247" s="513" t="s">
        <v>170</v>
      </c>
      <c r="F247" s="415"/>
      <c r="G247" s="415"/>
      <c r="H247" s="415"/>
      <c r="I247" s="415"/>
      <c r="J247" s="415"/>
      <c r="K247" s="415"/>
      <c r="L247" s="415"/>
      <c r="M247" s="415"/>
      <c r="N247" s="415"/>
      <c r="O247" s="415"/>
      <c r="P247" s="503"/>
      <c r="Q247" s="503"/>
      <c r="R247" s="503"/>
      <c r="S247" s="503"/>
      <c r="T247" s="503"/>
      <c r="U247" s="503"/>
      <c r="V247" s="503"/>
      <c r="Z247" s="504"/>
      <c r="AA247" s="504" t="str">
        <f>IF(AND(F248=G248,H248=I248,F248="A"),"2016 - kw","")</f>
        <v/>
      </c>
      <c r="AB247" s="504" t="str">
        <f>IF(OR(B247="2017 - kw",B247="2018 - kw"),"2016 - kw","")</f>
        <v/>
      </c>
      <c r="AC247" s="504"/>
      <c r="AD247" s="504"/>
      <c r="AE247" s="504"/>
    </row>
    <row r="248" spans="1:31" hidden="1" x14ac:dyDescent="0.35">
      <c r="A248" s="503"/>
      <c r="B248" s="503"/>
      <c r="C248" s="514"/>
      <c r="D248" s="515"/>
      <c r="E248" s="516" t="s">
        <v>210</v>
      </c>
      <c r="F248" s="502"/>
      <c r="G248" s="502"/>
      <c r="H248" s="502"/>
      <c r="I248" s="502"/>
      <c r="J248" s="502"/>
      <c r="K248" s="502"/>
      <c r="L248" s="502"/>
      <c r="M248" s="502"/>
      <c r="N248" s="502"/>
      <c r="O248" s="502"/>
      <c r="P248" s="503"/>
      <c r="Q248" s="503"/>
      <c r="R248" s="503"/>
      <c r="S248" s="503"/>
      <c r="T248" s="503"/>
      <c r="U248" s="503"/>
      <c r="V248" s="503"/>
      <c r="Z248" s="504"/>
      <c r="AA248" s="504"/>
      <c r="AB248" s="504"/>
      <c r="AC248" s="504"/>
      <c r="AD248" s="504"/>
      <c r="AE248" s="504"/>
    </row>
    <row r="249" spans="1:31" hidden="1" x14ac:dyDescent="0.35">
      <c r="A249" s="503" t="str">
        <f>IF(AND(F251=G251,H251=I251,J251=K251,F251="A"),"2016 - kwh",IF(AND(F251=G251,H251=I251,J251&lt;&gt;K251,F251="A"),"2017 - kwh",IF(AND(F251=G251,H251&lt;&gt;I251,F251="A"),"2018 - kwh","N/A")))</f>
        <v>N/A</v>
      </c>
      <c r="B249" s="503" t="str">
        <f>IF(F251&lt;&gt;G251,"2018 - kwh",IF(H251&lt;&gt;I251,"2017 - kwh",IF(J251&lt;&gt;K251,"2016 - kwh","N/A")))</f>
        <v>N/A</v>
      </c>
      <c r="C249" s="508" t="s">
        <v>282</v>
      </c>
      <c r="D249" s="509"/>
      <c r="E249" s="510" t="s">
        <v>139</v>
      </c>
      <c r="F249" s="415"/>
      <c r="G249" s="415"/>
      <c r="H249" s="415"/>
      <c r="I249" s="415"/>
      <c r="J249" s="415"/>
      <c r="K249" s="415"/>
      <c r="L249" s="415"/>
      <c r="M249" s="415"/>
      <c r="N249" s="415"/>
      <c r="O249" s="415"/>
      <c r="P249" s="503"/>
      <c r="Q249" s="503"/>
      <c r="R249" s="503"/>
      <c r="S249" s="503"/>
      <c r="T249" s="503"/>
      <c r="U249" s="503"/>
      <c r="V249" s="503"/>
      <c r="Z249" s="504"/>
      <c r="AA249" s="504" t="str">
        <f>IF(AND(F251=G251,H251=I251,F251="A"),"2016 - kwh","")</f>
        <v/>
      </c>
      <c r="AB249" s="504" t="str">
        <f>IF(OR(B249="2017 - kwh",B249="2018 - kwh"),"2016 - kwh","")</f>
        <v/>
      </c>
      <c r="AC249" s="504"/>
      <c r="AD249" s="504"/>
      <c r="AE249" s="504"/>
    </row>
    <row r="250" spans="1:31" hidden="1" x14ac:dyDescent="0.35">
      <c r="A250" s="503" t="str">
        <f>IF(AND(F251=G251,H251=I251,J251=K251,F251="A"),"2016 - kw",IF(AND(F251=G251,H251=I251,J251&lt;&gt;K251,F251="A"),"2017 - kw",IF(AND(F251=G251,H251&lt;&gt;I251,F251="A"),"2018 - kw","N/A")))</f>
        <v>N/A</v>
      </c>
      <c r="B250" s="503" t="str">
        <f>IF(F251&lt;&gt;G251,"2018 - kw",IF(H251&lt;&gt;I251,"2017 - kw",IF(J251&lt;&gt;K251,"2016 - kw","N/A")))</f>
        <v>N/A</v>
      </c>
      <c r="C250" s="511"/>
      <c r="D250" s="512" t="str">
        <f>D249 &amp; "kW"</f>
        <v>kW</v>
      </c>
      <c r="E250" s="513" t="s">
        <v>170</v>
      </c>
      <c r="F250" s="415"/>
      <c r="G250" s="415"/>
      <c r="H250" s="415"/>
      <c r="I250" s="415"/>
      <c r="J250" s="415"/>
      <c r="K250" s="415"/>
      <c r="L250" s="415"/>
      <c r="M250" s="415"/>
      <c r="N250" s="415"/>
      <c r="O250" s="415"/>
      <c r="P250" s="503"/>
      <c r="Q250" s="503"/>
      <c r="R250" s="503"/>
      <c r="S250" s="503"/>
      <c r="T250" s="503"/>
      <c r="U250" s="503"/>
      <c r="V250" s="503"/>
      <c r="Z250" s="504"/>
      <c r="AA250" s="504" t="str">
        <f>IF(AND(F251=G251,H251=I251,F251="A"),"2016 - kw","")</f>
        <v/>
      </c>
      <c r="AB250" s="504" t="str">
        <f>IF(OR(B250="2017 - kw",B250="2018 - kw"),"2016 - kw","")</f>
        <v/>
      </c>
      <c r="AC250" s="504"/>
      <c r="AD250" s="504"/>
      <c r="AE250" s="504"/>
    </row>
    <row r="251" spans="1:31" hidden="1" x14ac:dyDescent="0.35">
      <c r="A251" s="503"/>
      <c r="B251" s="503"/>
      <c r="C251" s="514"/>
      <c r="D251" s="515"/>
      <c r="E251" s="516" t="s">
        <v>210</v>
      </c>
      <c r="F251" s="502"/>
      <c r="G251" s="502"/>
      <c r="H251" s="502"/>
      <c r="I251" s="502"/>
      <c r="J251" s="502"/>
      <c r="K251" s="502"/>
      <c r="L251" s="502"/>
      <c r="M251" s="502"/>
      <c r="N251" s="502"/>
      <c r="O251" s="502"/>
      <c r="P251" s="503"/>
      <c r="Q251" s="503"/>
      <c r="R251" s="503"/>
      <c r="S251" s="503"/>
      <c r="T251" s="503"/>
      <c r="U251" s="503"/>
      <c r="V251" s="503"/>
      <c r="Z251" s="504"/>
      <c r="AA251" s="504"/>
      <c r="AB251" s="504"/>
      <c r="AC251" s="504"/>
      <c r="AD251" s="504"/>
      <c r="AE251" s="504"/>
    </row>
    <row r="252" spans="1:31" hidden="1" x14ac:dyDescent="0.35">
      <c r="A252" s="503" t="str">
        <f>IF(AND(F254=G254,H254=I254,J254=K254,F254="A"),"2016 - kwh",IF(AND(F254=G254,H254=I254,J254&lt;&gt;K254,F254="A"),"2017 - kwh",IF(AND(F254=G254,H254&lt;&gt;I254,F254="A"),"2018 - kwh","N/A")))</f>
        <v>N/A</v>
      </c>
      <c r="B252" s="503" t="str">
        <f>IF(F254&lt;&gt;G254,"2018 - kwh",IF(H254&lt;&gt;I254,"2017 - kwh",IF(J254&lt;&gt;K254,"2016 - kwh","N/A")))</f>
        <v>N/A</v>
      </c>
      <c r="C252" s="508" t="s">
        <v>283</v>
      </c>
      <c r="D252" s="509"/>
      <c r="E252" s="510" t="s">
        <v>139</v>
      </c>
      <c r="F252" s="415"/>
      <c r="G252" s="415"/>
      <c r="H252" s="415"/>
      <c r="I252" s="415"/>
      <c r="J252" s="415"/>
      <c r="K252" s="415"/>
      <c r="L252" s="415"/>
      <c r="M252" s="415"/>
      <c r="N252" s="415"/>
      <c r="O252" s="415"/>
      <c r="P252" s="503"/>
      <c r="Q252" s="503"/>
      <c r="R252" s="503"/>
      <c r="S252" s="503"/>
      <c r="T252" s="503"/>
      <c r="U252" s="503"/>
      <c r="V252" s="503"/>
      <c r="Z252" s="504"/>
      <c r="AA252" s="504" t="str">
        <f>IF(AND(F254=G254,H254=I254,F254="A"),"2016 - kwh","")</f>
        <v/>
      </c>
      <c r="AB252" s="504" t="str">
        <f>IF(OR(B252="2017 - kwh",B252="2018 - kwh"),"2016 - kwh","")</f>
        <v/>
      </c>
      <c r="AC252" s="504"/>
      <c r="AD252" s="504"/>
      <c r="AE252" s="504"/>
    </row>
    <row r="253" spans="1:31" hidden="1" x14ac:dyDescent="0.35">
      <c r="A253" s="503" t="str">
        <f>IF(AND(F254=G254,H254=I254,J254=K254,F254="A"),"2016 - kw",IF(AND(F254=G254,H254=I254,J254&lt;&gt;K254,F254="A"),"2017 - kw",IF(AND(F254=G254,H254&lt;&gt;I254,F254="A"),"2018 - kw","N/A")))</f>
        <v>N/A</v>
      </c>
      <c r="B253" s="503" t="str">
        <f>IF(F254&lt;&gt;G254,"2018 - kw",IF(H254&lt;&gt;I254,"2017 - kw",IF(J254&lt;&gt;K254,"2016 - kw","N/A")))</f>
        <v>N/A</v>
      </c>
      <c r="C253" s="511"/>
      <c r="D253" s="512" t="str">
        <f>D252 &amp; "kW"</f>
        <v>kW</v>
      </c>
      <c r="E253" s="513" t="s">
        <v>170</v>
      </c>
      <c r="F253" s="415"/>
      <c r="G253" s="415"/>
      <c r="H253" s="415"/>
      <c r="I253" s="415"/>
      <c r="J253" s="415"/>
      <c r="K253" s="415"/>
      <c r="L253" s="415"/>
      <c r="M253" s="415"/>
      <c r="N253" s="415"/>
      <c r="O253" s="415"/>
      <c r="P253" s="503"/>
      <c r="Q253" s="503"/>
      <c r="R253" s="503"/>
      <c r="S253" s="503"/>
      <c r="T253" s="503"/>
      <c r="U253" s="503"/>
      <c r="V253" s="503"/>
      <c r="Z253" s="504"/>
      <c r="AA253" s="504" t="str">
        <f>IF(AND(F254=G254,H254=I254,F254="A"),"2016 - kw","")</f>
        <v/>
      </c>
      <c r="AB253" s="504" t="str">
        <f>IF(OR(B253="2017 - kw",B253="2018 - kw"),"2016 - kw","")</f>
        <v/>
      </c>
      <c r="AC253" s="504"/>
      <c r="AD253" s="504"/>
      <c r="AE253" s="504"/>
    </row>
    <row r="254" spans="1:31" hidden="1" x14ac:dyDescent="0.35">
      <c r="A254" s="503"/>
      <c r="B254" s="503"/>
      <c r="C254" s="514"/>
      <c r="D254" s="515"/>
      <c r="E254" s="516" t="s">
        <v>210</v>
      </c>
      <c r="F254" s="502"/>
      <c r="G254" s="502"/>
      <c r="H254" s="502"/>
      <c r="I254" s="502"/>
      <c r="J254" s="502"/>
      <c r="K254" s="502"/>
      <c r="L254" s="502"/>
      <c r="M254" s="502"/>
      <c r="N254" s="502"/>
      <c r="O254" s="502"/>
      <c r="P254" s="503"/>
      <c r="Q254" s="503"/>
      <c r="R254" s="503"/>
      <c r="S254" s="503"/>
      <c r="T254" s="503"/>
      <c r="U254" s="503"/>
      <c r="V254" s="503"/>
      <c r="Z254" s="504"/>
      <c r="AA254" s="504"/>
      <c r="AB254" s="504"/>
      <c r="AC254" s="504"/>
      <c r="AD254" s="504"/>
      <c r="AE254" s="504"/>
    </row>
    <row r="255" spans="1:31" hidden="1" x14ac:dyDescent="0.35">
      <c r="A255" s="503" t="str">
        <f>IF(AND(F257=G257,H257=I257,J257=K257,F257="A"),"2016 - kwh",IF(AND(F257=G257,H257=I257,J257&lt;&gt;K257,F257="A"),"2017 - kwh",IF(AND(F257=G257,H257&lt;&gt;I257,F257="A"),"2018 - kwh","N/A")))</f>
        <v>N/A</v>
      </c>
      <c r="B255" s="503" t="str">
        <f>IF(F257&lt;&gt;G257,"2018 - kwh",IF(H257&lt;&gt;I257,"2017 - kwh",IF(J257&lt;&gt;K257,"2016 - kwh","N/A")))</f>
        <v>N/A</v>
      </c>
      <c r="C255" s="508" t="s">
        <v>284</v>
      </c>
      <c r="D255" s="509"/>
      <c r="E255" s="510" t="s">
        <v>139</v>
      </c>
      <c r="F255" s="415"/>
      <c r="G255" s="415"/>
      <c r="H255" s="415"/>
      <c r="I255" s="415"/>
      <c r="J255" s="415"/>
      <c r="K255" s="415"/>
      <c r="L255" s="415"/>
      <c r="M255" s="415"/>
      <c r="N255" s="415"/>
      <c r="O255" s="415"/>
      <c r="P255" s="503"/>
      <c r="Q255" s="503"/>
      <c r="R255" s="503"/>
      <c r="S255" s="503"/>
      <c r="T255" s="503"/>
      <c r="U255" s="503"/>
      <c r="V255" s="503"/>
      <c r="Z255" s="504"/>
      <c r="AA255" s="504" t="str">
        <f>IF(AND(F257=G257,H257=I257,F257="A"),"2016 - kwh","")</f>
        <v/>
      </c>
      <c r="AB255" s="504" t="str">
        <f>IF(OR(B255="2017 - kwh",B255="2018 - kwh"),"2016 - kwh","")</f>
        <v/>
      </c>
      <c r="AC255" s="504"/>
      <c r="AD255" s="504"/>
      <c r="AE255" s="504"/>
    </row>
    <row r="256" spans="1:31" hidden="1" x14ac:dyDescent="0.35">
      <c r="A256" s="503" t="str">
        <f>IF(AND(F257=G257,H257=I257,J257=K257,F257="A"),"2016 - kw",IF(AND(F257=G257,H257=I257,J257&lt;&gt;K257,F257="A"),"2017 - kw",IF(AND(F257=G257,H257&lt;&gt;I257,F257="A"),"2018 - kw","N/A")))</f>
        <v>N/A</v>
      </c>
      <c r="B256" s="503" t="str">
        <f>IF(F257&lt;&gt;G257,"2018 - kw",IF(H257&lt;&gt;I257,"2017 - kw",IF(J257&lt;&gt;K257,"2016 - kw","N/A")))</f>
        <v>N/A</v>
      </c>
      <c r="C256" s="511"/>
      <c r="D256" s="512" t="str">
        <f>D255 &amp; "kW"</f>
        <v>kW</v>
      </c>
      <c r="E256" s="513" t="s">
        <v>170</v>
      </c>
      <c r="F256" s="415"/>
      <c r="G256" s="415"/>
      <c r="H256" s="415"/>
      <c r="I256" s="415"/>
      <c r="J256" s="415"/>
      <c r="K256" s="415"/>
      <c r="L256" s="415"/>
      <c r="M256" s="415"/>
      <c r="N256" s="415"/>
      <c r="O256" s="415"/>
      <c r="P256" s="503"/>
      <c r="Q256" s="503"/>
      <c r="R256" s="503"/>
      <c r="S256" s="503"/>
      <c r="T256" s="503"/>
      <c r="U256" s="503"/>
      <c r="V256" s="503"/>
      <c r="Z256" s="504"/>
      <c r="AA256" s="504" t="str">
        <f>IF(AND(F257=G257,H257=I257,F257="A"),"2016 - kw","")</f>
        <v/>
      </c>
      <c r="AB256" s="504" t="str">
        <f>IF(OR(B256="2017 - kw",B256="2018 - kw"),"2016 - kw","")</f>
        <v/>
      </c>
      <c r="AC256" s="504"/>
      <c r="AD256" s="504"/>
      <c r="AE256" s="504"/>
    </row>
    <row r="257" spans="1:31" hidden="1" x14ac:dyDescent="0.35">
      <c r="A257" s="503"/>
      <c r="B257" s="503"/>
      <c r="C257" s="514"/>
      <c r="D257" s="515"/>
      <c r="E257" s="516" t="s">
        <v>210</v>
      </c>
      <c r="F257" s="502"/>
      <c r="G257" s="502"/>
      <c r="H257" s="502"/>
      <c r="I257" s="502"/>
      <c r="J257" s="502"/>
      <c r="K257" s="502"/>
      <c r="L257" s="502"/>
      <c r="M257" s="502"/>
      <c r="N257" s="502"/>
      <c r="O257" s="502"/>
      <c r="P257" s="503"/>
      <c r="Q257" s="503"/>
      <c r="R257" s="503"/>
      <c r="S257" s="503"/>
      <c r="T257" s="503"/>
      <c r="U257" s="503"/>
      <c r="V257" s="503"/>
      <c r="Z257" s="504"/>
      <c r="AA257" s="504"/>
      <c r="AB257" s="504"/>
      <c r="AC257" s="504"/>
      <c r="AD257" s="504"/>
      <c r="AE257" s="504"/>
    </row>
    <row r="258" spans="1:31" hidden="1" x14ac:dyDescent="0.35">
      <c r="A258" s="503" t="str">
        <f>IF(AND(F260=G260,H260=I260,J260=K260,F260="A"),"2016 - kwh",IF(AND(F260=G260,H260=I260,J260&lt;&gt;K260,F260="A"),"2017 - kwh",IF(AND(F260=G260,H260&lt;&gt;I260,F260="A"),"2018 - kwh","N/A")))</f>
        <v>N/A</v>
      </c>
      <c r="B258" s="503" t="str">
        <f>IF(F260&lt;&gt;G260,"2018 - kwh",IF(H260&lt;&gt;I260,"2017 - kwh",IF(J260&lt;&gt;K260,"2016 - kwh","N/A")))</f>
        <v>N/A</v>
      </c>
      <c r="C258" s="508" t="s">
        <v>285</v>
      </c>
      <c r="D258" s="509"/>
      <c r="E258" s="510" t="s">
        <v>139</v>
      </c>
      <c r="F258" s="415"/>
      <c r="G258" s="415"/>
      <c r="H258" s="415"/>
      <c r="I258" s="415"/>
      <c r="J258" s="415"/>
      <c r="K258" s="415"/>
      <c r="L258" s="415"/>
      <c r="M258" s="415"/>
      <c r="N258" s="415"/>
      <c r="O258" s="415"/>
      <c r="P258" s="503"/>
      <c r="Q258" s="503"/>
      <c r="R258" s="503"/>
      <c r="S258" s="503"/>
      <c r="T258" s="503"/>
      <c r="U258" s="503"/>
      <c r="V258" s="503"/>
      <c r="Z258" s="504"/>
      <c r="AA258" s="504" t="str">
        <f>IF(AND(F260=G260,H260=I260,F260="A"),"2016 - kwh","")</f>
        <v/>
      </c>
      <c r="AB258" s="504" t="str">
        <f>IF(OR(B258="2017 - kwh",B258="2018 - kwh"),"2016 - kwh","")</f>
        <v/>
      </c>
      <c r="AC258" s="504"/>
      <c r="AD258" s="504"/>
      <c r="AE258" s="504"/>
    </row>
    <row r="259" spans="1:31" hidden="1" x14ac:dyDescent="0.35">
      <c r="A259" s="503" t="str">
        <f>IF(AND(F260=G260,H260=I260,J260=K260,F260="A"),"2016 - kw",IF(AND(F260=G260,H260=I260,J260&lt;&gt;K260,F260="A"),"2017 - kw",IF(AND(F260=G260,H260&lt;&gt;I260,F260="A"),"2018 - kw","N/A")))</f>
        <v>N/A</v>
      </c>
      <c r="B259" s="503" t="str">
        <f>IF(F260&lt;&gt;G260,"2018 - kw",IF(H260&lt;&gt;I260,"2017 - kw",IF(J260&lt;&gt;K260,"2016 - kw","N/A")))</f>
        <v>N/A</v>
      </c>
      <c r="C259" s="511"/>
      <c r="D259" s="512" t="str">
        <f>D258 &amp; "kW"</f>
        <v>kW</v>
      </c>
      <c r="E259" s="513" t="s">
        <v>170</v>
      </c>
      <c r="F259" s="415"/>
      <c r="G259" s="415"/>
      <c r="H259" s="415"/>
      <c r="I259" s="415"/>
      <c r="J259" s="415"/>
      <c r="K259" s="415"/>
      <c r="L259" s="415"/>
      <c r="M259" s="415"/>
      <c r="N259" s="415"/>
      <c r="O259" s="415"/>
      <c r="P259" s="503"/>
      <c r="Q259" s="503"/>
      <c r="R259" s="503"/>
      <c r="S259" s="503"/>
      <c r="T259" s="503"/>
      <c r="U259" s="503"/>
      <c r="V259" s="503"/>
      <c r="Z259" s="504"/>
      <c r="AA259" s="504" t="str">
        <f>IF(AND(F260=G260,H260=I260,F260="A"),"2016 - kw","")</f>
        <v/>
      </c>
      <c r="AB259" s="504" t="str">
        <f>IF(OR(B259="2017 - kw",B259="2018 - kw"),"2016 - kw","")</f>
        <v/>
      </c>
      <c r="AC259" s="504"/>
      <c r="AD259" s="504"/>
      <c r="AE259" s="504"/>
    </row>
    <row r="260" spans="1:31" hidden="1" x14ac:dyDescent="0.35">
      <c r="A260" s="503"/>
      <c r="B260" s="503"/>
      <c r="C260" s="514"/>
      <c r="D260" s="515"/>
      <c r="E260" s="516" t="s">
        <v>210</v>
      </c>
      <c r="F260" s="502"/>
      <c r="G260" s="502"/>
      <c r="H260" s="502"/>
      <c r="I260" s="502"/>
      <c r="J260" s="502"/>
      <c r="K260" s="502"/>
      <c r="L260" s="502"/>
      <c r="M260" s="502"/>
      <c r="N260" s="502"/>
      <c r="O260" s="502"/>
      <c r="P260" s="503"/>
      <c r="Q260" s="503"/>
      <c r="R260" s="503"/>
      <c r="S260" s="503"/>
      <c r="T260" s="503"/>
      <c r="U260" s="503"/>
      <c r="V260" s="503"/>
      <c r="Z260" s="504"/>
      <c r="AA260" s="504"/>
      <c r="AB260" s="504"/>
      <c r="AC260" s="504"/>
      <c r="AD260" s="504"/>
      <c r="AE260" s="504"/>
    </row>
    <row r="261" spans="1:31" hidden="1" x14ac:dyDescent="0.35">
      <c r="A261" s="503" t="str">
        <f>IF(AND(F263=G263,H263=I263,J263=K263,F263="A"),"2016 - kwh",IF(AND(F263=G263,H263=I263,J263&lt;&gt;K263,F263="A"),"2017 - kwh",IF(AND(F263=G263,H263&lt;&gt;I263,F263="A"),"2018 - kwh","N/A")))</f>
        <v>N/A</v>
      </c>
      <c r="B261" s="503" t="str">
        <f>IF(F263&lt;&gt;G263,"2018 - kwh",IF(H263&lt;&gt;I263,"2017 - kwh",IF(J263&lt;&gt;K263,"2016 - kwh","N/A")))</f>
        <v>N/A</v>
      </c>
      <c r="C261" s="508" t="s">
        <v>286</v>
      </c>
      <c r="D261" s="509"/>
      <c r="E261" s="510" t="s">
        <v>139</v>
      </c>
      <c r="F261" s="415"/>
      <c r="G261" s="415"/>
      <c r="H261" s="415"/>
      <c r="I261" s="415"/>
      <c r="J261" s="415"/>
      <c r="K261" s="415"/>
      <c r="L261" s="415"/>
      <c r="M261" s="415"/>
      <c r="N261" s="415"/>
      <c r="O261" s="415"/>
      <c r="P261" s="503"/>
      <c r="Q261" s="503"/>
      <c r="R261" s="503"/>
      <c r="S261" s="503"/>
      <c r="T261" s="503"/>
      <c r="U261" s="503"/>
      <c r="V261" s="503"/>
      <c r="Z261" s="504"/>
      <c r="AA261" s="504" t="str">
        <f>IF(AND(F263=G263,H263=I263,F263="A"),"2016 - kwh","")</f>
        <v/>
      </c>
      <c r="AB261" s="504" t="str">
        <f>IF(OR(B261="2017 - kwh",B261="2018 - kwh"),"2016 - kwh","")</f>
        <v/>
      </c>
      <c r="AC261" s="504"/>
      <c r="AD261" s="504"/>
      <c r="AE261" s="504"/>
    </row>
    <row r="262" spans="1:31" hidden="1" x14ac:dyDescent="0.35">
      <c r="A262" s="503" t="str">
        <f>IF(AND(F263=G263,H263=I263,J263=K263,F263="A"),"2016 - kw",IF(AND(F263=G263,H263=I263,J263&lt;&gt;K263,F263="A"),"2017 - kw",IF(AND(F263=G263,H263&lt;&gt;I263,F263="A"),"2018 - kw","N/A")))</f>
        <v>N/A</v>
      </c>
      <c r="B262" s="503" t="str">
        <f>IF(F263&lt;&gt;G263,"2018 - kw",IF(H263&lt;&gt;I263,"2017 - kw",IF(J263&lt;&gt;K263,"2016 - kw","N/A")))</f>
        <v>N/A</v>
      </c>
      <c r="C262" s="511"/>
      <c r="D262" s="512" t="str">
        <f>D261 &amp; "kW"</f>
        <v>kW</v>
      </c>
      <c r="E262" s="513" t="s">
        <v>170</v>
      </c>
      <c r="F262" s="415"/>
      <c r="G262" s="415"/>
      <c r="H262" s="415"/>
      <c r="I262" s="415"/>
      <c r="J262" s="415"/>
      <c r="K262" s="415"/>
      <c r="L262" s="415"/>
      <c r="M262" s="415"/>
      <c r="N262" s="415"/>
      <c r="O262" s="415"/>
      <c r="P262" s="503"/>
      <c r="Q262" s="503"/>
      <c r="R262" s="503"/>
      <c r="S262" s="503"/>
      <c r="T262" s="503"/>
      <c r="U262" s="503"/>
      <c r="V262" s="503"/>
      <c r="Z262" s="504"/>
      <c r="AA262" s="504" t="str">
        <f>IF(AND(F263=G263,H263=I263,F263="A"),"2016 - kw","")</f>
        <v/>
      </c>
      <c r="AB262" s="504" t="str">
        <f>IF(OR(B262="2017 - kw",B262="2018 - kw"),"2016 - kw","")</f>
        <v/>
      </c>
      <c r="AC262" s="504"/>
      <c r="AD262" s="504"/>
      <c r="AE262" s="504"/>
    </row>
    <row r="263" spans="1:31" hidden="1" x14ac:dyDescent="0.35">
      <c r="A263" s="503"/>
      <c r="B263" s="503"/>
      <c r="C263" s="514"/>
      <c r="D263" s="515"/>
      <c r="E263" s="516" t="s">
        <v>210</v>
      </c>
      <c r="F263" s="502"/>
      <c r="G263" s="502"/>
      <c r="H263" s="502"/>
      <c r="I263" s="502"/>
      <c r="J263" s="502"/>
      <c r="K263" s="502"/>
      <c r="L263" s="502"/>
      <c r="M263" s="502"/>
      <c r="N263" s="502"/>
      <c r="O263" s="502"/>
      <c r="P263" s="503"/>
      <c r="Q263" s="503"/>
      <c r="R263" s="503"/>
      <c r="S263" s="503"/>
      <c r="T263" s="503"/>
      <c r="U263" s="503"/>
      <c r="V263" s="503"/>
      <c r="Z263" s="504"/>
      <c r="AA263" s="504"/>
      <c r="AB263" s="504"/>
      <c r="AC263" s="504"/>
      <c r="AD263" s="504"/>
      <c r="AE263" s="504"/>
    </row>
    <row r="264" spans="1:31" hidden="1" x14ac:dyDescent="0.35">
      <c r="A264" s="503" t="str">
        <f>IF(AND(F266=G266,H266=I266,J266=K266,F266="A"),"2016 - kwh",IF(AND(F266=G266,H266=I266,J266&lt;&gt;K266,F266="A"),"2017 - kwh",IF(AND(F266=G266,H266&lt;&gt;I266,F266="A"),"2018 - kwh","N/A")))</f>
        <v>N/A</v>
      </c>
      <c r="B264" s="503" t="str">
        <f>IF(F266&lt;&gt;G266,"2018 - kwh",IF(H266&lt;&gt;I266,"2017 - kwh",IF(J266&lt;&gt;K266,"2016 - kwh","N/A")))</f>
        <v>N/A</v>
      </c>
      <c r="C264" s="508" t="s">
        <v>287</v>
      </c>
      <c r="D264" s="509"/>
      <c r="E264" s="510" t="s">
        <v>139</v>
      </c>
      <c r="F264" s="415"/>
      <c r="G264" s="415"/>
      <c r="H264" s="415"/>
      <c r="I264" s="415"/>
      <c r="J264" s="415"/>
      <c r="K264" s="415"/>
      <c r="L264" s="415"/>
      <c r="M264" s="415"/>
      <c r="N264" s="415"/>
      <c r="O264" s="415"/>
      <c r="P264" s="503"/>
      <c r="Q264" s="503"/>
      <c r="R264" s="503"/>
      <c r="S264" s="503"/>
      <c r="T264" s="503"/>
      <c r="U264" s="503"/>
      <c r="V264" s="503"/>
      <c r="Z264" s="504"/>
      <c r="AA264" s="504" t="str">
        <f>IF(AND(F266=G266,H266=I266,F266="A"),"2016 - kwh","")</f>
        <v/>
      </c>
      <c r="AB264" s="504" t="str">
        <f>IF(OR(B264="2017 - kwh",B264="2018 - kwh"),"2016 - kwh","")</f>
        <v/>
      </c>
      <c r="AC264" s="504"/>
      <c r="AD264" s="504"/>
      <c r="AE264" s="504"/>
    </row>
    <row r="265" spans="1:31" hidden="1" x14ac:dyDescent="0.35">
      <c r="A265" s="503" t="str">
        <f>IF(AND(F266=G266,H266=I266,J266=K266,F266="A"),"2016 - kw",IF(AND(F266=G266,H266=I266,J266&lt;&gt;K266,F266="A"),"2017 - kw",IF(AND(F266=G266,H266&lt;&gt;I266,F266="A"),"2018 - kw","N/A")))</f>
        <v>N/A</v>
      </c>
      <c r="B265" s="503" t="str">
        <f>IF(F266&lt;&gt;G266,"2018 - kw",IF(H266&lt;&gt;I266,"2017 - kw",IF(J266&lt;&gt;K266,"2016 - kw","N/A")))</f>
        <v>N/A</v>
      </c>
      <c r="C265" s="511"/>
      <c r="D265" s="512" t="str">
        <f>D264 &amp; "kW"</f>
        <v>kW</v>
      </c>
      <c r="E265" s="513" t="s">
        <v>170</v>
      </c>
      <c r="F265" s="415"/>
      <c r="G265" s="415"/>
      <c r="H265" s="415"/>
      <c r="I265" s="415"/>
      <c r="J265" s="415"/>
      <c r="K265" s="415"/>
      <c r="L265" s="415"/>
      <c r="M265" s="415"/>
      <c r="N265" s="415"/>
      <c r="O265" s="415"/>
      <c r="P265" s="503"/>
      <c r="Q265" s="503"/>
      <c r="R265" s="503"/>
      <c r="S265" s="503"/>
      <c r="T265" s="503"/>
      <c r="U265" s="503"/>
      <c r="V265" s="503"/>
      <c r="Z265" s="504"/>
      <c r="AA265" s="504" t="str">
        <f>IF(AND(F266=G266,H266=I266,F266="A"),"2016 - kw","")</f>
        <v/>
      </c>
      <c r="AB265" s="504" t="str">
        <f>IF(OR(B265="2017 - kw",B265="2018 - kw"),"2016 - kw","")</f>
        <v/>
      </c>
      <c r="AC265" s="504"/>
      <c r="AD265" s="504"/>
      <c r="AE265" s="504"/>
    </row>
    <row r="266" spans="1:31" hidden="1" x14ac:dyDescent="0.35">
      <c r="A266" s="503"/>
      <c r="B266" s="503"/>
      <c r="C266" s="514"/>
      <c r="D266" s="515"/>
      <c r="E266" s="516" t="s">
        <v>210</v>
      </c>
      <c r="F266" s="502"/>
      <c r="G266" s="502"/>
      <c r="H266" s="502"/>
      <c r="I266" s="502"/>
      <c r="J266" s="502"/>
      <c r="K266" s="502"/>
      <c r="L266" s="502"/>
      <c r="M266" s="502"/>
      <c r="N266" s="502"/>
      <c r="O266" s="502"/>
      <c r="P266" s="503"/>
      <c r="Q266" s="503"/>
      <c r="R266" s="503"/>
      <c r="S266" s="503"/>
      <c r="T266" s="503"/>
      <c r="U266" s="503"/>
      <c r="V266" s="503"/>
      <c r="Z266" s="504"/>
      <c r="AA266" s="504"/>
      <c r="AB266" s="504"/>
      <c r="AC266" s="504"/>
      <c r="AD266" s="504"/>
      <c r="AE266" s="504"/>
    </row>
    <row r="267" spans="1:31" hidden="1" x14ac:dyDescent="0.35">
      <c r="A267" s="503" t="str">
        <f>IF(AND(F269=G269,H269=I269,J269=K269,F269="A"),"2016 - kwh",IF(AND(F269=G269,H269=I269,J269&lt;&gt;K269,F269="A"),"2017 - kwh",IF(AND(F269=G269,H269&lt;&gt;I269,F269="A"),"2018 - kwh","N/A")))</f>
        <v>N/A</v>
      </c>
      <c r="B267" s="503" t="str">
        <f>IF(F269&lt;&gt;G269,"2018 - kwh",IF(H269&lt;&gt;I269,"2017 - kwh",IF(J269&lt;&gt;K269,"2016 - kwh","N/A")))</f>
        <v>N/A</v>
      </c>
      <c r="C267" s="508" t="s">
        <v>288</v>
      </c>
      <c r="D267" s="509"/>
      <c r="E267" s="510" t="s">
        <v>139</v>
      </c>
      <c r="F267" s="415"/>
      <c r="G267" s="415"/>
      <c r="H267" s="415"/>
      <c r="I267" s="415"/>
      <c r="J267" s="415"/>
      <c r="K267" s="415"/>
      <c r="L267" s="415"/>
      <c r="M267" s="415"/>
      <c r="N267" s="415"/>
      <c r="O267" s="415"/>
      <c r="P267" s="503"/>
      <c r="Q267" s="503"/>
      <c r="R267" s="503"/>
      <c r="S267" s="503"/>
      <c r="T267" s="503"/>
      <c r="U267" s="503"/>
      <c r="V267" s="503"/>
      <c r="Z267" s="504"/>
      <c r="AA267" s="504" t="str">
        <f>IF(AND(F269=G269,H269=I269,F269="A"),"2016 - kwh","")</f>
        <v/>
      </c>
      <c r="AB267" s="504" t="str">
        <f>IF(OR(B267="2017 - kwh",B267="2018 - kwh"),"2016 - kwh","")</f>
        <v/>
      </c>
      <c r="AC267" s="504"/>
      <c r="AD267" s="504"/>
      <c r="AE267" s="504"/>
    </row>
    <row r="268" spans="1:31" hidden="1" x14ac:dyDescent="0.35">
      <c r="A268" s="503" t="str">
        <f>IF(AND(F269=G269,H269=I269,J269=K269,F269="A"),"2016 - kw",IF(AND(F269=G269,H269=I269,J269&lt;&gt;K269,F269="A"),"2017 - kw",IF(AND(F269=G269,H269&lt;&gt;I269,F269="A"),"2018 - kw","N/A")))</f>
        <v>N/A</v>
      </c>
      <c r="B268" s="503" t="str">
        <f>IF(F269&lt;&gt;G269,"2018 - kw",IF(H269&lt;&gt;I269,"2017 - kw",IF(J269&lt;&gt;K269,"2016 - kw","N/A")))</f>
        <v>N/A</v>
      </c>
      <c r="C268" s="511"/>
      <c r="D268" s="512" t="str">
        <f>D267 &amp; "kW"</f>
        <v>kW</v>
      </c>
      <c r="E268" s="513" t="s">
        <v>170</v>
      </c>
      <c r="F268" s="415"/>
      <c r="G268" s="415"/>
      <c r="H268" s="415"/>
      <c r="I268" s="415"/>
      <c r="J268" s="415"/>
      <c r="K268" s="415"/>
      <c r="L268" s="415"/>
      <c r="M268" s="415"/>
      <c r="N268" s="415"/>
      <c r="O268" s="415"/>
      <c r="P268" s="503"/>
      <c r="Q268" s="503"/>
      <c r="R268" s="503"/>
      <c r="S268" s="503"/>
      <c r="T268" s="503"/>
      <c r="U268" s="503"/>
      <c r="V268" s="503"/>
      <c r="Z268" s="504"/>
      <c r="AA268" s="504" t="str">
        <f>IF(AND(F269=G269,H269=I269,F269="A"),"2016 - kw","")</f>
        <v/>
      </c>
      <c r="AB268" s="504" t="str">
        <f>IF(OR(B268="2017 - kw",B268="2018 - kw"),"2016 - kw","")</f>
        <v/>
      </c>
      <c r="AC268" s="504"/>
      <c r="AD268" s="504"/>
      <c r="AE268" s="504"/>
    </row>
    <row r="269" spans="1:31" hidden="1" x14ac:dyDescent="0.35">
      <c r="A269" s="503"/>
      <c r="B269" s="503"/>
      <c r="C269" s="514"/>
      <c r="D269" s="515"/>
      <c r="E269" s="516" t="s">
        <v>210</v>
      </c>
      <c r="F269" s="502"/>
      <c r="G269" s="502"/>
      <c r="H269" s="502"/>
      <c r="I269" s="502"/>
      <c r="J269" s="502"/>
      <c r="K269" s="502"/>
      <c r="L269" s="502"/>
      <c r="M269" s="502"/>
      <c r="N269" s="502"/>
      <c r="O269" s="502"/>
      <c r="P269" s="503"/>
      <c r="Q269" s="503"/>
      <c r="R269" s="503"/>
      <c r="S269" s="503"/>
      <c r="T269" s="503"/>
      <c r="U269" s="503"/>
      <c r="V269" s="503"/>
      <c r="Z269" s="504"/>
      <c r="AA269" s="504"/>
      <c r="AB269" s="504"/>
      <c r="AC269" s="504"/>
      <c r="AD269" s="504"/>
      <c r="AE269" s="504"/>
    </row>
    <row r="270" spans="1:31" hidden="1" x14ac:dyDescent="0.35">
      <c r="A270" s="503" t="str">
        <f>IF(AND(F272=G272,H272=I272,J272=K272,F272="A"),"2016 - kwh",IF(AND(F272=G272,H272=I272,J272&lt;&gt;K272,F272="A"),"2017 - kwh",IF(AND(F272=G272,H272&lt;&gt;I272,F272="A"),"2018 - kwh","N/A")))</f>
        <v>N/A</v>
      </c>
      <c r="B270" s="503" t="str">
        <f>IF(F272&lt;&gt;G272,"2018 - kwh",IF(H272&lt;&gt;I272,"2017 - kwh",IF(J272&lt;&gt;K272,"2016 - kwh","N/A")))</f>
        <v>N/A</v>
      </c>
      <c r="C270" s="508" t="s">
        <v>289</v>
      </c>
      <c r="D270" s="509"/>
      <c r="E270" s="510" t="s">
        <v>139</v>
      </c>
      <c r="F270" s="415"/>
      <c r="G270" s="415"/>
      <c r="H270" s="415"/>
      <c r="I270" s="415"/>
      <c r="J270" s="415"/>
      <c r="K270" s="415"/>
      <c r="L270" s="415"/>
      <c r="M270" s="415"/>
      <c r="N270" s="415"/>
      <c r="O270" s="415"/>
      <c r="P270" s="503"/>
      <c r="Q270" s="503"/>
      <c r="R270" s="503"/>
      <c r="S270" s="503"/>
      <c r="T270" s="503"/>
      <c r="U270" s="503"/>
      <c r="V270" s="503"/>
      <c r="Z270" s="504"/>
      <c r="AA270" s="504" t="str">
        <f>IF(AND(F272=G272,H272=I272,F272="A"),"2016 - kwh","")</f>
        <v/>
      </c>
      <c r="AB270" s="504" t="str">
        <f>IF(OR(B270="2017 - kwh",B270="2018 - kwh"),"2016 - kwh","")</f>
        <v/>
      </c>
      <c r="AC270" s="504"/>
      <c r="AD270" s="504"/>
      <c r="AE270" s="504"/>
    </row>
    <row r="271" spans="1:31" hidden="1" x14ac:dyDescent="0.35">
      <c r="A271" s="503" t="str">
        <f>IF(AND(F272=G272,H272=I272,J272=K272,F272="A"),"2016 - kw",IF(AND(F272=G272,H272=I272,J272&lt;&gt;K272,F272="A"),"2017 - kw",IF(AND(F272=G272,H272&lt;&gt;I272,F272="A"),"2018 - kw","N/A")))</f>
        <v>N/A</v>
      </c>
      <c r="B271" s="503" t="str">
        <f>IF(F272&lt;&gt;G272,"2018 - kw",IF(H272&lt;&gt;I272,"2017 - kw",IF(J272&lt;&gt;K272,"2016 - kw","N/A")))</f>
        <v>N/A</v>
      </c>
      <c r="C271" s="511"/>
      <c r="D271" s="512" t="str">
        <f>D270 &amp; "kW"</f>
        <v>kW</v>
      </c>
      <c r="E271" s="513" t="s">
        <v>170</v>
      </c>
      <c r="F271" s="415"/>
      <c r="G271" s="415"/>
      <c r="H271" s="415"/>
      <c r="I271" s="415"/>
      <c r="J271" s="415"/>
      <c r="K271" s="415"/>
      <c r="L271" s="415"/>
      <c r="M271" s="415"/>
      <c r="N271" s="415"/>
      <c r="O271" s="415"/>
      <c r="P271" s="503"/>
      <c r="Q271" s="503"/>
      <c r="R271" s="503"/>
      <c r="S271" s="503"/>
      <c r="T271" s="503"/>
      <c r="U271" s="503"/>
      <c r="V271" s="503"/>
      <c r="Z271" s="504"/>
      <c r="AA271" s="504" t="str">
        <f>IF(AND(F272=G272,H272=I272,F272="A"),"2016 - kw","")</f>
        <v/>
      </c>
      <c r="AB271" s="504" t="str">
        <f>IF(OR(B271="2017 - kw",B271="2018 - kw"),"2016 - kw","")</f>
        <v/>
      </c>
      <c r="AC271" s="504"/>
      <c r="AD271" s="504"/>
      <c r="AE271" s="504"/>
    </row>
    <row r="272" spans="1:31" hidden="1" x14ac:dyDescent="0.35">
      <c r="A272" s="503"/>
      <c r="B272" s="503"/>
      <c r="C272" s="514"/>
      <c r="D272" s="515"/>
      <c r="E272" s="516" t="s">
        <v>210</v>
      </c>
      <c r="F272" s="502"/>
      <c r="G272" s="502"/>
      <c r="H272" s="502"/>
      <c r="I272" s="502"/>
      <c r="J272" s="502"/>
      <c r="K272" s="502"/>
      <c r="L272" s="502"/>
      <c r="M272" s="502"/>
      <c r="N272" s="502"/>
      <c r="O272" s="502"/>
      <c r="P272" s="503"/>
      <c r="Q272" s="503"/>
      <c r="R272" s="503"/>
      <c r="S272" s="503"/>
      <c r="T272" s="503"/>
      <c r="U272" s="503"/>
      <c r="V272" s="503"/>
      <c r="Z272" s="504"/>
      <c r="AA272" s="504"/>
      <c r="AB272" s="504"/>
      <c r="AC272" s="504"/>
      <c r="AD272" s="504"/>
      <c r="AE272" s="504"/>
    </row>
    <row r="273" spans="1:31" hidden="1" x14ac:dyDescent="0.35">
      <c r="A273" s="503" t="str">
        <f>IF(AND(F275=G275,H275=I275,J275=K275,F275="A"),"2016 - kwh",IF(AND(F275=G275,H275=I275,J275&lt;&gt;K275,F275="A"),"2017 - kwh",IF(AND(F275=G275,H275&lt;&gt;I275,F275="A"),"2018 - kwh","N/A")))</f>
        <v>N/A</v>
      </c>
      <c r="B273" s="503" t="str">
        <f>IF(F275&lt;&gt;G275,"2018 - kwh",IF(H275&lt;&gt;I275,"2017 - kwh",IF(J275&lt;&gt;K275,"2016 - kwh","N/A")))</f>
        <v>N/A</v>
      </c>
      <c r="C273" s="508" t="s">
        <v>290</v>
      </c>
      <c r="D273" s="509"/>
      <c r="E273" s="510" t="s">
        <v>139</v>
      </c>
      <c r="F273" s="415"/>
      <c r="G273" s="415"/>
      <c r="H273" s="415"/>
      <c r="I273" s="415"/>
      <c r="J273" s="415"/>
      <c r="K273" s="415"/>
      <c r="L273" s="415"/>
      <c r="M273" s="415"/>
      <c r="N273" s="415"/>
      <c r="O273" s="415"/>
      <c r="P273" s="503"/>
      <c r="Q273" s="503"/>
      <c r="R273" s="503"/>
      <c r="S273" s="503"/>
      <c r="T273" s="503"/>
      <c r="U273" s="503"/>
      <c r="V273" s="503"/>
      <c r="Z273" s="504"/>
      <c r="AA273" s="504" t="str">
        <f>IF(AND(F275=G275,H275=I275,F275="A"),"2016 - kwh","")</f>
        <v/>
      </c>
      <c r="AB273" s="504" t="str">
        <f>IF(OR(B273="2017 - kwh",B273="2018 - kwh"),"2016 - kwh","")</f>
        <v/>
      </c>
      <c r="AC273" s="504"/>
      <c r="AD273" s="504"/>
      <c r="AE273" s="504"/>
    </row>
    <row r="274" spans="1:31" hidden="1" x14ac:dyDescent="0.35">
      <c r="A274" s="503" t="str">
        <f>IF(AND(F275=G275,H275=I275,J275=K275,F275="A"),"2016 - kw",IF(AND(F275=G275,H275=I275,J275&lt;&gt;K275,F275="A"),"2017 - kw",IF(AND(F275=G275,H275&lt;&gt;I275,F275="A"),"2018 - kw","N/A")))</f>
        <v>N/A</v>
      </c>
      <c r="B274" s="503" t="str">
        <f>IF(F275&lt;&gt;G275,"2018 - kw",IF(H275&lt;&gt;I275,"2017 - kw",IF(J275&lt;&gt;K275,"2016 - kw","N/A")))</f>
        <v>N/A</v>
      </c>
      <c r="C274" s="511"/>
      <c r="D274" s="512" t="str">
        <f>D273 &amp; "kW"</f>
        <v>kW</v>
      </c>
      <c r="E274" s="513" t="s">
        <v>170</v>
      </c>
      <c r="F274" s="415"/>
      <c r="G274" s="415"/>
      <c r="H274" s="415"/>
      <c r="I274" s="415"/>
      <c r="J274" s="415"/>
      <c r="K274" s="415"/>
      <c r="L274" s="415"/>
      <c r="M274" s="415"/>
      <c r="N274" s="415"/>
      <c r="O274" s="415"/>
      <c r="P274" s="503"/>
      <c r="Q274" s="503"/>
      <c r="R274" s="503"/>
      <c r="S274" s="503"/>
      <c r="T274" s="503"/>
      <c r="U274" s="503"/>
      <c r="V274" s="503"/>
      <c r="Z274" s="504"/>
      <c r="AA274" s="504" t="str">
        <f>IF(AND(F275=G275,H275=I275,F275="A"),"2016 - kw","")</f>
        <v/>
      </c>
      <c r="AB274" s="504" t="str">
        <f>IF(OR(B274="2017 - kw",B274="2018 - kw"),"2016 - kw","")</f>
        <v/>
      </c>
      <c r="AC274" s="504"/>
      <c r="AD274" s="504"/>
      <c r="AE274" s="504"/>
    </row>
    <row r="275" spans="1:31" hidden="1" x14ac:dyDescent="0.35">
      <c r="A275" s="503"/>
      <c r="B275" s="503"/>
      <c r="C275" s="514"/>
      <c r="D275" s="515"/>
      <c r="E275" s="516" t="s">
        <v>210</v>
      </c>
      <c r="F275" s="502"/>
      <c r="G275" s="502"/>
      <c r="H275" s="502"/>
      <c r="I275" s="502"/>
      <c r="J275" s="502"/>
      <c r="K275" s="502"/>
      <c r="L275" s="502"/>
      <c r="M275" s="502"/>
      <c r="N275" s="502"/>
      <c r="O275" s="502"/>
      <c r="P275" s="503"/>
      <c r="Q275" s="503"/>
      <c r="R275" s="503"/>
      <c r="S275" s="503"/>
      <c r="T275" s="503"/>
      <c r="U275" s="503"/>
      <c r="V275" s="503"/>
      <c r="Z275" s="504"/>
      <c r="AA275" s="504"/>
      <c r="AB275" s="504"/>
      <c r="AC275" s="504"/>
      <c r="AD275" s="504"/>
      <c r="AE275" s="504"/>
    </row>
    <row r="276" spans="1:31" hidden="1" x14ac:dyDescent="0.35">
      <c r="A276" s="503" t="str">
        <f>IF(AND(F278=G278,H278=I278,J278=K278,F278="A"),"2016 - kwh",IF(AND(F278=G278,H278=I278,J278&lt;&gt;K278,F278="A"),"2017 - kwh",IF(AND(F278=G278,H278&lt;&gt;I278,F278="A"),"2018 - kwh","N/A")))</f>
        <v>N/A</v>
      </c>
      <c r="B276" s="503" t="str">
        <f>IF(F278&lt;&gt;G278,"2018 - kwh",IF(H278&lt;&gt;I278,"2017 - kwh",IF(J278&lt;&gt;K278,"2016 - kwh","N/A")))</f>
        <v>N/A</v>
      </c>
      <c r="C276" s="508" t="s">
        <v>291</v>
      </c>
      <c r="D276" s="509"/>
      <c r="E276" s="510" t="s">
        <v>139</v>
      </c>
      <c r="F276" s="415"/>
      <c r="G276" s="415"/>
      <c r="H276" s="415"/>
      <c r="I276" s="415"/>
      <c r="J276" s="415"/>
      <c r="K276" s="415"/>
      <c r="L276" s="415"/>
      <c r="M276" s="415"/>
      <c r="N276" s="415"/>
      <c r="O276" s="415"/>
      <c r="P276" s="503"/>
      <c r="Q276" s="503"/>
      <c r="R276" s="503"/>
      <c r="S276" s="503"/>
      <c r="T276" s="503"/>
      <c r="U276" s="503"/>
      <c r="V276" s="503"/>
      <c r="Z276" s="504"/>
      <c r="AA276" s="504" t="str">
        <f>IF(AND(F278=G278,H278=I278,F278="A"),"2016 - kwh","")</f>
        <v/>
      </c>
      <c r="AB276" s="504" t="str">
        <f>IF(OR(B276="2017 - kwh",B276="2018 - kwh"),"2016 - kwh","")</f>
        <v/>
      </c>
      <c r="AC276" s="504"/>
      <c r="AD276" s="504"/>
      <c r="AE276" s="504"/>
    </row>
    <row r="277" spans="1:31" hidden="1" x14ac:dyDescent="0.35">
      <c r="A277" s="503" t="str">
        <f>IF(AND(F278=G278,H278=I278,J278=K278,F278="A"),"2016 - kw",IF(AND(F278=G278,H278=I278,J278&lt;&gt;K278,F278="A"),"2017 - kw",IF(AND(F278=G278,H278&lt;&gt;I278,F278="A"),"2018 - kw","N/A")))</f>
        <v>N/A</v>
      </c>
      <c r="B277" s="503" t="str">
        <f>IF(F278&lt;&gt;G278,"2018 - kw",IF(H278&lt;&gt;I278,"2017 - kw",IF(J278&lt;&gt;K278,"2016 - kw","N/A")))</f>
        <v>N/A</v>
      </c>
      <c r="C277" s="511"/>
      <c r="D277" s="512" t="str">
        <f>D276 &amp; "kW"</f>
        <v>kW</v>
      </c>
      <c r="E277" s="513" t="s">
        <v>170</v>
      </c>
      <c r="F277" s="415"/>
      <c r="G277" s="415"/>
      <c r="H277" s="415"/>
      <c r="I277" s="415"/>
      <c r="J277" s="415"/>
      <c r="K277" s="415"/>
      <c r="L277" s="415"/>
      <c r="M277" s="415"/>
      <c r="N277" s="415"/>
      <c r="O277" s="415"/>
      <c r="P277" s="503"/>
      <c r="Q277" s="503"/>
      <c r="R277" s="503"/>
      <c r="S277" s="503"/>
      <c r="T277" s="503"/>
      <c r="U277" s="503"/>
      <c r="V277" s="503"/>
      <c r="Z277" s="504"/>
      <c r="AA277" s="504" t="str">
        <f>IF(AND(F278=G278,H278=I278,F278="A"),"2016 - kw","")</f>
        <v/>
      </c>
      <c r="AB277" s="504" t="str">
        <f>IF(OR(B277="2017 - kw",B277="2018 - kw"),"2016 - kw","")</f>
        <v/>
      </c>
      <c r="AC277" s="504"/>
      <c r="AD277" s="504"/>
      <c r="AE277" s="504"/>
    </row>
    <row r="278" spans="1:31" hidden="1" x14ac:dyDescent="0.35">
      <c r="A278" s="503"/>
      <c r="B278" s="503"/>
      <c r="C278" s="514"/>
      <c r="D278" s="515"/>
      <c r="E278" s="516" t="s">
        <v>210</v>
      </c>
      <c r="F278" s="502"/>
      <c r="G278" s="502"/>
      <c r="H278" s="502"/>
      <c r="I278" s="502"/>
      <c r="J278" s="502"/>
      <c r="K278" s="502"/>
      <c r="L278" s="502"/>
      <c r="M278" s="502"/>
      <c r="N278" s="502"/>
      <c r="O278" s="502"/>
      <c r="P278" s="503"/>
      <c r="Q278" s="503"/>
      <c r="R278" s="503"/>
      <c r="S278" s="503"/>
      <c r="T278" s="503"/>
      <c r="U278" s="503"/>
      <c r="V278" s="503"/>
      <c r="Z278" s="504"/>
      <c r="AA278" s="504"/>
      <c r="AB278" s="504"/>
      <c r="AC278" s="504"/>
      <c r="AD278" s="504"/>
      <c r="AE278" s="504"/>
    </row>
    <row r="279" spans="1:31" hidden="1" x14ac:dyDescent="0.35">
      <c r="A279" s="503" t="str">
        <f>IF(AND(F281=G281,H281=I281,J281=K281,F281="A"),"2016 - kwh",IF(AND(F281=G281,H281=I281,J281&lt;&gt;K281,F281="A"),"2017 - kwh",IF(AND(F281=G281,H281&lt;&gt;I281,F281="A"),"2018 - kwh","N/A")))</f>
        <v>N/A</v>
      </c>
      <c r="B279" s="503" t="str">
        <f>IF(F281&lt;&gt;G281,"2018 - kwh",IF(H281&lt;&gt;I281,"2017 - kwh",IF(J281&lt;&gt;K281,"2016 - kwh","N/A")))</f>
        <v>N/A</v>
      </c>
      <c r="C279" s="508" t="s">
        <v>292</v>
      </c>
      <c r="D279" s="509"/>
      <c r="E279" s="510" t="s">
        <v>139</v>
      </c>
      <c r="F279" s="415"/>
      <c r="G279" s="415"/>
      <c r="H279" s="415"/>
      <c r="I279" s="415"/>
      <c r="J279" s="415"/>
      <c r="K279" s="415"/>
      <c r="L279" s="415"/>
      <c r="M279" s="415"/>
      <c r="N279" s="415"/>
      <c r="O279" s="415"/>
      <c r="P279" s="503"/>
      <c r="Q279" s="503"/>
      <c r="R279" s="503"/>
      <c r="S279" s="503"/>
      <c r="T279" s="503"/>
      <c r="U279" s="503"/>
      <c r="V279" s="503"/>
      <c r="Z279" s="504"/>
      <c r="AA279" s="504" t="str">
        <f>IF(AND(F281=G281,H281=I281,F281="A"),"2016 - kwh","")</f>
        <v/>
      </c>
      <c r="AB279" s="504" t="str">
        <f>IF(OR(B279="2017 - kwh",B279="2018 - kwh"),"2016 - kwh","")</f>
        <v/>
      </c>
      <c r="AC279" s="504"/>
      <c r="AD279" s="504"/>
      <c r="AE279" s="504"/>
    </row>
    <row r="280" spans="1:31" hidden="1" x14ac:dyDescent="0.35">
      <c r="A280" s="503" t="str">
        <f>IF(AND(F281=G281,H281=I281,J281=K281,F281="A"),"2016 - kw",IF(AND(F281=G281,H281=I281,J281&lt;&gt;K281,F281="A"),"2017 - kw",IF(AND(F281=G281,H281&lt;&gt;I281,F281="A"),"2018 - kw","N/A")))</f>
        <v>N/A</v>
      </c>
      <c r="B280" s="503" t="str">
        <f>IF(F281&lt;&gt;G281,"2018 - kw",IF(H281&lt;&gt;I281,"2017 - kw",IF(J281&lt;&gt;K281,"2016 - kw","N/A")))</f>
        <v>N/A</v>
      </c>
      <c r="C280" s="511"/>
      <c r="D280" s="512" t="str">
        <f>D279 &amp; "kW"</f>
        <v>kW</v>
      </c>
      <c r="E280" s="513" t="s">
        <v>170</v>
      </c>
      <c r="F280" s="415"/>
      <c r="G280" s="415"/>
      <c r="H280" s="415"/>
      <c r="I280" s="415"/>
      <c r="J280" s="415"/>
      <c r="K280" s="415"/>
      <c r="L280" s="415"/>
      <c r="M280" s="415"/>
      <c r="N280" s="415"/>
      <c r="O280" s="415"/>
      <c r="P280" s="503"/>
      <c r="Q280" s="503"/>
      <c r="R280" s="503"/>
      <c r="S280" s="503"/>
      <c r="T280" s="503"/>
      <c r="U280" s="503"/>
      <c r="V280" s="503"/>
      <c r="Z280" s="504"/>
      <c r="AA280" s="504" t="str">
        <f>IF(AND(F281=G281,H281=I281,F281="A"),"2016 - kw","")</f>
        <v/>
      </c>
      <c r="AB280" s="504" t="str">
        <f>IF(OR(B280="2017 - kw",B280="2018 - kw"),"2016 - kw","")</f>
        <v/>
      </c>
      <c r="AC280" s="504"/>
      <c r="AD280" s="504"/>
      <c r="AE280" s="504"/>
    </row>
    <row r="281" spans="1:31" hidden="1" x14ac:dyDescent="0.35">
      <c r="A281" s="503"/>
      <c r="B281" s="503"/>
      <c r="C281" s="514"/>
      <c r="D281" s="515"/>
      <c r="E281" s="516" t="s">
        <v>210</v>
      </c>
      <c r="F281" s="502"/>
      <c r="G281" s="502"/>
      <c r="H281" s="502"/>
      <c r="I281" s="502"/>
      <c r="J281" s="502"/>
      <c r="K281" s="502"/>
      <c r="L281" s="502"/>
      <c r="M281" s="502"/>
      <c r="N281" s="502"/>
      <c r="O281" s="502"/>
      <c r="P281" s="503"/>
      <c r="Q281" s="503"/>
      <c r="R281" s="503"/>
      <c r="S281" s="503"/>
      <c r="T281" s="503"/>
      <c r="U281" s="503"/>
      <c r="V281" s="503"/>
      <c r="Z281" s="504"/>
      <c r="AA281" s="504"/>
      <c r="AB281" s="504"/>
      <c r="AC281" s="504"/>
      <c r="AD281" s="504"/>
      <c r="AE281" s="504"/>
    </row>
    <row r="282" spans="1:31" hidden="1" x14ac:dyDescent="0.35">
      <c r="A282" s="503" t="str">
        <f>IF(AND(F284=G284,H284=I284,J284=K284,F284="A"),"2016 - kwh",IF(AND(F284=G284,H284=I284,J284&lt;&gt;K284,F284="A"),"2017 - kwh",IF(AND(F284=G284,H284&lt;&gt;I284,F284="A"),"2018 - kwh","N/A")))</f>
        <v>N/A</v>
      </c>
      <c r="B282" s="503" t="str">
        <f>IF(F284&lt;&gt;G284,"2018 - kwh",IF(H284&lt;&gt;I284,"2017 - kwh",IF(J284&lt;&gt;K284,"2016 - kwh","N/A")))</f>
        <v>N/A</v>
      </c>
      <c r="C282" s="508" t="s">
        <v>293</v>
      </c>
      <c r="D282" s="509"/>
      <c r="E282" s="510" t="s">
        <v>139</v>
      </c>
      <c r="F282" s="415"/>
      <c r="G282" s="415"/>
      <c r="H282" s="415"/>
      <c r="I282" s="415"/>
      <c r="J282" s="415"/>
      <c r="K282" s="415"/>
      <c r="L282" s="415"/>
      <c r="M282" s="415"/>
      <c r="N282" s="415"/>
      <c r="O282" s="415"/>
      <c r="P282" s="503"/>
      <c r="Q282" s="503"/>
      <c r="R282" s="503"/>
      <c r="S282" s="503"/>
      <c r="T282" s="503"/>
      <c r="U282" s="503"/>
      <c r="V282" s="503"/>
      <c r="Z282" s="504"/>
      <c r="AA282" s="504" t="str">
        <f>IF(AND(F284=G284,H284=I284,F284="A"),"2016 - kwh","")</f>
        <v/>
      </c>
      <c r="AB282" s="504" t="str">
        <f>IF(OR(B282="2017 - kwh",B282="2018 - kwh"),"2016 - kwh","")</f>
        <v/>
      </c>
      <c r="AC282" s="504"/>
      <c r="AD282" s="504"/>
      <c r="AE282" s="504"/>
    </row>
    <row r="283" spans="1:31" hidden="1" x14ac:dyDescent="0.35">
      <c r="A283" s="503" t="str">
        <f>IF(AND(F284=G284,H284=I284,J284=K284,F284="A"),"2016 - kw",IF(AND(F284=G284,H284=I284,J284&lt;&gt;K284,F284="A"),"2017 - kw",IF(AND(F284=G284,H284&lt;&gt;I284,F284="A"),"2018 - kw","N/A")))</f>
        <v>N/A</v>
      </c>
      <c r="B283" s="503" t="str">
        <f>IF(F284&lt;&gt;G284,"2018 - kw",IF(H284&lt;&gt;I284,"2017 - kw",IF(J284&lt;&gt;K284,"2016 - kw","N/A")))</f>
        <v>N/A</v>
      </c>
      <c r="C283" s="511"/>
      <c r="D283" s="512" t="str">
        <f>D282 &amp; "kW"</f>
        <v>kW</v>
      </c>
      <c r="E283" s="513" t="s">
        <v>170</v>
      </c>
      <c r="F283" s="415"/>
      <c r="G283" s="415"/>
      <c r="H283" s="415"/>
      <c r="I283" s="415"/>
      <c r="J283" s="415"/>
      <c r="K283" s="415"/>
      <c r="L283" s="415"/>
      <c r="M283" s="415"/>
      <c r="N283" s="415"/>
      <c r="O283" s="415"/>
      <c r="P283" s="503"/>
      <c r="Q283" s="503"/>
      <c r="R283" s="503"/>
      <c r="S283" s="503"/>
      <c r="T283" s="503"/>
      <c r="U283" s="503"/>
      <c r="V283" s="503"/>
      <c r="Z283" s="504"/>
      <c r="AA283" s="504" t="str">
        <f>IF(AND(F284=G284,H284=I284,F284="A"),"2016 - kw","")</f>
        <v/>
      </c>
      <c r="AB283" s="504" t="str">
        <f>IF(OR(B283="2017 - kw",B283="2018 - kw"),"2016 - kw","")</f>
        <v/>
      </c>
      <c r="AC283" s="504"/>
      <c r="AD283" s="504"/>
      <c r="AE283" s="504"/>
    </row>
    <row r="284" spans="1:31" hidden="1" x14ac:dyDescent="0.35">
      <c r="A284" s="503"/>
      <c r="B284" s="503"/>
      <c r="C284" s="514"/>
      <c r="D284" s="515"/>
      <c r="E284" s="516" t="s">
        <v>210</v>
      </c>
      <c r="F284" s="502"/>
      <c r="G284" s="502"/>
      <c r="H284" s="502"/>
      <c r="I284" s="502"/>
      <c r="J284" s="502"/>
      <c r="K284" s="502"/>
      <c r="L284" s="502"/>
      <c r="M284" s="502"/>
      <c r="N284" s="502"/>
      <c r="O284" s="502"/>
      <c r="P284" s="503"/>
      <c r="Q284" s="503"/>
      <c r="R284" s="503"/>
      <c r="S284" s="503"/>
      <c r="T284" s="503"/>
      <c r="U284" s="503"/>
      <c r="V284" s="503"/>
      <c r="Z284" s="504"/>
      <c r="AA284" s="504"/>
      <c r="AB284" s="504"/>
      <c r="AC284" s="504"/>
      <c r="AD284" s="504"/>
      <c r="AE284" s="504"/>
    </row>
    <row r="285" spans="1:31" hidden="1" x14ac:dyDescent="0.35">
      <c r="A285" s="503" t="str">
        <f>IF(AND(F287=G287,H287=I287,J287=K287,F287="A"),"2016 - kwh",IF(AND(F287=G287,H287=I287,J287&lt;&gt;K287,F287="A"),"2017 - kwh",IF(AND(F287=G287,H287&lt;&gt;I287,F287="A"),"2018 - kwh","N/A")))</f>
        <v>N/A</v>
      </c>
      <c r="B285" s="503" t="str">
        <f>IF(F287&lt;&gt;G287,"2018 - kwh",IF(H287&lt;&gt;I287,"2017 - kwh",IF(J287&lt;&gt;K287,"2016 - kwh","N/A")))</f>
        <v>N/A</v>
      </c>
      <c r="C285" s="508" t="s">
        <v>294</v>
      </c>
      <c r="D285" s="509"/>
      <c r="E285" s="510" t="s">
        <v>139</v>
      </c>
      <c r="F285" s="415"/>
      <c r="G285" s="415"/>
      <c r="H285" s="415"/>
      <c r="I285" s="415"/>
      <c r="J285" s="415"/>
      <c r="K285" s="415"/>
      <c r="L285" s="415"/>
      <c r="M285" s="415"/>
      <c r="N285" s="415"/>
      <c r="O285" s="415"/>
      <c r="P285" s="503"/>
      <c r="Q285" s="503"/>
      <c r="R285" s="503"/>
      <c r="S285" s="503"/>
      <c r="T285" s="503"/>
      <c r="U285" s="503"/>
      <c r="V285" s="503"/>
      <c r="Z285" s="504"/>
      <c r="AA285" s="504" t="str">
        <f>IF(AND(F287=G287,H287=I287,F287="A"),"2016 - kwh","")</f>
        <v/>
      </c>
      <c r="AB285" s="504" t="str">
        <f>IF(OR(B285="2017 - kwh",B285="2018 - kwh"),"2016 - kwh","")</f>
        <v/>
      </c>
      <c r="AC285" s="504"/>
      <c r="AD285" s="504"/>
      <c r="AE285" s="504"/>
    </row>
    <row r="286" spans="1:31" hidden="1" x14ac:dyDescent="0.35">
      <c r="A286" s="503" t="str">
        <f>IF(AND(F287=G287,H287=I287,J287=K287,F287="A"),"2016 - kw",IF(AND(F287=G287,H287=I287,J287&lt;&gt;K287,F287="A"),"2017 - kw",IF(AND(F287=G287,H287&lt;&gt;I287,F287="A"),"2018 - kw","N/A")))</f>
        <v>N/A</v>
      </c>
      <c r="B286" s="503" t="str">
        <f>IF(F287&lt;&gt;G287,"2018 - kw",IF(H287&lt;&gt;I287,"2017 - kw",IF(J287&lt;&gt;K287,"2016 - kw","N/A")))</f>
        <v>N/A</v>
      </c>
      <c r="C286" s="511"/>
      <c r="D286" s="512" t="str">
        <f>D285 &amp; "kW"</f>
        <v>kW</v>
      </c>
      <c r="E286" s="513" t="s">
        <v>170</v>
      </c>
      <c r="F286" s="415"/>
      <c r="G286" s="415"/>
      <c r="H286" s="415"/>
      <c r="I286" s="415"/>
      <c r="J286" s="415"/>
      <c r="K286" s="415"/>
      <c r="L286" s="415"/>
      <c r="M286" s="415"/>
      <c r="N286" s="415"/>
      <c r="O286" s="415"/>
      <c r="P286" s="503"/>
      <c r="Q286" s="503"/>
      <c r="R286" s="503"/>
      <c r="S286" s="503"/>
      <c r="T286" s="503"/>
      <c r="U286" s="503"/>
      <c r="V286" s="503"/>
      <c r="Z286" s="504"/>
      <c r="AA286" s="504" t="str">
        <f>IF(AND(F287=G287,H287=I287,F287="A"),"2016 - kw","")</f>
        <v/>
      </c>
      <c r="AB286" s="504" t="str">
        <f>IF(OR(B286="2017 - kw",B286="2018 - kw"),"2016 - kw","")</f>
        <v/>
      </c>
      <c r="AC286" s="504"/>
      <c r="AD286" s="504"/>
      <c r="AE286" s="504"/>
    </row>
    <row r="287" spans="1:31" hidden="1" x14ac:dyDescent="0.35">
      <c r="A287" s="503"/>
      <c r="B287" s="503"/>
      <c r="C287" s="514"/>
      <c r="D287" s="515"/>
      <c r="E287" s="516" t="s">
        <v>210</v>
      </c>
      <c r="F287" s="502"/>
      <c r="G287" s="502"/>
      <c r="H287" s="502"/>
      <c r="I287" s="502"/>
      <c r="J287" s="502"/>
      <c r="K287" s="502"/>
      <c r="L287" s="502"/>
      <c r="M287" s="502"/>
      <c r="N287" s="502"/>
      <c r="O287" s="502"/>
      <c r="P287" s="503"/>
      <c r="Q287" s="503"/>
      <c r="R287" s="503"/>
      <c r="S287" s="503"/>
      <c r="T287" s="503"/>
      <c r="U287" s="503"/>
      <c r="V287" s="503"/>
      <c r="Z287" s="504"/>
      <c r="AA287" s="504"/>
      <c r="AB287" s="504"/>
      <c r="AC287" s="504"/>
      <c r="AD287" s="504"/>
      <c r="AE287" s="504"/>
    </row>
    <row r="288" spans="1:31" hidden="1" x14ac:dyDescent="0.35">
      <c r="A288" s="503" t="str">
        <f>IF(AND(F290=G290,H290=I290,J290=K290,F290="A"),"2016 - kwh",IF(AND(F290=G290,H290=I290,J290&lt;&gt;K290,F290="A"),"2017 - kwh",IF(AND(F290=G290,H290&lt;&gt;I290,F290="A"),"2018 - kwh","N/A")))</f>
        <v>N/A</v>
      </c>
      <c r="B288" s="503" t="str">
        <f>IF(F290&lt;&gt;G290,"2018 - kwh",IF(H290&lt;&gt;I290,"2017 - kwh",IF(J290&lt;&gt;K290,"2016 - kwh","N/A")))</f>
        <v>N/A</v>
      </c>
      <c r="C288" s="508" t="s">
        <v>295</v>
      </c>
      <c r="D288" s="509"/>
      <c r="E288" s="510" t="s">
        <v>139</v>
      </c>
      <c r="F288" s="415"/>
      <c r="G288" s="415"/>
      <c r="H288" s="415"/>
      <c r="I288" s="415"/>
      <c r="J288" s="415"/>
      <c r="K288" s="415"/>
      <c r="L288" s="415"/>
      <c r="M288" s="415"/>
      <c r="N288" s="415"/>
      <c r="O288" s="415"/>
      <c r="P288" s="503"/>
      <c r="Q288" s="503"/>
      <c r="R288" s="503"/>
      <c r="S288" s="503"/>
      <c r="T288" s="503"/>
      <c r="U288" s="503"/>
      <c r="V288" s="503"/>
      <c r="Z288" s="504"/>
      <c r="AA288" s="504" t="str">
        <f>IF(AND(F290=G290,H290=I290,F290="A"),"2016 - kwh","")</f>
        <v/>
      </c>
      <c r="AB288" s="504" t="str">
        <f>IF(OR(B288="2017 - kwh",B288="2018 - kwh"),"2016 - kwh","")</f>
        <v/>
      </c>
      <c r="AC288" s="504"/>
      <c r="AD288" s="504"/>
      <c r="AE288" s="504"/>
    </row>
    <row r="289" spans="1:31" hidden="1" x14ac:dyDescent="0.35">
      <c r="A289" s="503" t="str">
        <f>IF(AND(F290=G290,H290=I290,J290=K290,F290="A"),"2016 - kw",IF(AND(F290=G290,H290=I290,J290&lt;&gt;K290,F290="A"),"2017 - kw",IF(AND(F290=G290,H290&lt;&gt;I290,F290="A"),"2018 - kw","N/A")))</f>
        <v>N/A</v>
      </c>
      <c r="B289" s="503" t="str">
        <f>IF(F290&lt;&gt;G290,"2018 - kw",IF(H290&lt;&gt;I290,"2017 - kw",IF(J290&lt;&gt;K290,"2016 - kw","N/A")))</f>
        <v>N/A</v>
      </c>
      <c r="C289" s="511"/>
      <c r="D289" s="512" t="str">
        <f>D288 &amp; "kW"</f>
        <v>kW</v>
      </c>
      <c r="E289" s="513" t="s">
        <v>170</v>
      </c>
      <c r="F289" s="415"/>
      <c r="G289" s="415"/>
      <c r="H289" s="415"/>
      <c r="I289" s="415"/>
      <c r="J289" s="415"/>
      <c r="K289" s="415"/>
      <c r="L289" s="415"/>
      <c r="M289" s="415"/>
      <c r="N289" s="415"/>
      <c r="O289" s="415"/>
      <c r="P289" s="503"/>
      <c r="Q289" s="503"/>
      <c r="R289" s="503"/>
      <c r="S289" s="503"/>
      <c r="T289" s="503"/>
      <c r="U289" s="503"/>
      <c r="V289" s="503"/>
      <c r="Z289" s="504"/>
      <c r="AA289" s="504" t="str">
        <f>IF(AND(F290=G290,H290=I290,F290="A"),"2016 - kw","")</f>
        <v/>
      </c>
      <c r="AB289" s="504" t="str">
        <f>IF(OR(B289="2017 - kw",B289="2018 - kw"),"2016 - kw","")</f>
        <v/>
      </c>
      <c r="AC289" s="504"/>
      <c r="AD289" s="504"/>
      <c r="AE289" s="504"/>
    </row>
    <row r="290" spans="1:31" hidden="1" x14ac:dyDescent="0.35">
      <c r="A290" s="503"/>
      <c r="B290" s="503"/>
      <c r="C290" s="514"/>
      <c r="D290" s="515"/>
      <c r="E290" s="516" t="s">
        <v>210</v>
      </c>
      <c r="F290" s="502"/>
      <c r="G290" s="502"/>
      <c r="H290" s="502"/>
      <c r="I290" s="502"/>
      <c r="J290" s="502"/>
      <c r="K290" s="502"/>
      <c r="L290" s="502"/>
      <c r="M290" s="502"/>
      <c r="N290" s="502"/>
      <c r="O290" s="502"/>
      <c r="P290" s="503"/>
      <c r="Q290" s="503"/>
      <c r="R290" s="503"/>
      <c r="S290" s="503"/>
      <c r="T290" s="503"/>
      <c r="U290" s="503"/>
      <c r="V290" s="503"/>
      <c r="Z290" s="504"/>
      <c r="AA290" s="504"/>
      <c r="AB290" s="504"/>
      <c r="AC290" s="504"/>
      <c r="AD290" s="504"/>
      <c r="AE290" s="504"/>
    </row>
    <row r="291" spans="1:31" hidden="1" x14ac:dyDescent="0.35">
      <c r="A291" s="503" t="str">
        <f>IF(AND(F293=G293,H293=I293,J293=K293,F293="A"),"2016 - kwh",IF(AND(F293=G293,H293=I293,J293&lt;&gt;K293,F293="A"),"2017 - kwh",IF(AND(F293=G293,H293&lt;&gt;I293,F293="A"),"2018 - kwh","N/A")))</f>
        <v>N/A</v>
      </c>
      <c r="B291" s="503" t="str">
        <f>IF(F293&lt;&gt;G293,"2018 - kwh",IF(H293&lt;&gt;I293,"2017 - kwh",IF(J293&lt;&gt;K293,"2016 - kwh","N/A")))</f>
        <v>N/A</v>
      </c>
      <c r="C291" s="508" t="s">
        <v>296</v>
      </c>
      <c r="D291" s="509"/>
      <c r="E291" s="510" t="s">
        <v>139</v>
      </c>
      <c r="F291" s="415"/>
      <c r="G291" s="415"/>
      <c r="H291" s="415"/>
      <c r="I291" s="415"/>
      <c r="J291" s="415"/>
      <c r="K291" s="415"/>
      <c r="L291" s="415"/>
      <c r="M291" s="415"/>
      <c r="N291" s="415"/>
      <c r="O291" s="415"/>
      <c r="P291" s="503"/>
      <c r="Q291" s="503"/>
      <c r="R291" s="503"/>
      <c r="S291" s="503"/>
      <c r="T291" s="503"/>
      <c r="U291" s="503"/>
      <c r="V291" s="503"/>
      <c r="Z291" s="504"/>
      <c r="AA291" s="504" t="str">
        <f>IF(AND(F293=G293,H293=I293,F293="A"),"2016 - kwh","")</f>
        <v/>
      </c>
      <c r="AB291" s="504" t="str">
        <f>IF(OR(B291="2017 - kwh",B291="2018 - kwh"),"2016 - kwh","")</f>
        <v/>
      </c>
      <c r="AC291" s="504"/>
      <c r="AD291" s="504"/>
      <c r="AE291" s="504"/>
    </row>
    <row r="292" spans="1:31" hidden="1" x14ac:dyDescent="0.35">
      <c r="A292" s="503" t="str">
        <f>IF(AND(F293=G293,H293=I293,J293=K293,F293="A"),"2016 - kw",IF(AND(F293=G293,H293=I293,J293&lt;&gt;K293,F293="A"),"2017 - kw",IF(AND(F293=G293,H293&lt;&gt;I293,F293="A"),"2018 - kw","N/A")))</f>
        <v>N/A</v>
      </c>
      <c r="B292" s="503" t="str">
        <f>IF(F293&lt;&gt;G293,"2018 - kw",IF(H293&lt;&gt;I293,"2017 - kw",IF(J293&lt;&gt;K293,"2016 - kw","N/A")))</f>
        <v>N/A</v>
      </c>
      <c r="C292" s="511"/>
      <c r="D292" s="512" t="str">
        <f>D291 &amp; "kW"</f>
        <v>kW</v>
      </c>
      <c r="E292" s="513" t="s">
        <v>170</v>
      </c>
      <c r="F292" s="415"/>
      <c r="G292" s="415"/>
      <c r="H292" s="415"/>
      <c r="I292" s="415"/>
      <c r="J292" s="415"/>
      <c r="K292" s="415"/>
      <c r="L292" s="415"/>
      <c r="M292" s="415"/>
      <c r="N292" s="415"/>
      <c r="O292" s="415"/>
      <c r="P292" s="503"/>
      <c r="Q292" s="503"/>
      <c r="R292" s="503"/>
      <c r="S292" s="503"/>
      <c r="T292" s="503"/>
      <c r="U292" s="503"/>
      <c r="V292" s="503"/>
      <c r="Z292" s="504"/>
      <c r="AA292" s="504" t="str">
        <f>IF(AND(F293=G293,H293=I293,F293="A"),"2016 - kw","")</f>
        <v/>
      </c>
      <c r="AB292" s="504" t="str">
        <f>IF(OR(B292="2017 - kw",B292="2018 - kw"),"2016 - kw","")</f>
        <v/>
      </c>
      <c r="AC292" s="504"/>
      <c r="AD292" s="504"/>
      <c r="AE292" s="504"/>
    </row>
    <row r="293" spans="1:31" hidden="1" x14ac:dyDescent="0.35">
      <c r="A293" s="503"/>
      <c r="B293" s="503"/>
      <c r="C293" s="514"/>
      <c r="D293" s="515"/>
      <c r="E293" s="516" t="s">
        <v>210</v>
      </c>
      <c r="F293" s="502"/>
      <c r="G293" s="502"/>
      <c r="H293" s="502"/>
      <c r="I293" s="502"/>
      <c r="J293" s="502"/>
      <c r="K293" s="502"/>
      <c r="L293" s="502"/>
      <c r="M293" s="502"/>
      <c r="N293" s="502"/>
      <c r="O293" s="502"/>
      <c r="P293" s="503"/>
      <c r="Q293" s="503"/>
      <c r="R293" s="503"/>
      <c r="S293" s="503"/>
      <c r="T293" s="503"/>
      <c r="U293" s="503"/>
      <c r="V293" s="503"/>
      <c r="Z293" s="504"/>
      <c r="AA293" s="504"/>
      <c r="AB293" s="504"/>
      <c r="AC293" s="504"/>
      <c r="AD293" s="504"/>
      <c r="AE293" s="504"/>
    </row>
    <row r="294" spans="1:31" hidden="1" x14ac:dyDescent="0.35">
      <c r="A294" s="503" t="str">
        <f>IF(AND(F296=G296,H296=I296,J296=K296,F296="A"),"2016 - kwh",IF(AND(F296=G296,H296=I296,J296&lt;&gt;K296,F296="A"),"2017 - kwh",IF(AND(F296=G296,H296&lt;&gt;I296,F296="A"),"2018 - kwh","N/A")))</f>
        <v>N/A</v>
      </c>
      <c r="B294" s="503" t="str">
        <f>IF(F296&lt;&gt;G296,"2018 - kwh",IF(H296&lt;&gt;I296,"2017 - kwh",IF(J296&lt;&gt;K296,"2016 - kwh","N/A")))</f>
        <v>N/A</v>
      </c>
      <c r="C294" s="508" t="s">
        <v>297</v>
      </c>
      <c r="D294" s="509"/>
      <c r="E294" s="510" t="s">
        <v>139</v>
      </c>
      <c r="F294" s="415"/>
      <c r="G294" s="415"/>
      <c r="H294" s="415"/>
      <c r="I294" s="415"/>
      <c r="J294" s="415"/>
      <c r="K294" s="415"/>
      <c r="L294" s="415"/>
      <c r="M294" s="415"/>
      <c r="N294" s="415"/>
      <c r="O294" s="415"/>
      <c r="P294" s="503"/>
      <c r="Q294" s="503"/>
      <c r="R294" s="503"/>
      <c r="S294" s="503"/>
      <c r="T294" s="503"/>
      <c r="U294" s="503"/>
      <c r="V294" s="503"/>
      <c r="Z294" s="504"/>
      <c r="AA294" s="504" t="str">
        <f>IF(AND(F296=G296,H296=I296,F296="A"),"2016 - kwh","")</f>
        <v/>
      </c>
      <c r="AB294" s="504" t="str">
        <f>IF(OR(B294="2017 - kwh",B294="2018 - kwh"),"2016 - kwh","")</f>
        <v/>
      </c>
      <c r="AC294" s="504"/>
      <c r="AD294" s="504"/>
      <c r="AE294" s="504"/>
    </row>
    <row r="295" spans="1:31" hidden="1" x14ac:dyDescent="0.35">
      <c r="A295" s="503" t="str">
        <f>IF(AND(F296=G296,H296=I296,J296=K296,F296="A"),"2016 - kw",IF(AND(F296=G296,H296=I296,J296&lt;&gt;K296,F296="A"),"2017 - kw",IF(AND(F296=G296,H296&lt;&gt;I296,F296="A"),"2018 - kw","N/A")))</f>
        <v>N/A</v>
      </c>
      <c r="B295" s="503" t="str">
        <f>IF(F296&lt;&gt;G296,"2018 - kw",IF(H296&lt;&gt;I296,"2017 - kw",IF(J296&lt;&gt;K296,"2016 - kw","N/A")))</f>
        <v>N/A</v>
      </c>
      <c r="C295" s="511"/>
      <c r="D295" s="512" t="str">
        <f>D294 &amp; "kW"</f>
        <v>kW</v>
      </c>
      <c r="E295" s="513" t="s">
        <v>170</v>
      </c>
      <c r="F295" s="415"/>
      <c r="G295" s="415"/>
      <c r="H295" s="415"/>
      <c r="I295" s="415"/>
      <c r="J295" s="415"/>
      <c r="K295" s="415"/>
      <c r="L295" s="415"/>
      <c r="M295" s="415"/>
      <c r="N295" s="415"/>
      <c r="O295" s="415"/>
      <c r="P295" s="503"/>
      <c r="Q295" s="503"/>
      <c r="R295" s="503"/>
      <c r="S295" s="503"/>
      <c r="T295" s="503"/>
      <c r="U295" s="503"/>
      <c r="V295" s="503"/>
      <c r="Z295" s="504"/>
      <c r="AA295" s="504" t="str">
        <f>IF(AND(F296=G296,H296=I296,F296="A"),"2016 - kw","")</f>
        <v/>
      </c>
      <c r="AB295" s="504" t="str">
        <f>IF(OR(B295="2017 - kw",B295="2018 - kw"),"2016 - kw","")</f>
        <v/>
      </c>
      <c r="AC295" s="504"/>
      <c r="AD295" s="504"/>
      <c r="AE295" s="504"/>
    </row>
    <row r="296" spans="1:31" hidden="1" x14ac:dyDescent="0.35">
      <c r="A296" s="503"/>
      <c r="B296" s="503"/>
      <c r="C296" s="514"/>
      <c r="D296" s="515"/>
      <c r="E296" s="516" t="s">
        <v>210</v>
      </c>
      <c r="F296" s="502"/>
      <c r="G296" s="502"/>
      <c r="H296" s="502"/>
      <c r="I296" s="502"/>
      <c r="J296" s="502"/>
      <c r="K296" s="502"/>
      <c r="L296" s="502"/>
      <c r="M296" s="502"/>
      <c r="N296" s="502"/>
      <c r="O296" s="502"/>
      <c r="P296" s="503"/>
      <c r="Q296" s="503"/>
      <c r="R296" s="503"/>
      <c r="S296" s="503"/>
      <c r="T296" s="503"/>
      <c r="U296" s="503"/>
      <c r="V296" s="503"/>
      <c r="Z296" s="504"/>
      <c r="AA296" s="504"/>
      <c r="AB296" s="504"/>
      <c r="AC296" s="504"/>
      <c r="AD296" s="504"/>
      <c r="AE296" s="504"/>
    </row>
    <row r="297" spans="1:31" hidden="1" x14ac:dyDescent="0.35">
      <c r="A297" s="503" t="str">
        <f>IF(AND(F299=G299,H299=I299,J299=K299,F299="A"),"2016 - kwh",IF(AND(F299=G299,H299=I299,J299&lt;&gt;K299,F299="A"),"2017 - kwh",IF(AND(F299=G299,H299&lt;&gt;I299,F299="A"),"2018 - kwh","N/A")))</f>
        <v>N/A</v>
      </c>
      <c r="B297" s="503" t="str">
        <f>IF(F299&lt;&gt;G299,"2018 - kwh",IF(H299&lt;&gt;I299,"2017 - kwh",IF(J299&lt;&gt;K299,"2016 - kwh","N/A")))</f>
        <v>N/A</v>
      </c>
      <c r="C297" s="508" t="s">
        <v>298</v>
      </c>
      <c r="D297" s="509"/>
      <c r="E297" s="510" t="s">
        <v>139</v>
      </c>
      <c r="F297" s="415"/>
      <c r="G297" s="415"/>
      <c r="H297" s="415"/>
      <c r="I297" s="415"/>
      <c r="J297" s="415"/>
      <c r="K297" s="415"/>
      <c r="L297" s="415"/>
      <c r="M297" s="415"/>
      <c r="N297" s="415"/>
      <c r="O297" s="415"/>
      <c r="P297" s="503"/>
      <c r="Q297" s="503"/>
      <c r="R297" s="503"/>
      <c r="S297" s="503"/>
      <c r="T297" s="503"/>
      <c r="U297" s="503"/>
      <c r="V297" s="503"/>
      <c r="Z297" s="504"/>
      <c r="AA297" s="504" t="str">
        <f>IF(AND(F299=G299,H299=I299,F299="A"),"2016 - kwh","")</f>
        <v/>
      </c>
      <c r="AB297" s="504" t="str">
        <f>IF(OR(B297="2017 - kwh",B297="2018 - kwh"),"2016 - kwh","")</f>
        <v/>
      </c>
      <c r="AC297" s="504"/>
      <c r="AD297" s="504"/>
      <c r="AE297" s="504"/>
    </row>
    <row r="298" spans="1:31" hidden="1" x14ac:dyDescent="0.35">
      <c r="A298" s="503" t="str">
        <f>IF(AND(F299=G299,H299=I299,J299=K299,F299="A"),"2016 - kw",IF(AND(F299=G299,H299=I299,J299&lt;&gt;K299,F299="A"),"2017 - kw",IF(AND(F299=G299,H299&lt;&gt;I299,F299="A"),"2018 - kw","N/A")))</f>
        <v>N/A</v>
      </c>
      <c r="B298" s="503" t="str">
        <f>IF(F299&lt;&gt;G299,"2018 - kw",IF(H299&lt;&gt;I299,"2017 - kw",IF(J299&lt;&gt;K299,"2016 - kw","N/A")))</f>
        <v>N/A</v>
      </c>
      <c r="C298" s="511"/>
      <c r="D298" s="512" t="str">
        <f>D297 &amp; "kW"</f>
        <v>kW</v>
      </c>
      <c r="E298" s="513" t="s">
        <v>170</v>
      </c>
      <c r="F298" s="415"/>
      <c r="G298" s="415"/>
      <c r="H298" s="415"/>
      <c r="I298" s="415"/>
      <c r="J298" s="415"/>
      <c r="K298" s="415"/>
      <c r="L298" s="415"/>
      <c r="M298" s="415"/>
      <c r="N298" s="415"/>
      <c r="O298" s="415"/>
      <c r="P298" s="503"/>
      <c r="Q298" s="503"/>
      <c r="R298" s="503"/>
      <c r="S298" s="503"/>
      <c r="T298" s="503"/>
      <c r="U298" s="503"/>
      <c r="V298" s="503"/>
      <c r="Z298" s="504"/>
      <c r="AA298" s="504" t="str">
        <f>IF(AND(F299=G299,H299=I299,F299="A"),"2016 - kw","")</f>
        <v/>
      </c>
      <c r="AB298" s="504" t="str">
        <f>IF(OR(B298="2017 - kw",B298="2018 - kw"),"2016 - kw","")</f>
        <v/>
      </c>
      <c r="AC298" s="504"/>
      <c r="AD298" s="504"/>
      <c r="AE298" s="504"/>
    </row>
    <row r="299" spans="1:31" hidden="1" x14ac:dyDescent="0.35">
      <c r="A299" s="503"/>
      <c r="B299" s="503"/>
      <c r="C299" s="514"/>
      <c r="D299" s="515"/>
      <c r="E299" s="516" t="s">
        <v>210</v>
      </c>
      <c r="F299" s="502"/>
      <c r="G299" s="502"/>
      <c r="H299" s="502"/>
      <c r="I299" s="502"/>
      <c r="J299" s="502"/>
      <c r="K299" s="502"/>
      <c r="L299" s="502"/>
      <c r="M299" s="502"/>
      <c r="N299" s="502"/>
      <c r="O299" s="502"/>
      <c r="P299" s="503"/>
      <c r="Q299" s="503"/>
      <c r="R299" s="503"/>
      <c r="S299" s="503"/>
      <c r="T299" s="503"/>
      <c r="U299" s="503"/>
      <c r="V299" s="503"/>
      <c r="Z299" s="504"/>
      <c r="AA299" s="504"/>
      <c r="AB299" s="504"/>
      <c r="AC299" s="504"/>
      <c r="AD299" s="504"/>
      <c r="AE299" s="504"/>
    </row>
    <row r="300" spans="1:31" hidden="1" x14ac:dyDescent="0.35">
      <c r="A300" s="503" t="str">
        <f>IF(AND(F302=G302,H302=I302,J302=K302,F302="A"),"2016 - kwh",IF(AND(F302=G302,H302=I302,J302&lt;&gt;K302,F302="A"),"2017 - kwh",IF(AND(F302=G302,H302&lt;&gt;I302,F302="A"),"2018 - kwh","N/A")))</f>
        <v>N/A</v>
      </c>
      <c r="B300" s="503" t="str">
        <f>IF(F302&lt;&gt;G302,"2018 - kwh",IF(H302&lt;&gt;I302,"2017 - kwh",IF(J302&lt;&gt;K302,"2016 - kwh","N/A")))</f>
        <v>N/A</v>
      </c>
      <c r="C300" s="508" t="s">
        <v>299</v>
      </c>
      <c r="D300" s="509"/>
      <c r="E300" s="510" t="s">
        <v>139</v>
      </c>
      <c r="F300" s="415"/>
      <c r="G300" s="415"/>
      <c r="H300" s="415"/>
      <c r="I300" s="415"/>
      <c r="J300" s="415"/>
      <c r="K300" s="415"/>
      <c r="L300" s="415"/>
      <c r="M300" s="415"/>
      <c r="N300" s="415"/>
      <c r="O300" s="415"/>
      <c r="P300" s="503"/>
      <c r="Q300" s="503"/>
      <c r="R300" s="503"/>
      <c r="S300" s="503"/>
      <c r="T300" s="503"/>
      <c r="U300" s="503"/>
      <c r="V300" s="503"/>
      <c r="Z300" s="504"/>
      <c r="AA300" s="504" t="str">
        <f>IF(AND(F302=G302,H302=I302,F302="A"),"2016 - kwh","")</f>
        <v/>
      </c>
      <c r="AB300" s="504" t="str">
        <f>IF(OR(B300="2017 - kwh",B300="2018 - kwh"),"2016 - kwh","")</f>
        <v/>
      </c>
      <c r="AC300" s="504"/>
      <c r="AD300" s="504"/>
      <c r="AE300" s="504"/>
    </row>
    <row r="301" spans="1:31" hidden="1" x14ac:dyDescent="0.35">
      <c r="A301" s="503" t="str">
        <f>IF(AND(F302=G302,H302=I302,J302=K302,F302="A"),"2016 - kw",IF(AND(F302=G302,H302=I302,J302&lt;&gt;K302,F302="A"),"2017 - kw",IF(AND(F302=G302,H302&lt;&gt;I302,F302="A"),"2018 - kw","N/A")))</f>
        <v>N/A</v>
      </c>
      <c r="B301" s="503" t="str">
        <f>IF(F302&lt;&gt;G302,"2018 - kw",IF(H302&lt;&gt;I302,"2017 - kw",IF(J302&lt;&gt;K302,"2016 - kw","N/A")))</f>
        <v>N/A</v>
      </c>
      <c r="C301" s="511"/>
      <c r="D301" s="512" t="str">
        <f>D300 &amp; "kW"</f>
        <v>kW</v>
      </c>
      <c r="E301" s="513" t="s">
        <v>170</v>
      </c>
      <c r="F301" s="415"/>
      <c r="G301" s="415"/>
      <c r="H301" s="415"/>
      <c r="I301" s="415"/>
      <c r="J301" s="415"/>
      <c r="K301" s="415"/>
      <c r="L301" s="415"/>
      <c r="M301" s="415"/>
      <c r="N301" s="415"/>
      <c r="O301" s="415"/>
      <c r="P301" s="503"/>
      <c r="Q301" s="503"/>
      <c r="R301" s="503"/>
      <c r="S301" s="503"/>
      <c r="T301" s="503"/>
      <c r="U301" s="503"/>
      <c r="V301" s="503"/>
      <c r="Z301" s="504"/>
      <c r="AA301" s="504" t="str">
        <f>IF(AND(F302=G302,H302=I302,F302="A"),"2016 - kw","")</f>
        <v/>
      </c>
      <c r="AB301" s="504" t="str">
        <f>IF(OR(B301="2017 - kw",B301="2018 - kw"),"2016 - kw","")</f>
        <v/>
      </c>
      <c r="AC301" s="504"/>
      <c r="AD301" s="504"/>
      <c r="AE301" s="504"/>
    </row>
    <row r="302" spans="1:31" hidden="1" x14ac:dyDescent="0.35">
      <c r="A302" s="503"/>
      <c r="B302" s="503"/>
      <c r="C302" s="514"/>
      <c r="D302" s="515"/>
      <c r="E302" s="516" t="s">
        <v>210</v>
      </c>
      <c r="F302" s="502"/>
      <c r="G302" s="502"/>
      <c r="H302" s="502"/>
      <c r="I302" s="502"/>
      <c r="J302" s="502"/>
      <c r="K302" s="502"/>
      <c r="L302" s="502"/>
      <c r="M302" s="502"/>
      <c r="N302" s="502"/>
      <c r="O302" s="502"/>
      <c r="P302" s="503"/>
      <c r="Q302" s="503"/>
      <c r="R302" s="503"/>
      <c r="S302" s="503"/>
      <c r="T302" s="503"/>
      <c r="U302" s="503"/>
      <c r="V302" s="503"/>
      <c r="Z302" s="504"/>
      <c r="AA302" s="504"/>
      <c r="AB302" s="504"/>
      <c r="AC302" s="504"/>
      <c r="AD302" s="504"/>
      <c r="AE302" s="504"/>
    </row>
    <row r="303" spans="1:31" hidden="1" x14ac:dyDescent="0.35">
      <c r="A303" s="503" t="str">
        <f>IF(AND(F305=G305,H305=I305,J305=K305,F305="A"),"2016 - kwh",IF(AND(F305=G305,H305=I305,J305&lt;&gt;K305,F305="A"),"2017 - kwh",IF(AND(F305=G305,H305&lt;&gt;I305,F305="A"),"2018 - kwh","N/A")))</f>
        <v>N/A</v>
      </c>
      <c r="B303" s="503" t="str">
        <f>IF(F305&lt;&gt;G305,"2018 - kwh",IF(H305&lt;&gt;I305,"2017 - kwh",IF(J305&lt;&gt;K305,"2016 - kwh","N/A")))</f>
        <v>N/A</v>
      </c>
      <c r="C303" s="508" t="s">
        <v>300</v>
      </c>
      <c r="D303" s="509"/>
      <c r="E303" s="510" t="s">
        <v>139</v>
      </c>
      <c r="F303" s="415"/>
      <c r="G303" s="415"/>
      <c r="H303" s="415"/>
      <c r="I303" s="415"/>
      <c r="J303" s="415"/>
      <c r="K303" s="415"/>
      <c r="L303" s="415"/>
      <c r="M303" s="415"/>
      <c r="N303" s="415"/>
      <c r="O303" s="415"/>
      <c r="P303" s="503"/>
      <c r="Q303" s="503"/>
      <c r="R303" s="503"/>
      <c r="S303" s="503"/>
      <c r="T303" s="503"/>
      <c r="U303" s="503"/>
      <c r="V303" s="503"/>
      <c r="Z303" s="504"/>
      <c r="AA303" s="504" t="str">
        <f>IF(AND(F305=G305,H305=I305,F305="A"),"2016 - kwh","")</f>
        <v/>
      </c>
      <c r="AB303" s="504" t="str">
        <f>IF(OR(B303="2017 - kwh",B303="2018 - kwh"),"2016 - kwh","")</f>
        <v/>
      </c>
      <c r="AC303" s="504"/>
      <c r="AD303" s="504"/>
      <c r="AE303" s="504"/>
    </row>
    <row r="304" spans="1:31" hidden="1" x14ac:dyDescent="0.35">
      <c r="A304" s="503" t="str">
        <f>IF(AND(F305=G305,H305=I305,J305=K305,F305="A"),"2016 - kw",IF(AND(F305=G305,H305=I305,J305&lt;&gt;K305,F305="A"),"2017 - kw",IF(AND(F305=G305,H305&lt;&gt;I305,F305="A"),"2018 - kw","N/A")))</f>
        <v>N/A</v>
      </c>
      <c r="B304" s="503" t="str">
        <f>IF(F305&lt;&gt;G305,"2018 - kw",IF(H305&lt;&gt;I305,"2017 - kw",IF(J305&lt;&gt;K305,"2016 - kw","N/A")))</f>
        <v>N/A</v>
      </c>
      <c r="C304" s="511"/>
      <c r="D304" s="512" t="str">
        <f>D303 &amp; "kW"</f>
        <v>kW</v>
      </c>
      <c r="E304" s="513" t="s">
        <v>170</v>
      </c>
      <c r="F304" s="415"/>
      <c r="G304" s="415"/>
      <c r="H304" s="415"/>
      <c r="I304" s="415"/>
      <c r="J304" s="415"/>
      <c r="K304" s="415"/>
      <c r="L304" s="415"/>
      <c r="M304" s="415"/>
      <c r="N304" s="415"/>
      <c r="O304" s="415"/>
      <c r="P304" s="503"/>
      <c r="Q304" s="503"/>
      <c r="R304" s="503"/>
      <c r="S304" s="503"/>
      <c r="T304" s="503"/>
      <c r="U304" s="503"/>
      <c r="V304" s="503"/>
      <c r="Z304" s="504"/>
      <c r="AA304" s="504" t="str">
        <f>IF(AND(F305=G305,H305=I305,F305="A"),"2016 - kw","")</f>
        <v/>
      </c>
      <c r="AB304" s="504" t="str">
        <f>IF(OR(B304="2017 - kw",B304="2018 - kw"),"2016 - kw","")</f>
        <v/>
      </c>
      <c r="AC304" s="504"/>
      <c r="AD304" s="504"/>
      <c r="AE304" s="504"/>
    </row>
    <row r="305" spans="1:31" hidden="1" x14ac:dyDescent="0.35">
      <c r="A305" s="503"/>
      <c r="B305" s="503"/>
      <c r="C305" s="514"/>
      <c r="D305" s="515"/>
      <c r="E305" s="516" t="s">
        <v>210</v>
      </c>
      <c r="F305" s="502"/>
      <c r="G305" s="502"/>
      <c r="H305" s="502"/>
      <c r="I305" s="502"/>
      <c r="J305" s="502"/>
      <c r="K305" s="502"/>
      <c r="L305" s="502"/>
      <c r="M305" s="502"/>
      <c r="N305" s="502"/>
      <c r="O305" s="502"/>
      <c r="P305" s="503"/>
      <c r="Q305" s="503"/>
      <c r="R305" s="503"/>
      <c r="S305" s="503"/>
      <c r="T305" s="503"/>
      <c r="U305" s="503"/>
      <c r="V305" s="503"/>
      <c r="Z305" s="504"/>
      <c r="AA305" s="504"/>
      <c r="AB305" s="504"/>
      <c r="AC305" s="504"/>
      <c r="AD305" s="504"/>
      <c r="AE305" s="504"/>
    </row>
    <row r="306" spans="1:31" hidden="1" x14ac:dyDescent="0.35">
      <c r="A306" s="503" t="str">
        <f>IF(AND(F308=G308,H308=I308,J308=K308,F308="A"),"2016 - kwh",IF(AND(F308=G308,H308=I308,J308&lt;&gt;K308,F308="A"),"2017 - kwh",IF(AND(F308=G308,H308&lt;&gt;I308,F308="A"),"2018 - kwh","N/A")))</f>
        <v>N/A</v>
      </c>
      <c r="B306" s="503" t="str">
        <f>IF(F308&lt;&gt;G308,"2018 - kwh",IF(H308&lt;&gt;I308,"2017 - kwh",IF(J308&lt;&gt;K308,"2016 - kwh","N/A")))</f>
        <v>N/A</v>
      </c>
      <c r="C306" s="508" t="s">
        <v>301</v>
      </c>
      <c r="D306" s="509"/>
      <c r="E306" s="510" t="s">
        <v>139</v>
      </c>
      <c r="F306" s="415"/>
      <c r="G306" s="415"/>
      <c r="H306" s="415"/>
      <c r="I306" s="415"/>
      <c r="J306" s="415"/>
      <c r="K306" s="415"/>
      <c r="L306" s="415"/>
      <c r="M306" s="415"/>
      <c r="N306" s="415"/>
      <c r="O306" s="415"/>
      <c r="P306" s="503"/>
      <c r="Q306" s="503"/>
      <c r="R306" s="503"/>
      <c r="S306" s="503"/>
      <c r="T306" s="503"/>
      <c r="U306" s="503"/>
      <c r="V306" s="503"/>
      <c r="Z306" s="504"/>
      <c r="AA306" s="504" t="str">
        <f>IF(AND(F308=G308,H308=I308,F308="A"),"2016 - kwh","")</f>
        <v/>
      </c>
      <c r="AB306" s="504" t="str">
        <f>IF(OR(B306="2017 - kwh",B306="2018 - kwh"),"2016 - kwh","")</f>
        <v/>
      </c>
      <c r="AC306" s="504"/>
      <c r="AD306" s="504"/>
      <c r="AE306" s="504"/>
    </row>
    <row r="307" spans="1:31" hidden="1" x14ac:dyDescent="0.35">
      <c r="A307" s="503" t="str">
        <f>IF(AND(F308=G308,H308=I308,J308=K308,F308="A"),"2016 - kw",IF(AND(F308=G308,H308=I308,J308&lt;&gt;K308,F308="A"),"2017 - kw",IF(AND(F308=G308,H308&lt;&gt;I308,F308="A"),"2018 - kw","N/A")))</f>
        <v>N/A</v>
      </c>
      <c r="B307" s="503" t="str">
        <f>IF(F308&lt;&gt;G308,"2018 - kw",IF(H308&lt;&gt;I308,"2017 - kw",IF(J308&lt;&gt;K308,"2016 - kw","N/A")))</f>
        <v>N/A</v>
      </c>
      <c r="C307" s="511"/>
      <c r="D307" s="512" t="str">
        <f>D306 &amp; "kW"</f>
        <v>kW</v>
      </c>
      <c r="E307" s="513" t="s">
        <v>170</v>
      </c>
      <c r="F307" s="415"/>
      <c r="G307" s="415"/>
      <c r="H307" s="415"/>
      <c r="I307" s="415"/>
      <c r="J307" s="415"/>
      <c r="K307" s="415"/>
      <c r="L307" s="415"/>
      <c r="M307" s="415"/>
      <c r="N307" s="415"/>
      <c r="O307" s="415"/>
      <c r="P307" s="503"/>
      <c r="Q307" s="503"/>
      <c r="R307" s="503"/>
      <c r="S307" s="503"/>
      <c r="T307" s="503"/>
      <c r="U307" s="503"/>
      <c r="V307" s="503"/>
      <c r="Z307" s="504"/>
      <c r="AA307" s="504" t="str">
        <f>IF(AND(F308=G308,H308=I308,F308="A"),"2016 - kw","")</f>
        <v/>
      </c>
      <c r="AB307" s="504" t="str">
        <f>IF(OR(B307="2017 - kw",B307="2018 - kw"),"2016 - kw","")</f>
        <v/>
      </c>
      <c r="AC307" s="504"/>
      <c r="AD307" s="504"/>
      <c r="AE307" s="504"/>
    </row>
    <row r="308" spans="1:31" hidden="1" x14ac:dyDescent="0.35">
      <c r="A308" s="503"/>
      <c r="B308" s="503"/>
      <c r="C308" s="514"/>
      <c r="D308" s="515"/>
      <c r="E308" s="516" t="s">
        <v>210</v>
      </c>
      <c r="F308" s="502"/>
      <c r="G308" s="502"/>
      <c r="H308" s="502"/>
      <c r="I308" s="502"/>
      <c r="J308" s="502"/>
      <c r="K308" s="502"/>
      <c r="L308" s="502"/>
      <c r="M308" s="502"/>
      <c r="N308" s="502"/>
      <c r="O308" s="502"/>
      <c r="P308" s="503"/>
      <c r="Q308" s="503"/>
      <c r="R308" s="503"/>
      <c r="S308" s="503"/>
      <c r="T308" s="503"/>
      <c r="U308" s="503"/>
      <c r="V308" s="503"/>
      <c r="Z308" s="504"/>
      <c r="AA308" s="504"/>
      <c r="AB308" s="504"/>
      <c r="AC308" s="504"/>
      <c r="AD308" s="504"/>
      <c r="AE308" s="504"/>
    </row>
    <row r="309" spans="1:31" hidden="1" x14ac:dyDescent="0.35">
      <c r="A309" s="503" t="str">
        <f>IF(AND(F311=G311,H311=I311,J311=K311,F311="A"),"2016 - kwh",IF(AND(F311=G311,H311=I311,J311&lt;&gt;K311,F311="A"),"2017 - kwh",IF(AND(F311=G311,H311&lt;&gt;I311,F311="A"),"2018 - kwh","N/A")))</f>
        <v>N/A</v>
      </c>
      <c r="B309" s="503" t="str">
        <f>IF(F311&lt;&gt;G311,"2018 - kwh",IF(H311&lt;&gt;I311,"2017 - kwh",IF(J311&lt;&gt;K311,"2016 - kwh","N/A")))</f>
        <v>N/A</v>
      </c>
      <c r="C309" s="508" t="s">
        <v>302</v>
      </c>
      <c r="D309" s="509"/>
      <c r="E309" s="510" t="s">
        <v>139</v>
      </c>
      <c r="F309" s="415"/>
      <c r="G309" s="415"/>
      <c r="H309" s="415"/>
      <c r="I309" s="415"/>
      <c r="J309" s="415"/>
      <c r="K309" s="415"/>
      <c r="L309" s="415"/>
      <c r="M309" s="415"/>
      <c r="N309" s="415"/>
      <c r="O309" s="415"/>
      <c r="P309" s="503"/>
      <c r="Q309" s="503"/>
      <c r="R309" s="503"/>
      <c r="S309" s="503"/>
      <c r="T309" s="503"/>
      <c r="U309" s="503"/>
      <c r="V309" s="503"/>
      <c r="Z309" s="504"/>
      <c r="AA309" s="504" t="str">
        <f>IF(AND(F311=G311,H311=I311,F311="A"),"2016 - kwh","")</f>
        <v/>
      </c>
      <c r="AB309" s="504" t="str">
        <f>IF(OR(B309="2017 - kwh",B309="2018 - kwh"),"2016 - kwh","")</f>
        <v/>
      </c>
      <c r="AC309" s="504"/>
      <c r="AD309" s="504"/>
      <c r="AE309" s="504"/>
    </row>
    <row r="310" spans="1:31" hidden="1" x14ac:dyDescent="0.35">
      <c r="A310" s="503" t="str">
        <f>IF(AND(F311=G311,H311=I311,J311=K311,F311="A"),"2016 - kw",IF(AND(F311=G311,H311=I311,J311&lt;&gt;K311,F311="A"),"2017 - kw",IF(AND(F311=G311,H311&lt;&gt;I311,F311="A"),"2018 - kw","N/A")))</f>
        <v>N/A</v>
      </c>
      <c r="B310" s="503" t="str">
        <f>IF(F311&lt;&gt;G311,"2018 - kw",IF(H311&lt;&gt;I311,"2017 - kw",IF(J311&lt;&gt;K311,"2016 - kw","N/A")))</f>
        <v>N/A</v>
      </c>
      <c r="C310" s="511"/>
      <c r="D310" s="512" t="str">
        <f>D309 &amp; "kW"</f>
        <v>kW</v>
      </c>
      <c r="E310" s="513" t="s">
        <v>170</v>
      </c>
      <c r="F310" s="415"/>
      <c r="G310" s="415"/>
      <c r="H310" s="415"/>
      <c r="I310" s="415"/>
      <c r="J310" s="415"/>
      <c r="K310" s="415"/>
      <c r="L310" s="415"/>
      <c r="M310" s="415"/>
      <c r="N310" s="415"/>
      <c r="O310" s="415"/>
      <c r="P310" s="503"/>
      <c r="Q310" s="503"/>
      <c r="R310" s="503"/>
      <c r="S310" s="503"/>
      <c r="T310" s="503"/>
      <c r="U310" s="503"/>
      <c r="V310" s="503"/>
      <c r="Z310" s="504"/>
      <c r="AA310" s="504" t="str">
        <f>IF(AND(F311=G311,H311=I311,F311="A"),"2016 - kw","")</f>
        <v/>
      </c>
      <c r="AB310" s="504" t="str">
        <f>IF(OR(B310="2017 - kw",B310="2018 - kw"),"2016 - kw","")</f>
        <v/>
      </c>
      <c r="AC310" s="504"/>
      <c r="AD310" s="504"/>
      <c r="AE310" s="504"/>
    </row>
    <row r="311" spans="1:31" hidden="1" x14ac:dyDescent="0.35">
      <c r="A311" s="503"/>
      <c r="B311" s="503"/>
      <c r="C311" s="514"/>
      <c r="D311" s="515"/>
      <c r="E311" s="516" t="s">
        <v>210</v>
      </c>
      <c r="F311" s="502"/>
      <c r="G311" s="502"/>
      <c r="H311" s="502"/>
      <c r="I311" s="502"/>
      <c r="J311" s="502"/>
      <c r="K311" s="502"/>
      <c r="L311" s="502"/>
      <c r="M311" s="502"/>
      <c r="N311" s="502"/>
      <c r="O311" s="502"/>
      <c r="P311" s="503"/>
      <c r="Q311" s="503"/>
      <c r="R311" s="503"/>
      <c r="S311" s="503"/>
      <c r="T311" s="503"/>
      <c r="U311" s="503"/>
      <c r="V311" s="503"/>
      <c r="Z311" s="504"/>
      <c r="AA311" s="504"/>
      <c r="AB311" s="504"/>
      <c r="AC311" s="504"/>
      <c r="AD311" s="504"/>
      <c r="AE311" s="504"/>
    </row>
    <row r="312" spans="1:31" hidden="1" x14ac:dyDescent="0.35">
      <c r="A312" s="503" t="str">
        <f>IF(AND(F314=G314,H314=I314,J314=K314,F314="A"),"2016 - kwh",IF(AND(F314=G314,H314=I314,J314&lt;&gt;K314,F314="A"),"2017 - kwh",IF(AND(F314=G314,H314&lt;&gt;I314,F314="A"),"2018 - kwh","N/A")))</f>
        <v>N/A</v>
      </c>
      <c r="B312" s="503" t="str">
        <f>IF(F314&lt;&gt;G314,"2018 - kwh",IF(H314&lt;&gt;I314,"2017 - kwh",IF(J314&lt;&gt;K314,"2016 - kwh","N/A")))</f>
        <v>N/A</v>
      </c>
      <c r="C312" s="508" t="s">
        <v>303</v>
      </c>
      <c r="D312" s="509"/>
      <c r="E312" s="510" t="s">
        <v>139</v>
      </c>
      <c r="F312" s="415"/>
      <c r="G312" s="415"/>
      <c r="H312" s="415"/>
      <c r="I312" s="415"/>
      <c r="J312" s="415"/>
      <c r="K312" s="415"/>
      <c r="L312" s="415"/>
      <c r="M312" s="415"/>
      <c r="N312" s="415"/>
      <c r="O312" s="415"/>
      <c r="P312" s="503"/>
      <c r="Q312" s="503"/>
      <c r="R312" s="503"/>
      <c r="S312" s="503"/>
      <c r="T312" s="503"/>
      <c r="U312" s="503"/>
      <c r="V312" s="503"/>
      <c r="Z312" s="504"/>
      <c r="AA312" s="504" t="str">
        <f>IF(AND(F314=G314,H314=I314,F314="A"),"2016 - kwh","")</f>
        <v/>
      </c>
      <c r="AB312" s="504" t="str">
        <f>IF(OR(B312="2017 - kwh",B312="2018 - kwh"),"2016 - kwh","")</f>
        <v/>
      </c>
      <c r="AC312" s="504"/>
      <c r="AD312" s="504"/>
      <c r="AE312" s="504"/>
    </row>
    <row r="313" spans="1:31" hidden="1" x14ac:dyDescent="0.35">
      <c r="A313" s="503" t="str">
        <f>IF(AND(F314=G314,H314=I314,J314=K314,F314="A"),"2016 - kw",IF(AND(F314=G314,H314=I314,J314&lt;&gt;K314,F314="A"),"2017 - kw",IF(AND(F314=G314,H314&lt;&gt;I314,F314="A"),"2018 - kw","N/A")))</f>
        <v>N/A</v>
      </c>
      <c r="B313" s="503" t="str">
        <f>IF(F314&lt;&gt;G314,"2018 - kw",IF(H314&lt;&gt;I314,"2017 - kw",IF(J314&lt;&gt;K314,"2016 - kw","N/A")))</f>
        <v>N/A</v>
      </c>
      <c r="C313" s="511"/>
      <c r="D313" s="512" t="str">
        <f>D312 &amp; "kW"</f>
        <v>kW</v>
      </c>
      <c r="E313" s="513" t="s">
        <v>170</v>
      </c>
      <c r="F313" s="415"/>
      <c r="G313" s="415"/>
      <c r="H313" s="415"/>
      <c r="I313" s="415"/>
      <c r="J313" s="415"/>
      <c r="K313" s="415"/>
      <c r="L313" s="415"/>
      <c r="M313" s="415"/>
      <c r="N313" s="415"/>
      <c r="O313" s="415"/>
      <c r="P313" s="503"/>
      <c r="Q313" s="503"/>
      <c r="R313" s="503"/>
      <c r="S313" s="503"/>
      <c r="T313" s="503"/>
      <c r="U313" s="503"/>
      <c r="V313" s="503"/>
      <c r="Z313" s="504"/>
      <c r="AA313" s="504" t="str">
        <f>IF(AND(F314=G314,H314=I314,F314="A"),"2016 - kw","")</f>
        <v/>
      </c>
      <c r="AB313" s="504" t="str">
        <f>IF(OR(B313="2017 - kw",B313="2018 - kw"),"2016 - kw","")</f>
        <v/>
      </c>
      <c r="AC313" s="504"/>
      <c r="AD313" s="504"/>
      <c r="AE313" s="504"/>
    </row>
    <row r="314" spans="1:31" hidden="1" x14ac:dyDescent="0.35">
      <c r="A314" s="503"/>
      <c r="B314" s="503"/>
      <c r="C314" s="514"/>
      <c r="D314" s="515"/>
      <c r="E314" s="516" t="s">
        <v>210</v>
      </c>
      <c r="F314" s="502"/>
      <c r="G314" s="502"/>
      <c r="H314" s="502"/>
      <c r="I314" s="502"/>
      <c r="J314" s="502"/>
      <c r="K314" s="502"/>
      <c r="L314" s="502"/>
      <c r="M314" s="502"/>
      <c r="N314" s="502"/>
      <c r="O314" s="502"/>
      <c r="P314" s="503"/>
      <c r="Q314" s="503"/>
      <c r="R314" s="503"/>
      <c r="S314" s="503"/>
      <c r="T314" s="503"/>
      <c r="U314" s="503"/>
      <c r="V314" s="503"/>
      <c r="Z314" s="504"/>
      <c r="AA314" s="504"/>
      <c r="AB314" s="504"/>
      <c r="AC314" s="504"/>
      <c r="AD314" s="504"/>
      <c r="AE314" s="504"/>
    </row>
    <row r="315" spans="1:31" hidden="1" x14ac:dyDescent="0.35">
      <c r="A315" s="503" t="str">
        <f>IF(AND(F317=G317,H317=I317,J317=K317,F317="A"),"2016 - kwh",IF(AND(F317=G317,H317=I317,J317&lt;&gt;K317,F317="A"),"2017 - kwh",IF(AND(F317=G317,H317&lt;&gt;I317,F317="A"),"2018 - kwh","N/A")))</f>
        <v>N/A</v>
      </c>
      <c r="B315" s="503" t="str">
        <f>IF(F317&lt;&gt;G317,"2018 - kwh",IF(H317&lt;&gt;I317,"2017 - kwh",IF(J317&lt;&gt;K317,"2016 - kwh","N/A")))</f>
        <v>N/A</v>
      </c>
      <c r="C315" s="508" t="s">
        <v>304</v>
      </c>
      <c r="D315" s="509"/>
      <c r="E315" s="510" t="s">
        <v>139</v>
      </c>
      <c r="F315" s="415"/>
      <c r="G315" s="415"/>
      <c r="H315" s="415"/>
      <c r="I315" s="415"/>
      <c r="J315" s="415"/>
      <c r="K315" s="415"/>
      <c r="L315" s="415"/>
      <c r="M315" s="415"/>
      <c r="N315" s="415"/>
      <c r="O315" s="415"/>
      <c r="P315" s="503"/>
      <c r="Q315" s="503"/>
      <c r="R315" s="503"/>
      <c r="S315" s="503"/>
      <c r="T315" s="503"/>
      <c r="U315" s="503"/>
      <c r="V315" s="503"/>
      <c r="Z315" s="504"/>
      <c r="AA315" s="504" t="str">
        <f>IF(AND(F317=G317,H317=I317,F317="A"),"2016 - kwh","")</f>
        <v/>
      </c>
      <c r="AB315" s="504" t="str">
        <f>IF(OR(B315="2017 - kwh",B315="2018 - kwh"),"2016 - kwh","")</f>
        <v/>
      </c>
      <c r="AC315" s="504"/>
      <c r="AD315" s="504"/>
      <c r="AE315" s="504"/>
    </row>
    <row r="316" spans="1:31" hidden="1" x14ac:dyDescent="0.35">
      <c r="A316" s="503" t="str">
        <f>IF(AND(F317=G317,H317=I317,J317=K317,F317="A"),"2016 - kw",IF(AND(F317=G317,H317=I317,J317&lt;&gt;K317,F317="A"),"2017 - kw",IF(AND(F317=G317,H317&lt;&gt;I317,F317="A"),"2018 - kw","N/A")))</f>
        <v>N/A</v>
      </c>
      <c r="B316" s="503" t="str">
        <f>IF(F317&lt;&gt;G317,"2018 - kw",IF(H317&lt;&gt;I317,"2017 - kw",IF(J317&lt;&gt;K317,"2016 - kw","N/A")))</f>
        <v>N/A</v>
      </c>
      <c r="C316" s="511"/>
      <c r="D316" s="512" t="str">
        <f>D315 &amp; "kW"</f>
        <v>kW</v>
      </c>
      <c r="E316" s="513" t="s">
        <v>170</v>
      </c>
      <c r="F316" s="415"/>
      <c r="G316" s="415"/>
      <c r="H316" s="415"/>
      <c r="I316" s="415"/>
      <c r="J316" s="415"/>
      <c r="K316" s="415"/>
      <c r="L316" s="415"/>
      <c r="M316" s="415"/>
      <c r="N316" s="415"/>
      <c r="O316" s="415"/>
      <c r="P316" s="503"/>
      <c r="Q316" s="503"/>
      <c r="R316" s="503"/>
      <c r="S316" s="503"/>
      <c r="T316" s="503"/>
      <c r="U316" s="503"/>
      <c r="V316" s="503"/>
      <c r="Z316" s="504"/>
      <c r="AA316" s="504" t="str">
        <f>IF(AND(F317=G317,H317=I317,F317="A"),"2016 - kw","")</f>
        <v/>
      </c>
      <c r="AB316" s="504" t="str">
        <f>IF(OR(B316="2017 - kw",B316="2018 - kw"),"2016 - kw","")</f>
        <v/>
      </c>
      <c r="AC316" s="504"/>
      <c r="AD316" s="504"/>
      <c r="AE316" s="504"/>
    </row>
    <row r="317" spans="1:31" hidden="1" x14ac:dyDescent="0.35">
      <c r="A317" s="503"/>
      <c r="B317" s="503"/>
      <c r="C317" s="514"/>
      <c r="D317" s="515"/>
      <c r="E317" s="516" t="s">
        <v>210</v>
      </c>
      <c r="F317" s="502"/>
      <c r="G317" s="502"/>
      <c r="H317" s="502"/>
      <c r="I317" s="502"/>
      <c r="J317" s="502"/>
      <c r="K317" s="502"/>
      <c r="L317" s="502"/>
      <c r="M317" s="502"/>
      <c r="N317" s="502"/>
      <c r="O317" s="502"/>
      <c r="P317" s="503"/>
      <c r="Q317" s="503"/>
      <c r="R317" s="503"/>
      <c r="S317" s="503"/>
      <c r="T317" s="503"/>
      <c r="U317" s="503"/>
      <c r="V317" s="503"/>
      <c r="Z317" s="504"/>
      <c r="AA317" s="504"/>
      <c r="AB317" s="504"/>
      <c r="AC317" s="504"/>
      <c r="AD317" s="504"/>
      <c r="AE317" s="504"/>
    </row>
    <row r="318" spans="1:31" hidden="1" x14ac:dyDescent="0.35">
      <c r="A318" s="503" t="str">
        <f>IF(AND(F320=G320,H320=I320,J320=K320,F320="A"),"2016 - kwh",IF(AND(F320=G320,H320=I320,J320&lt;&gt;K320,F320="A"),"2017 - kwh",IF(AND(F320=G320,H320&lt;&gt;I320,F320="A"),"2018 - kwh","N/A")))</f>
        <v>N/A</v>
      </c>
      <c r="B318" s="503" t="str">
        <f>IF(F320&lt;&gt;G320,"2018 - kwh",IF(H320&lt;&gt;I320,"2017 - kwh",IF(J320&lt;&gt;K320,"2016 - kwh","N/A")))</f>
        <v>N/A</v>
      </c>
      <c r="C318" s="508" t="s">
        <v>305</v>
      </c>
      <c r="D318" s="509"/>
      <c r="E318" s="510" t="s">
        <v>139</v>
      </c>
      <c r="F318" s="415"/>
      <c r="G318" s="415"/>
      <c r="H318" s="415"/>
      <c r="I318" s="415"/>
      <c r="J318" s="415"/>
      <c r="K318" s="415"/>
      <c r="L318" s="415"/>
      <c r="M318" s="415"/>
      <c r="N318" s="415"/>
      <c r="O318" s="415"/>
      <c r="P318" s="503"/>
      <c r="Q318" s="503"/>
      <c r="R318" s="503"/>
      <c r="S318" s="503"/>
      <c r="T318" s="503"/>
      <c r="U318" s="503"/>
      <c r="V318" s="503"/>
      <c r="Z318" s="504"/>
      <c r="AA318" s="504" t="str">
        <f>IF(AND(F320=G320,H320=I320,F320="A"),"2016 - kwh","")</f>
        <v/>
      </c>
      <c r="AB318" s="504" t="str">
        <f>IF(OR(B318="2017 - kwh",B318="2018 - kwh"),"2016 - kwh","")</f>
        <v/>
      </c>
      <c r="AC318" s="504"/>
      <c r="AD318" s="504"/>
      <c r="AE318" s="504"/>
    </row>
    <row r="319" spans="1:31" hidden="1" x14ac:dyDescent="0.35">
      <c r="A319" s="503" t="str">
        <f>IF(AND(F320=G320,H320=I320,J320=K320,F320="A"),"2016 - kw",IF(AND(F320=G320,H320=I320,J320&lt;&gt;K320,F320="A"),"2017 - kw",IF(AND(F320=G320,H320&lt;&gt;I320,F320="A"),"2018 - kw","N/A")))</f>
        <v>N/A</v>
      </c>
      <c r="B319" s="503" t="str">
        <f>IF(F320&lt;&gt;G320,"2018 - kw",IF(H320&lt;&gt;I320,"2017 - kw",IF(J320&lt;&gt;K320,"2016 - kw","N/A")))</f>
        <v>N/A</v>
      </c>
      <c r="C319" s="511"/>
      <c r="D319" s="512" t="str">
        <f>D318 &amp; "kW"</f>
        <v>kW</v>
      </c>
      <c r="E319" s="513" t="s">
        <v>170</v>
      </c>
      <c r="F319" s="415"/>
      <c r="G319" s="415"/>
      <c r="H319" s="415"/>
      <c r="I319" s="415"/>
      <c r="J319" s="415"/>
      <c r="K319" s="415"/>
      <c r="L319" s="415"/>
      <c r="M319" s="415"/>
      <c r="N319" s="415"/>
      <c r="O319" s="415"/>
      <c r="P319" s="503"/>
      <c r="Q319" s="503"/>
      <c r="R319" s="503"/>
      <c r="S319" s="503"/>
      <c r="T319" s="503"/>
      <c r="U319" s="503"/>
      <c r="V319" s="503"/>
      <c r="Z319" s="504"/>
      <c r="AA319" s="504" t="str">
        <f>IF(AND(F320=G320,H320=I320,F320="A"),"2016 - kw","")</f>
        <v/>
      </c>
      <c r="AB319" s="504" t="str">
        <f>IF(OR(B319="2017 - kw",B319="2018 - kw"),"2016 - kw","")</f>
        <v/>
      </c>
      <c r="AC319" s="504"/>
      <c r="AD319" s="504"/>
      <c r="AE319" s="504"/>
    </row>
    <row r="320" spans="1:31" hidden="1" x14ac:dyDescent="0.35">
      <c r="A320" s="503"/>
      <c r="B320" s="503"/>
      <c r="C320" s="514"/>
      <c r="D320" s="515"/>
      <c r="E320" s="516" t="s">
        <v>210</v>
      </c>
      <c r="F320" s="502"/>
      <c r="G320" s="502"/>
      <c r="H320" s="502"/>
      <c r="I320" s="502"/>
      <c r="J320" s="502"/>
      <c r="K320" s="502"/>
      <c r="L320" s="502"/>
      <c r="M320" s="502"/>
      <c r="N320" s="502"/>
      <c r="O320" s="502"/>
      <c r="P320" s="503"/>
      <c r="Q320" s="503"/>
      <c r="R320" s="503"/>
      <c r="S320" s="503"/>
      <c r="T320" s="503"/>
      <c r="U320" s="503"/>
      <c r="V320" s="503"/>
      <c r="Z320" s="504"/>
      <c r="AA320" s="504"/>
      <c r="AB320" s="504"/>
      <c r="AC320" s="504"/>
      <c r="AD320" s="504"/>
      <c r="AE320" s="504"/>
    </row>
    <row r="321" spans="1:31" hidden="1" x14ac:dyDescent="0.35">
      <c r="A321" s="503" t="str">
        <f>IF(AND(F323=G323,H323=I323,J323=K323,F323="A"),"2016 - kwh",IF(AND(F323=G323,H323=I323,J323&lt;&gt;K323,F323="A"),"2017 - kwh",IF(AND(F323=G323,H323&lt;&gt;I323,F323="A"),"2018 - kwh","N/A")))</f>
        <v>N/A</v>
      </c>
      <c r="B321" s="503" t="str">
        <f>IF(F323&lt;&gt;G323,"2018 - kwh",IF(H323&lt;&gt;I323,"2017 - kwh",IF(J323&lt;&gt;K323,"2016 - kwh","N/A")))</f>
        <v>N/A</v>
      </c>
      <c r="C321" s="508" t="s">
        <v>306</v>
      </c>
      <c r="D321" s="509"/>
      <c r="E321" s="510" t="s">
        <v>139</v>
      </c>
      <c r="F321" s="415"/>
      <c r="G321" s="415"/>
      <c r="H321" s="415"/>
      <c r="I321" s="415"/>
      <c r="J321" s="415"/>
      <c r="K321" s="415"/>
      <c r="L321" s="415"/>
      <c r="M321" s="415"/>
      <c r="N321" s="415"/>
      <c r="O321" s="415"/>
      <c r="P321" s="503"/>
      <c r="Q321" s="503"/>
      <c r="R321" s="503"/>
      <c r="S321" s="503"/>
      <c r="T321" s="503"/>
      <c r="U321" s="503"/>
      <c r="V321" s="503"/>
      <c r="Z321" s="504"/>
      <c r="AA321" s="504" t="str">
        <f>IF(AND(F323=G323,H323=I323,F323="A"),"2016 - kwh","")</f>
        <v/>
      </c>
      <c r="AB321" s="504" t="str">
        <f>IF(OR(B321="2017 - kwh",B321="2018 - kwh"),"2016 - kwh","")</f>
        <v/>
      </c>
      <c r="AC321" s="504"/>
      <c r="AD321" s="504"/>
      <c r="AE321" s="504"/>
    </row>
    <row r="322" spans="1:31" hidden="1" x14ac:dyDescent="0.35">
      <c r="A322" s="503" t="str">
        <f>IF(AND(F323=G323,H323=I323,J323=K323,F323="A"),"2016 - kw",IF(AND(F323=G323,H323=I323,J323&lt;&gt;K323,F323="A"),"2017 - kw",IF(AND(F323=G323,H323&lt;&gt;I323,F323="A"),"2018 - kw","N/A")))</f>
        <v>N/A</v>
      </c>
      <c r="B322" s="503" t="str">
        <f>IF(F323&lt;&gt;G323,"2018 - kw",IF(H323&lt;&gt;I323,"2017 - kw",IF(J323&lt;&gt;K323,"2016 - kw","N/A")))</f>
        <v>N/A</v>
      </c>
      <c r="C322" s="511"/>
      <c r="D322" s="512" t="str">
        <f>D321 &amp; "kW"</f>
        <v>kW</v>
      </c>
      <c r="E322" s="513" t="s">
        <v>170</v>
      </c>
      <c r="F322" s="415"/>
      <c r="G322" s="415"/>
      <c r="H322" s="415"/>
      <c r="I322" s="415"/>
      <c r="J322" s="415"/>
      <c r="K322" s="415"/>
      <c r="L322" s="415"/>
      <c r="M322" s="415"/>
      <c r="N322" s="415"/>
      <c r="O322" s="415"/>
      <c r="P322" s="503"/>
      <c r="Q322" s="503"/>
      <c r="R322" s="503"/>
      <c r="S322" s="503"/>
      <c r="T322" s="503"/>
      <c r="U322" s="503"/>
      <c r="V322" s="503"/>
      <c r="Z322" s="504"/>
      <c r="AA322" s="504" t="str">
        <f>IF(AND(F323=G323,H323=I323,F323="A"),"2016 - kw","")</f>
        <v/>
      </c>
      <c r="AB322" s="504" t="str">
        <f>IF(OR(B322="2017 - kw",B322="2018 - kw"),"2016 - kw","")</f>
        <v/>
      </c>
      <c r="AC322" s="504"/>
      <c r="AD322" s="504"/>
      <c r="AE322" s="504"/>
    </row>
    <row r="323" spans="1:31" hidden="1" x14ac:dyDescent="0.35">
      <c r="A323" s="503"/>
      <c r="B323" s="503"/>
      <c r="C323" s="514"/>
      <c r="D323" s="515"/>
      <c r="E323" s="516" t="s">
        <v>210</v>
      </c>
      <c r="F323" s="502"/>
      <c r="G323" s="502"/>
      <c r="H323" s="502"/>
      <c r="I323" s="502"/>
      <c r="J323" s="502"/>
      <c r="K323" s="502"/>
      <c r="L323" s="502"/>
      <c r="M323" s="502"/>
      <c r="N323" s="502"/>
      <c r="O323" s="502"/>
      <c r="P323" s="503"/>
      <c r="Q323" s="503"/>
      <c r="R323" s="503"/>
      <c r="S323" s="503"/>
      <c r="T323" s="503"/>
      <c r="U323" s="503"/>
      <c r="V323" s="503"/>
      <c r="Z323" s="504"/>
      <c r="AA323" s="504"/>
      <c r="AB323" s="504"/>
      <c r="AC323" s="504"/>
      <c r="AD323" s="504"/>
      <c r="AE323" s="504"/>
    </row>
    <row r="324" spans="1:31" hidden="1" x14ac:dyDescent="0.35">
      <c r="A324" s="503" t="str">
        <f>IF(AND(F326=G326,H326=I326,J326=K326,F326="A"),"2016 - kwh",IF(AND(F326=G326,H326=I326,J326&lt;&gt;K326,F326="A"),"2017 - kwh",IF(AND(F326=G326,H326&lt;&gt;I326,F326="A"),"2018 - kwh","N/A")))</f>
        <v>N/A</v>
      </c>
      <c r="B324" s="503" t="str">
        <f>IF(F326&lt;&gt;G326,"2018 - kwh",IF(H326&lt;&gt;I326,"2017 - kwh",IF(J326&lt;&gt;K326,"2016 - kwh","N/A")))</f>
        <v>N/A</v>
      </c>
      <c r="C324" s="508" t="s">
        <v>307</v>
      </c>
      <c r="D324" s="509"/>
      <c r="E324" s="510" t="s">
        <v>139</v>
      </c>
      <c r="F324" s="415"/>
      <c r="G324" s="415"/>
      <c r="H324" s="415"/>
      <c r="I324" s="415"/>
      <c r="J324" s="415"/>
      <c r="K324" s="415"/>
      <c r="L324" s="415"/>
      <c r="M324" s="415"/>
      <c r="N324" s="415"/>
      <c r="O324" s="415"/>
      <c r="P324" s="503"/>
      <c r="Q324" s="503"/>
      <c r="R324" s="503"/>
      <c r="S324" s="503"/>
      <c r="T324" s="503"/>
      <c r="U324" s="503"/>
      <c r="V324" s="503"/>
      <c r="Z324" s="504"/>
      <c r="AA324" s="504" t="str">
        <f>IF(AND(F326=G326,H326=I326,F326="A"),"2016 - kwh","")</f>
        <v/>
      </c>
      <c r="AB324" s="504" t="str">
        <f>IF(OR(B324="2017 - kwh",B324="2018 - kwh"),"2016 - kwh","")</f>
        <v/>
      </c>
      <c r="AC324" s="504"/>
      <c r="AD324" s="504"/>
      <c r="AE324" s="504"/>
    </row>
    <row r="325" spans="1:31" hidden="1" x14ac:dyDescent="0.35">
      <c r="A325" s="503" t="str">
        <f>IF(AND(F326=G326,H326=I326,J326=K326,F326="A"),"2016 - kw",IF(AND(F326=G326,H326=I326,J326&lt;&gt;K326,F326="A"),"2017 - kw",IF(AND(F326=G326,H326&lt;&gt;I326,F326="A"),"2018 - kw","N/A")))</f>
        <v>N/A</v>
      </c>
      <c r="B325" s="503" t="str">
        <f>IF(F326&lt;&gt;G326,"2018 - kw",IF(H326&lt;&gt;I326,"2017 - kw",IF(J326&lt;&gt;K326,"2016 - kw","N/A")))</f>
        <v>N/A</v>
      </c>
      <c r="C325" s="511"/>
      <c r="D325" s="512" t="str">
        <f>D324 &amp; "kW"</f>
        <v>kW</v>
      </c>
      <c r="E325" s="513" t="s">
        <v>170</v>
      </c>
      <c r="F325" s="415"/>
      <c r="G325" s="415"/>
      <c r="H325" s="415"/>
      <c r="I325" s="415"/>
      <c r="J325" s="415"/>
      <c r="K325" s="415"/>
      <c r="L325" s="415"/>
      <c r="M325" s="415"/>
      <c r="N325" s="415"/>
      <c r="O325" s="415"/>
      <c r="P325" s="503"/>
      <c r="Q325" s="503"/>
      <c r="R325" s="503"/>
      <c r="S325" s="503"/>
      <c r="T325" s="503"/>
      <c r="U325" s="503"/>
      <c r="V325" s="503"/>
      <c r="Z325" s="504"/>
      <c r="AA325" s="504" t="str">
        <f>IF(AND(F326=G326,H326=I326,F326="A"),"2016 - kw","")</f>
        <v/>
      </c>
      <c r="AB325" s="504" t="str">
        <f>IF(OR(B325="2017 - kw",B325="2018 - kw"),"2016 - kw","")</f>
        <v/>
      </c>
      <c r="AC325" s="504"/>
      <c r="AD325" s="504"/>
      <c r="AE325" s="504"/>
    </row>
    <row r="326" spans="1:31" hidden="1" x14ac:dyDescent="0.35">
      <c r="A326" s="503"/>
      <c r="B326" s="503"/>
      <c r="C326" s="514"/>
      <c r="D326" s="515"/>
      <c r="E326" s="516" t="s">
        <v>210</v>
      </c>
      <c r="F326" s="502"/>
      <c r="G326" s="502"/>
      <c r="H326" s="502"/>
      <c r="I326" s="502"/>
      <c r="J326" s="502"/>
      <c r="K326" s="502"/>
      <c r="L326" s="502"/>
      <c r="M326" s="502"/>
      <c r="N326" s="502"/>
      <c r="O326" s="502"/>
      <c r="P326" s="503"/>
      <c r="Q326" s="503"/>
      <c r="R326" s="503"/>
      <c r="S326" s="503"/>
      <c r="T326" s="503"/>
      <c r="U326" s="503"/>
      <c r="V326" s="503"/>
      <c r="Z326" s="504"/>
      <c r="AA326" s="504"/>
      <c r="AB326" s="504"/>
      <c r="AC326" s="504"/>
      <c r="AD326" s="504"/>
      <c r="AE326" s="504"/>
    </row>
    <row r="327" spans="1:31" hidden="1" x14ac:dyDescent="0.35">
      <c r="A327" s="503" t="str">
        <f>IF(AND(F329=G329,H329=I329,J329=K329,F329="A"),"2016 - kwh",IF(AND(F329=G329,H329=I329,J329&lt;&gt;K329,F329="A"),"2017 - kwh",IF(AND(F329=G329,H329&lt;&gt;I329,F329="A"),"2018 - kwh","N/A")))</f>
        <v>N/A</v>
      </c>
      <c r="B327" s="503" t="str">
        <f>IF(F329&lt;&gt;G329,"2018 - kwh",IF(H329&lt;&gt;I329,"2017 - kwh",IF(J329&lt;&gt;K329,"2016 - kwh","N/A")))</f>
        <v>N/A</v>
      </c>
      <c r="C327" s="508" t="s">
        <v>308</v>
      </c>
      <c r="D327" s="509"/>
      <c r="E327" s="510" t="s">
        <v>139</v>
      </c>
      <c r="F327" s="415"/>
      <c r="G327" s="415"/>
      <c r="H327" s="415"/>
      <c r="I327" s="415"/>
      <c r="J327" s="415"/>
      <c r="K327" s="415"/>
      <c r="L327" s="415"/>
      <c r="M327" s="415"/>
      <c r="N327" s="415"/>
      <c r="O327" s="415"/>
      <c r="P327" s="503"/>
      <c r="Q327" s="503"/>
      <c r="R327" s="503"/>
      <c r="S327" s="503"/>
      <c r="T327" s="503"/>
      <c r="U327" s="503"/>
      <c r="V327" s="503"/>
      <c r="Z327" s="504"/>
      <c r="AA327" s="504" t="str">
        <f>IF(AND(F329=G329,H329=I329,F329="A"),"2016 - kwh","")</f>
        <v/>
      </c>
      <c r="AB327" s="504" t="str">
        <f>IF(OR(B327="2017 - kwh",B327="2018 - kwh"),"2016 - kwh","")</f>
        <v/>
      </c>
      <c r="AC327" s="504"/>
      <c r="AD327" s="504"/>
      <c r="AE327" s="504"/>
    </row>
    <row r="328" spans="1:31" hidden="1" x14ac:dyDescent="0.35">
      <c r="A328" s="503" t="str">
        <f>IF(AND(F329=G329,H329=I329,J329=K329,F329="A"),"2016 - kw",IF(AND(F329=G329,H329=I329,J329&lt;&gt;K329,F329="A"),"2017 - kw",IF(AND(F329=G329,H329&lt;&gt;I329,F329="A"),"2018 - kw","N/A")))</f>
        <v>N/A</v>
      </c>
      <c r="B328" s="503" t="str">
        <f>IF(F329&lt;&gt;G329,"2018 - kw",IF(H329&lt;&gt;I329,"2017 - kw",IF(J329&lt;&gt;K329,"2016 - kw","N/A")))</f>
        <v>N/A</v>
      </c>
      <c r="C328" s="511"/>
      <c r="D328" s="512" t="str">
        <f>D327 &amp; "kW"</f>
        <v>kW</v>
      </c>
      <c r="E328" s="513" t="s">
        <v>170</v>
      </c>
      <c r="F328" s="415"/>
      <c r="G328" s="415"/>
      <c r="H328" s="415"/>
      <c r="I328" s="415"/>
      <c r="J328" s="415"/>
      <c r="K328" s="415"/>
      <c r="L328" s="415"/>
      <c r="M328" s="415"/>
      <c r="N328" s="415"/>
      <c r="O328" s="415"/>
      <c r="P328" s="503"/>
      <c r="Q328" s="503"/>
      <c r="R328" s="503"/>
      <c r="S328" s="503"/>
      <c r="T328" s="503"/>
      <c r="U328" s="503"/>
      <c r="V328" s="503"/>
      <c r="Z328" s="504"/>
      <c r="AA328" s="504" t="str">
        <f>IF(AND(F329=G329,H329=I329,F329="A"),"2016 - kw","")</f>
        <v/>
      </c>
      <c r="AB328" s="504" t="str">
        <f>IF(OR(B328="2017 - kw",B328="2018 - kw"),"2016 - kw","")</f>
        <v/>
      </c>
      <c r="AC328" s="504"/>
      <c r="AD328" s="504"/>
      <c r="AE328" s="504"/>
    </row>
    <row r="329" spans="1:31" hidden="1" x14ac:dyDescent="0.35">
      <c r="A329" s="503"/>
      <c r="B329" s="503"/>
      <c r="C329" s="514"/>
      <c r="D329" s="515"/>
      <c r="E329" s="516" t="s">
        <v>210</v>
      </c>
      <c r="F329" s="502"/>
      <c r="G329" s="502"/>
      <c r="H329" s="502"/>
      <c r="I329" s="502"/>
      <c r="J329" s="502"/>
      <c r="K329" s="502"/>
      <c r="L329" s="502"/>
      <c r="M329" s="502"/>
      <c r="N329" s="502"/>
      <c r="O329" s="502"/>
      <c r="P329" s="503"/>
      <c r="Q329" s="503"/>
      <c r="R329" s="503"/>
      <c r="S329" s="503"/>
      <c r="T329" s="503"/>
      <c r="U329" s="503"/>
      <c r="V329" s="503"/>
      <c r="Z329" s="504"/>
      <c r="AA329" s="504"/>
      <c r="AB329" s="504"/>
      <c r="AC329" s="504"/>
      <c r="AD329" s="504"/>
      <c r="AE329" s="504"/>
    </row>
    <row r="330" spans="1:31" hidden="1" x14ac:dyDescent="0.35">
      <c r="A330" s="503" t="str">
        <f>IF(AND(F332=G332,H332=I332,J332=K332,F332="A"),"2016 - kwh",IF(AND(F332=G332,H332=I332,J332&lt;&gt;K332,F332="A"),"2017 - kwh",IF(AND(F332=G332,H332&lt;&gt;I332,F332="A"),"2018 - kwh","N/A")))</f>
        <v>N/A</v>
      </c>
      <c r="B330" s="503" t="str">
        <f>IF(F332&lt;&gt;G332,"2018 - kwh",IF(H332&lt;&gt;I332,"2017 - kwh",IF(J332&lt;&gt;K332,"2016 - kwh","N/A")))</f>
        <v>N/A</v>
      </c>
      <c r="C330" s="508" t="s">
        <v>309</v>
      </c>
      <c r="D330" s="509"/>
      <c r="E330" s="510" t="s">
        <v>139</v>
      </c>
      <c r="F330" s="415"/>
      <c r="G330" s="415"/>
      <c r="H330" s="415"/>
      <c r="I330" s="415"/>
      <c r="J330" s="415"/>
      <c r="K330" s="415"/>
      <c r="L330" s="415"/>
      <c r="M330" s="415"/>
      <c r="N330" s="415"/>
      <c r="O330" s="415"/>
      <c r="P330" s="503"/>
      <c r="Q330" s="503"/>
      <c r="R330" s="503"/>
      <c r="S330" s="503"/>
      <c r="T330" s="503"/>
      <c r="U330" s="503"/>
      <c r="V330" s="503"/>
      <c r="Z330" s="504"/>
      <c r="AA330" s="504" t="str">
        <f>IF(AND(F332=G332,H332=I332,F332="A"),"2016 - kwh","")</f>
        <v/>
      </c>
      <c r="AB330" s="504" t="str">
        <f>IF(OR(B330="2017 - kwh",B330="2018 - kwh"),"2016 - kwh","")</f>
        <v/>
      </c>
      <c r="AC330" s="504"/>
      <c r="AD330" s="504"/>
      <c r="AE330" s="504"/>
    </row>
    <row r="331" spans="1:31" hidden="1" x14ac:dyDescent="0.35">
      <c r="A331" s="503" t="str">
        <f>IF(AND(F332=G332,H332=I332,J332=K332,F332="A"),"2016 - kw",IF(AND(F332=G332,H332=I332,J332&lt;&gt;K332,F332="A"),"2017 - kw",IF(AND(F332=G332,H332&lt;&gt;I332,F332="A"),"2018 - kw","N/A")))</f>
        <v>N/A</v>
      </c>
      <c r="B331" s="503" t="str">
        <f>IF(F332&lt;&gt;G332,"2018 - kw",IF(H332&lt;&gt;I332,"2017 - kw",IF(J332&lt;&gt;K332,"2016 - kw","N/A")))</f>
        <v>N/A</v>
      </c>
      <c r="C331" s="511"/>
      <c r="D331" s="512" t="str">
        <f>D330 &amp; "kW"</f>
        <v>kW</v>
      </c>
      <c r="E331" s="513" t="s">
        <v>170</v>
      </c>
      <c r="F331" s="415"/>
      <c r="G331" s="415"/>
      <c r="H331" s="415"/>
      <c r="I331" s="415"/>
      <c r="J331" s="415"/>
      <c r="K331" s="415"/>
      <c r="L331" s="415"/>
      <c r="M331" s="415"/>
      <c r="N331" s="415"/>
      <c r="O331" s="415"/>
      <c r="P331" s="503"/>
      <c r="Q331" s="503"/>
      <c r="R331" s="503"/>
      <c r="S331" s="503"/>
      <c r="T331" s="503"/>
      <c r="U331" s="503"/>
      <c r="V331" s="503"/>
      <c r="Z331" s="504"/>
      <c r="AA331" s="504" t="str">
        <f>IF(AND(F332=G332,H332=I332,F332="A"),"2016 - kw","")</f>
        <v/>
      </c>
      <c r="AB331" s="504" t="str">
        <f>IF(OR(B331="2017 - kw",B331="2018 - kw"),"2016 - kw","")</f>
        <v/>
      </c>
      <c r="AC331" s="504"/>
      <c r="AD331" s="504"/>
      <c r="AE331" s="504"/>
    </row>
    <row r="332" spans="1:31" hidden="1" x14ac:dyDescent="0.35">
      <c r="A332" s="503"/>
      <c r="B332" s="503"/>
      <c r="C332" s="514"/>
      <c r="D332" s="515"/>
      <c r="E332" s="516" t="s">
        <v>210</v>
      </c>
      <c r="F332" s="502"/>
      <c r="G332" s="502"/>
      <c r="H332" s="502"/>
      <c r="I332" s="502"/>
      <c r="J332" s="502"/>
      <c r="K332" s="502"/>
      <c r="L332" s="502"/>
      <c r="M332" s="502"/>
      <c r="N332" s="502"/>
      <c r="O332" s="502"/>
      <c r="P332" s="503"/>
      <c r="Q332" s="503"/>
      <c r="R332" s="503"/>
      <c r="S332" s="503"/>
      <c r="T332" s="503"/>
      <c r="U332" s="503"/>
      <c r="V332" s="503"/>
      <c r="Z332" s="504"/>
      <c r="AA332" s="504"/>
      <c r="AB332" s="504"/>
      <c r="AC332" s="504"/>
      <c r="AD332" s="504"/>
      <c r="AE332" s="504"/>
    </row>
    <row r="333" spans="1:31" hidden="1" x14ac:dyDescent="0.35">
      <c r="A333" s="503" t="str">
        <f>IF(AND(F335=G335,H335=I335,J335=K335,F335="A"),"2016 - kwh",IF(AND(F335=G335,H335=I335,J335&lt;&gt;K335,F335="A"),"2017 - kwh",IF(AND(F335=G335,H335&lt;&gt;I335,F335="A"),"2018 - kwh","N/A")))</f>
        <v>N/A</v>
      </c>
      <c r="B333" s="503" t="str">
        <f>IF(F335&lt;&gt;G335,"2018 - kwh",IF(H335&lt;&gt;I335,"2017 - kwh",IF(J335&lt;&gt;K335,"2016 - kwh","N/A")))</f>
        <v>N/A</v>
      </c>
      <c r="C333" s="508" t="s">
        <v>310</v>
      </c>
      <c r="D333" s="509"/>
      <c r="E333" s="510" t="s">
        <v>139</v>
      </c>
      <c r="F333" s="415"/>
      <c r="G333" s="415"/>
      <c r="H333" s="415"/>
      <c r="I333" s="415"/>
      <c r="J333" s="415"/>
      <c r="K333" s="415"/>
      <c r="L333" s="415"/>
      <c r="M333" s="415"/>
      <c r="N333" s="415"/>
      <c r="O333" s="415"/>
      <c r="P333" s="503"/>
      <c r="Q333" s="503"/>
      <c r="R333" s="503"/>
      <c r="S333" s="503"/>
      <c r="T333" s="503"/>
      <c r="U333" s="503"/>
      <c r="V333" s="503"/>
      <c r="Z333" s="504"/>
      <c r="AA333" s="504" t="str">
        <f>IF(AND(F335=G335,H335=I335,F335="A"),"2016 - kwh","")</f>
        <v/>
      </c>
      <c r="AB333" s="504" t="str">
        <f>IF(OR(B333="2017 - kwh",B333="2018 - kwh"),"2016 - kwh","")</f>
        <v/>
      </c>
      <c r="AC333" s="504"/>
      <c r="AD333" s="504"/>
      <c r="AE333" s="504"/>
    </row>
    <row r="334" spans="1:31" hidden="1" x14ac:dyDescent="0.35">
      <c r="A334" s="503" t="str">
        <f>IF(AND(F335=G335,H335=I335,J335=K335,F335="A"),"2016 - kw",IF(AND(F335=G335,H335=I335,J335&lt;&gt;K335,F335="A"),"2017 - kw",IF(AND(F335=G335,H335&lt;&gt;I335,F335="A"),"2018 - kw","N/A")))</f>
        <v>N/A</v>
      </c>
      <c r="B334" s="503" t="str">
        <f>IF(F335&lt;&gt;G335,"2018 - kw",IF(H335&lt;&gt;I335,"2017 - kw",IF(J335&lt;&gt;K335,"2016 - kw","N/A")))</f>
        <v>N/A</v>
      </c>
      <c r="C334" s="511"/>
      <c r="D334" s="512" t="str">
        <f>D333 &amp; "kW"</f>
        <v>kW</v>
      </c>
      <c r="E334" s="513" t="s">
        <v>170</v>
      </c>
      <c r="F334" s="415"/>
      <c r="G334" s="415"/>
      <c r="H334" s="415"/>
      <c r="I334" s="415"/>
      <c r="J334" s="415"/>
      <c r="K334" s="415"/>
      <c r="L334" s="415"/>
      <c r="M334" s="415"/>
      <c r="N334" s="415"/>
      <c r="O334" s="415"/>
      <c r="P334" s="503"/>
      <c r="Q334" s="503"/>
      <c r="R334" s="503"/>
      <c r="S334" s="503"/>
      <c r="T334" s="503"/>
      <c r="U334" s="503"/>
      <c r="V334" s="503"/>
      <c r="Z334" s="504"/>
      <c r="AA334" s="504" t="str">
        <f>IF(AND(F335=G335,H335=I335,F335="A"),"2016 - kw","")</f>
        <v/>
      </c>
      <c r="AB334" s="504" t="str">
        <f>IF(OR(B334="2017 - kw",B334="2018 - kw"),"2016 - kw","")</f>
        <v/>
      </c>
      <c r="AC334" s="504"/>
      <c r="AD334" s="504"/>
      <c r="AE334" s="504"/>
    </row>
    <row r="335" spans="1:31" hidden="1" x14ac:dyDescent="0.35">
      <c r="A335" s="503"/>
      <c r="B335" s="503"/>
      <c r="C335" s="514"/>
      <c r="D335" s="515"/>
      <c r="E335" s="516" t="s">
        <v>210</v>
      </c>
      <c r="F335" s="502"/>
      <c r="G335" s="502"/>
      <c r="H335" s="502"/>
      <c r="I335" s="502"/>
      <c r="J335" s="502"/>
      <c r="K335" s="502"/>
      <c r="L335" s="502"/>
      <c r="M335" s="502"/>
      <c r="N335" s="502"/>
      <c r="O335" s="502"/>
      <c r="P335" s="503"/>
      <c r="Q335" s="503"/>
      <c r="R335" s="503"/>
      <c r="S335" s="503"/>
      <c r="T335" s="503"/>
      <c r="U335" s="503"/>
      <c r="V335" s="503"/>
      <c r="Z335" s="504"/>
      <c r="AA335" s="504"/>
      <c r="AB335" s="504"/>
      <c r="AC335" s="504"/>
      <c r="AD335" s="504"/>
      <c r="AE335" s="504"/>
    </row>
    <row r="336" spans="1:31" hidden="1" x14ac:dyDescent="0.35">
      <c r="A336" s="503" t="str">
        <f>IF(AND(F338=G338,H338=I338,J338=K338,F338="A"),"2016 - kwh",IF(AND(F338=G338,H338=I338,J338&lt;&gt;K338,F338="A"),"2017 - kwh",IF(AND(F338=G338,H338&lt;&gt;I338,F338="A"),"2018 - kwh","N/A")))</f>
        <v>N/A</v>
      </c>
      <c r="B336" s="503" t="str">
        <f>IF(F338&lt;&gt;G338,"2018 - kwh",IF(H338&lt;&gt;I338,"2017 - kwh",IF(J338&lt;&gt;K338,"2016 - kwh","N/A")))</f>
        <v>N/A</v>
      </c>
      <c r="C336" s="508" t="s">
        <v>311</v>
      </c>
      <c r="D336" s="509"/>
      <c r="E336" s="510" t="s">
        <v>139</v>
      </c>
      <c r="F336" s="415"/>
      <c r="G336" s="415"/>
      <c r="H336" s="415"/>
      <c r="I336" s="415"/>
      <c r="J336" s="415"/>
      <c r="K336" s="415"/>
      <c r="L336" s="415"/>
      <c r="M336" s="415"/>
      <c r="N336" s="415"/>
      <c r="O336" s="415"/>
      <c r="P336" s="503"/>
      <c r="Q336" s="503"/>
      <c r="R336" s="503"/>
      <c r="S336" s="503"/>
      <c r="T336" s="503"/>
      <c r="U336" s="503"/>
      <c r="V336" s="503"/>
      <c r="Z336" s="504"/>
      <c r="AA336" s="504" t="str">
        <f>IF(AND(F338=G338,H338=I338,F338="A"),"2016 - kwh","")</f>
        <v/>
      </c>
      <c r="AB336" s="504" t="str">
        <f>IF(OR(B336="2017 - kwh",B336="2018 - kwh"),"2016 - kwh","")</f>
        <v/>
      </c>
      <c r="AC336" s="504"/>
      <c r="AD336" s="504"/>
      <c r="AE336" s="504"/>
    </row>
    <row r="337" spans="1:31" hidden="1" x14ac:dyDescent="0.35">
      <c r="A337" s="503" t="str">
        <f>IF(AND(F338=G338,H338=I338,J338=K338,F338="A"),"2016 - kw",IF(AND(F338=G338,H338=I338,J338&lt;&gt;K338,F338="A"),"2017 - kw",IF(AND(F338=G338,H338&lt;&gt;I338,F338="A"),"2018 - kw","N/A")))</f>
        <v>N/A</v>
      </c>
      <c r="B337" s="503" t="str">
        <f>IF(F338&lt;&gt;G338,"2018 - kw",IF(H338&lt;&gt;I338,"2017 - kw",IF(J338&lt;&gt;K338,"2016 - kw","N/A")))</f>
        <v>N/A</v>
      </c>
      <c r="C337" s="511"/>
      <c r="D337" s="512" t="str">
        <f>D336 &amp; "kW"</f>
        <v>kW</v>
      </c>
      <c r="E337" s="513" t="s">
        <v>170</v>
      </c>
      <c r="F337" s="415"/>
      <c r="G337" s="415"/>
      <c r="H337" s="415"/>
      <c r="I337" s="415"/>
      <c r="J337" s="415"/>
      <c r="K337" s="415"/>
      <c r="L337" s="415"/>
      <c r="M337" s="415"/>
      <c r="N337" s="415"/>
      <c r="O337" s="415"/>
      <c r="P337" s="503"/>
      <c r="Q337" s="503"/>
      <c r="R337" s="503"/>
      <c r="S337" s="503"/>
      <c r="T337" s="503"/>
      <c r="U337" s="503"/>
      <c r="V337" s="503"/>
      <c r="Z337" s="504"/>
      <c r="AA337" s="504" t="str">
        <f>IF(AND(F338=G338,H338=I338,F338="A"),"2016 - kw","")</f>
        <v/>
      </c>
      <c r="AB337" s="504" t="str">
        <f>IF(OR(B337="2017 - kw",B337="2018 - kw"),"2016 - kw","")</f>
        <v/>
      </c>
      <c r="AC337" s="504"/>
      <c r="AD337" s="504"/>
      <c r="AE337" s="504"/>
    </row>
    <row r="338" spans="1:31" hidden="1" x14ac:dyDescent="0.35">
      <c r="A338" s="503"/>
      <c r="B338" s="503"/>
      <c r="C338" s="514"/>
      <c r="D338" s="515"/>
      <c r="E338" s="516" t="s">
        <v>210</v>
      </c>
      <c r="F338" s="502"/>
      <c r="G338" s="502"/>
      <c r="H338" s="502"/>
      <c r="I338" s="502"/>
      <c r="J338" s="502"/>
      <c r="K338" s="502"/>
      <c r="L338" s="502"/>
      <c r="M338" s="502"/>
      <c r="N338" s="502"/>
      <c r="O338" s="502"/>
      <c r="P338" s="503"/>
      <c r="Q338" s="503"/>
      <c r="R338" s="503"/>
      <c r="S338" s="503"/>
      <c r="T338" s="503"/>
      <c r="U338" s="503"/>
      <c r="V338" s="503"/>
      <c r="Z338" s="504"/>
      <c r="AA338" s="504"/>
      <c r="AB338" s="504"/>
      <c r="AC338" s="504"/>
      <c r="AD338" s="504"/>
      <c r="AE338" s="504"/>
    </row>
    <row r="339" spans="1:31" hidden="1" x14ac:dyDescent="0.35">
      <c r="A339" s="503" t="str">
        <f>IF(AND(F341=G341,H341=I341,J341=K341,F341="A"),"2016 - kwh",IF(AND(F341=G341,H341=I341,J341&lt;&gt;K341,F341="A"),"2017 - kwh",IF(AND(F341=G341,H341&lt;&gt;I341,F341="A"),"2018 - kwh","N/A")))</f>
        <v>N/A</v>
      </c>
      <c r="B339" s="503" t="str">
        <f>IF(F341&lt;&gt;G341,"2018 - kwh",IF(H341&lt;&gt;I341,"2017 - kwh",IF(J341&lt;&gt;K341,"2016 - kwh","N/A")))</f>
        <v>N/A</v>
      </c>
      <c r="C339" s="508" t="s">
        <v>312</v>
      </c>
      <c r="D339" s="509"/>
      <c r="E339" s="510" t="s">
        <v>139</v>
      </c>
      <c r="F339" s="415"/>
      <c r="G339" s="415"/>
      <c r="H339" s="415"/>
      <c r="I339" s="415"/>
      <c r="J339" s="415"/>
      <c r="K339" s="415"/>
      <c r="L339" s="415"/>
      <c r="M339" s="415"/>
      <c r="N339" s="415"/>
      <c r="O339" s="415"/>
      <c r="P339" s="503"/>
      <c r="Q339" s="503"/>
      <c r="R339" s="503"/>
      <c r="S339" s="503"/>
      <c r="T339" s="503"/>
      <c r="U339" s="503"/>
      <c r="V339" s="503"/>
      <c r="Z339" s="504"/>
      <c r="AA339" s="504" t="str">
        <f>IF(AND(F341=G341,H341=I341,F341="A"),"2016 - kwh","")</f>
        <v/>
      </c>
      <c r="AB339" s="504" t="str">
        <f>IF(OR(B339="2017 - kwh",B339="2018 - kwh"),"2016 - kwh","")</f>
        <v/>
      </c>
      <c r="AC339" s="504"/>
      <c r="AD339" s="504"/>
      <c r="AE339" s="504"/>
    </row>
    <row r="340" spans="1:31" hidden="1" x14ac:dyDescent="0.35">
      <c r="A340" s="503" t="str">
        <f>IF(AND(F341=G341,H341=I341,J341=K341,F341="A"),"2016 - kw",IF(AND(F341=G341,H341=I341,J341&lt;&gt;K341,F341="A"),"2017 - kw",IF(AND(F341=G341,H341&lt;&gt;I341,F341="A"),"2018 - kw","N/A")))</f>
        <v>N/A</v>
      </c>
      <c r="B340" s="503" t="str">
        <f>IF(F341&lt;&gt;G341,"2018 - kw",IF(H341&lt;&gt;I341,"2017 - kw",IF(J341&lt;&gt;K341,"2016 - kw","N/A")))</f>
        <v>N/A</v>
      </c>
      <c r="C340" s="511"/>
      <c r="D340" s="512" t="str">
        <f>D339 &amp; "kW"</f>
        <v>kW</v>
      </c>
      <c r="E340" s="513" t="s">
        <v>170</v>
      </c>
      <c r="F340" s="415"/>
      <c r="G340" s="415"/>
      <c r="H340" s="415"/>
      <c r="I340" s="415"/>
      <c r="J340" s="415"/>
      <c r="K340" s="415"/>
      <c r="L340" s="415"/>
      <c r="M340" s="415"/>
      <c r="N340" s="415"/>
      <c r="O340" s="415"/>
      <c r="P340" s="503"/>
      <c r="Q340" s="503"/>
      <c r="R340" s="503"/>
      <c r="S340" s="503"/>
      <c r="T340" s="503"/>
      <c r="U340" s="503"/>
      <c r="V340" s="503"/>
      <c r="Z340" s="504"/>
      <c r="AA340" s="504" t="str">
        <f>IF(AND(F341=G341,H341=I341,F341="A"),"2016 - kw","")</f>
        <v/>
      </c>
      <c r="AB340" s="504" t="str">
        <f>IF(OR(B340="2017 - kw",B340="2018 - kw"),"2016 - kw","")</f>
        <v/>
      </c>
      <c r="AC340" s="504"/>
      <c r="AD340" s="504"/>
      <c r="AE340" s="504"/>
    </row>
    <row r="341" spans="1:31" hidden="1" x14ac:dyDescent="0.35">
      <c r="A341" s="503"/>
      <c r="B341" s="503"/>
      <c r="C341" s="514"/>
      <c r="D341" s="515"/>
      <c r="E341" s="516" t="s">
        <v>210</v>
      </c>
      <c r="F341" s="502"/>
      <c r="G341" s="502"/>
      <c r="H341" s="502"/>
      <c r="I341" s="502"/>
      <c r="J341" s="502"/>
      <c r="K341" s="502"/>
      <c r="L341" s="502"/>
      <c r="M341" s="502"/>
      <c r="N341" s="502"/>
      <c r="O341" s="502"/>
      <c r="P341" s="503"/>
      <c r="Q341" s="503"/>
      <c r="R341" s="503"/>
      <c r="S341" s="503"/>
      <c r="T341" s="503"/>
      <c r="U341" s="503"/>
      <c r="V341" s="503"/>
      <c r="Z341" s="504"/>
      <c r="AA341" s="504"/>
      <c r="AB341" s="504"/>
      <c r="AC341" s="504"/>
      <c r="AD341" s="504"/>
      <c r="AE341" s="504"/>
    </row>
    <row r="342" spans="1:31" hidden="1" x14ac:dyDescent="0.35">
      <c r="A342" s="503" t="str">
        <f>IF(AND(F344=G344,H344=I344,J344=K344,F344="A"),"2016 - kwh",IF(AND(F344=G344,H344=I344,J344&lt;&gt;K344,F344="A"),"2017 - kwh",IF(AND(F344=G344,H344&lt;&gt;I344,F344="A"),"2018 - kwh","N/A")))</f>
        <v>N/A</v>
      </c>
      <c r="B342" s="503" t="str">
        <f>IF(F344&lt;&gt;G344,"2018 - kwh",IF(H344&lt;&gt;I344,"2017 - kwh",IF(J344&lt;&gt;K344,"2016 - kwh","N/A")))</f>
        <v>N/A</v>
      </c>
      <c r="C342" s="508" t="s">
        <v>313</v>
      </c>
      <c r="D342" s="509"/>
      <c r="E342" s="510" t="s">
        <v>139</v>
      </c>
      <c r="F342" s="415"/>
      <c r="G342" s="415"/>
      <c r="H342" s="415"/>
      <c r="I342" s="415"/>
      <c r="J342" s="415"/>
      <c r="K342" s="415"/>
      <c r="L342" s="415"/>
      <c r="M342" s="415"/>
      <c r="N342" s="415"/>
      <c r="O342" s="415"/>
      <c r="P342" s="503"/>
      <c r="Q342" s="503"/>
      <c r="R342" s="503"/>
      <c r="S342" s="503"/>
      <c r="T342" s="503"/>
      <c r="U342" s="503"/>
      <c r="V342" s="503"/>
      <c r="Z342" s="504"/>
      <c r="AA342" s="504" t="str">
        <f>IF(AND(F344=G344,H344=I344,F344="A"),"2016 - kwh","")</f>
        <v/>
      </c>
      <c r="AB342" s="504" t="str">
        <f>IF(OR(B342="2017 - kwh",B342="2018 - kwh"),"2016 - kwh","")</f>
        <v/>
      </c>
      <c r="AC342" s="504"/>
      <c r="AD342" s="504"/>
      <c r="AE342" s="504"/>
    </row>
    <row r="343" spans="1:31" hidden="1" x14ac:dyDescent="0.35">
      <c r="A343" s="503" t="str">
        <f>IF(AND(F344=G344,H344=I344,J344=K344,F344="A"),"2016 - kw",IF(AND(F344=G344,H344=I344,J344&lt;&gt;K344,F344="A"),"2017 - kw",IF(AND(F344=G344,H344&lt;&gt;I344,F344="A"),"2018 - kw","N/A")))</f>
        <v>N/A</v>
      </c>
      <c r="B343" s="503" t="str">
        <f>IF(F344&lt;&gt;G344,"2018 - kw",IF(H344&lt;&gt;I344,"2017 - kw",IF(J344&lt;&gt;K344,"2016 - kw","N/A")))</f>
        <v>N/A</v>
      </c>
      <c r="C343" s="511"/>
      <c r="D343" s="512" t="str">
        <f>D342 &amp; "kW"</f>
        <v>kW</v>
      </c>
      <c r="E343" s="513" t="s">
        <v>170</v>
      </c>
      <c r="F343" s="415"/>
      <c r="G343" s="415"/>
      <c r="H343" s="415"/>
      <c r="I343" s="415"/>
      <c r="J343" s="415"/>
      <c r="K343" s="415"/>
      <c r="L343" s="415"/>
      <c r="M343" s="415"/>
      <c r="N343" s="415"/>
      <c r="O343" s="415"/>
      <c r="P343" s="503"/>
      <c r="Q343" s="503"/>
      <c r="R343" s="503"/>
      <c r="S343" s="503"/>
      <c r="T343" s="503"/>
      <c r="U343" s="503"/>
      <c r="V343" s="503"/>
      <c r="Z343" s="504"/>
      <c r="AA343" s="504" t="str">
        <f>IF(AND(F344=G344,H344=I344,F344="A"),"2016 - kw","")</f>
        <v/>
      </c>
      <c r="AB343" s="504" t="str">
        <f>IF(OR(B343="2017 - kw",B343="2018 - kw"),"2016 - kw","")</f>
        <v/>
      </c>
      <c r="AC343" s="504"/>
      <c r="AD343" s="504"/>
      <c r="AE343" s="504"/>
    </row>
    <row r="344" spans="1:31" hidden="1" x14ac:dyDescent="0.35">
      <c r="A344" s="503"/>
      <c r="B344" s="503"/>
      <c r="C344" s="514"/>
      <c r="D344" s="515"/>
      <c r="E344" s="516" t="s">
        <v>210</v>
      </c>
      <c r="F344" s="502"/>
      <c r="G344" s="502"/>
      <c r="H344" s="502"/>
      <c r="I344" s="502"/>
      <c r="J344" s="502"/>
      <c r="K344" s="502"/>
      <c r="L344" s="502"/>
      <c r="M344" s="502"/>
      <c r="N344" s="502"/>
      <c r="O344" s="502"/>
      <c r="P344" s="503"/>
      <c r="Q344" s="503"/>
      <c r="R344" s="503"/>
      <c r="S344" s="503"/>
      <c r="T344" s="503"/>
      <c r="U344" s="503"/>
      <c r="V344" s="503"/>
      <c r="Z344" s="504"/>
      <c r="AA344" s="504"/>
      <c r="AB344" s="504"/>
      <c r="AC344" s="504"/>
      <c r="AD344" s="504"/>
      <c r="AE344" s="504"/>
    </row>
    <row r="345" spans="1:31" hidden="1" x14ac:dyDescent="0.35">
      <c r="A345" s="503" t="str">
        <f>IF(AND(F347=G347,H347=I347,J347=K347,F347="A"),"2016 - kwh",IF(AND(F347=G347,H347=I347,J347&lt;&gt;K347,F347="A"),"2017 - kwh",IF(AND(F347=G347,H347&lt;&gt;I347,F347="A"),"2018 - kwh","N/A")))</f>
        <v>N/A</v>
      </c>
      <c r="B345" s="503" t="str">
        <f>IF(F347&lt;&gt;G347,"2018 - kwh",IF(H347&lt;&gt;I347,"2017 - kwh",IF(J347&lt;&gt;K347,"2016 - kwh","N/A")))</f>
        <v>N/A</v>
      </c>
      <c r="C345" s="508" t="s">
        <v>314</v>
      </c>
      <c r="D345" s="509"/>
      <c r="E345" s="510" t="s">
        <v>139</v>
      </c>
      <c r="F345" s="415"/>
      <c r="G345" s="415"/>
      <c r="H345" s="415"/>
      <c r="I345" s="415"/>
      <c r="J345" s="415"/>
      <c r="K345" s="415"/>
      <c r="L345" s="415"/>
      <c r="M345" s="415"/>
      <c r="N345" s="415"/>
      <c r="O345" s="415"/>
      <c r="P345" s="503"/>
      <c r="Q345" s="503"/>
      <c r="R345" s="503"/>
      <c r="S345" s="503"/>
      <c r="T345" s="503"/>
      <c r="U345" s="503"/>
      <c r="V345" s="503"/>
      <c r="Z345" s="504"/>
      <c r="AA345" s="504" t="str">
        <f>IF(AND(F347=G347,H347=I347,F347="A"),"2016 - kwh","")</f>
        <v/>
      </c>
      <c r="AB345" s="504" t="str">
        <f>IF(OR(B345="2017 - kwh",B345="2018 - kwh"),"2016 - kwh","")</f>
        <v/>
      </c>
      <c r="AC345" s="504"/>
      <c r="AD345" s="504"/>
      <c r="AE345" s="504"/>
    </row>
    <row r="346" spans="1:31" hidden="1" x14ac:dyDescent="0.35">
      <c r="A346" s="503" t="str">
        <f>IF(AND(F347=G347,H347=I347,J347=K347,F347="A"),"2016 - kw",IF(AND(F347=G347,H347=I347,J347&lt;&gt;K347,F347="A"),"2017 - kw",IF(AND(F347=G347,H347&lt;&gt;I347,F347="A"),"2018 - kw","N/A")))</f>
        <v>N/A</v>
      </c>
      <c r="B346" s="503" t="str">
        <f>IF(F347&lt;&gt;G347,"2018 - kw",IF(H347&lt;&gt;I347,"2017 - kw",IF(J347&lt;&gt;K347,"2016 - kw","N/A")))</f>
        <v>N/A</v>
      </c>
      <c r="C346" s="511"/>
      <c r="D346" s="512" t="str">
        <f>D345 &amp; "kW"</f>
        <v>kW</v>
      </c>
      <c r="E346" s="513" t="s">
        <v>170</v>
      </c>
      <c r="F346" s="415"/>
      <c r="G346" s="415"/>
      <c r="H346" s="415"/>
      <c r="I346" s="415"/>
      <c r="J346" s="415"/>
      <c r="K346" s="415"/>
      <c r="L346" s="415"/>
      <c r="M346" s="415"/>
      <c r="N346" s="415"/>
      <c r="O346" s="415"/>
      <c r="P346" s="503"/>
      <c r="Q346" s="503"/>
      <c r="R346" s="503"/>
      <c r="S346" s="503"/>
      <c r="T346" s="503"/>
      <c r="U346" s="503"/>
      <c r="V346" s="503"/>
      <c r="Z346" s="504"/>
      <c r="AA346" s="504" t="str">
        <f>IF(AND(F347=G347,H347=I347,F347="A"),"2016 - kw","")</f>
        <v/>
      </c>
      <c r="AB346" s="504" t="str">
        <f>IF(OR(B346="2017 - kw",B346="2018 - kw"),"2016 - kw","")</f>
        <v/>
      </c>
      <c r="AC346" s="504"/>
      <c r="AD346" s="504"/>
      <c r="AE346" s="504"/>
    </row>
    <row r="347" spans="1:31" hidden="1" x14ac:dyDescent="0.35">
      <c r="A347" s="503"/>
      <c r="B347" s="503"/>
      <c r="C347" s="514"/>
      <c r="D347" s="515"/>
      <c r="E347" s="516" t="s">
        <v>210</v>
      </c>
      <c r="F347" s="502"/>
      <c r="G347" s="502"/>
      <c r="H347" s="502"/>
      <c r="I347" s="502"/>
      <c r="J347" s="502"/>
      <c r="K347" s="502"/>
      <c r="L347" s="502"/>
      <c r="M347" s="502"/>
      <c r="N347" s="502"/>
      <c r="O347" s="502"/>
      <c r="P347" s="503"/>
      <c r="Q347" s="503"/>
      <c r="R347" s="503"/>
      <c r="S347" s="503"/>
      <c r="T347" s="503"/>
      <c r="U347" s="503"/>
      <c r="V347" s="503"/>
      <c r="Z347" s="504"/>
      <c r="AA347" s="504"/>
      <c r="AB347" s="504"/>
      <c r="AC347" s="504"/>
      <c r="AD347" s="504"/>
      <c r="AE347" s="504"/>
    </row>
    <row r="348" spans="1:31" hidden="1" x14ac:dyDescent="0.35">
      <c r="A348" s="503" t="str">
        <f>IF(AND(F350=G350,H350=I350,J350=K350,F350="A"),"2016 - kwh",IF(AND(F350=G350,H350=I350,J350&lt;&gt;K350,F350="A"),"2017 - kwh",IF(AND(F350=G350,H350&lt;&gt;I350,F350="A"),"2018 - kwh","N/A")))</f>
        <v>N/A</v>
      </c>
      <c r="B348" s="503" t="str">
        <f>IF(F350&lt;&gt;G350,"2018 - kwh",IF(H350&lt;&gt;I350,"2017 - kwh",IF(J350&lt;&gt;K350,"2016 - kwh","N/A")))</f>
        <v>N/A</v>
      </c>
      <c r="C348" s="508" t="s">
        <v>315</v>
      </c>
      <c r="D348" s="509"/>
      <c r="E348" s="510" t="s">
        <v>139</v>
      </c>
      <c r="F348" s="415"/>
      <c r="G348" s="415"/>
      <c r="H348" s="415"/>
      <c r="I348" s="415"/>
      <c r="J348" s="415"/>
      <c r="K348" s="415"/>
      <c r="L348" s="415"/>
      <c r="M348" s="415"/>
      <c r="N348" s="415"/>
      <c r="O348" s="415"/>
      <c r="P348" s="503"/>
      <c r="Q348" s="503"/>
      <c r="R348" s="503"/>
      <c r="S348" s="503"/>
      <c r="T348" s="503"/>
      <c r="U348" s="503"/>
      <c r="V348" s="503"/>
      <c r="Z348" s="504"/>
      <c r="AA348" s="504" t="str">
        <f>IF(AND(F350=G350,H350=I350,F350="A"),"2016 - kwh","")</f>
        <v/>
      </c>
      <c r="AB348" s="504" t="str">
        <f>IF(OR(B348="2017 - kwh",B348="2018 - kwh"),"2016 - kwh","")</f>
        <v/>
      </c>
      <c r="AC348" s="504"/>
      <c r="AD348" s="504"/>
      <c r="AE348" s="504"/>
    </row>
    <row r="349" spans="1:31" hidden="1" x14ac:dyDescent="0.35">
      <c r="A349" s="503" t="str">
        <f>IF(AND(F350=G350,H350=I350,J350=K350,F350="A"),"2016 - kw",IF(AND(F350=G350,H350=I350,J350&lt;&gt;K350,F350="A"),"2017 - kw",IF(AND(F350=G350,H350&lt;&gt;I350,F350="A"),"2018 - kw","N/A")))</f>
        <v>N/A</v>
      </c>
      <c r="B349" s="503" t="str">
        <f>IF(F350&lt;&gt;G350,"2018 - kw",IF(H350&lt;&gt;I350,"2017 - kw",IF(J350&lt;&gt;K350,"2016 - kw","N/A")))</f>
        <v>N/A</v>
      </c>
      <c r="C349" s="511"/>
      <c r="D349" s="512" t="str">
        <f>D348 &amp; "kW"</f>
        <v>kW</v>
      </c>
      <c r="E349" s="513" t="s">
        <v>170</v>
      </c>
      <c r="F349" s="415"/>
      <c r="G349" s="415"/>
      <c r="H349" s="415"/>
      <c r="I349" s="415"/>
      <c r="J349" s="415"/>
      <c r="K349" s="415"/>
      <c r="L349" s="415"/>
      <c r="M349" s="415"/>
      <c r="N349" s="415"/>
      <c r="O349" s="415"/>
      <c r="P349" s="503"/>
      <c r="Q349" s="503"/>
      <c r="R349" s="503"/>
      <c r="S349" s="503"/>
      <c r="T349" s="503"/>
      <c r="U349" s="503"/>
      <c r="V349" s="503"/>
      <c r="Z349" s="504"/>
      <c r="AA349" s="504" t="str">
        <f>IF(AND(F350=G350,H350=I350,F350="A"),"2016 - kw","")</f>
        <v/>
      </c>
      <c r="AB349" s="504" t="str">
        <f>IF(OR(B349="2017 - kw",B349="2018 - kw"),"2016 - kw","")</f>
        <v/>
      </c>
      <c r="AC349" s="504"/>
      <c r="AD349" s="504"/>
      <c r="AE349" s="504"/>
    </row>
    <row r="350" spans="1:31" hidden="1" x14ac:dyDescent="0.35">
      <c r="A350" s="503"/>
      <c r="B350" s="503"/>
      <c r="C350" s="514"/>
      <c r="D350" s="515"/>
      <c r="E350" s="516" t="s">
        <v>210</v>
      </c>
      <c r="F350" s="502"/>
      <c r="G350" s="502"/>
      <c r="H350" s="502"/>
      <c r="I350" s="502"/>
      <c r="J350" s="502"/>
      <c r="K350" s="502"/>
      <c r="L350" s="502"/>
      <c r="M350" s="502"/>
      <c r="N350" s="502"/>
      <c r="O350" s="502"/>
      <c r="P350" s="503"/>
      <c r="Q350" s="503"/>
      <c r="R350" s="503"/>
      <c r="S350" s="503"/>
      <c r="T350" s="503"/>
      <c r="U350" s="503"/>
      <c r="V350" s="503"/>
      <c r="Z350" s="504"/>
      <c r="AA350" s="504"/>
      <c r="AB350" s="504"/>
      <c r="AC350" s="504"/>
      <c r="AD350" s="504"/>
      <c r="AE350" s="504"/>
    </row>
    <row r="351" spans="1:31" hidden="1" x14ac:dyDescent="0.35">
      <c r="A351" s="503" t="str">
        <f>IF(AND(F353=G353,H353=I353,J353=K353,F353="A"),"2016 - kwh",IF(AND(F353=G353,H353=I353,J353&lt;&gt;K353,F353="A"),"2017 - kwh",IF(AND(F353=G353,H353&lt;&gt;I353,F353="A"),"2018 - kwh","N/A")))</f>
        <v>N/A</v>
      </c>
      <c r="B351" s="503" t="str">
        <f>IF(F353&lt;&gt;G353,"2018 - kwh",IF(H353&lt;&gt;I353,"2017 - kwh",IF(J353&lt;&gt;K353,"2016 - kwh","N/A")))</f>
        <v>N/A</v>
      </c>
      <c r="C351" s="508" t="s">
        <v>316</v>
      </c>
      <c r="D351" s="509"/>
      <c r="E351" s="510" t="s">
        <v>139</v>
      </c>
      <c r="F351" s="415"/>
      <c r="G351" s="415"/>
      <c r="H351" s="415"/>
      <c r="I351" s="415"/>
      <c r="J351" s="415"/>
      <c r="K351" s="415"/>
      <c r="L351" s="415"/>
      <c r="M351" s="415"/>
      <c r="N351" s="415"/>
      <c r="O351" s="415"/>
      <c r="P351" s="503"/>
      <c r="Q351" s="503"/>
      <c r="R351" s="503"/>
      <c r="S351" s="503"/>
      <c r="T351" s="503"/>
      <c r="U351" s="503"/>
      <c r="V351" s="503"/>
      <c r="Z351" s="504"/>
      <c r="AA351" s="504" t="str">
        <f>IF(AND(F353=G353,H353=I353,F353="A"),"2016 - kwh","")</f>
        <v/>
      </c>
      <c r="AB351" s="504" t="str">
        <f>IF(OR(B351="2017 - kwh",B351="2018 - kwh"),"2016 - kwh","")</f>
        <v/>
      </c>
      <c r="AC351" s="504"/>
      <c r="AD351" s="504"/>
      <c r="AE351" s="504"/>
    </row>
    <row r="352" spans="1:31" hidden="1" x14ac:dyDescent="0.35">
      <c r="A352" s="503" t="str">
        <f>IF(AND(F353=G353,H353=I353,J353=K353,F353="A"),"2016 - kw",IF(AND(F353=G353,H353=I353,J353&lt;&gt;K353,F353="A"),"2017 - kw",IF(AND(F353=G353,H353&lt;&gt;I353,F353="A"),"2018 - kw","N/A")))</f>
        <v>N/A</v>
      </c>
      <c r="B352" s="503" t="str">
        <f>IF(F353&lt;&gt;G353,"2018 - kw",IF(H353&lt;&gt;I353,"2017 - kw",IF(J353&lt;&gt;K353,"2016 - kw","N/A")))</f>
        <v>N/A</v>
      </c>
      <c r="C352" s="511"/>
      <c r="D352" s="512" t="str">
        <f>D351 &amp; "kW"</f>
        <v>kW</v>
      </c>
      <c r="E352" s="513" t="s">
        <v>170</v>
      </c>
      <c r="F352" s="415"/>
      <c r="G352" s="415"/>
      <c r="H352" s="415"/>
      <c r="I352" s="415"/>
      <c r="J352" s="415"/>
      <c r="K352" s="415"/>
      <c r="L352" s="415"/>
      <c r="M352" s="415"/>
      <c r="N352" s="415"/>
      <c r="O352" s="415"/>
      <c r="P352" s="503"/>
      <c r="Q352" s="503"/>
      <c r="R352" s="503"/>
      <c r="S352" s="503"/>
      <c r="T352" s="503"/>
      <c r="U352" s="503"/>
      <c r="V352" s="503"/>
      <c r="Z352" s="504"/>
      <c r="AA352" s="504" t="str">
        <f>IF(AND(F353=G353,H353=I353,F353="A"),"2016 - kw","")</f>
        <v/>
      </c>
      <c r="AB352" s="504" t="str">
        <f>IF(OR(B352="2017 - kw",B352="2018 - kw"),"2016 - kw","")</f>
        <v/>
      </c>
      <c r="AC352" s="504"/>
      <c r="AD352" s="504"/>
      <c r="AE352" s="504"/>
    </row>
    <row r="353" spans="1:31" hidden="1" x14ac:dyDescent="0.35">
      <c r="A353" s="503"/>
      <c r="B353" s="503"/>
      <c r="C353" s="514"/>
      <c r="D353" s="515"/>
      <c r="E353" s="516" t="s">
        <v>210</v>
      </c>
      <c r="F353" s="502"/>
      <c r="G353" s="502"/>
      <c r="H353" s="502"/>
      <c r="I353" s="502"/>
      <c r="J353" s="502"/>
      <c r="K353" s="502"/>
      <c r="L353" s="502"/>
      <c r="M353" s="502"/>
      <c r="N353" s="502"/>
      <c r="O353" s="502"/>
      <c r="P353" s="503"/>
      <c r="Q353" s="503"/>
      <c r="R353" s="503"/>
      <c r="S353" s="503"/>
      <c r="T353" s="503"/>
      <c r="U353" s="503"/>
      <c r="V353" s="503"/>
      <c r="Z353" s="504"/>
      <c r="AA353" s="504"/>
      <c r="AB353" s="504"/>
      <c r="AC353" s="504"/>
      <c r="AD353" s="504"/>
      <c r="AE353" s="504"/>
    </row>
    <row r="354" spans="1:31" hidden="1" x14ac:dyDescent="0.35">
      <c r="A354" s="503" t="str">
        <f>IF(AND(F356=G356,H356=I356,J356=K356,F356="A"),"2016 - kwh",IF(AND(F356=G356,H356=I356,J356&lt;&gt;K356,F356="A"),"2017 - kwh",IF(AND(F356=G356,H356&lt;&gt;I356,F356="A"),"2018 - kwh","N/A")))</f>
        <v>N/A</v>
      </c>
      <c r="B354" s="503" t="str">
        <f>IF(F356&lt;&gt;G356,"2018 - kwh",IF(H356&lt;&gt;I356,"2017 - kwh",IF(J356&lt;&gt;K356,"2016 - kwh","N/A")))</f>
        <v>N/A</v>
      </c>
      <c r="C354" s="508" t="s">
        <v>317</v>
      </c>
      <c r="D354" s="509"/>
      <c r="E354" s="510" t="s">
        <v>139</v>
      </c>
      <c r="F354" s="415"/>
      <c r="G354" s="415"/>
      <c r="H354" s="415"/>
      <c r="I354" s="415"/>
      <c r="J354" s="415"/>
      <c r="K354" s="415"/>
      <c r="L354" s="415"/>
      <c r="M354" s="415"/>
      <c r="N354" s="415"/>
      <c r="O354" s="415"/>
      <c r="P354" s="503"/>
      <c r="Q354" s="503"/>
      <c r="R354" s="503"/>
      <c r="S354" s="503"/>
      <c r="T354" s="503"/>
      <c r="U354" s="503"/>
      <c r="V354" s="503"/>
      <c r="Z354" s="504"/>
      <c r="AA354" s="504" t="str">
        <f>IF(AND(F356=G356,H356=I356,F356="A"),"2016 - kwh","")</f>
        <v/>
      </c>
      <c r="AB354" s="504" t="str">
        <f>IF(OR(B354="2017 - kwh",B354="2018 - kwh"),"2016 - kwh","")</f>
        <v/>
      </c>
      <c r="AC354" s="504"/>
      <c r="AD354" s="504"/>
      <c r="AE354" s="504"/>
    </row>
    <row r="355" spans="1:31" hidden="1" x14ac:dyDescent="0.35">
      <c r="A355" s="503" t="str">
        <f>IF(AND(F356=G356,H356=I356,J356=K356,F356="A"),"2016 - kw",IF(AND(F356=G356,H356=I356,J356&lt;&gt;K356,F356="A"),"2017 - kw",IF(AND(F356=G356,H356&lt;&gt;I356,F356="A"),"2018 - kw","N/A")))</f>
        <v>N/A</v>
      </c>
      <c r="B355" s="503" t="str">
        <f>IF(F356&lt;&gt;G356,"2018 - kw",IF(H356&lt;&gt;I356,"2017 - kw",IF(J356&lt;&gt;K356,"2016 - kw","N/A")))</f>
        <v>N/A</v>
      </c>
      <c r="C355" s="511"/>
      <c r="D355" s="512" t="str">
        <f>D354 &amp; "kW"</f>
        <v>kW</v>
      </c>
      <c r="E355" s="513" t="s">
        <v>170</v>
      </c>
      <c r="F355" s="415"/>
      <c r="G355" s="415"/>
      <c r="H355" s="415"/>
      <c r="I355" s="415"/>
      <c r="J355" s="415"/>
      <c r="K355" s="415"/>
      <c r="L355" s="415"/>
      <c r="M355" s="415"/>
      <c r="N355" s="415"/>
      <c r="O355" s="415"/>
      <c r="P355" s="503"/>
      <c r="Q355" s="503"/>
      <c r="R355" s="503"/>
      <c r="S355" s="503"/>
      <c r="T355" s="503"/>
      <c r="U355" s="503"/>
      <c r="V355" s="503"/>
      <c r="Z355" s="504"/>
      <c r="AA355" s="504" t="str">
        <f>IF(AND(F356=G356,H356=I356,F356="A"),"2016 - kw","")</f>
        <v/>
      </c>
      <c r="AB355" s="504" t="str">
        <f>IF(OR(B355="2017 - kw",B355="2018 - kw"),"2016 - kw","")</f>
        <v/>
      </c>
      <c r="AC355" s="504"/>
      <c r="AD355" s="504"/>
      <c r="AE355" s="504"/>
    </row>
    <row r="356" spans="1:31" hidden="1" x14ac:dyDescent="0.35">
      <c r="A356" s="503"/>
      <c r="B356" s="503"/>
      <c r="C356" s="514"/>
      <c r="D356" s="515"/>
      <c r="E356" s="516" t="s">
        <v>210</v>
      </c>
      <c r="F356" s="502"/>
      <c r="G356" s="502"/>
      <c r="H356" s="502"/>
      <c r="I356" s="502"/>
      <c r="J356" s="502"/>
      <c r="K356" s="502"/>
      <c r="L356" s="502"/>
      <c r="M356" s="502"/>
      <c r="N356" s="502"/>
      <c r="O356" s="502"/>
      <c r="P356" s="503"/>
      <c r="Q356" s="503"/>
      <c r="R356" s="503"/>
      <c r="S356" s="503"/>
      <c r="T356" s="503"/>
      <c r="U356" s="503"/>
      <c r="V356" s="503"/>
      <c r="Z356" s="504"/>
      <c r="AA356" s="504"/>
      <c r="AB356" s="504"/>
      <c r="AC356" s="504"/>
      <c r="AD356" s="504"/>
      <c r="AE356" s="504"/>
    </row>
    <row r="357" spans="1:31" hidden="1" x14ac:dyDescent="0.35">
      <c r="A357" s="503" t="str">
        <f>IF(AND(F359=G359,H359=I359,J359=K359,F359="A"),"2016 - kwh",IF(AND(F359=G359,H359=I359,J359&lt;&gt;K359,F359="A"),"2017 - kwh",IF(AND(F359=G359,H359&lt;&gt;I359,F359="A"),"2018 - kwh","N/A")))</f>
        <v>N/A</v>
      </c>
      <c r="B357" s="503" t="str">
        <f>IF(F359&lt;&gt;G359,"2018 - kwh",IF(H359&lt;&gt;I359,"2017 - kwh",IF(J359&lt;&gt;K359,"2016 - kwh","N/A")))</f>
        <v>N/A</v>
      </c>
      <c r="C357" s="508" t="s">
        <v>318</v>
      </c>
      <c r="D357" s="509"/>
      <c r="E357" s="510" t="s">
        <v>139</v>
      </c>
      <c r="F357" s="415"/>
      <c r="G357" s="415"/>
      <c r="H357" s="415"/>
      <c r="I357" s="415"/>
      <c r="J357" s="415"/>
      <c r="K357" s="415"/>
      <c r="L357" s="415"/>
      <c r="M357" s="415"/>
      <c r="N357" s="415"/>
      <c r="O357" s="415"/>
      <c r="P357" s="503"/>
      <c r="Q357" s="503"/>
      <c r="R357" s="503"/>
      <c r="S357" s="503"/>
      <c r="T357" s="503"/>
      <c r="U357" s="503"/>
      <c r="V357" s="503"/>
      <c r="Z357" s="504"/>
      <c r="AA357" s="504" t="str">
        <f>IF(AND(F359=G359,H359=I359,F359="A"),"2016 - kwh","")</f>
        <v/>
      </c>
      <c r="AB357" s="504" t="str">
        <f>IF(OR(B357="2017 - kwh",B357="2018 - kwh"),"2016 - kwh","")</f>
        <v/>
      </c>
      <c r="AC357" s="504"/>
      <c r="AD357" s="504"/>
      <c r="AE357" s="504"/>
    </row>
    <row r="358" spans="1:31" hidden="1" x14ac:dyDescent="0.35">
      <c r="A358" s="503" t="str">
        <f>IF(AND(F359=G359,H359=I359,J359=K359,F359="A"),"2016 - kw",IF(AND(F359=G359,H359=I359,J359&lt;&gt;K359,F359="A"),"2017 - kw",IF(AND(F359=G359,H359&lt;&gt;I359,F359="A"),"2018 - kw","N/A")))</f>
        <v>N/A</v>
      </c>
      <c r="B358" s="503" t="str">
        <f>IF(F359&lt;&gt;G359,"2018 - kw",IF(H359&lt;&gt;I359,"2017 - kw",IF(J359&lt;&gt;K359,"2016 - kw","N/A")))</f>
        <v>N/A</v>
      </c>
      <c r="C358" s="511"/>
      <c r="D358" s="512" t="str">
        <f>D357 &amp; "kW"</f>
        <v>kW</v>
      </c>
      <c r="E358" s="513" t="s">
        <v>170</v>
      </c>
      <c r="F358" s="415"/>
      <c r="G358" s="415"/>
      <c r="H358" s="415"/>
      <c r="I358" s="415"/>
      <c r="J358" s="415"/>
      <c r="K358" s="415"/>
      <c r="L358" s="415"/>
      <c r="M358" s="415"/>
      <c r="N358" s="415"/>
      <c r="O358" s="415"/>
      <c r="P358" s="503"/>
      <c r="Q358" s="503"/>
      <c r="R358" s="503"/>
      <c r="S358" s="503"/>
      <c r="T358" s="503"/>
      <c r="U358" s="503"/>
      <c r="V358" s="503"/>
      <c r="Z358" s="504"/>
      <c r="AA358" s="504" t="str">
        <f>IF(AND(F359=G359,H359=I359,F359="A"),"2016 - kw","")</f>
        <v/>
      </c>
      <c r="AB358" s="504" t="str">
        <f>IF(OR(B358="2017 - kw",B358="2018 - kw"),"2016 - kw","")</f>
        <v/>
      </c>
      <c r="AC358" s="504"/>
      <c r="AD358" s="504"/>
      <c r="AE358" s="504"/>
    </row>
    <row r="359" spans="1:31" hidden="1" x14ac:dyDescent="0.35">
      <c r="A359" s="503"/>
      <c r="B359" s="503"/>
      <c r="C359" s="514"/>
      <c r="D359" s="515"/>
      <c r="E359" s="516" t="s">
        <v>210</v>
      </c>
      <c r="F359" s="502"/>
      <c r="G359" s="502"/>
      <c r="H359" s="502"/>
      <c r="I359" s="502"/>
      <c r="J359" s="502"/>
      <c r="K359" s="502"/>
      <c r="L359" s="502"/>
      <c r="M359" s="502"/>
      <c r="N359" s="502"/>
      <c r="O359" s="502"/>
      <c r="P359" s="503"/>
      <c r="Q359" s="503"/>
      <c r="R359" s="503"/>
      <c r="S359" s="503"/>
      <c r="T359" s="503"/>
      <c r="U359" s="503"/>
      <c r="V359" s="503"/>
      <c r="Z359" s="504"/>
      <c r="AA359" s="504"/>
      <c r="AB359" s="504"/>
      <c r="AC359" s="504"/>
      <c r="AD359" s="504"/>
      <c r="AE359" s="504"/>
    </row>
    <row r="360" spans="1:31" hidden="1" x14ac:dyDescent="0.35">
      <c r="A360" s="503" t="str">
        <f>IF(AND(F362=G362,H362=I362,J362=K362,F362="A"),"2016 - kwh",IF(AND(F362=G362,H362=I362,J362&lt;&gt;K362,F362="A"),"2017 - kwh",IF(AND(F362=G362,H362&lt;&gt;I362,F362="A"),"2018 - kwh","N/A")))</f>
        <v>N/A</v>
      </c>
      <c r="B360" s="503" t="str">
        <f>IF(F362&lt;&gt;G362,"2018 - kwh",IF(H362&lt;&gt;I362,"2017 - kwh",IF(J362&lt;&gt;K362,"2016 - kwh","N/A")))</f>
        <v>N/A</v>
      </c>
      <c r="C360" s="508" t="s">
        <v>319</v>
      </c>
      <c r="D360" s="509"/>
      <c r="E360" s="510" t="s">
        <v>139</v>
      </c>
      <c r="F360" s="415"/>
      <c r="G360" s="415"/>
      <c r="H360" s="415"/>
      <c r="I360" s="415"/>
      <c r="J360" s="415"/>
      <c r="K360" s="415"/>
      <c r="L360" s="415"/>
      <c r="M360" s="415"/>
      <c r="N360" s="415"/>
      <c r="O360" s="415"/>
      <c r="P360" s="503"/>
      <c r="Q360" s="503"/>
      <c r="R360" s="503"/>
      <c r="S360" s="503"/>
      <c r="T360" s="503"/>
      <c r="U360" s="503"/>
      <c r="V360" s="503"/>
      <c r="Z360" s="504"/>
      <c r="AA360" s="504" t="str">
        <f>IF(AND(F362=G362,H362=I362,F362="A"),"2016 - kwh","")</f>
        <v/>
      </c>
      <c r="AB360" s="504" t="str">
        <f>IF(OR(B360="2017 - kwh",B360="2018 - kwh"),"2016 - kwh","")</f>
        <v/>
      </c>
      <c r="AC360" s="504"/>
      <c r="AD360" s="504"/>
      <c r="AE360" s="504"/>
    </row>
    <row r="361" spans="1:31" hidden="1" x14ac:dyDescent="0.35">
      <c r="A361" s="503" t="str">
        <f>IF(AND(F362=G362,H362=I362,J362=K362,F362="A"),"2016 - kw",IF(AND(F362=G362,H362=I362,J362&lt;&gt;K362,F362="A"),"2017 - kw",IF(AND(F362=G362,H362&lt;&gt;I362,F362="A"),"2018 - kw","N/A")))</f>
        <v>N/A</v>
      </c>
      <c r="B361" s="503" t="str">
        <f>IF(F362&lt;&gt;G362,"2018 - kw",IF(H362&lt;&gt;I362,"2017 - kw",IF(J362&lt;&gt;K362,"2016 - kw","N/A")))</f>
        <v>N/A</v>
      </c>
      <c r="C361" s="511"/>
      <c r="D361" s="512" t="str">
        <f>D360 &amp; "kW"</f>
        <v>kW</v>
      </c>
      <c r="E361" s="513" t="s">
        <v>170</v>
      </c>
      <c r="F361" s="415"/>
      <c r="G361" s="415"/>
      <c r="H361" s="415"/>
      <c r="I361" s="415"/>
      <c r="J361" s="415"/>
      <c r="K361" s="415"/>
      <c r="L361" s="415"/>
      <c r="M361" s="415"/>
      <c r="N361" s="415"/>
      <c r="O361" s="415"/>
      <c r="P361" s="503"/>
      <c r="Q361" s="503"/>
      <c r="R361" s="503"/>
      <c r="S361" s="503"/>
      <c r="T361" s="503"/>
      <c r="U361" s="503"/>
      <c r="V361" s="503"/>
      <c r="Z361" s="504"/>
      <c r="AA361" s="504" t="str">
        <f>IF(AND(F362=G362,H362=I362,F362="A"),"2016 - kw","")</f>
        <v/>
      </c>
      <c r="AB361" s="504" t="str">
        <f>IF(OR(B361="2017 - kw",B361="2018 - kw"),"2016 - kw","")</f>
        <v/>
      </c>
      <c r="AC361" s="504"/>
      <c r="AD361" s="504"/>
      <c r="AE361" s="504"/>
    </row>
    <row r="362" spans="1:31" hidden="1" x14ac:dyDescent="0.35">
      <c r="A362" s="503"/>
      <c r="B362" s="503"/>
      <c r="C362" s="514"/>
      <c r="D362" s="515"/>
      <c r="E362" s="516" t="s">
        <v>210</v>
      </c>
      <c r="F362" s="502"/>
      <c r="G362" s="502"/>
      <c r="H362" s="502"/>
      <c r="I362" s="502"/>
      <c r="J362" s="502"/>
      <c r="K362" s="502"/>
      <c r="L362" s="502"/>
      <c r="M362" s="502"/>
      <c r="N362" s="502"/>
      <c r="O362" s="502"/>
      <c r="P362" s="503"/>
      <c r="Q362" s="503"/>
      <c r="R362" s="503"/>
      <c r="S362" s="503"/>
      <c r="T362" s="503"/>
      <c r="U362" s="503"/>
      <c r="V362" s="503"/>
      <c r="Z362" s="504"/>
      <c r="AA362" s="504"/>
      <c r="AB362" s="504"/>
      <c r="AC362" s="504"/>
      <c r="AD362" s="504"/>
      <c r="AE362" s="504"/>
    </row>
    <row r="363" spans="1:31" hidden="1" x14ac:dyDescent="0.35">
      <c r="A363" s="503" t="str">
        <f>IF(AND(F365=G365,H365=I365,J365=K365,F365="A"),"2016 - kwh",IF(AND(F365=G365,H365=I365,J365&lt;&gt;K365,F365="A"),"2017 - kwh",IF(AND(F365=G365,H365&lt;&gt;I365,F365="A"),"2018 - kwh","N/A")))</f>
        <v>N/A</v>
      </c>
      <c r="B363" s="503" t="str">
        <f>IF(F365&lt;&gt;G365,"2018 - kwh",IF(H365&lt;&gt;I365,"2017 - kwh",IF(J365&lt;&gt;K365,"2016 - kwh","N/A")))</f>
        <v>N/A</v>
      </c>
      <c r="C363" s="508" t="s">
        <v>320</v>
      </c>
      <c r="D363" s="509"/>
      <c r="E363" s="510" t="s">
        <v>139</v>
      </c>
      <c r="F363" s="415"/>
      <c r="G363" s="415"/>
      <c r="H363" s="415"/>
      <c r="I363" s="415"/>
      <c r="J363" s="415"/>
      <c r="K363" s="415"/>
      <c r="L363" s="415"/>
      <c r="M363" s="415"/>
      <c r="N363" s="415"/>
      <c r="O363" s="415"/>
      <c r="P363" s="503"/>
      <c r="Q363" s="503"/>
      <c r="R363" s="503"/>
      <c r="S363" s="503"/>
      <c r="T363" s="503"/>
      <c r="U363" s="503"/>
      <c r="V363" s="503"/>
      <c r="Z363" s="504"/>
      <c r="AA363" s="504" t="str">
        <f>IF(AND(F365=G365,H365=I365,F365="A"),"2016 - kwh","")</f>
        <v/>
      </c>
      <c r="AB363" s="504" t="str">
        <f>IF(OR(B363="2017 - kwh",B363="2018 - kwh"),"2016 - kwh","")</f>
        <v/>
      </c>
      <c r="AC363" s="504"/>
      <c r="AD363" s="504"/>
      <c r="AE363" s="504"/>
    </row>
    <row r="364" spans="1:31" hidden="1" x14ac:dyDescent="0.35">
      <c r="A364" s="503" t="str">
        <f>IF(AND(F365=G365,H365=I365,J365=K365,F365="A"),"2016 - kw",IF(AND(F365=G365,H365=I365,J365&lt;&gt;K365,F365="A"),"2017 - kw",IF(AND(F365=G365,H365&lt;&gt;I365,F365="A"),"2018 - kw","N/A")))</f>
        <v>N/A</v>
      </c>
      <c r="B364" s="503" t="str">
        <f>IF(F365&lt;&gt;G365,"2018 - kw",IF(H365&lt;&gt;I365,"2017 - kw",IF(J365&lt;&gt;K365,"2016 - kw","N/A")))</f>
        <v>N/A</v>
      </c>
      <c r="C364" s="511"/>
      <c r="D364" s="512" t="str">
        <f>D363 &amp; "kW"</f>
        <v>kW</v>
      </c>
      <c r="E364" s="513" t="s">
        <v>170</v>
      </c>
      <c r="F364" s="415"/>
      <c r="G364" s="415"/>
      <c r="H364" s="415"/>
      <c r="I364" s="415"/>
      <c r="J364" s="415"/>
      <c r="K364" s="415"/>
      <c r="L364" s="415"/>
      <c r="M364" s="415"/>
      <c r="N364" s="415"/>
      <c r="O364" s="415"/>
      <c r="P364" s="503"/>
      <c r="Q364" s="503"/>
      <c r="R364" s="503"/>
      <c r="S364" s="503"/>
      <c r="T364" s="503"/>
      <c r="U364" s="503"/>
      <c r="V364" s="503"/>
      <c r="Z364" s="504"/>
      <c r="AA364" s="504" t="str">
        <f>IF(AND(F365=G365,H365=I365,F365="A"),"2016 - kw","")</f>
        <v/>
      </c>
      <c r="AB364" s="504" t="str">
        <f>IF(OR(B364="2017 - kw",B364="2018 - kw"),"2016 - kw","")</f>
        <v/>
      </c>
      <c r="AC364" s="504"/>
      <c r="AD364" s="504"/>
      <c r="AE364" s="504"/>
    </row>
    <row r="365" spans="1:31" hidden="1" x14ac:dyDescent="0.35">
      <c r="A365" s="503"/>
      <c r="B365" s="503"/>
      <c r="C365" s="514"/>
      <c r="D365" s="515"/>
      <c r="E365" s="516" t="s">
        <v>210</v>
      </c>
      <c r="F365" s="502"/>
      <c r="G365" s="502"/>
      <c r="H365" s="502"/>
      <c r="I365" s="502"/>
      <c r="J365" s="502"/>
      <c r="K365" s="502"/>
      <c r="L365" s="502"/>
      <c r="M365" s="502"/>
      <c r="N365" s="502"/>
      <c r="O365" s="502"/>
      <c r="P365" s="503"/>
      <c r="Q365" s="503"/>
      <c r="R365" s="503"/>
      <c r="S365" s="503"/>
      <c r="T365" s="503"/>
      <c r="U365" s="503"/>
      <c r="V365" s="503"/>
      <c r="Z365" s="504"/>
      <c r="AA365" s="504"/>
      <c r="AB365" s="504"/>
      <c r="AC365" s="504"/>
      <c r="AD365" s="504"/>
      <c r="AE365" s="504"/>
    </row>
    <row r="366" spans="1:31" hidden="1" x14ac:dyDescent="0.35">
      <c r="A366" s="503" t="str">
        <f>IF(AND(F368=G368,H368=I368,J368=K368,F368="A"),"2016 - kwh",IF(AND(F368=G368,H368=I368,J368&lt;&gt;K368,F368="A"),"2017 - kwh",IF(AND(F368=G368,H368&lt;&gt;I368,F368="A"),"2018 - kwh","N/A")))</f>
        <v>N/A</v>
      </c>
      <c r="B366" s="503" t="str">
        <f>IF(F368&lt;&gt;G368,"2018 - kwh",IF(H368&lt;&gt;I368,"2017 - kwh",IF(J368&lt;&gt;K368,"2016 - kwh","N/A")))</f>
        <v>N/A</v>
      </c>
      <c r="C366" s="508" t="s">
        <v>321</v>
      </c>
      <c r="D366" s="509"/>
      <c r="E366" s="510" t="s">
        <v>139</v>
      </c>
      <c r="F366" s="415"/>
      <c r="G366" s="415"/>
      <c r="H366" s="415"/>
      <c r="I366" s="415"/>
      <c r="J366" s="415"/>
      <c r="K366" s="415"/>
      <c r="L366" s="415"/>
      <c r="M366" s="415"/>
      <c r="N366" s="415"/>
      <c r="O366" s="415"/>
      <c r="P366" s="503"/>
      <c r="Q366" s="503"/>
      <c r="R366" s="503"/>
      <c r="S366" s="503"/>
      <c r="T366" s="503"/>
      <c r="U366" s="503"/>
      <c r="V366" s="503"/>
      <c r="Z366" s="504"/>
      <c r="AA366" s="504" t="str">
        <f>IF(AND(F368=G368,H368=I368,F368="A"),"2016 - kwh","")</f>
        <v/>
      </c>
      <c r="AB366" s="504" t="str">
        <f>IF(OR(B366="2017 - kwh",B366="2018 - kwh"),"2016 - kwh","")</f>
        <v/>
      </c>
      <c r="AC366" s="504"/>
      <c r="AD366" s="504"/>
      <c r="AE366" s="504"/>
    </row>
    <row r="367" spans="1:31" hidden="1" x14ac:dyDescent="0.35">
      <c r="A367" s="503" t="str">
        <f>IF(AND(F368=G368,H368=I368,J368=K368,F368="A"),"2016 - kw",IF(AND(F368=G368,H368=I368,J368&lt;&gt;K368,F368="A"),"2017 - kw",IF(AND(F368=G368,H368&lt;&gt;I368,F368="A"),"2018 - kw","N/A")))</f>
        <v>N/A</v>
      </c>
      <c r="B367" s="503" t="str">
        <f>IF(F368&lt;&gt;G368,"2018 - kw",IF(H368&lt;&gt;I368,"2017 - kw",IF(J368&lt;&gt;K368,"2016 - kw","N/A")))</f>
        <v>N/A</v>
      </c>
      <c r="C367" s="511"/>
      <c r="D367" s="512" t="str">
        <f>D366 &amp; "kW"</f>
        <v>kW</v>
      </c>
      <c r="E367" s="513" t="s">
        <v>170</v>
      </c>
      <c r="F367" s="415"/>
      <c r="G367" s="415"/>
      <c r="H367" s="415"/>
      <c r="I367" s="415"/>
      <c r="J367" s="415"/>
      <c r="K367" s="415"/>
      <c r="L367" s="415"/>
      <c r="M367" s="415"/>
      <c r="N367" s="415"/>
      <c r="O367" s="415"/>
      <c r="P367" s="503"/>
      <c r="Q367" s="503"/>
      <c r="R367" s="503"/>
      <c r="S367" s="503"/>
      <c r="T367" s="503"/>
      <c r="U367" s="503"/>
      <c r="V367" s="503"/>
      <c r="Z367" s="504"/>
      <c r="AA367" s="504" t="str">
        <f>IF(AND(F368=G368,H368=I368,F368="A"),"2016 - kw","")</f>
        <v/>
      </c>
      <c r="AB367" s="504" t="str">
        <f>IF(OR(B367="2017 - kw",B367="2018 - kw"),"2016 - kw","")</f>
        <v/>
      </c>
      <c r="AC367" s="504"/>
      <c r="AD367" s="504"/>
      <c r="AE367" s="504"/>
    </row>
    <row r="368" spans="1:31" hidden="1" x14ac:dyDescent="0.35">
      <c r="A368" s="503"/>
      <c r="B368" s="503"/>
      <c r="C368" s="514"/>
      <c r="D368" s="515"/>
      <c r="E368" s="516" t="s">
        <v>210</v>
      </c>
      <c r="F368" s="502"/>
      <c r="G368" s="502"/>
      <c r="H368" s="502"/>
      <c r="I368" s="502"/>
      <c r="J368" s="502"/>
      <c r="K368" s="502"/>
      <c r="L368" s="502"/>
      <c r="M368" s="502"/>
      <c r="N368" s="502"/>
      <c r="O368" s="502"/>
      <c r="P368" s="503"/>
      <c r="Q368" s="503"/>
      <c r="R368" s="503"/>
      <c r="S368" s="503"/>
      <c r="T368" s="503"/>
      <c r="U368" s="503"/>
      <c r="V368" s="503"/>
      <c r="Z368" s="504"/>
      <c r="AA368" s="504"/>
      <c r="AB368" s="504"/>
      <c r="AC368" s="504"/>
      <c r="AD368" s="504"/>
      <c r="AE368" s="504"/>
    </row>
    <row r="369" spans="1:31" hidden="1" x14ac:dyDescent="0.35">
      <c r="A369" s="503" t="str">
        <f>IF(AND(F371=G371,H371=I371,J371=K371,F371="A"),"2016 - kwh",IF(AND(F371=G371,H371=I371,J371&lt;&gt;K371,F371="A"),"2017 - kwh",IF(AND(F371=G371,H371&lt;&gt;I371,F371="A"),"2018 - kwh","N/A")))</f>
        <v>N/A</v>
      </c>
      <c r="B369" s="503" t="str">
        <f>IF(F371&lt;&gt;G371,"2018 - kwh",IF(H371&lt;&gt;I371,"2017 - kwh",IF(J371&lt;&gt;K371,"2016 - kwh","N/A")))</f>
        <v>N/A</v>
      </c>
      <c r="C369" s="508" t="s">
        <v>322</v>
      </c>
      <c r="D369" s="509"/>
      <c r="E369" s="510" t="s">
        <v>139</v>
      </c>
      <c r="F369" s="415"/>
      <c r="G369" s="415"/>
      <c r="H369" s="415"/>
      <c r="I369" s="415"/>
      <c r="J369" s="415"/>
      <c r="K369" s="415"/>
      <c r="L369" s="415"/>
      <c r="M369" s="415"/>
      <c r="N369" s="415"/>
      <c r="O369" s="415"/>
      <c r="P369" s="503"/>
      <c r="Q369" s="503"/>
      <c r="R369" s="503"/>
      <c r="S369" s="503"/>
      <c r="T369" s="503"/>
      <c r="U369" s="503"/>
      <c r="V369" s="503"/>
      <c r="Z369" s="504"/>
      <c r="AA369" s="504" t="str">
        <f>IF(AND(F371=G371,H371=I371,F371="A"),"2016 - kwh","")</f>
        <v/>
      </c>
      <c r="AB369" s="504" t="str">
        <f>IF(OR(B369="2017 - kwh",B369="2018 - kwh"),"2016 - kwh","")</f>
        <v/>
      </c>
      <c r="AC369" s="504"/>
      <c r="AD369" s="504"/>
      <c r="AE369" s="504"/>
    </row>
    <row r="370" spans="1:31" hidden="1" x14ac:dyDescent="0.35">
      <c r="A370" s="503" t="str">
        <f>IF(AND(F371=G371,H371=I371,J371=K371,F371="A"),"2016 - kw",IF(AND(F371=G371,H371=I371,J371&lt;&gt;K371,F371="A"),"2017 - kw",IF(AND(F371=G371,H371&lt;&gt;I371,F371="A"),"2018 - kw","N/A")))</f>
        <v>N/A</v>
      </c>
      <c r="B370" s="503" t="str">
        <f>IF(F371&lt;&gt;G371,"2018 - kw",IF(H371&lt;&gt;I371,"2017 - kw",IF(J371&lt;&gt;K371,"2016 - kw","N/A")))</f>
        <v>N/A</v>
      </c>
      <c r="C370" s="511"/>
      <c r="D370" s="512" t="str">
        <f>D369 &amp; "kW"</f>
        <v>kW</v>
      </c>
      <c r="E370" s="513" t="s">
        <v>170</v>
      </c>
      <c r="F370" s="415"/>
      <c r="G370" s="415"/>
      <c r="H370" s="415"/>
      <c r="I370" s="415"/>
      <c r="J370" s="415"/>
      <c r="K370" s="415"/>
      <c r="L370" s="415"/>
      <c r="M370" s="415"/>
      <c r="N370" s="415"/>
      <c r="O370" s="415"/>
      <c r="P370" s="503"/>
      <c r="Q370" s="503"/>
      <c r="R370" s="503"/>
      <c r="S370" s="503"/>
      <c r="T370" s="503"/>
      <c r="U370" s="503"/>
      <c r="V370" s="503"/>
      <c r="Z370" s="504"/>
      <c r="AA370" s="504" t="str">
        <f>IF(AND(F371=G371,H371=I371,F371="A"),"2016 - kw","")</f>
        <v/>
      </c>
      <c r="AB370" s="504" t="str">
        <f>IF(OR(B370="2017 - kw",B370="2018 - kw"),"2016 - kw","")</f>
        <v/>
      </c>
      <c r="AC370" s="504"/>
      <c r="AD370" s="504"/>
      <c r="AE370" s="504"/>
    </row>
    <row r="371" spans="1:31" hidden="1" x14ac:dyDescent="0.35">
      <c r="A371" s="503"/>
      <c r="B371" s="503"/>
      <c r="C371" s="514"/>
      <c r="D371" s="515"/>
      <c r="E371" s="516" t="s">
        <v>210</v>
      </c>
      <c r="F371" s="502"/>
      <c r="G371" s="502"/>
      <c r="H371" s="502"/>
      <c r="I371" s="502"/>
      <c r="J371" s="502"/>
      <c r="K371" s="502"/>
      <c r="L371" s="502"/>
      <c r="M371" s="502"/>
      <c r="N371" s="502"/>
      <c r="O371" s="502"/>
      <c r="P371" s="503"/>
      <c r="Q371" s="503"/>
      <c r="R371" s="503"/>
      <c r="S371" s="503"/>
      <c r="T371" s="503"/>
      <c r="U371" s="503"/>
      <c r="V371" s="503"/>
      <c r="Z371" s="504"/>
      <c r="AA371" s="504"/>
      <c r="AB371" s="504"/>
      <c r="AC371" s="504"/>
      <c r="AD371" s="504"/>
      <c r="AE371" s="504"/>
    </row>
    <row r="372" spans="1:31" hidden="1" x14ac:dyDescent="0.35">
      <c r="A372" s="503" t="str">
        <f>IF(AND(F374=G374,H374=I374,J374=K374,F374="A"),"2016 - kwh",IF(AND(F374=G374,H374=I374,J374&lt;&gt;K374,F374="A"),"2017 - kwh",IF(AND(F374=G374,H374&lt;&gt;I374,F374="A"),"2018 - kwh","N/A")))</f>
        <v>N/A</v>
      </c>
      <c r="B372" s="503" t="str">
        <f>IF(F374&lt;&gt;G374,"2018 - kwh",IF(H374&lt;&gt;I374,"2017 - kwh",IF(J374&lt;&gt;K374,"2016 - kwh","N/A")))</f>
        <v>N/A</v>
      </c>
      <c r="C372" s="508" t="s">
        <v>323</v>
      </c>
      <c r="D372" s="509"/>
      <c r="E372" s="510" t="s">
        <v>139</v>
      </c>
      <c r="F372" s="415"/>
      <c r="G372" s="415"/>
      <c r="H372" s="415"/>
      <c r="I372" s="415"/>
      <c r="J372" s="415"/>
      <c r="K372" s="415"/>
      <c r="L372" s="415"/>
      <c r="M372" s="415"/>
      <c r="N372" s="415"/>
      <c r="O372" s="415"/>
      <c r="P372" s="503"/>
      <c r="Q372" s="503"/>
      <c r="R372" s="503"/>
      <c r="S372" s="503"/>
      <c r="T372" s="503"/>
      <c r="U372" s="503"/>
      <c r="V372" s="503"/>
      <c r="Z372" s="504"/>
      <c r="AA372" s="504" t="str">
        <f>IF(AND(F374=G374,H374=I374,F374="A"),"2016 - kwh","")</f>
        <v/>
      </c>
      <c r="AB372" s="504" t="str">
        <f>IF(OR(B372="2017 - kwh",B372="2018 - kwh"),"2016 - kwh","")</f>
        <v/>
      </c>
      <c r="AC372" s="504"/>
      <c r="AD372" s="504"/>
      <c r="AE372" s="504"/>
    </row>
    <row r="373" spans="1:31" hidden="1" x14ac:dyDescent="0.35">
      <c r="A373" s="503" t="str">
        <f>IF(AND(F374=G374,H374=I374,J374=K374,F374="A"),"2016 - kw",IF(AND(F374=G374,H374=I374,J374&lt;&gt;K374,F374="A"),"2017 - kw",IF(AND(F374=G374,H374&lt;&gt;I374,F374="A"),"2018 - kw","N/A")))</f>
        <v>N/A</v>
      </c>
      <c r="B373" s="503" t="str">
        <f>IF(F374&lt;&gt;G374,"2018 - kw",IF(H374&lt;&gt;I374,"2017 - kw",IF(J374&lt;&gt;K374,"2016 - kw","N/A")))</f>
        <v>N/A</v>
      </c>
      <c r="C373" s="511"/>
      <c r="D373" s="512" t="str">
        <f>D372 &amp; "kW"</f>
        <v>kW</v>
      </c>
      <c r="E373" s="513" t="s">
        <v>170</v>
      </c>
      <c r="F373" s="415"/>
      <c r="G373" s="415"/>
      <c r="H373" s="415"/>
      <c r="I373" s="415"/>
      <c r="J373" s="415"/>
      <c r="K373" s="415"/>
      <c r="L373" s="415"/>
      <c r="M373" s="415"/>
      <c r="N373" s="415"/>
      <c r="O373" s="415"/>
      <c r="P373" s="503"/>
      <c r="Q373" s="503"/>
      <c r="R373" s="503"/>
      <c r="S373" s="503"/>
      <c r="T373" s="503"/>
      <c r="U373" s="503"/>
      <c r="V373" s="503"/>
      <c r="Z373" s="504"/>
      <c r="AA373" s="504" t="str">
        <f>IF(AND(F374=G374,H374=I374,F374="A"),"2016 - kw","")</f>
        <v/>
      </c>
      <c r="AB373" s="504" t="str">
        <f>IF(OR(B373="2017 - kw",B373="2018 - kw"),"2016 - kw","")</f>
        <v/>
      </c>
      <c r="AC373" s="504"/>
      <c r="AD373" s="504"/>
      <c r="AE373" s="504"/>
    </row>
    <row r="374" spans="1:31" hidden="1" x14ac:dyDescent="0.35">
      <c r="A374" s="503"/>
      <c r="B374" s="503"/>
      <c r="C374" s="514"/>
      <c r="D374" s="515"/>
      <c r="E374" s="516" t="s">
        <v>210</v>
      </c>
      <c r="F374" s="502"/>
      <c r="G374" s="502"/>
      <c r="H374" s="502"/>
      <c r="I374" s="502"/>
      <c r="J374" s="502"/>
      <c r="K374" s="502"/>
      <c r="L374" s="502"/>
      <c r="M374" s="502"/>
      <c r="N374" s="502"/>
      <c r="O374" s="502"/>
      <c r="P374" s="503"/>
      <c r="Q374" s="503"/>
      <c r="R374" s="503"/>
      <c r="S374" s="503"/>
      <c r="T374" s="503"/>
      <c r="U374" s="503"/>
      <c r="V374" s="503"/>
      <c r="Z374" s="504"/>
      <c r="AA374" s="504"/>
      <c r="AB374" s="504"/>
      <c r="AC374" s="504"/>
      <c r="AD374" s="504"/>
      <c r="AE374" s="504"/>
    </row>
    <row r="375" spans="1:31" hidden="1" x14ac:dyDescent="0.35">
      <c r="A375" s="503" t="str">
        <f>IF(AND(F377=G377,H377=I377,J377=K377,F377="A"),"2016 - kwh",IF(AND(F377=G377,H377=I377,J377&lt;&gt;K377,F377="A"),"2017 - kwh",IF(AND(F377=G377,H377&lt;&gt;I377,F377="A"),"2018 - kwh","N/A")))</f>
        <v>N/A</v>
      </c>
      <c r="B375" s="503" t="str">
        <f>IF(F377&lt;&gt;G377,"2018 - kwh",IF(H377&lt;&gt;I377,"2017 - kwh",IF(J377&lt;&gt;K377,"2016 - kwh","N/A")))</f>
        <v>N/A</v>
      </c>
      <c r="C375" s="508" t="s">
        <v>324</v>
      </c>
      <c r="D375" s="509"/>
      <c r="E375" s="510" t="s">
        <v>139</v>
      </c>
      <c r="F375" s="415"/>
      <c r="G375" s="415"/>
      <c r="H375" s="415"/>
      <c r="I375" s="415"/>
      <c r="J375" s="415"/>
      <c r="K375" s="415"/>
      <c r="L375" s="415"/>
      <c r="M375" s="415"/>
      <c r="N375" s="415"/>
      <c r="O375" s="415"/>
      <c r="P375" s="503"/>
      <c r="Q375" s="503"/>
      <c r="R375" s="503"/>
      <c r="S375" s="503"/>
      <c r="T375" s="503"/>
      <c r="U375" s="503"/>
      <c r="V375" s="503"/>
      <c r="Z375" s="504"/>
      <c r="AA375" s="504" t="str">
        <f>IF(AND(F377=G377,H377=I377,F377="A"),"2016 - kwh","")</f>
        <v/>
      </c>
      <c r="AB375" s="504" t="str">
        <f>IF(OR(B375="2017 - kwh",B375="2018 - kwh"),"2016 - kwh","")</f>
        <v/>
      </c>
      <c r="AC375" s="504"/>
      <c r="AD375" s="504"/>
      <c r="AE375" s="504"/>
    </row>
    <row r="376" spans="1:31" hidden="1" x14ac:dyDescent="0.35">
      <c r="A376" s="503" t="str">
        <f>IF(AND(F377=G377,H377=I377,J377=K377,F377="A"),"2016 - kw",IF(AND(F377=G377,H377=I377,J377&lt;&gt;K377,F377="A"),"2017 - kw",IF(AND(F377=G377,H377&lt;&gt;I377,F377="A"),"2018 - kw","N/A")))</f>
        <v>N/A</v>
      </c>
      <c r="B376" s="503" t="str">
        <f>IF(F377&lt;&gt;G377,"2018 - kw",IF(H377&lt;&gt;I377,"2017 - kw",IF(J377&lt;&gt;K377,"2016 - kw","N/A")))</f>
        <v>N/A</v>
      </c>
      <c r="C376" s="511"/>
      <c r="D376" s="512" t="str">
        <f>D375 &amp; "kW"</f>
        <v>kW</v>
      </c>
      <c r="E376" s="513" t="s">
        <v>170</v>
      </c>
      <c r="F376" s="415"/>
      <c r="G376" s="415"/>
      <c r="H376" s="415"/>
      <c r="I376" s="415"/>
      <c r="J376" s="415"/>
      <c r="K376" s="415"/>
      <c r="L376" s="415"/>
      <c r="M376" s="415"/>
      <c r="N376" s="415"/>
      <c r="O376" s="415"/>
      <c r="P376" s="503"/>
      <c r="Q376" s="503"/>
      <c r="R376" s="503"/>
      <c r="S376" s="503"/>
      <c r="T376" s="503"/>
      <c r="U376" s="503"/>
      <c r="V376" s="503"/>
      <c r="Z376" s="504"/>
      <c r="AA376" s="504" t="str">
        <f>IF(AND(F377=G377,H377=I377,F377="A"),"2016 - kw","")</f>
        <v/>
      </c>
      <c r="AB376" s="504" t="str">
        <f>IF(OR(B376="2017 - kw",B376="2018 - kw"),"2016 - kw","")</f>
        <v/>
      </c>
      <c r="AC376" s="504"/>
      <c r="AD376" s="504"/>
      <c r="AE376" s="504"/>
    </row>
    <row r="377" spans="1:31" hidden="1" x14ac:dyDescent="0.35">
      <c r="A377" s="503"/>
      <c r="B377" s="503"/>
      <c r="C377" s="514"/>
      <c r="D377" s="515"/>
      <c r="E377" s="516" t="s">
        <v>210</v>
      </c>
      <c r="F377" s="502"/>
      <c r="G377" s="502"/>
      <c r="H377" s="502"/>
      <c r="I377" s="502"/>
      <c r="J377" s="502"/>
      <c r="K377" s="502"/>
      <c r="L377" s="502"/>
      <c r="M377" s="502"/>
      <c r="N377" s="502"/>
      <c r="O377" s="502"/>
      <c r="P377" s="503"/>
      <c r="Q377" s="503"/>
      <c r="R377" s="503"/>
      <c r="S377" s="503"/>
      <c r="T377" s="503"/>
      <c r="U377" s="503"/>
      <c r="V377" s="503"/>
      <c r="Z377" s="504"/>
      <c r="AA377" s="504"/>
      <c r="AB377" s="504"/>
      <c r="AC377" s="504"/>
      <c r="AD377" s="504"/>
      <c r="AE377" s="504"/>
    </row>
    <row r="378" spans="1:31" hidden="1" x14ac:dyDescent="0.35">
      <c r="A378" s="503" t="str">
        <f>IF(AND(F380=G380,H380=I380,J380=K380,F380="A"),"2016 - kwh",IF(AND(F380=G380,H380=I380,J380&lt;&gt;K380,F380="A"),"2017 - kwh",IF(AND(F380=G380,H380&lt;&gt;I380,F380="A"),"2018 - kwh","N/A")))</f>
        <v>N/A</v>
      </c>
      <c r="B378" s="503" t="str">
        <f>IF(F380&lt;&gt;G380,"2018 - kwh",IF(H380&lt;&gt;I380,"2017 - kwh",IF(J380&lt;&gt;K380,"2016 - kwh","N/A")))</f>
        <v>N/A</v>
      </c>
      <c r="C378" s="508" t="s">
        <v>325</v>
      </c>
      <c r="D378" s="509"/>
      <c r="E378" s="510" t="s">
        <v>139</v>
      </c>
      <c r="F378" s="415"/>
      <c r="G378" s="415"/>
      <c r="H378" s="415"/>
      <c r="I378" s="415"/>
      <c r="J378" s="415"/>
      <c r="K378" s="415"/>
      <c r="L378" s="415"/>
      <c r="M378" s="415"/>
      <c r="N378" s="415"/>
      <c r="O378" s="415"/>
      <c r="P378" s="503"/>
      <c r="Q378" s="503"/>
      <c r="R378" s="503"/>
      <c r="S378" s="503"/>
      <c r="T378" s="503"/>
      <c r="U378" s="503"/>
      <c r="V378" s="503"/>
      <c r="Z378" s="504"/>
      <c r="AA378" s="504" t="str">
        <f>IF(AND(F380=G380,H380=I380,F380="A"),"2016 - kwh","")</f>
        <v/>
      </c>
      <c r="AB378" s="504" t="str">
        <f>IF(OR(B378="2017 - kwh",B378="2018 - kwh"),"2016 - kwh","")</f>
        <v/>
      </c>
      <c r="AC378" s="504"/>
      <c r="AD378" s="504"/>
      <c r="AE378" s="504"/>
    </row>
    <row r="379" spans="1:31" hidden="1" x14ac:dyDescent="0.35">
      <c r="A379" s="503" t="str">
        <f>IF(AND(F380=G380,H380=I380,J380=K380,F380="A"),"2016 - kw",IF(AND(F380=G380,H380=I380,J380&lt;&gt;K380,F380="A"),"2017 - kw",IF(AND(F380=G380,H380&lt;&gt;I380,F380="A"),"2018 - kw","N/A")))</f>
        <v>N/A</v>
      </c>
      <c r="B379" s="503" t="str">
        <f>IF(F380&lt;&gt;G380,"2018 - kw",IF(H380&lt;&gt;I380,"2017 - kw",IF(J380&lt;&gt;K380,"2016 - kw","N/A")))</f>
        <v>N/A</v>
      </c>
      <c r="C379" s="511"/>
      <c r="D379" s="512" t="str">
        <f>D378 &amp; "kW"</f>
        <v>kW</v>
      </c>
      <c r="E379" s="513" t="s">
        <v>170</v>
      </c>
      <c r="F379" s="415"/>
      <c r="G379" s="415"/>
      <c r="H379" s="415"/>
      <c r="I379" s="415"/>
      <c r="J379" s="415"/>
      <c r="K379" s="415"/>
      <c r="L379" s="415"/>
      <c r="M379" s="415"/>
      <c r="N379" s="415"/>
      <c r="O379" s="415"/>
      <c r="P379" s="503"/>
      <c r="Q379" s="503"/>
      <c r="R379" s="503"/>
      <c r="S379" s="503"/>
      <c r="T379" s="503"/>
      <c r="U379" s="503"/>
      <c r="V379" s="503"/>
      <c r="Z379" s="504"/>
      <c r="AA379" s="504" t="str">
        <f>IF(AND(F380=G380,H380=I380,F380="A"),"2016 - kw","")</f>
        <v/>
      </c>
      <c r="AB379" s="504" t="str">
        <f>IF(OR(B379="2017 - kw",B379="2018 - kw"),"2016 - kw","")</f>
        <v/>
      </c>
      <c r="AC379" s="504"/>
      <c r="AD379" s="504"/>
      <c r="AE379" s="504"/>
    </row>
    <row r="380" spans="1:31" hidden="1" x14ac:dyDescent="0.35">
      <c r="A380" s="503"/>
      <c r="B380" s="503"/>
      <c r="C380" s="514"/>
      <c r="D380" s="515"/>
      <c r="E380" s="516" t="s">
        <v>210</v>
      </c>
      <c r="F380" s="502"/>
      <c r="G380" s="502"/>
      <c r="H380" s="502"/>
      <c r="I380" s="502"/>
      <c r="J380" s="502"/>
      <c r="K380" s="502"/>
      <c r="L380" s="502"/>
      <c r="M380" s="502"/>
      <c r="N380" s="502"/>
      <c r="O380" s="502"/>
      <c r="P380" s="503"/>
      <c r="Q380" s="503"/>
      <c r="R380" s="503"/>
      <c r="S380" s="503"/>
      <c r="T380" s="503"/>
      <c r="U380" s="503"/>
      <c r="V380" s="503"/>
      <c r="Z380" s="504"/>
      <c r="AA380" s="504"/>
      <c r="AB380" s="504"/>
      <c r="AC380" s="504"/>
      <c r="AD380" s="504"/>
      <c r="AE380" s="504"/>
    </row>
    <row r="381" spans="1:31" hidden="1" x14ac:dyDescent="0.35">
      <c r="A381" s="503" t="str">
        <f>IF(AND(F383=G383,H383=I383,J383=K383,F383="A"),"2016 - kwh",IF(AND(F383=G383,H383=I383,J383&lt;&gt;K383,F383="A"),"2017 - kwh",IF(AND(F383=G383,H383&lt;&gt;I383,F383="A"),"2018 - kwh","N/A")))</f>
        <v>N/A</v>
      </c>
      <c r="B381" s="503" t="str">
        <f>IF(F383&lt;&gt;G383,"2018 - kwh",IF(H383&lt;&gt;I383,"2017 - kwh",IF(J383&lt;&gt;K383,"2016 - kwh","N/A")))</f>
        <v>N/A</v>
      </c>
      <c r="C381" s="508" t="s">
        <v>326</v>
      </c>
      <c r="D381" s="509"/>
      <c r="E381" s="510" t="s">
        <v>139</v>
      </c>
      <c r="F381" s="415"/>
      <c r="G381" s="415"/>
      <c r="H381" s="415"/>
      <c r="I381" s="415"/>
      <c r="J381" s="415"/>
      <c r="K381" s="415"/>
      <c r="L381" s="415"/>
      <c r="M381" s="415"/>
      <c r="N381" s="415"/>
      <c r="O381" s="415"/>
      <c r="P381" s="503"/>
      <c r="Q381" s="503"/>
      <c r="R381" s="503"/>
      <c r="S381" s="503"/>
      <c r="T381" s="503"/>
      <c r="U381" s="503"/>
      <c r="V381" s="503"/>
      <c r="Z381" s="504"/>
      <c r="AA381" s="504" t="str">
        <f>IF(AND(F383=G383,H383=I383,F383="A"),"2016 - kwh","")</f>
        <v/>
      </c>
      <c r="AB381" s="504" t="str">
        <f>IF(OR(B381="2017 - kwh",B381="2018 - kwh"),"2016 - kwh","")</f>
        <v/>
      </c>
      <c r="AC381" s="504"/>
      <c r="AD381" s="504"/>
      <c r="AE381" s="504"/>
    </row>
    <row r="382" spans="1:31" hidden="1" x14ac:dyDescent="0.35">
      <c r="A382" s="503" t="str">
        <f>IF(AND(F383=G383,H383=I383,J383=K383,F383="A"),"2016 - kw",IF(AND(F383=G383,H383=I383,J383&lt;&gt;K383,F383="A"),"2017 - kw",IF(AND(F383=G383,H383&lt;&gt;I383,F383="A"),"2018 - kw","N/A")))</f>
        <v>N/A</v>
      </c>
      <c r="B382" s="503" t="str">
        <f>IF(F383&lt;&gt;G383,"2018 - kw",IF(H383&lt;&gt;I383,"2017 - kw",IF(J383&lt;&gt;K383,"2016 - kw","N/A")))</f>
        <v>N/A</v>
      </c>
      <c r="C382" s="511"/>
      <c r="D382" s="512" t="str">
        <f>D381 &amp; "kW"</f>
        <v>kW</v>
      </c>
      <c r="E382" s="513" t="s">
        <v>170</v>
      </c>
      <c r="F382" s="415"/>
      <c r="G382" s="415"/>
      <c r="H382" s="415"/>
      <c r="I382" s="415"/>
      <c r="J382" s="415"/>
      <c r="K382" s="415"/>
      <c r="L382" s="415"/>
      <c r="M382" s="415"/>
      <c r="N382" s="415"/>
      <c r="O382" s="415"/>
      <c r="P382" s="503"/>
      <c r="Q382" s="503"/>
      <c r="R382" s="503"/>
      <c r="S382" s="503"/>
      <c r="T382" s="503"/>
      <c r="U382" s="503"/>
      <c r="V382" s="503"/>
      <c r="Z382" s="504"/>
      <c r="AA382" s="504" t="str">
        <f>IF(AND(F383=G383,H383=I383,F383="A"),"2016 - kw","")</f>
        <v/>
      </c>
      <c r="AB382" s="504" t="str">
        <f>IF(OR(B382="2017 - kw",B382="2018 - kw"),"2016 - kw","")</f>
        <v/>
      </c>
      <c r="AC382" s="504"/>
      <c r="AD382" s="504"/>
      <c r="AE382" s="504"/>
    </row>
    <row r="383" spans="1:31" hidden="1" x14ac:dyDescent="0.35">
      <c r="A383" s="503"/>
      <c r="B383" s="503"/>
      <c r="C383" s="514"/>
      <c r="D383" s="515"/>
      <c r="E383" s="516" t="s">
        <v>210</v>
      </c>
      <c r="F383" s="502"/>
      <c r="G383" s="502"/>
      <c r="H383" s="502"/>
      <c r="I383" s="502"/>
      <c r="J383" s="502"/>
      <c r="K383" s="502"/>
      <c r="L383" s="502"/>
      <c r="M383" s="502"/>
      <c r="N383" s="502"/>
      <c r="O383" s="502"/>
      <c r="P383" s="503"/>
      <c r="Q383" s="503"/>
      <c r="R383" s="503"/>
      <c r="S383" s="503"/>
      <c r="T383" s="503"/>
      <c r="U383" s="503"/>
      <c r="V383" s="503"/>
      <c r="Z383" s="504"/>
      <c r="AA383" s="504"/>
      <c r="AB383" s="504"/>
      <c r="AC383" s="504"/>
      <c r="AD383" s="504"/>
      <c r="AE383" s="504"/>
    </row>
    <row r="384" spans="1:31" hidden="1" x14ac:dyDescent="0.35">
      <c r="A384" s="503" t="str">
        <f>IF(AND(F386=G386,H386=I386,J386=K386,F386="A"),"2016 - kwh",IF(AND(F386=G386,H386=I386,J386&lt;&gt;K386,F386="A"),"2017 - kwh",IF(AND(F386=G386,H386&lt;&gt;I386,F386="A"),"2018 - kwh","N/A")))</f>
        <v>N/A</v>
      </c>
      <c r="B384" s="503" t="str">
        <f>IF(F386&lt;&gt;G386,"2018 - kwh",IF(H386&lt;&gt;I386,"2017 - kwh",IF(J386&lt;&gt;K386,"2016 - kwh","N/A")))</f>
        <v>N/A</v>
      </c>
      <c r="C384" s="508" t="s">
        <v>327</v>
      </c>
      <c r="D384" s="509"/>
      <c r="E384" s="510" t="s">
        <v>139</v>
      </c>
      <c r="F384" s="415"/>
      <c r="G384" s="415"/>
      <c r="H384" s="415"/>
      <c r="I384" s="415"/>
      <c r="J384" s="415"/>
      <c r="K384" s="415"/>
      <c r="L384" s="415"/>
      <c r="M384" s="415"/>
      <c r="N384" s="415"/>
      <c r="O384" s="415"/>
      <c r="P384" s="503"/>
      <c r="Q384" s="503"/>
      <c r="R384" s="503"/>
      <c r="S384" s="503"/>
      <c r="T384" s="503"/>
      <c r="U384" s="503"/>
      <c r="V384" s="503"/>
      <c r="Z384" s="504"/>
      <c r="AA384" s="504" t="str">
        <f>IF(AND(F386=G386,H386=I386,F386="A"),"2016 - kwh","")</f>
        <v/>
      </c>
      <c r="AB384" s="504" t="str">
        <f>IF(OR(B384="2017 - kwh",B384="2018 - kwh"),"2016 - kwh","")</f>
        <v/>
      </c>
      <c r="AC384" s="504"/>
      <c r="AD384" s="504"/>
      <c r="AE384" s="504"/>
    </row>
    <row r="385" spans="1:31" hidden="1" x14ac:dyDescent="0.35">
      <c r="A385" s="503" t="str">
        <f>IF(AND(F386=G386,H386=I386,J386=K386,F386="A"),"2016 - kw",IF(AND(F386=G386,H386=I386,J386&lt;&gt;K386,F386="A"),"2017 - kw",IF(AND(F386=G386,H386&lt;&gt;I386,F386="A"),"2018 - kw","N/A")))</f>
        <v>N/A</v>
      </c>
      <c r="B385" s="503" t="str">
        <f>IF(F386&lt;&gt;G386,"2018 - kw",IF(H386&lt;&gt;I386,"2017 - kw",IF(J386&lt;&gt;K386,"2016 - kw","N/A")))</f>
        <v>N/A</v>
      </c>
      <c r="C385" s="511"/>
      <c r="D385" s="512" t="str">
        <f>D384 &amp; "kW"</f>
        <v>kW</v>
      </c>
      <c r="E385" s="513" t="s">
        <v>170</v>
      </c>
      <c r="F385" s="415"/>
      <c r="G385" s="415"/>
      <c r="H385" s="415"/>
      <c r="I385" s="415"/>
      <c r="J385" s="415"/>
      <c r="K385" s="415"/>
      <c r="L385" s="415"/>
      <c r="M385" s="415"/>
      <c r="N385" s="415"/>
      <c r="O385" s="415"/>
      <c r="P385" s="503"/>
      <c r="Q385" s="503"/>
      <c r="R385" s="503"/>
      <c r="S385" s="503"/>
      <c r="T385" s="503"/>
      <c r="U385" s="503"/>
      <c r="V385" s="503"/>
      <c r="Z385" s="504"/>
      <c r="AA385" s="504" t="str">
        <f>IF(AND(F386=G386,H386=I386,F386="A"),"2016 - kw","")</f>
        <v/>
      </c>
      <c r="AB385" s="504" t="str">
        <f>IF(OR(B385="2017 - kw",B385="2018 - kw"),"2016 - kw","")</f>
        <v/>
      </c>
      <c r="AC385" s="504"/>
      <c r="AD385" s="504"/>
      <c r="AE385" s="504"/>
    </row>
    <row r="386" spans="1:31" hidden="1" x14ac:dyDescent="0.35">
      <c r="A386" s="503"/>
      <c r="B386" s="503"/>
      <c r="C386" s="514"/>
      <c r="D386" s="515"/>
      <c r="E386" s="516" t="s">
        <v>210</v>
      </c>
      <c r="F386" s="502"/>
      <c r="G386" s="502"/>
      <c r="H386" s="502"/>
      <c r="I386" s="502"/>
      <c r="J386" s="502"/>
      <c r="K386" s="502"/>
      <c r="L386" s="502"/>
      <c r="M386" s="502"/>
      <c r="N386" s="502"/>
      <c r="O386" s="502"/>
      <c r="P386" s="503"/>
      <c r="Q386" s="503"/>
      <c r="R386" s="503"/>
      <c r="S386" s="503"/>
      <c r="T386" s="503"/>
      <c r="U386" s="503"/>
      <c r="V386" s="503"/>
      <c r="Z386" s="504"/>
      <c r="AA386" s="504"/>
      <c r="AB386" s="504"/>
      <c r="AC386" s="504"/>
      <c r="AD386" s="504"/>
      <c r="AE386" s="504"/>
    </row>
    <row r="387" spans="1:31" hidden="1" x14ac:dyDescent="0.35">
      <c r="A387" s="503" t="str">
        <f>IF(AND(F389=G389,H389=I389,J389=K389,F389="A"),"2016 - kwh",IF(AND(F389=G389,H389=I389,J389&lt;&gt;K389,F389="A"),"2017 - kwh",IF(AND(F389=G389,H389&lt;&gt;I389,F389="A"),"2018 - kwh","N/A")))</f>
        <v>N/A</v>
      </c>
      <c r="B387" s="503" t="str">
        <f>IF(F389&lt;&gt;G389,"2018 - kwh",IF(H389&lt;&gt;I389,"2017 - kwh",IF(J389&lt;&gt;K389,"2016 - kwh","N/A")))</f>
        <v>N/A</v>
      </c>
      <c r="C387" s="508" t="s">
        <v>328</v>
      </c>
      <c r="D387" s="509"/>
      <c r="E387" s="510" t="s">
        <v>139</v>
      </c>
      <c r="F387" s="415"/>
      <c r="G387" s="415"/>
      <c r="H387" s="415"/>
      <c r="I387" s="415"/>
      <c r="J387" s="415"/>
      <c r="K387" s="415"/>
      <c r="L387" s="415"/>
      <c r="M387" s="415"/>
      <c r="N387" s="415"/>
      <c r="O387" s="415"/>
      <c r="P387" s="503"/>
      <c r="Q387" s="503"/>
      <c r="R387" s="503"/>
      <c r="S387" s="503"/>
      <c r="T387" s="503"/>
      <c r="U387" s="503"/>
      <c r="V387" s="503"/>
      <c r="Z387" s="504"/>
      <c r="AA387" s="504" t="str">
        <f>IF(AND(F389=G389,H389=I389,F389="A"),"2016 - kwh","")</f>
        <v/>
      </c>
      <c r="AB387" s="504" t="str">
        <f>IF(OR(B387="2017 - kwh",B387="2018 - kwh"),"2016 - kwh","")</f>
        <v/>
      </c>
      <c r="AC387" s="504"/>
      <c r="AD387" s="504"/>
      <c r="AE387" s="504"/>
    </row>
    <row r="388" spans="1:31" hidden="1" x14ac:dyDescent="0.35">
      <c r="A388" s="503" t="str">
        <f>IF(AND(F389=G389,H389=I389,J389=K389,F389="A"),"2016 - kw",IF(AND(F389=G389,H389=I389,J389&lt;&gt;K389,F389="A"),"2017 - kw",IF(AND(F389=G389,H389&lt;&gt;I389,F389="A"),"2018 - kw","N/A")))</f>
        <v>N/A</v>
      </c>
      <c r="B388" s="503" t="str">
        <f>IF(F389&lt;&gt;G389,"2018 - kw",IF(H389&lt;&gt;I389,"2017 - kw",IF(J389&lt;&gt;K389,"2016 - kw","N/A")))</f>
        <v>N/A</v>
      </c>
      <c r="C388" s="511"/>
      <c r="D388" s="512" t="str">
        <f>D387 &amp; "kW"</f>
        <v>kW</v>
      </c>
      <c r="E388" s="513" t="s">
        <v>170</v>
      </c>
      <c r="F388" s="415"/>
      <c r="G388" s="415"/>
      <c r="H388" s="415"/>
      <c r="I388" s="415"/>
      <c r="J388" s="415"/>
      <c r="K388" s="415"/>
      <c r="L388" s="415"/>
      <c r="M388" s="415"/>
      <c r="N388" s="415"/>
      <c r="O388" s="415"/>
      <c r="P388" s="503"/>
      <c r="Q388" s="503"/>
      <c r="R388" s="503"/>
      <c r="S388" s="503"/>
      <c r="T388" s="503"/>
      <c r="U388" s="503"/>
      <c r="V388" s="503"/>
      <c r="Z388" s="504"/>
      <c r="AA388" s="504" t="str">
        <f>IF(AND(F389=G389,H389=I389,F389="A"),"2016 - kw","")</f>
        <v/>
      </c>
      <c r="AB388" s="504" t="str">
        <f>IF(OR(B388="2017 - kw",B388="2018 - kw"),"2016 - kw","")</f>
        <v/>
      </c>
      <c r="AC388" s="504"/>
      <c r="AD388" s="504"/>
      <c r="AE388" s="504"/>
    </row>
    <row r="389" spans="1:31" hidden="1" x14ac:dyDescent="0.35">
      <c r="A389" s="503"/>
      <c r="B389" s="503"/>
      <c r="C389" s="514"/>
      <c r="D389" s="515"/>
      <c r="E389" s="516" t="s">
        <v>210</v>
      </c>
      <c r="F389" s="502"/>
      <c r="G389" s="502"/>
      <c r="H389" s="502"/>
      <c r="I389" s="502"/>
      <c r="J389" s="502"/>
      <c r="K389" s="502"/>
      <c r="L389" s="502"/>
      <c r="M389" s="502"/>
      <c r="N389" s="502"/>
      <c r="O389" s="502"/>
      <c r="P389" s="503"/>
      <c r="Q389" s="503"/>
      <c r="R389" s="503"/>
      <c r="S389" s="503"/>
      <c r="T389" s="503"/>
      <c r="U389" s="503"/>
      <c r="V389" s="503"/>
      <c r="Z389" s="504"/>
      <c r="AA389" s="504"/>
      <c r="AB389" s="504"/>
      <c r="AC389" s="504"/>
      <c r="AD389" s="504"/>
      <c r="AE389" s="504"/>
    </row>
    <row r="390" spans="1:31" hidden="1" x14ac:dyDescent="0.35">
      <c r="A390" s="503" t="str">
        <f>IF(AND(F392=G392,H392=I392,J392=K392,F392="A"),"2016 - kwh",IF(AND(F392=G392,H392=I392,J392&lt;&gt;K392,F392="A"),"2017 - kwh",IF(AND(F392=G392,H392&lt;&gt;I392,F392="A"),"2018 - kwh","N/A")))</f>
        <v>N/A</v>
      </c>
      <c r="B390" s="503" t="str">
        <f>IF(F392&lt;&gt;G392,"2018 - kwh",IF(H392&lt;&gt;I392,"2017 - kwh",IF(J392&lt;&gt;K392,"2016 - kwh","N/A")))</f>
        <v>N/A</v>
      </c>
      <c r="C390" s="508" t="s">
        <v>329</v>
      </c>
      <c r="D390" s="509"/>
      <c r="E390" s="510" t="s">
        <v>139</v>
      </c>
      <c r="F390" s="415"/>
      <c r="G390" s="415"/>
      <c r="H390" s="415"/>
      <c r="I390" s="415"/>
      <c r="J390" s="415"/>
      <c r="K390" s="415"/>
      <c r="L390" s="415"/>
      <c r="M390" s="415"/>
      <c r="N390" s="415"/>
      <c r="O390" s="415"/>
      <c r="P390" s="503"/>
      <c r="Q390" s="503"/>
      <c r="R390" s="503"/>
      <c r="S390" s="503"/>
      <c r="T390" s="503"/>
      <c r="U390" s="503"/>
      <c r="V390" s="503"/>
      <c r="Z390" s="504"/>
      <c r="AA390" s="504" t="str">
        <f>IF(AND(F392=G392,H392=I392,F392="A"),"2016 - kwh","")</f>
        <v/>
      </c>
      <c r="AB390" s="504" t="str">
        <f>IF(OR(B390="2017 - kwh",B390="2018 - kwh"),"2016 - kwh","")</f>
        <v/>
      </c>
      <c r="AC390" s="504"/>
      <c r="AD390" s="504"/>
      <c r="AE390" s="504"/>
    </row>
    <row r="391" spans="1:31" hidden="1" x14ac:dyDescent="0.35">
      <c r="A391" s="503" t="str">
        <f>IF(AND(F392=G392,H392=I392,J392=K392,F392="A"),"2016 - kw",IF(AND(F392=G392,H392=I392,J392&lt;&gt;K392,F392="A"),"2017 - kw",IF(AND(F392=G392,H392&lt;&gt;I392,F392="A"),"2018 - kw","N/A")))</f>
        <v>N/A</v>
      </c>
      <c r="B391" s="503" t="str">
        <f>IF(F392&lt;&gt;G392,"2018 - kw",IF(H392&lt;&gt;I392,"2017 - kw",IF(J392&lt;&gt;K392,"2016 - kw","N/A")))</f>
        <v>N/A</v>
      </c>
      <c r="C391" s="511"/>
      <c r="D391" s="512" t="str">
        <f>D390 &amp; "kW"</f>
        <v>kW</v>
      </c>
      <c r="E391" s="513" t="s">
        <v>170</v>
      </c>
      <c r="F391" s="415"/>
      <c r="G391" s="415"/>
      <c r="H391" s="415"/>
      <c r="I391" s="415"/>
      <c r="J391" s="415"/>
      <c r="K391" s="415"/>
      <c r="L391" s="415"/>
      <c r="M391" s="415"/>
      <c r="N391" s="415"/>
      <c r="O391" s="415"/>
      <c r="P391" s="503"/>
      <c r="Q391" s="503"/>
      <c r="R391" s="503"/>
      <c r="S391" s="503"/>
      <c r="T391" s="503"/>
      <c r="U391" s="503"/>
      <c r="V391" s="503"/>
      <c r="Z391" s="504"/>
      <c r="AA391" s="504" t="str">
        <f>IF(AND(F392=G392,H392=I392,F392="A"),"2016 - kw","")</f>
        <v/>
      </c>
      <c r="AB391" s="504" t="str">
        <f>IF(OR(B391="2017 - kw",B391="2018 - kw"),"2016 - kw","")</f>
        <v/>
      </c>
      <c r="AC391" s="504"/>
      <c r="AD391" s="504"/>
      <c r="AE391" s="504"/>
    </row>
    <row r="392" spans="1:31" hidden="1" x14ac:dyDescent="0.35">
      <c r="A392" s="503"/>
      <c r="B392" s="503"/>
      <c r="C392" s="514"/>
      <c r="D392" s="515"/>
      <c r="E392" s="516" t="s">
        <v>210</v>
      </c>
      <c r="F392" s="502"/>
      <c r="G392" s="502"/>
      <c r="H392" s="502"/>
      <c r="I392" s="502"/>
      <c r="J392" s="502"/>
      <c r="K392" s="502"/>
      <c r="L392" s="502"/>
      <c r="M392" s="502"/>
      <c r="N392" s="502"/>
      <c r="O392" s="502"/>
      <c r="P392" s="503"/>
      <c r="Q392" s="503"/>
      <c r="R392" s="503"/>
      <c r="S392" s="503"/>
      <c r="T392" s="503"/>
      <c r="U392" s="503"/>
      <c r="V392" s="503"/>
      <c r="Z392" s="504"/>
      <c r="AA392" s="504"/>
      <c r="AB392" s="504"/>
      <c r="AC392" s="504"/>
      <c r="AD392" s="504"/>
      <c r="AE392" s="504"/>
    </row>
    <row r="393" spans="1:31" hidden="1" x14ac:dyDescent="0.35">
      <c r="A393" s="503" t="str">
        <f>IF(AND(F395=G395,H395=I395,J395=K395,F395="A"),"2016 - kwh",IF(AND(F395=G395,H395=I395,J395&lt;&gt;K395,F395="A"),"2017 - kwh",IF(AND(F395=G395,H395&lt;&gt;I395,F395="A"),"2018 - kwh","N/A")))</f>
        <v>N/A</v>
      </c>
      <c r="B393" s="503" t="str">
        <f>IF(F395&lt;&gt;G395,"2018 - kwh",IF(H395&lt;&gt;I395,"2017 - kwh",IF(J395&lt;&gt;K395,"2016 - kwh","N/A")))</f>
        <v>N/A</v>
      </c>
      <c r="C393" s="508" t="s">
        <v>330</v>
      </c>
      <c r="D393" s="509"/>
      <c r="E393" s="510" t="s">
        <v>139</v>
      </c>
      <c r="F393" s="415"/>
      <c r="G393" s="415"/>
      <c r="H393" s="415"/>
      <c r="I393" s="415"/>
      <c r="J393" s="415"/>
      <c r="K393" s="415"/>
      <c r="L393" s="415"/>
      <c r="M393" s="415"/>
      <c r="N393" s="415"/>
      <c r="O393" s="415"/>
      <c r="P393" s="503"/>
      <c r="Q393" s="503"/>
      <c r="R393" s="503"/>
      <c r="S393" s="503"/>
      <c r="T393" s="503"/>
      <c r="U393" s="503"/>
      <c r="V393" s="503"/>
      <c r="Z393" s="504"/>
      <c r="AA393" s="504" t="str">
        <f>IF(AND(F395=G395,H395=I395,F395="A"),"2016 - kwh","")</f>
        <v/>
      </c>
      <c r="AB393" s="504" t="str">
        <f>IF(OR(B393="2017 - kwh",B393="2018 - kwh"),"2016 - kwh","")</f>
        <v/>
      </c>
      <c r="AC393" s="504"/>
      <c r="AD393" s="504"/>
      <c r="AE393" s="504"/>
    </row>
    <row r="394" spans="1:31" hidden="1" x14ac:dyDescent="0.35">
      <c r="A394" s="503" t="str">
        <f>IF(AND(F395=G395,H395=I395,J395=K395,F395="A"),"2016 - kw",IF(AND(F395=G395,H395=I395,J395&lt;&gt;K395,F395="A"),"2017 - kw",IF(AND(F395=G395,H395&lt;&gt;I395,F395="A"),"2018 - kw","N/A")))</f>
        <v>N/A</v>
      </c>
      <c r="B394" s="503" t="str">
        <f>IF(F395&lt;&gt;G395,"2018 - kw",IF(H395&lt;&gt;I395,"2017 - kw",IF(J395&lt;&gt;K395,"2016 - kw","N/A")))</f>
        <v>N/A</v>
      </c>
      <c r="C394" s="511"/>
      <c r="D394" s="512" t="str">
        <f>D393 &amp; "kW"</f>
        <v>kW</v>
      </c>
      <c r="E394" s="513" t="s">
        <v>170</v>
      </c>
      <c r="F394" s="415"/>
      <c r="G394" s="415"/>
      <c r="H394" s="415"/>
      <c r="I394" s="415"/>
      <c r="J394" s="415"/>
      <c r="K394" s="415"/>
      <c r="L394" s="415"/>
      <c r="M394" s="415"/>
      <c r="N394" s="415"/>
      <c r="O394" s="415"/>
      <c r="P394" s="503"/>
      <c r="Q394" s="503"/>
      <c r="R394" s="503"/>
      <c r="S394" s="503"/>
      <c r="T394" s="503"/>
      <c r="U394" s="503"/>
      <c r="V394" s="503"/>
      <c r="Z394" s="504"/>
      <c r="AA394" s="504" t="str">
        <f>IF(AND(F395=G395,H395=I395,F395="A"),"2016 - kw","")</f>
        <v/>
      </c>
      <c r="AB394" s="504" t="str">
        <f>IF(OR(B394="2017 - kw",B394="2018 - kw"),"2016 - kw","")</f>
        <v/>
      </c>
      <c r="AC394" s="504"/>
      <c r="AD394" s="504"/>
      <c r="AE394" s="504"/>
    </row>
    <row r="395" spans="1:31" hidden="1" x14ac:dyDescent="0.35">
      <c r="A395" s="503"/>
      <c r="B395" s="503"/>
      <c r="C395" s="514"/>
      <c r="D395" s="515"/>
      <c r="E395" s="516" t="s">
        <v>210</v>
      </c>
      <c r="F395" s="502"/>
      <c r="G395" s="502"/>
      <c r="H395" s="502"/>
      <c r="I395" s="502"/>
      <c r="J395" s="502"/>
      <c r="K395" s="502"/>
      <c r="L395" s="502"/>
      <c r="M395" s="502"/>
      <c r="N395" s="502"/>
      <c r="O395" s="502"/>
      <c r="P395" s="503"/>
      <c r="Q395" s="503"/>
      <c r="R395" s="503"/>
      <c r="S395" s="503"/>
      <c r="T395" s="503"/>
      <c r="U395" s="503"/>
      <c r="V395" s="503"/>
      <c r="Z395" s="504"/>
      <c r="AA395" s="504"/>
      <c r="AB395" s="504"/>
      <c r="AC395" s="504"/>
      <c r="AD395" s="504"/>
      <c r="AE395" s="504"/>
    </row>
    <row r="396" spans="1:31" hidden="1" x14ac:dyDescent="0.35">
      <c r="A396" s="503" t="str">
        <f>IF(AND(F398=G398,H398=I398,J398=K398,F398="A"),"2016 - kwh",IF(AND(F398=G398,H398=I398,J398&lt;&gt;K398,F398="A"),"2017 - kwh",IF(AND(F398=G398,H398&lt;&gt;I398,F398="A"),"2018 - kwh","N/A")))</f>
        <v>N/A</v>
      </c>
      <c r="B396" s="503" t="str">
        <f>IF(F398&lt;&gt;G398,"2018 - kwh",IF(H398&lt;&gt;I398,"2017 - kwh",IF(J398&lt;&gt;K398,"2016 - kwh","N/A")))</f>
        <v>N/A</v>
      </c>
      <c r="C396" s="508" t="s">
        <v>331</v>
      </c>
      <c r="D396" s="509"/>
      <c r="E396" s="510" t="s">
        <v>139</v>
      </c>
      <c r="F396" s="415"/>
      <c r="G396" s="415"/>
      <c r="H396" s="415"/>
      <c r="I396" s="415"/>
      <c r="J396" s="415"/>
      <c r="K396" s="415"/>
      <c r="L396" s="415"/>
      <c r="M396" s="415"/>
      <c r="N396" s="415"/>
      <c r="O396" s="415"/>
      <c r="P396" s="503"/>
      <c r="Q396" s="503"/>
      <c r="R396" s="503"/>
      <c r="S396" s="503"/>
      <c r="T396" s="503"/>
      <c r="U396" s="503"/>
      <c r="V396" s="503"/>
      <c r="Z396" s="504"/>
      <c r="AA396" s="504" t="str">
        <f>IF(AND(F398=G398,H398=I398,F398="A"),"2016 - kwh","")</f>
        <v/>
      </c>
      <c r="AB396" s="504" t="str">
        <f>IF(OR(B396="2017 - kwh",B396="2018 - kwh"),"2016 - kwh","")</f>
        <v/>
      </c>
      <c r="AC396" s="504"/>
      <c r="AD396" s="504"/>
      <c r="AE396" s="504"/>
    </row>
    <row r="397" spans="1:31" hidden="1" x14ac:dyDescent="0.35">
      <c r="A397" s="503" t="str">
        <f>IF(AND(F398=G398,H398=I398,J398=K398,F398="A"),"2016 - kw",IF(AND(F398=G398,H398=I398,J398&lt;&gt;K398,F398="A"),"2017 - kw",IF(AND(F398=G398,H398&lt;&gt;I398,F398="A"),"2018 - kw","N/A")))</f>
        <v>N/A</v>
      </c>
      <c r="B397" s="503" t="str">
        <f>IF(F398&lt;&gt;G398,"2018 - kw",IF(H398&lt;&gt;I398,"2017 - kw",IF(J398&lt;&gt;K398,"2016 - kw","N/A")))</f>
        <v>N/A</v>
      </c>
      <c r="C397" s="511"/>
      <c r="D397" s="512" t="str">
        <f>D396 &amp; "kW"</f>
        <v>kW</v>
      </c>
      <c r="E397" s="513" t="s">
        <v>170</v>
      </c>
      <c r="F397" s="415"/>
      <c r="G397" s="415"/>
      <c r="H397" s="415"/>
      <c r="I397" s="415"/>
      <c r="J397" s="415"/>
      <c r="K397" s="415"/>
      <c r="L397" s="415"/>
      <c r="M397" s="415"/>
      <c r="N397" s="415"/>
      <c r="O397" s="415"/>
      <c r="P397" s="503"/>
      <c r="Q397" s="503"/>
      <c r="R397" s="503"/>
      <c r="S397" s="503"/>
      <c r="T397" s="503"/>
      <c r="U397" s="503"/>
      <c r="V397" s="503"/>
      <c r="Z397" s="504"/>
      <c r="AA397" s="504" t="str">
        <f>IF(AND(F398=G398,H398=I398,F398="A"),"2016 - kw","")</f>
        <v/>
      </c>
      <c r="AB397" s="504" t="str">
        <f>IF(OR(B397="2017 - kw",B397="2018 - kw"),"2016 - kw","")</f>
        <v/>
      </c>
      <c r="AC397" s="504"/>
      <c r="AD397" s="504"/>
      <c r="AE397" s="504"/>
    </row>
    <row r="398" spans="1:31" hidden="1" x14ac:dyDescent="0.35">
      <c r="A398" s="503"/>
      <c r="B398" s="503"/>
      <c r="C398" s="514"/>
      <c r="D398" s="515"/>
      <c r="E398" s="516" t="s">
        <v>210</v>
      </c>
      <c r="F398" s="502"/>
      <c r="G398" s="502"/>
      <c r="H398" s="502"/>
      <c r="I398" s="502"/>
      <c r="J398" s="502"/>
      <c r="K398" s="502"/>
      <c r="L398" s="502"/>
      <c r="M398" s="502"/>
      <c r="N398" s="502"/>
      <c r="O398" s="502"/>
      <c r="P398" s="503"/>
      <c r="Q398" s="503"/>
      <c r="R398" s="503"/>
      <c r="S398" s="503"/>
      <c r="T398" s="503"/>
      <c r="U398" s="503"/>
      <c r="V398" s="503"/>
      <c r="Z398" s="504"/>
      <c r="AA398" s="504"/>
      <c r="AB398" s="504"/>
      <c r="AC398" s="504"/>
      <c r="AD398" s="504"/>
      <c r="AE398" s="504"/>
    </row>
    <row r="399" spans="1:31" hidden="1" x14ac:dyDescent="0.35">
      <c r="A399" s="503" t="str">
        <f>IF(AND(F401=G401,H401=I401,J401=K401,F401="A"),"2016 - kwh",IF(AND(F401=G401,H401=I401,J401&lt;&gt;K401,F401="A"),"2017 - kwh",IF(AND(F401=G401,H401&lt;&gt;I401,F401="A"),"2018 - kwh","N/A")))</f>
        <v>N/A</v>
      </c>
      <c r="B399" s="503" t="str">
        <f>IF(F401&lt;&gt;G401,"2018 - kwh",IF(H401&lt;&gt;I401,"2017 - kwh",IF(J401&lt;&gt;K401,"2016 - kwh","N/A")))</f>
        <v>N/A</v>
      </c>
      <c r="C399" s="508" t="s">
        <v>332</v>
      </c>
      <c r="D399" s="509"/>
      <c r="E399" s="510" t="s">
        <v>139</v>
      </c>
      <c r="F399" s="415"/>
      <c r="G399" s="415"/>
      <c r="H399" s="415"/>
      <c r="I399" s="415"/>
      <c r="J399" s="415"/>
      <c r="K399" s="415"/>
      <c r="L399" s="415"/>
      <c r="M399" s="415"/>
      <c r="N399" s="415"/>
      <c r="O399" s="415"/>
      <c r="P399" s="503"/>
      <c r="Q399" s="503"/>
      <c r="R399" s="503"/>
      <c r="S399" s="503"/>
      <c r="T399" s="503"/>
      <c r="U399" s="503"/>
      <c r="V399" s="503"/>
      <c r="Z399" s="504"/>
      <c r="AA399" s="504" t="str">
        <f>IF(AND(F401=G401,H401=I401,F401="A"),"2016 - kwh","")</f>
        <v/>
      </c>
      <c r="AB399" s="504" t="str">
        <f>IF(OR(B399="2017 - kwh",B399="2018 - kwh"),"2016 - kwh","")</f>
        <v/>
      </c>
      <c r="AC399" s="504"/>
      <c r="AD399" s="504"/>
      <c r="AE399" s="504"/>
    </row>
    <row r="400" spans="1:31" hidden="1" x14ac:dyDescent="0.35">
      <c r="A400" s="503" t="str">
        <f>IF(AND(F401=G401,H401=I401,J401=K401,F401="A"),"2016 - kw",IF(AND(F401=G401,H401=I401,J401&lt;&gt;K401,F401="A"),"2017 - kw",IF(AND(F401=G401,H401&lt;&gt;I401,F401="A"),"2018 - kw","N/A")))</f>
        <v>N/A</v>
      </c>
      <c r="B400" s="503" t="str">
        <f>IF(F401&lt;&gt;G401,"2018 - kw",IF(H401&lt;&gt;I401,"2017 - kw",IF(J401&lt;&gt;K401,"2016 - kw","N/A")))</f>
        <v>N/A</v>
      </c>
      <c r="C400" s="511"/>
      <c r="D400" s="512" t="str">
        <f>D399 &amp; "kW"</f>
        <v>kW</v>
      </c>
      <c r="E400" s="513" t="s">
        <v>170</v>
      </c>
      <c r="F400" s="415"/>
      <c r="G400" s="415"/>
      <c r="H400" s="415"/>
      <c r="I400" s="415"/>
      <c r="J400" s="415"/>
      <c r="K400" s="415"/>
      <c r="L400" s="415"/>
      <c r="M400" s="415"/>
      <c r="N400" s="415"/>
      <c r="O400" s="415"/>
      <c r="P400" s="503"/>
      <c r="Q400" s="503"/>
      <c r="R400" s="503"/>
      <c r="S400" s="503"/>
      <c r="T400" s="503"/>
      <c r="U400" s="503"/>
      <c r="V400" s="503"/>
      <c r="Z400" s="504"/>
      <c r="AA400" s="504" t="str">
        <f>IF(AND(F401=G401,H401=I401,F401="A"),"2016 - kw","")</f>
        <v/>
      </c>
      <c r="AB400" s="504" t="str">
        <f>IF(OR(B400="2017 - kw",B400="2018 - kw"),"2016 - kw","")</f>
        <v/>
      </c>
      <c r="AC400" s="504"/>
      <c r="AD400" s="504"/>
      <c r="AE400" s="504"/>
    </row>
    <row r="401" spans="1:31" hidden="1" x14ac:dyDescent="0.35">
      <c r="A401" s="503"/>
      <c r="B401" s="503"/>
      <c r="C401" s="514"/>
      <c r="D401" s="515"/>
      <c r="E401" s="516" t="s">
        <v>210</v>
      </c>
      <c r="F401" s="502"/>
      <c r="G401" s="502"/>
      <c r="H401" s="502"/>
      <c r="I401" s="502"/>
      <c r="J401" s="502"/>
      <c r="K401" s="502"/>
      <c r="L401" s="502"/>
      <c r="M401" s="502"/>
      <c r="N401" s="502"/>
      <c r="O401" s="502"/>
      <c r="P401" s="503"/>
      <c r="Q401" s="503"/>
      <c r="R401" s="503"/>
      <c r="S401" s="503"/>
      <c r="T401" s="503"/>
      <c r="U401" s="503"/>
      <c r="V401" s="503"/>
      <c r="Z401" s="504"/>
      <c r="AA401" s="504"/>
      <c r="AB401" s="504"/>
      <c r="AC401" s="504"/>
      <c r="AD401" s="504"/>
      <c r="AE401" s="504"/>
    </row>
    <row r="402" spans="1:31" hidden="1" x14ac:dyDescent="0.35">
      <c r="A402" s="503" t="str">
        <f>IF(AND(F404=G404,H404=I404,J404=K404,F404="A"),"2016 - kwh",IF(AND(F404=G404,H404=I404,J404&lt;&gt;K404,F404="A"),"2017 - kwh",IF(AND(F404=G404,H404&lt;&gt;I404,F404="A"),"2018 - kwh","N/A")))</f>
        <v>N/A</v>
      </c>
      <c r="B402" s="503" t="str">
        <f>IF(F404&lt;&gt;G404,"2018 - kwh",IF(H404&lt;&gt;I404,"2017 - kwh",IF(J404&lt;&gt;K404,"2016 - kwh","N/A")))</f>
        <v>N/A</v>
      </c>
      <c r="C402" s="508" t="s">
        <v>333</v>
      </c>
      <c r="D402" s="509"/>
      <c r="E402" s="510" t="s">
        <v>139</v>
      </c>
      <c r="F402" s="415"/>
      <c r="G402" s="415"/>
      <c r="H402" s="415"/>
      <c r="I402" s="415"/>
      <c r="J402" s="415"/>
      <c r="K402" s="415"/>
      <c r="L402" s="415"/>
      <c r="M402" s="415"/>
      <c r="N402" s="415"/>
      <c r="O402" s="415"/>
      <c r="P402" s="503"/>
      <c r="Q402" s="503"/>
      <c r="R402" s="503"/>
      <c r="S402" s="503"/>
      <c r="T402" s="503"/>
      <c r="U402" s="503"/>
      <c r="V402" s="503"/>
      <c r="Z402" s="504"/>
      <c r="AA402" s="504" t="str">
        <f>IF(AND(F404=G404,H404=I404,F404="A"),"2016 - kwh","")</f>
        <v/>
      </c>
      <c r="AB402" s="504" t="str">
        <f>IF(OR(B402="2017 - kwh",B402="2018 - kwh"),"2016 - kwh","")</f>
        <v/>
      </c>
      <c r="AC402" s="504"/>
      <c r="AD402" s="504"/>
      <c r="AE402" s="504"/>
    </row>
    <row r="403" spans="1:31" hidden="1" x14ac:dyDescent="0.35">
      <c r="A403" s="503" t="str">
        <f>IF(AND(F404=G404,H404=I404,J404=K404,F404="A"),"2016 - kw",IF(AND(F404=G404,H404=I404,J404&lt;&gt;K404,F404="A"),"2017 - kw",IF(AND(F404=G404,H404&lt;&gt;I404,F404="A"),"2018 - kw","N/A")))</f>
        <v>N/A</v>
      </c>
      <c r="B403" s="503" t="str">
        <f>IF(F404&lt;&gt;G404,"2018 - kw",IF(H404&lt;&gt;I404,"2017 - kw",IF(J404&lt;&gt;K404,"2016 - kw","N/A")))</f>
        <v>N/A</v>
      </c>
      <c r="C403" s="511"/>
      <c r="D403" s="512" t="str">
        <f>D402 &amp; "kW"</f>
        <v>kW</v>
      </c>
      <c r="E403" s="513" t="s">
        <v>170</v>
      </c>
      <c r="F403" s="415"/>
      <c r="G403" s="415"/>
      <c r="H403" s="415"/>
      <c r="I403" s="415"/>
      <c r="J403" s="415"/>
      <c r="K403" s="415"/>
      <c r="L403" s="415"/>
      <c r="M403" s="415"/>
      <c r="N403" s="415"/>
      <c r="O403" s="415"/>
      <c r="P403" s="503"/>
      <c r="Q403" s="503"/>
      <c r="R403" s="503"/>
      <c r="S403" s="503"/>
      <c r="T403" s="503"/>
      <c r="U403" s="503"/>
      <c r="V403" s="503"/>
      <c r="Z403" s="504"/>
      <c r="AA403" s="504" t="str">
        <f>IF(AND(F404=G404,H404=I404,F404="A"),"2016 - kw","")</f>
        <v/>
      </c>
      <c r="AB403" s="504" t="str">
        <f>IF(OR(B403="2017 - kw",B403="2018 - kw"),"2016 - kw","")</f>
        <v/>
      </c>
      <c r="AC403" s="504"/>
      <c r="AD403" s="504"/>
      <c r="AE403" s="504"/>
    </row>
    <row r="404" spans="1:31" hidden="1" x14ac:dyDescent="0.35">
      <c r="A404" s="503"/>
      <c r="B404" s="503"/>
      <c r="C404" s="514"/>
      <c r="D404" s="515"/>
      <c r="E404" s="516" t="s">
        <v>210</v>
      </c>
      <c r="F404" s="502"/>
      <c r="G404" s="502"/>
      <c r="H404" s="502"/>
      <c r="I404" s="502"/>
      <c r="J404" s="502"/>
      <c r="K404" s="502"/>
      <c r="L404" s="502"/>
      <c r="M404" s="502"/>
      <c r="N404" s="502"/>
      <c r="O404" s="502"/>
      <c r="P404" s="503"/>
      <c r="Q404" s="503"/>
      <c r="R404" s="503"/>
      <c r="S404" s="503"/>
      <c r="T404" s="503"/>
      <c r="U404" s="503"/>
      <c r="V404" s="503"/>
      <c r="Z404" s="504"/>
      <c r="AA404" s="504"/>
      <c r="AB404" s="504"/>
      <c r="AC404" s="504"/>
      <c r="AD404" s="504"/>
      <c r="AE404" s="504"/>
    </row>
    <row r="405" spans="1:31" hidden="1" x14ac:dyDescent="0.35">
      <c r="A405" s="503" t="str">
        <f>IF(AND(F407=G407,H407=I407,J407=K407,F407="A"),"2016 - kwh",IF(AND(F407=G407,H407=I407,J407&lt;&gt;K407,F407="A"),"2017 - kwh",IF(AND(F407=G407,H407&lt;&gt;I407,F407="A"),"2018 - kwh","N/A")))</f>
        <v>N/A</v>
      </c>
      <c r="B405" s="503" t="str">
        <f>IF(F407&lt;&gt;G407,"2018 - kwh",IF(H407&lt;&gt;I407,"2017 - kwh",IF(J407&lt;&gt;K407,"2016 - kwh","N/A")))</f>
        <v>N/A</v>
      </c>
      <c r="C405" s="508" t="s">
        <v>334</v>
      </c>
      <c r="D405" s="509"/>
      <c r="E405" s="510" t="s">
        <v>139</v>
      </c>
      <c r="F405" s="415"/>
      <c r="G405" s="415"/>
      <c r="H405" s="415"/>
      <c r="I405" s="415"/>
      <c r="J405" s="415"/>
      <c r="K405" s="415"/>
      <c r="L405" s="415"/>
      <c r="M405" s="415"/>
      <c r="N405" s="415"/>
      <c r="O405" s="415"/>
      <c r="P405" s="503"/>
      <c r="Q405" s="503"/>
      <c r="R405" s="503"/>
      <c r="S405" s="503"/>
      <c r="T405" s="503"/>
      <c r="U405" s="503"/>
      <c r="V405" s="503"/>
      <c r="Z405" s="504"/>
      <c r="AA405" s="504" t="str">
        <f>IF(AND(F407=G407,H407=I407,F407="A"),"2016 - kwh","")</f>
        <v/>
      </c>
      <c r="AB405" s="504" t="str">
        <f>IF(OR(B405="2017 - kwh",B405="2018 - kwh"),"2016 - kwh","")</f>
        <v/>
      </c>
      <c r="AC405" s="504"/>
      <c r="AD405" s="504"/>
      <c r="AE405" s="504"/>
    </row>
    <row r="406" spans="1:31" hidden="1" x14ac:dyDescent="0.35">
      <c r="A406" s="503" t="str">
        <f>IF(AND(F407=G407,H407=I407,J407=K407,F407="A"),"2016 - kw",IF(AND(F407=G407,H407=I407,J407&lt;&gt;K407,F407="A"),"2017 - kw",IF(AND(F407=G407,H407&lt;&gt;I407,F407="A"),"2018 - kw","N/A")))</f>
        <v>N/A</v>
      </c>
      <c r="B406" s="503" t="str">
        <f>IF(F407&lt;&gt;G407,"2018 - kw",IF(H407&lt;&gt;I407,"2017 - kw",IF(J407&lt;&gt;K407,"2016 - kw","N/A")))</f>
        <v>N/A</v>
      </c>
      <c r="C406" s="511"/>
      <c r="D406" s="512" t="str">
        <f>D405 &amp; "kW"</f>
        <v>kW</v>
      </c>
      <c r="E406" s="513" t="s">
        <v>170</v>
      </c>
      <c r="F406" s="415"/>
      <c r="G406" s="415"/>
      <c r="H406" s="415"/>
      <c r="I406" s="415"/>
      <c r="J406" s="415"/>
      <c r="K406" s="415"/>
      <c r="L406" s="415"/>
      <c r="M406" s="415"/>
      <c r="N406" s="415"/>
      <c r="O406" s="415"/>
      <c r="P406" s="503"/>
      <c r="Q406" s="503"/>
      <c r="R406" s="503"/>
      <c r="S406" s="503"/>
      <c r="T406" s="503"/>
      <c r="U406" s="503"/>
      <c r="V406" s="503"/>
      <c r="Z406" s="504"/>
      <c r="AA406" s="504" t="str">
        <f>IF(AND(F407=G407,H407=I407,F407="A"),"2016 - kw","")</f>
        <v/>
      </c>
      <c r="AB406" s="504" t="str">
        <f>IF(OR(B406="2017 - kw",B406="2018 - kw"),"2016 - kw","")</f>
        <v/>
      </c>
      <c r="AC406" s="504"/>
      <c r="AD406" s="504"/>
      <c r="AE406" s="504"/>
    </row>
    <row r="407" spans="1:31" hidden="1" x14ac:dyDescent="0.35">
      <c r="A407" s="503"/>
      <c r="B407" s="503"/>
      <c r="C407" s="514"/>
      <c r="D407" s="515"/>
      <c r="E407" s="516" t="s">
        <v>210</v>
      </c>
      <c r="F407" s="502"/>
      <c r="G407" s="502"/>
      <c r="H407" s="502"/>
      <c r="I407" s="502"/>
      <c r="J407" s="502"/>
      <c r="K407" s="502"/>
      <c r="L407" s="502"/>
      <c r="M407" s="502"/>
      <c r="N407" s="502"/>
      <c r="O407" s="502"/>
      <c r="P407" s="503"/>
      <c r="Q407" s="503"/>
      <c r="R407" s="503"/>
      <c r="S407" s="503"/>
      <c r="T407" s="503"/>
      <c r="U407" s="503"/>
      <c r="V407" s="503"/>
      <c r="Z407" s="504"/>
      <c r="AA407" s="504"/>
      <c r="AB407" s="504"/>
      <c r="AC407" s="504"/>
      <c r="AD407" s="504"/>
      <c r="AE407" s="504"/>
    </row>
    <row r="408" spans="1:31" hidden="1" x14ac:dyDescent="0.35">
      <c r="A408" s="503" t="str">
        <f>IF(AND(F410=G410,H410=I410,J410=K410,F410="A"),"2016 - kwh",IF(AND(F410=G410,H410=I410,J410&lt;&gt;K410,F410="A"),"2017 - kwh",IF(AND(F410=G410,H410&lt;&gt;I410,F410="A"),"2018 - kwh","N/A")))</f>
        <v>N/A</v>
      </c>
      <c r="B408" s="503" t="str">
        <f>IF(F410&lt;&gt;G410,"2018 - kwh",IF(H410&lt;&gt;I410,"2017 - kwh",IF(J410&lt;&gt;K410,"2016 - kwh","N/A")))</f>
        <v>N/A</v>
      </c>
      <c r="C408" s="508" t="s">
        <v>335</v>
      </c>
      <c r="D408" s="509"/>
      <c r="E408" s="510" t="s">
        <v>139</v>
      </c>
      <c r="F408" s="415"/>
      <c r="G408" s="415"/>
      <c r="H408" s="415"/>
      <c r="I408" s="415"/>
      <c r="J408" s="415"/>
      <c r="K408" s="415"/>
      <c r="L408" s="415"/>
      <c r="M408" s="415"/>
      <c r="N408" s="415"/>
      <c r="O408" s="415"/>
      <c r="P408" s="503"/>
      <c r="Q408" s="503"/>
      <c r="R408" s="503"/>
      <c r="S408" s="503"/>
      <c r="T408" s="503"/>
      <c r="U408" s="503"/>
      <c r="V408" s="503"/>
      <c r="Z408" s="504"/>
      <c r="AA408" s="504" t="str">
        <f>IF(AND(F410=G410,H410=I410,F410="A"),"2016 - kwh","")</f>
        <v/>
      </c>
      <c r="AB408" s="504" t="str">
        <f>IF(OR(B408="2017 - kwh",B408="2018 - kwh"),"2016 - kwh","")</f>
        <v/>
      </c>
      <c r="AC408" s="504"/>
      <c r="AD408" s="504"/>
      <c r="AE408" s="504"/>
    </row>
    <row r="409" spans="1:31" hidden="1" x14ac:dyDescent="0.35">
      <c r="A409" s="503" t="str">
        <f>IF(AND(F410=G410,H410=I410,J410=K410,F410="A"),"2016 - kw",IF(AND(F410=G410,H410=I410,J410&lt;&gt;K410,F410="A"),"2017 - kw",IF(AND(F410=G410,H410&lt;&gt;I410,F410="A"),"2018 - kw","N/A")))</f>
        <v>N/A</v>
      </c>
      <c r="B409" s="503" t="str">
        <f>IF(F410&lt;&gt;G410,"2018 - kw",IF(H410&lt;&gt;I410,"2017 - kw",IF(J410&lt;&gt;K410,"2016 - kw","N/A")))</f>
        <v>N/A</v>
      </c>
      <c r="C409" s="511"/>
      <c r="D409" s="512" t="str">
        <f>D408 &amp; "kW"</f>
        <v>kW</v>
      </c>
      <c r="E409" s="513" t="s">
        <v>170</v>
      </c>
      <c r="F409" s="415"/>
      <c r="G409" s="415"/>
      <c r="H409" s="415"/>
      <c r="I409" s="415"/>
      <c r="J409" s="415"/>
      <c r="K409" s="415"/>
      <c r="L409" s="415"/>
      <c r="M409" s="415"/>
      <c r="N409" s="415"/>
      <c r="O409" s="415"/>
      <c r="P409" s="503"/>
      <c r="Q409" s="503"/>
      <c r="R409" s="503"/>
      <c r="S409" s="503"/>
      <c r="T409" s="503"/>
      <c r="U409" s="503"/>
      <c r="V409" s="503"/>
      <c r="Z409" s="504"/>
      <c r="AA409" s="504" t="str">
        <f>IF(AND(F410=G410,H410=I410,F410="A"),"2016 - kw","")</f>
        <v/>
      </c>
      <c r="AB409" s="504" t="str">
        <f>IF(OR(B409="2017 - kw",B409="2018 - kw"),"2016 - kw","")</f>
        <v/>
      </c>
      <c r="AC409" s="504"/>
      <c r="AD409" s="504"/>
      <c r="AE409" s="504"/>
    </row>
    <row r="410" spans="1:31" hidden="1" x14ac:dyDescent="0.35">
      <c r="A410" s="503"/>
      <c r="B410" s="503"/>
      <c r="C410" s="514"/>
      <c r="D410" s="515"/>
      <c r="E410" s="516" t="s">
        <v>210</v>
      </c>
      <c r="F410" s="502"/>
      <c r="G410" s="502"/>
      <c r="H410" s="502"/>
      <c r="I410" s="502"/>
      <c r="J410" s="502"/>
      <c r="K410" s="502"/>
      <c r="L410" s="502"/>
      <c r="M410" s="502"/>
      <c r="N410" s="502"/>
      <c r="O410" s="502"/>
      <c r="P410" s="503"/>
      <c r="Q410" s="503"/>
      <c r="R410" s="503"/>
      <c r="S410" s="503"/>
      <c r="T410" s="503"/>
      <c r="U410" s="503"/>
      <c r="V410" s="503"/>
      <c r="Z410" s="504"/>
      <c r="AA410" s="504"/>
      <c r="AB410" s="504"/>
      <c r="AC410" s="504"/>
      <c r="AD410" s="504"/>
      <c r="AE410" s="504"/>
    </row>
    <row r="411" spans="1:31" hidden="1" x14ac:dyDescent="0.35">
      <c r="A411" s="503" t="str">
        <f>IF(AND(F413=G413,H413=I413,J413=K413,F413="A"),"2016 - kwh",IF(AND(F413=G413,H413=I413,J413&lt;&gt;K413,F413="A"),"2017 - kwh",IF(AND(F413=G413,H413&lt;&gt;I413,F413="A"),"2018 - kwh","N/A")))</f>
        <v>N/A</v>
      </c>
      <c r="B411" s="503" t="str">
        <f>IF(F413&lt;&gt;G413,"2018 - kwh",IF(H413&lt;&gt;I413,"2017 - kwh",IF(J413&lt;&gt;K413,"2016 - kwh","N/A")))</f>
        <v>N/A</v>
      </c>
      <c r="C411" s="508" t="s">
        <v>336</v>
      </c>
      <c r="D411" s="509"/>
      <c r="E411" s="510" t="s">
        <v>139</v>
      </c>
      <c r="F411" s="415"/>
      <c r="G411" s="415"/>
      <c r="H411" s="415"/>
      <c r="I411" s="415"/>
      <c r="J411" s="415"/>
      <c r="K411" s="415"/>
      <c r="L411" s="415"/>
      <c r="M411" s="415"/>
      <c r="N411" s="415"/>
      <c r="O411" s="415"/>
      <c r="P411" s="503"/>
      <c r="Q411" s="503"/>
      <c r="R411" s="503"/>
      <c r="S411" s="503"/>
      <c r="T411" s="503"/>
      <c r="U411" s="503"/>
      <c r="V411" s="503"/>
      <c r="Z411" s="504"/>
      <c r="AA411" s="504" t="str">
        <f>IF(AND(F413=G413,H413=I413,F413="A"),"2016 - kwh","")</f>
        <v/>
      </c>
      <c r="AB411" s="504" t="str">
        <f>IF(OR(B411="2017 - kwh",B411="2018 - kwh"),"2016 - kwh","")</f>
        <v/>
      </c>
      <c r="AC411" s="504"/>
      <c r="AD411" s="504"/>
      <c r="AE411" s="504"/>
    </row>
    <row r="412" spans="1:31" hidden="1" x14ac:dyDescent="0.35">
      <c r="A412" s="503" t="str">
        <f>IF(AND(F413=G413,H413=I413,J413=K413,F413="A"),"2016 - kw",IF(AND(F413=G413,H413=I413,J413&lt;&gt;K413,F413="A"),"2017 - kw",IF(AND(F413=G413,H413&lt;&gt;I413,F413="A"),"2018 - kw","N/A")))</f>
        <v>N/A</v>
      </c>
      <c r="B412" s="503" t="str">
        <f>IF(F413&lt;&gt;G413,"2018 - kw",IF(H413&lt;&gt;I413,"2017 - kw",IF(J413&lt;&gt;K413,"2016 - kw","N/A")))</f>
        <v>N/A</v>
      </c>
      <c r="C412" s="511"/>
      <c r="D412" s="512" t="str">
        <f>D411 &amp; "kW"</f>
        <v>kW</v>
      </c>
      <c r="E412" s="513" t="s">
        <v>170</v>
      </c>
      <c r="F412" s="415"/>
      <c r="G412" s="415"/>
      <c r="H412" s="415"/>
      <c r="I412" s="415"/>
      <c r="J412" s="415"/>
      <c r="K412" s="415"/>
      <c r="L412" s="415"/>
      <c r="M412" s="415"/>
      <c r="N412" s="415"/>
      <c r="O412" s="415"/>
      <c r="P412" s="503"/>
      <c r="Q412" s="503"/>
      <c r="R412" s="503"/>
      <c r="S412" s="503"/>
      <c r="T412" s="503"/>
      <c r="U412" s="503"/>
      <c r="V412" s="503"/>
      <c r="Z412" s="504"/>
      <c r="AA412" s="504" t="str">
        <f>IF(AND(F413=G413,H413=I413,F413="A"),"2016 - kw","")</f>
        <v/>
      </c>
      <c r="AB412" s="504" t="str">
        <f>IF(OR(B412="2017 - kw",B412="2018 - kw"),"2016 - kw","")</f>
        <v/>
      </c>
      <c r="AC412" s="504"/>
      <c r="AD412" s="504"/>
      <c r="AE412" s="504"/>
    </row>
    <row r="413" spans="1:31" hidden="1" x14ac:dyDescent="0.35">
      <c r="A413" s="503"/>
      <c r="B413" s="503"/>
      <c r="C413" s="514"/>
      <c r="D413" s="515"/>
      <c r="E413" s="516" t="s">
        <v>210</v>
      </c>
      <c r="F413" s="502"/>
      <c r="G413" s="502"/>
      <c r="H413" s="502"/>
      <c r="I413" s="502"/>
      <c r="J413" s="502"/>
      <c r="K413" s="502"/>
      <c r="L413" s="502"/>
      <c r="M413" s="502"/>
      <c r="N413" s="502"/>
      <c r="O413" s="502"/>
      <c r="P413" s="503"/>
      <c r="Q413" s="503"/>
      <c r="R413" s="503"/>
      <c r="S413" s="503"/>
      <c r="T413" s="503"/>
      <c r="U413" s="503"/>
      <c r="V413" s="503"/>
      <c r="Z413" s="504"/>
      <c r="AA413" s="504"/>
      <c r="AB413" s="504"/>
      <c r="AC413" s="504"/>
      <c r="AD413" s="504"/>
      <c r="AE413" s="504"/>
    </row>
    <row r="414" spans="1:31" hidden="1" x14ac:dyDescent="0.35">
      <c r="A414" s="503" t="str">
        <f>IF(AND(F416=G416,H416=I416,J416=K416,F416="A"),"2016 - kwh",IF(AND(F416=G416,H416=I416,J416&lt;&gt;K416,F416="A"),"2017 - kwh",IF(AND(F416=G416,H416&lt;&gt;I416,F416="A"),"2018 - kwh","N/A")))</f>
        <v>N/A</v>
      </c>
      <c r="B414" s="503" t="str">
        <f>IF(F416&lt;&gt;G416,"2018 - kwh",IF(H416&lt;&gt;I416,"2017 - kwh",IF(J416&lt;&gt;K416,"2016 - kwh","N/A")))</f>
        <v>N/A</v>
      </c>
      <c r="C414" s="508" t="s">
        <v>337</v>
      </c>
      <c r="D414" s="509"/>
      <c r="E414" s="510" t="s">
        <v>139</v>
      </c>
      <c r="F414" s="415"/>
      <c r="G414" s="415"/>
      <c r="H414" s="415"/>
      <c r="I414" s="415"/>
      <c r="J414" s="415"/>
      <c r="K414" s="415"/>
      <c r="L414" s="415"/>
      <c r="M414" s="415"/>
      <c r="N414" s="415"/>
      <c r="O414" s="415"/>
      <c r="P414" s="503"/>
      <c r="Q414" s="503"/>
      <c r="R414" s="503"/>
      <c r="S414" s="503"/>
      <c r="T414" s="503"/>
      <c r="U414" s="503"/>
      <c r="V414" s="503"/>
      <c r="Z414" s="504"/>
      <c r="AA414" s="504" t="str">
        <f>IF(AND(F416=G416,H416=I416,F416="A"),"2016 - kwh","")</f>
        <v/>
      </c>
      <c r="AB414" s="504" t="str">
        <f>IF(OR(B414="2017 - kwh",B414="2018 - kwh"),"2016 - kwh","")</f>
        <v/>
      </c>
      <c r="AC414" s="504"/>
      <c r="AD414" s="504"/>
      <c r="AE414" s="504"/>
    </row>
    <row r="415" spans="1:31" hidden="1" x14ac:dyDescent="0.35">
      <c r="A415" s="503" t="str">
        <f>IF(AND(F416=G416,H416=I416,J416=K416,F416="A"),"2016 - kw",IF(AND(F416=G416,H416=I416,J416&lt;&gt;K416,F416="A"),"2017 - kw",IF(AND(F416=G416,H416&lt;&gt;I416,F416="A"),"2018 - kw","N/A")))</f>
        <v>N/A</v>
      </c>
      <c r="B415" s="503" t="str">
        <f>IF(F416&lt;&gt;G416,"2018 - kw",IF(H416&lt;&gt;I416,"2017 - kw",IF(J416&lt;&gt;K416,"2016 - kw","N/A")))</f>
        <v>N/A</v>
      </c>
      <c r="C415" s="511"/>
      <c r="D415" s="512" t="str">
        <f>D414 &amp; "kW"</f>
        <v>kW</v>
      </c>
      <c r="E415" s="513" t="s">
        <v>170</v>
      </c>
      <c r="F415" s="415"/>
      <c r="G415" s="415"/>
      <c r="H415" s="415"/>
      <c r="I415" s="415"/>
      <c r="J415" s="415"/>
      <c r="K415" s="415"/>
      <c r="L415" s="415"/>
      <c r="M415" s="415"/>
      <c r="N415" s="415"/>
      <c r="O415" s="415"/>
      <c r="P415" s="503"/>
      <c r="Q415" s="503"/>
      <c r="R415" s="503"/>
      <c r="S415" s="503"/>
      <c r="T415" s="503"/>
      <c r="U415" s="503"/>
      <c r="V415" s="503"/>
      <c r="Z415" s="504"/>
      <c r="AA415" s="504" t="str">
        <f>IF(AND(F416=G416,H416=I416,F416="A"),"2016 - kw","")</f>
        <v/>
      </c>
      <c r="AB415" s="504" t="str">
        <f>IF(OR(B415="2017 - kw",B415="2018 - kw"),"2016 - kw","")</f>
        <v/>
      </c>
      <c r="AC415" s="504"/>
      <c r="AD415" s="504"/>
      <c r="AE415" s="504"/>
    </row>
    <row r="416" spans="1:31" hidden="1" x14ac:dyDescent="0.35">
      <c r="A416" s="503"/>
      <c r="B416" s="503"/>
      <c r="C416" s="514"/>
      <c r="D416" s="515"/>
      <c r="E416" s="516" t="s">
        <v>210</v>
      </c>
      <c r="F416" s="502"/>
      <c r="G416" s="502"/>
      <c r="H416" s="502"/>
      <c r="I416" s="502"/>
      <c r="J416" s="502"/>
      <c r="K416" s="502"/>
      <c r="L416" s="502"/>
      <c r="M416" s="502"/>
      <c r="N416" s="502"/>
      <c r="O416" s="502"/>
      <c r="P416" s="503"/>
      <c r="Q416" s="503"/>
      <c r="R416" s="503"/>
      <c r="S416" s="503"/>
      <c r="T416" s="503"/>
      <c r="U416" s="503"/>
      <c r="V416" s="503"/>
      <c r="Z416" s="504"/>
      <c r="AA416" s="504"/>
      <c r="AB416" s="504"/>
      <c r="AC416" s="504"/>
      <c r="AD416" s="504"/>
      <c r="AE416" s="504"/>
    </row>
    <row r="417" spans="1:31" hidden="1" x14ac:dyDescent="0.35">
      <c r="A417" s="503" t="str">
        <f>IF(AND(F419=G419,H419=I419,J419=K419,F419="A"),"2016 - kwh",IF(AND(F419=G419,H419=I419,J419&lt;&gt;K419,F419="A"),"2017 - kwh",IF(AND(F419=G419,H419&lt;&gt;I419,F419="A"),"2018 - kwh","N/A")))</f>
        <v>N/A</v>
      </c>
      <c r="B417" s="503" t="str">
        <f>IF(F419&lt;&gt;G419,"2018 - kwh",IF(H419&lt;&gt;I419,"2017 - kwh",IF(J419&lt;&gt;K419,"2016 - kwh","N/A")))</f>
        <v>N/A</v>
      </c>
      <c r="C417" s="508" t="s">
        <v>338</v>
      </c>
      <c r="D417" s="509"/>
      <c r="E417" s="510" t="s">
        <v>139</v>
      </c>
      <c r="F417" s="415"/>
      <c r="G417" s="415"/>
      <c r="H417" s="415"/>
      <c r="I417" s="415"/>
      <c r="J417" s="415"/>
      <c r="K417" s="415"/>
      <c r="L417" s="415"/>
      <c r="M417" s="415"/>
      <c r="N417" s="415"/>
      <c r="O417" s="415"/>
      <c r="P417" s="503"/>
      <c r="Q417" s="503"/>
      <c r="R417" s="503"/>
      <c r="S417" s="503"/>
      <c r="T417" s="503"/>
      <c r="U417" s="503"/>
      <c r="V417" s="503"/>
      <c r="Z417" s="504"/>
      <c r="AA417" s="504" t="str">
        <f>IF(AND(F419=G419,H419=I419,F419="A"),"2016 - kwh","")</f>
        <v/>
      </c>
      <c r="AB417" s="504" t="str">
        <f>IF(OR(B417="2017 - kwh",B417="2018 - kwh"),"2016 - kwh","")</f>
        <v/>
      </c>
      <c r="AC417" s="504"/>
      <c r="AD417" s="504"/>
      <c r="AE417" s="504"/>
    </row>
    <row r="418" spans="1:31" hidden="1" x14ac:dyDescent="0.35">
      <c r="A418" s="503" t="str">
        <f>IF(AND(F419=G419,H419=I419,J419=K419,F419="A"),"2016 - kw",IF(AND(F419=G419,H419=I419,J419&lt;&gt;K419,F419="A"),"2017 - kw",IF(AND(F419=G419,H419&lt;&gt;I419,F419="A"),"2018 - kw","N/A")))</f>
        <v>N/A</v>
      </c>
      <c r="B418" s="503" t="str">
        <f>IF(F419&lt;&gt;G419,"2018 - kw",IF(H419&lt;&gt;I419,"2017 - kw",IF(J419&lt;&gt;K419,"2016 - kw","N/A")))</f>
        <v>N/A</v>
      </c>
      <c r="C418" s="511"/>
      <c r="D418" s="512" t="str">
        <f>D417 &amp; "kW"</f>
        <v>kW</v>
      </c>
      <c r="E418" s="513" t="s">
        <v>170</v>
      </c>
      <c r="F418" s="415"/>
      <c r="G418" s="415"/>
      <c r="H418" s="415"/>
      <c r="I418" s="415"/>
      <c r="J418" s="415"/>
      <c r="K418" s="415"/>
      <c r="L418" s="415"/>
      <c r="M418" s="415"/>
      <c r="N418" s="415"/>
      <c r="O418" s="415"/>
      <c r="P418" s="503"/>
      <c r="Q418" s="503"/>
      <c r="R418" s="503"/>
      <c r="S418" s="503"/>
      <c r="T418" s="503"/>
      <c r="U418" s="503"/>
      <c r="V418" s="503"/>
      <c r="Z418" s="504"/>
      <c r="AA418" s="504" t="str">
        <f>IF(AND(F419=G419,H419=I419,F419="A"),"2016 - kw","")</f>
        <v/>
      </c>
      <c r="AB418" s="504" t="str">
        <f>IF(OR(B418="2017 - kw",B418="2018 - kw"),"2016 - kw","")</f>
        <v/>
      </c>
      <c r="AC418" s="504"/>
      <c r="AD418" s="504"/>
      <c r="AE418" s="504"/>
    </row>
    <row r="419" spans="1:31" hidden="1" x14ac:dyDescent="0.35">
      <c r="A419" s="503"/>
      <c r="B419" s="503"/>
      <c r="C419" s="514"/>
      <c r="D419" s="515"/>
      <c r="E419" s="516" t="s">
        <v>210</v>
      </c>
      <c r="F419" s="502"/>
      <c r="G419" s="502"/>
      <c r="H419" s="502"/>
      <c r="I419" s="502"/>
      <c r="J419" s="502"/>
      <c r="K419" s="502"/>
      <c r="L419" s="502"/>
      <c r="M419" s="502"/>
      <c r="N419" s="502"/>
      <c r="O419" s="502"/>
      <c r="P419" s="503"/>
      <c r="Q419" s="503"/>
      <c r="R419" s="503"/>
      <c r="S419" s="503"/>
      <c r="T419" s="503"/>
      <c r="U419" s="503"/>
      <c r="V419" s="503"/>
      <c r="Z419" s="504"/>
      <c r="AA419" s="504"/>
      <c r="AB419" s="504"/>
      <c r="AC419" s="504"/>
      <c r="AD419" s="504"/>
      <c r="AE419" s="504"/>
    </row>
    <row r="420" spans="1:31" hidden="1" x14ac:dyDescent="0.35">
      <c r="A420" s="503" t="str">
        <f>IF(AND(F422=G422,H422=I422,J422=K422,F422="A"),"2016 - kwh",IF(AND(F422=G422,H422=I422,J422&lt;&gt;K422,F422="A"),"2017 - kwh",IF(AND(F422=G422,H422&lt;&gt;I422,F422="A"),"2018 - kwh","N/A")))</f>
        <v>N/A</v>
      </c>
      <c r="B420" s="503" t="str">
        <f>IF(F422&lt;&gt;G422,"2018 - kwh",IF(H422&lt;&gt;I422,"2017 - kwh",IF(J422&lt;&gt;K422,"2016 - kwh","N/A")))</f>
        <v>N/A</v>
      </c>
      <c r="C420" s="508" t="s">
        <v>339</v>
      </c>
      <c r="D420" s="509"/>
      <c r="E420" s="510" t="s">
        <v>139</v>
      </c>
      <c r="F420" s="415"/>
      <c r="G420" s="415"/>
      <c r="H420" s="415"/>
      <c r="I420" s="415"/>
      <c r="J420" s="415"/>
      <c r="K420" s="415"/>
      <c r="L420" s="415"/>
      <c r="M420" s="415"/>
      <c r="N420" s="415"/>
      <c r="O420" s="415"/>
      <c r="P420" s="503"/>
      <c r="Q420" s="503"/>
      <c r="R420" s="503"/>
      <c r="S420" s="503"/>
      <c r="T420" s="503"/>
      <c r="U420" s="503"/>
      <c r="V420" s="503"/>
      <c r="Z420" s="504"/>
      <c r="AA420" s="504" t="str">
        <f>IF(AND(F422=G422,H422=I422,F422="A"),"2016 - kwh","")</f>
        <v/>
      </c>
      <c r="AB420" s="504" t="str">
        <f>IF(OR(B420="2017 - kwh",B420="2018 - kwh"),"2016 - kwh","")</f>
        <v/>
      </c>
      <c r="AC420" s="504"/>
      <c r="AD420" s="504"/>
      <c r="AE420" s="504"/>
    </row>
    <row r="421" spans="1:31" hidden="1" x14ac:dyDescent="0.35">
      <c r="A421" s="503" t="str">
        <f>IF(AND(F422=G422,H422=I422,J422=K422,F422="A"),"2016 - kw",IF(AND(F422=G422,H422=I422,J422&lt;&gt;K422,F422="A"),"2017 - kw",IF(AND(F422=G422,H422&lt;&gt;I422,F422="A"),"2018 - kw","N/A")))</f>
        <v>N/A</v>
      </c>
      <c r="B421" s="503" t="str">
        <f>IF(F422&lt;&gt;G422,"2018 - kw",IF(H422&lt;&gt;I422,"2017 - kw",IF(J422&lt;&gt;K422,"2016 - kw","N/A")))</f>
        <v>N/A</v>
      </c>
      <c r="C421" s="511"/>
      <c r="D421" s="512" t="str">
        <f>D420 &amp; "kW"</f>
        <v>kW</v>
      </c>
      <c r="E421" s="513" t="s">
        <v>170</v>
      </c>
      <c r="F421" s="415"/>
      <c r="G421" s="415"/>
      <c r="H421" s="415"/>
      <c r="I421" s="415"/>
      <c r="J421" s="415"/>
      <c r="K421" s="415"/>
      <c r="L421" s="415"/>
      <c r="M421" s="415"/>
      <c r="N421" s="415"/>
      <c r="O421" s="415"/>
      <c r="P421" s="503"/>
      <c r="Q421" s="503"/>
      <c r="R421" s="503"/>
      <c r="S421" s="503"/>
      <c r="T421" s="503"/>
      <c r="U421" s="503"/>
      <c r="V421" s="503"/>
      <c r="Z421" s="504"/>
      <c r="AA421" s="504" t="str">
        <f>IF(AND(F422=G422,H422=I422,F422="A"),"2016 - kw","")</f>
        <v/>
      </c>
      <c r="AB421" s="504" t="str">
        <f>IF(OR(B421="2017 - kw",B421="2018 - kw"),"2016 - kw","")</f>
        <v/>
      </c>
      <c r="AC421" s="504"/>
      <c r="AD421" s="504"/>
      <c r="AE421" s="504"/>
    </row>
    <row r="422" spans="1:31" hidden="1" x14ac:dyDescent="0.35">
      <c r="A422" s="503"/>
      <c r="B422" s="503"/>
      <c r="C422" s="514"/>
      <c r="D422" s="515"/>
      <c r="E422" s="516" t="s">
        <v>210</v>
      </c>
      <c r="F422" s="502"/>
      <c r="G422" s="502"/>
      <c r="H422" s="502"/>
      <c r="I422" s="502"/>
      <c r="J422" s="502"/>
      <c r="K422" s="502"/>
      <c r="L422" s="502"/>
      <c r="M422" s="502"/>
      <c r="N422" s="502"/>
      <c r="O422" s="502"/>
      <c r="P422" s="503"/>
      <c r="Q422" s="503"/>
      <c r="R422" s="503"/>
      <c r="S422" s="503"/>
      <c r="T422" s="503"/>
      <c r="U422" s="503"/>
      <c r="V422" s="503"/>
      <c r="Z422" s="504"/>
      <c r="AA422" s="504"/>
      <c r="AB422" s="504"/>
      <c r="AC422" s="504"/>
      <c r="AD422" s="504"/>
      <c r="AE422" s="504"/>
    </row>
    <row r="423" spans="1:31" hidden="1" x14ac:dyDescent="0.35">
      <c r="A423" s="503" t="str">
        <f>IF(AND(F425=G425,H425=I425,J425=K425,F425="A"),"2016 - kwh",IF(AND(F425=G425,H425=I425,J425&lt;&gt;K425,F425="A"),"2017 - kwh",IF(AND(F425=G425,H425&lt;&gt;I425,F425="A"),"2018 - kwh","N/A")))</f>
        <v>N/A</v>
      </c>
      <c r="B423" s="503" t="str">
        <f>IF(F425&lt;&gt;G425,"2018 - kwh",IF(H425&lt;&gt;I425,"2017 - kwh",IF(J425&lt;&gt;K425,"2016 - kwh","N/A")))</f>
        <v>N/A</v>
      </c>
      <c r="C423" s="508" t="s">
        <v>340</v>
      </c>
      <c r="D423" s="509"/>
      <c r="E423" s="510" t="s">
        <v>139</v>
      </c>
      <c r="F423" s="415"/>
      <c r="G423" s="415"/>
      <c r="H423" s="415"/>
      <c r="I423" s="415"/>
      <c r="J423" s="415"/>
      <c r="K423" s="415"/>
      <c r="L423" s="415"/>
      <c r="M423" s="415"/>
      <c r="N423" s="415"/>
      <c r="O423" s="415"/>
      <c r="P423" s="503"/>
      <c r="Q423" s="503"/>
      <c r="R423" s="503"/>
      <c r="S423" s="503"/>
      <c r="T423" s="503"/>
      <c r="U423" s="503"/>
      <c r="V423" s="503"/>
      <c r="Z423" s="504"/>
      <c r="AA423" s="504" t="str">
        <f>IF(AND(F425=G425,H425=I425,F425="A"),"2016 - kwh","")</f>
        <v/>
      </c>
      <c r="AB423" s="504" t="str">
        <f>IF(OR(B423="2017 - kwh",B423="2018 - kwh"),"2016 - kwh","")</f>
        <v/>
      </c>
      <c r="AC423" s="504"/>
      <c r="AD423" s="504"/>
      <c r="AE423" s="504"/>
    </row>
    <row r="424" spans="1:31" hidden="1" x14ac:dyDescent="0.35">
      <c r="A424" s="503" t="str">
        <f>IF(AND(F425=G425,H425=I425,J425=K425,F425="A"),"2016 - kw",IF(AND(F425=G425,H425=I425,J425&lt;&gt;K425,F425="A"),"2017 - kw",IF(AND(F425=G425,H425&lt;&gt;I425,F425="A"),"2018 - kw","N/A")))</f>
        <v>N/A</v>
      </c>
      <c r="B424" s="503" t="str">
        <f>IF(F425&lt;&gt;G425,"2018 - kw",IF(H425&lt;&gt;I425,"2017 - kw",IF(J425&lt;&gt;K425,"2016 - kw","N/A")))</f>
        <v>N/A</v>
      </c>
      <c r="C424" s="511"/>
      <c r="D424" s="512" t="str">
        <f>D423 &amp; "kW"</f>
        <v>kW</v>
      </c>
      <c r="E424" s="513" t="s">
        <v>170</v>
      </c>
      <c r="F424" s="415"/>
      <c r="G424" s="415"/>
      <c r="H424" s="415"/>
      <c r="I424" s="415"/>
      <c r="J424" s="415"/>
      <c r="K424" s="415"/>
      <c r="L424" s="415"/>
      <c r="M424" s="415"/>
      <c r="N424" s="415"/>
      <c r="O424" s="415"/>
      <c r="P424" s="503"/>
      <c r="Q424" s="503"/>
      <c r="R424" s="503"/>
      <c r="S424" s="503"/>
      <c r="T424" s="503"/>
      <c r="U424" s="503"/>
      <c r="V424" s="503"/>
      <c r="Z424" s="504"/>
      <c r="AA424" s="504" t="str">
        <f>IF(AND(F425=G425,H425=I425,F425="A"),"2016 - kw","")</f>
        <v/>
      </c>
      <c r="AB424" s="504" t="str">
        <f>IF(OR(B424="2017 - kw",B424="2018 - kw"),"2016 - kw","")</f>
        <v/>
      </c>
      <c r="AC424" s="504"/>
      <c r="AD424" s="504"/>
      <c r="AE424" s="504"/>
    </row>
    <row r="425" spans="1:31" hidden="1" x14ac:dyDescent="0.35">
      <c r="A425" s="503"/>
      <c r="B425" s="503"/>
      <c r="C425" s="514"/>
      <c r="D425" s="515"/>
      <c r="E425" s="516" t="s">
        <v>210</v>
      </c>
      <c r="F425" s="502"/>
      <c r="G425" s="502"/>
      <c r="H425" s="502"/>
      <c r="I425" s="502"/>
      <c r="J425" s="502"/>
      <c r="K425" s="502"/>
      <c r="L425" s="502"/>
      <c r="M425" s="502"/>
      <c r="N425" s="502"/>
      <c r="O425" s="502"/>
      <c r="P425" s="503"/>
      <c r="Q425" s="503"/>
      <c r="R425" s="503"/>
      <c r="S425" s="503"/>
      <c r="T425" s="503"/>
      <c r="U425" s="503"/>
      <c r="V425" s="503"/>
      <c r="Z425" s="504"/>
      <c r="AA425" s="504"/>
      <c r="AB425" s="504"/>
      <c r="AC425" s="504"/>
      <c r="AD425" s="504"/>
      <c r="AE425" s="504"/>
    </row>
    <row r="426" spans="1:31" hidden="1" x14ac:dyDescent="0.35">
      <c r="A426" s="503" t="str">
        <f>IF(AND(F428=G428,H428=I428,J428=K428,F428="A"),"2016 - kwh",IF(AND(F428=G428,H428=I428,J428&lt;&gt;K428,F428="A"),"2017 - kwh",IF(AND(F428=G428,H428&lt;&gt;I428,F428="A"),"2018 - kwh","N/A")))</f>
        <v>N/A</v>
      </c>
      <c r="B426" s="503" t="str">
        <f>IF(F428&lt;&gt;G428,"2018 - kwh",IF(H428&lt;&gt;I428,"2017 - kwh",IF(J428&lt;&gt;K428,"2016 - kwh","N/A")))</f>
        <v>N/A</v>
      </c>
      <c r="C426" s="508" t="s">
        <v>341</v>
      </c>
      <c r="D426" s="509"/>
      <c r="E426" s="510" t="s">
        <v>139</v>
      </c>
      <c r="F426" s="415"/>
      <c r="G426" s="415"/>
      <c r="H426" s="415"/>
      <c r="I426" s="415"/>
      <c r="J426" s="415"/>
      <c r="K426" s="415"/>
      <c r="L426" s="415"/>
      <c r="M426" s="415"/>
      <c r="N426" s="415"/>
      <c r="O426" s="415"/>
      <c r="P426" s="503"/>
      <c r="Q426" s="503"/>
      <c r="R426" s="503"/>
      <c r="S426" s="503"/>
      <c r="T426" s="503"/>
      <c r="U426" s="503"/>
      <c r="V426" s="503"/>
      <c r="Z426" s="504"/>
      <c r="AA426" s="504" t="str">
        <f>IF(AND(F428=G428,H428=I428,F428="A"),"2016 - kwh","")</f>
        <v/>
      </c>
      <c r="AB426" s="504" t="str">
        <f>IF(OR(B426="2017 - kwh",B426="2018 - kwh"),"2016 - kwh","")</f>
        <v/>
      </c>
      <c r="AC426" s="504"/>
      <c r="AD426" s="504"/>
      <c r="AE426" s="504"/>
    </row>
    <row r="427" spans="1:31" hidden="1" x14ac:dyDescent="0.35">
      <c r="A427" s="503" t="str">
        <f>IF(AND(F428=G428,H428=I428,J428=K428,F428="A"),"2016 - kw",IF(AND(F428=G428,H428=I428,J428&lt;&gt;K428,F428="A"),"2017 - kw",IF(AND(F428=G428,H428&lt;&gt;I428,F428="A"),"2018 - kw","N/A")))</f>
        <v>N/A</v>
      </c>
      <c r="B427" s="503" t="str">
        <f>IF(F428&lt;&gt;G428,"2018 - kw",IF(H428&lt;&gt;I428,"2017 - kw",IF(J428&lt;&gt;K428,"2016 - kw","N/A")))</f>
        <v>N/A</v>
      </c>
      <c r="C427" s="511"/>
      <c r="D427" s="512" t="str">
        <f>D426 &amp; "kW"</f>
        <v>kW</v>
      </c>
      <c r="E427" s="513" t="s">
        <v>170</v>
      </c>
      <c r="F427" s="415"/>
      <c r="G427" s="415"/>
      <c r="H427" s="415"/>
      <c r="I427" s="415"/>
      <c r="J427" s="415"/>
      <c r="K427" s="415"/>
      <c r="L427" s="415"/>
      <c r="M427" s="415"/>
      <c r="N427" s="415"/>
      <c r="O427" s="415"/>
      <c r="P427" s="503"/>
      <c r="Q427" s="503"/>
      <c r="R427" s="503"/>
      <c r="S427" s="503"/>
      <c r="T427" s="503"/>
      <c r="U427" s="503"/>
      <c r="V427" s="503"/>
      <c r="Z427" s="504"/>
      <c r="AA427" s="504" t="str">
        <f>IF(AND(F428=G428,H428=I428,F428="A"),"2016 - kw","")</f>
        <v/>
      </c>
      <c r="AB427" s="504" t="str">
        <f>IF(OR(B427="2017 - kw",B427="2018 - kw"),"2016 - kw","")</f>
        <v/>
      </c>
      <c r="AC427" s="504"/>
      <c r="AD427" s="504"/>
      <c r="AE427" s="504"/>
    </row>
    <row r="428" spans="1:31" hidden="1" x14ac:dyDescent="0.35">
      <c r="A428" s="503"/>
      <c r="B428" s="503"/>
      <c r="C428" s="514"/>
      <c r="D428" s="515"/>
      <c r="E428" s="516" t="s">
        <v>210</v>
      </c>
      <c r="F428" s="502"/>
      <c r="G428" s="502"/>
      <c r="H428" s="502"/>
      <c r="I428" s="502"/>
      <c r="J428" s="502"/>
      <c r="K428" s="502"/>
      <c r="L428" s="502"/>
      <c r="M428" s="502"/>
      <c r="N428" s="502"/>
      <c r="O428" s="502"/>
      <c r="P428" s="503"/>
      <c r="Q428" s="503"/>
      <c r="R428" s="503"/>
      <c r="S428" s="503"/>
      <c r="T428" s="503"/>
      <c r="U428" s="503"/>
      <c r="V428" s="503"/>
      <c r="Z428" s="504"/>
      <c r="AA428" s="504"/>
      <c r="AB428" s="504"/>
      <c r="AC428" s="504"/>
      <c r="AD428" s="504"/>
      <c r="AE428" s="504"/>
    </row>
    <row r="429" spans="1:31" hidden="1" x14ac:dyDescent="0.35">
      <c r="A429" s="503" t="str">
        <f>IF(AND(F431=G431,H431=I431,J431=K431,F431="A"),"2016 - kwh",IF(AND(F431=G431,H431=I431,J431&lt;&gt;K431,F431="A"),"2017 - kwh",IF(AND(F431=G431,H431&lt;&gt;I431,F431="A"),"2018 - kwh","N/A")))</f>
        <v>N/A</v>
      </c>
      <c r="B429" s="503" t="str">
        <f>IF(F431&lt;&gt;G431,"2018 - kwh",IF(H431&lt;&gt;I431,"2017 - kwh",IF(J431&lt;&gt;K431,"2016 - kwh","N/A")))</f>
        <v>N/A</v>
      </c>
      <c r="C429" s="508" t="s">
        <v>342</v>
      </c>
      <c r="D429" s="509"/>
      <c r="E429" s="510" t="s">
        <v>139</v>
      </c>
      <c r="F429" s="415"/>
      <c r="G429" s="415"/>
      <c r="H429" s="415"/>
      <c r="I429" s="415"/>
      <c r="J429" s="415"/>
      <c r="K429" s="415"/>
      <c r="L429" s="415"/>
      <c r="M429" s="415"/>
      <c r="N429" s="415"/>
      <c r="O429" s="415"/>
      <c r="P429" s="503"/>
      <c r="Q429" s="503"/>
      <c r="R429" s="503"/>
      <c r="S429" s="503"/>
      <c r="T429" s="503"/>
      <c r="U429" s="503"/>
      <c r="V429" s="503"/>
      <c r="Z429" s="504"/>
      <c r="AA429" s="504" t="str">
        <f>IF(AND(F431=G431,H431=I431,F431="A"),"2016 - kwh","")</f>
        <v/>
      </c>
      <c r="AB429" s="504" t="str">
        <f>IF(OR(B429="2017 - kwh",B429="2018 - kwh"),"2016 - kwh","")</f>
        <v/>
      </c>
      <c r="AC429" s="504"/>
      <c r="AD429" s="504"/>
      <c r="AE429" s="504"/>
    </row>
    <row r="430" spans="1:31" hidden="1" x14ac:dyDescent="0.35">
      <c r="A430" s="503" t="str">
        <f>IF(AND(F431=G431,H431=I431,J431=K431,F431="A"),"2016 - kw",IF(AND(F431=G431,H431=I431,J431&lt;&gt;K431,F431="A"),"2017 - kw",IF(AND(F431=G431,H431&lt;&gt;I431,F431="A"),"2018 - kw","N/A")))</f>
        <v>N/A</v>
      </c>
      <c r="B430" s="503" t="str">
        <f>IF(F431&lt;&gt;G431,"2018 - kw",IF(H431&lt;&gt;I431,"2017 - kw",IF(J431&lt;&gt;K431,"2016 - kw","N/A")))</f>
        <v>N/A</v>
      </c>
      <c r="C430" s="511"/>
      <c r="D430" s="512" t="str">
        <f>D429 &amp; "kW"</f>
        <v>kW</v>
      </c>
      <c r="E430" s="513" t="s">
        <v>170</v>
      </c>
      <c r="F430" s="415"/>
      <c r="G430" s="415"/>
      <c r="H430" s="415"/>
      <c r="I430" s="415"/>
      <c r="J430" s="415"/>
      <c r="K430" s="415"/>
      <c r="L430" s="415"/>
      <c r="M430" s="415"/>
      <c r="N430" s="415"/>
      <c r="O430" s="415"/>
      <c r="P430" s="503"/>
      <c r="Q430" s="503"/>
      <c r="R430" s="503"/>
      <c r="S430" s="503"/>
      <c r="T430" s="503"/>
      <c r="U430" s="503"/>
      <c r="V430" s="503"/>
      <c r="Z430" s="504"/>
      <c r="AA430" s="504" t="str">
        <f>IF(AND(F431=G431,H431=I431,F431="A"),"2016 - kw","")</f>
        <v/>
      </c>
      <c r="AB430" s="504" t="str">
        <f>IF(OR(B430="2017 - kw",B430="2018 - kw"),"2016 - kw","")</f>
        <v/>
      </c>
      <c r="AC430" s="504"/>
      <c r="AD430" s="504"/>
      <c r="AE430" s="504"/>
    </row>
    <row r="431" spans="1:31" hidden="1" x14ac:dyDescent="0.35">
      <c r="A431" s="503"/>
      <c r="B431" s="503"/>
      <c r="C431" s="514"/>
      <c r="D431" s="517"/>
      <c r="E431" s="516" t="s">
        <v>210</v>
      </c>
      <c r="F431" s="502"/>
      <c r="G431" s="502"/>
      <c r="H431" s="502"/>
      <c r="I431" s="502"/>
      <c r="J431" s="502"/>
      <c r="K431" s="502"/>
      <c r="L431" s="502"/>
      <c r="M431" s="502"/>
      <c r="N431" s="502"/>
      <c r="O431" s="502"/>
      <c r="P431" s="503"/>
      <c r="Q431" s="503"/>
      <c r="R431" s="503"/>
      <c r="S431" s="503"/>
      <c r="T431" s="503"/>
      <c r="U431" s="503"/>
      <c r="V431" s="503"/>
      <c r="Z431" s="504"/>
      <c r="AA431" s="504"/>
      <c r="AB431" s="504"/>
      <c r="AC431" s="504"/>
      <c r="AD431" s="504"/>
      <c r="AE431" s="504"/>
    </row>
    <row r="432" spans="1:31" hidden="1" x14ac:dyDescent="0.35">
      <c r="A432" s="503" t="str">
        <f>IF(AND(F434=G434,H434=I434,J434=K434,F434="A"),"2016 - kwh",IF(AND(F434=G434,H434=I434,J434&lt;&gt;K434,F434="A"),"2017 - kwh",IF(AND(F434=G434,H434&lt;&gt;I434,F434="A"),"2018 - kwh","N/A")))</f>
        <v>N/A</v>
      </c>
      <c r="B432" s="503" t="str">
        <f>IF(F434&lt;&gt;G434,"2018 - kwh",IF(H434&lt;&gt;I434,"2017 - kwh",IF(J434&lt;&gt;K434,"2016 - kwh","N/A")))</f>
        <v>N/A</v>
      </c>
      <c r="C432" s="508" t="s">
        <v>343</v>
      </c>
      <c r="D432" s="509"/>
      <c r="E432" s="510" t="s">
        <v>139</v>
      </c>
      <c r="F432" s="415"/>
      <c r="G432" s="415"/>
      <c r="H432" s="415"/>
      <c r="I432" s="415"/>
      <c r="J432" s="415"/>
      <c r="K432" s="415"/>
      <c r="L432" s="415"/>
      <c r="M432" s="415"/>
      <c r="N432" s="415"/>
      <c r="O432" s="415"/>
      <c r="P432" s="503"/>
      <c r="Q432" s="503"/>
      <c r="R432" s="503"/>
      <c r="S432" s="503"/>
      <c r="T432" s="503"/>
      <c r="U432" s="503"/>
      <c r="V432" s="503"/>
      <c r="Z432" s="504"/>
      <c r="AA432" s="504" t="str">
        <f>IF(AND(F434=G434,H434=I434,F434="A"),"2016 - kwh","")</f>
        <v/>
      </c>
      <c r="AB432" s="504" t="str">
        <f>IF(OR(B432="2017 - kwh",B432="2018 - kwh"),"2016 - kwh","")</f>
        <v/>
      </c>
      <c r="AC432" s="504"/>
      <c r="AD432" s="504"/>
      <c r="AE432" s="504"/>
    </row>
    <row r="433" spans="1:31" hidden="1" x14ac:dyDescent="0.35">
      <c r="A433" s="503" t="str">
        <f>IF(AND(F434=G434,H434=I434,J434=K434,F434="A"),"2016 - kw",IF(AND(F434=G434,H434=I434,J434&lt;&gt;K434,F434="A"),"2017 - kw",IF(AND(F434=G434,H434&lt;&gt;I434,F434="A"),"2018 - kw","N/A")))</f>
        <v>N/A</v>
      </c>
      <c r="B433" s="503" t="str">
        <f>IF(F434&lt;&gt;G434,"2018 - kw",IF(H434&lt;&gt;I434,"2017 - kw",IF(J434&lt;&gt;K434,"2016 - kw","N/A")))</f>
        <v>N/A</v>
      </c>
      <c r="C433" s="511"/>
      <c r="D433" s="512" t="str">
        <f>D432 &amp; "kW"</f>
        <v>kW</v>
      </c>
      <c r="E433" s="513" t="s">
        <v>170</v>
      </c>
      <c r="F433" s="415"/>
      <c r="G433" s="415"/>
      <c r="H433" s="415"/>
      <c r="I433" s="415"/>
      <c r="J433" s="415"/>
      <c r="K433" s="415"/>
      <c r="L433" s="415"/>
      <c r="M433" s="415"/>
      <c r="N433" s="415"/>
      <c r="O433" s="415"/>
      <c r="P433" s="503"/>
      <c r="Q433" s="503"/>
      <c r="R433" s="503"/>
      <c r="S433" s="503"/>
      <c r="T433" s="503"/>
      <c r="U433" s="503"/>
      <c r="V433" s="503"/>
      <c r="Z433" s="504"/>
      <c r="AA433" s="504" t="str">
        <f>IF(AND(F434=G434,H434=I434,F434="A"),"2016 - kw","")</f>
        <v/>
      </c>
      <c r="AB433" s="504" t="str">
        <f>IF(OR(B433="2017 - kw",B433="2018 - kw"),"2016 - kw","")</f>
        <v/>
      </c>
      <c r="AC433" s="504"/>
      <c r="AD433" s="504"/>
      <c r="AE433" s="504"/>
    </row>
    <row r="434" spans="1:31" hidden="1" x14ac:dyDescent="0.35">
      <c r="A434" s="503"/>
      <c r="B434" s="503"/>
      <c r="C434" s="514"/>
      <c r="D434" s="515"/>
      <c r="E434" s="516" t="s">
        <v>210</v>
      </c>
      <c r="F434" s="502"/>
      <c r="G434" s="502"/>
      <c r="H434" s="502"/>
      <c r="I434" s="502"/>
      <c r="J434" s="502"/>
      <c r="K434" s="502"/>
      <c r="L434" s="502"/>
      <c r="M434" s="502"/>
      <c r="N434" s="502"/>
      <c r="O434" s="502"/>
      <c r="P434" s="503"/>
      <c r="Q434" s="503"/>
      <c r="R434" s="503"/>
      <c r="S434" s="503"/>
      <c r="T434" s="503"/>
      <c r="U434" s="503"/>
      <c r="V434" s="503"/>
      <c r="Z434" s="504"/>
      <c r="AA434" s="504"/>
      <c r="AB434" s="504"/>
      <c r="AC434" s="504"/>
      <c r="AD434" s="504"/>
      <c r="AE434" s="504"/>
    </row>
    <row r="435" spans="1:31" hidden="1" x14ac:dyDescent="0.35">
      <c r="A435" s="503" t="str">
        <f>IF(AND(F437=G437,H437=I437,J437=K437,F437="A"),"2016 - kwh",IF(AND(F437=G437,H437=I437,J437&lt;&gt;K437,F437="A"),"2017 - kwh",IF(AND(F437=G437,H437&lt;&gt;I437,F437="A"),"2018 - kwh","N/A")))</f>
        <v>N/A</v>
      </c>
      <c r="B435" s="503" t="str">
        <f>IF(F437&lt;&gt;G437,"2018 - kwh",IF(H437&lt;&gt;I437,"2017 - kwh",IF(J437&lt;&gt;K437,"2016 - kwh","N/A")))</f>
        <v>N/A</v>
      </c>
      <c r="C435" s="508" t="s">
        <v>344</v>
      </c>
      <c r="D435" s="509"/>
      <c r="E435" s="510" t="s">
        <v>139</v>
      </c>
      <c r="F435" s="415"/>
      <c r="G435" s="415"/>
      <c r="H435" s="415"/>
      <c r="I435" s="415"/>
      <c r="J435" s="415"/>
      <c r="K435" s="415"/>
      <c r="L435" s="415"/>
      <c r="M435" s="415"/>
      <c r="N435" s="415"/>
      <c r="O435" s="415"/>
      <c r="P435" s="503"/>
      <c r="Q435" s="503"/>
      <c r="R435" s="503"/>
      <c r="S435" s="503"/>
      <c r="T435" s="503"/>
      <c r="U435" s="503"/>
      <c r="V435" s="503"/>
      <c r="Z435" s="504"/>
      <c r="AA435" s="504" t="str">
        <f>IF(AND(F437=G437,H437=I437,F437="A"),"2016 - kwh","")</f>
        <v/>
      </c>
      <c r="AB435" s="504" t="str">
        <f>IF(OR(B435="2017 - kwh",B435="2018 - kwh"),"2016 - kwh","")</f>
        <v/>
      </c>
      <c r="AC435" s="504"/>
      <c r="AD435" s="504"/>
      <c r="AE435" s="504"/>
    </row>
    <row r="436" spans="1:31" hidden="1" x14ac:dyDescent="0.35">
      <c r="A436" s="503" t="str">
        <f>IF(AND(F437=G437,H437=I437,J437=K437,F437="A"),"2016 - kw",IF(AND(F437=G437,H437=I437,J437&lt;&gt;K437,F437="A"),"2017 - kw",IF(AND(F437=G437,H437&lt;&gt;I437,F437="A"),"2018 - kw","N/A")))</f>
        <v>N/A</v>
      </c>
      <c r="B436" s="503" t="str">
        <f>IF(F437&lt;&gt;G437,"2018 - kw",IF(H437&lt;&gt;I437,"2017 - kw",IF(J437&lt;&gt;K437,"2016 - kw","N/A")))</f>
        <v>N/A</v>
      </c>
      <c r="C436" s="511"/>
      <c r="D436" s="512" t="str">
        <f>D435 &amp; "kW"</f>
        <v>kW</v>
      </c>
      <c r="E436" s="513" t="s">
        <v>170</v>
      </c>
      <c r="F436" s="415"/>
      <c r="G436" s="415"/>
      <c r="H436" s="415"/>
      <c r="I436" s="415"/>
      <c r="J436" s="415"/>
      <c r="K436" s="415"/>
      <c r="L436" s="415"/>
      <c r="M436" s="415"/>
      <c r="N436" s="415"/>
      <c r="O436" s="415"/>
      <c r="P436" s="503"/>
      <c r="Q436" s="503"/>
      <c r="R436" s="503"/>
      <c r="S436" s="503"/>
      <c r="T436" s="503"/>
      <c r="U436" s="503"/>
      <c r="V436" s="503"/>
      <c r="Z436" s="504"/>
      <c r="AA436" s="504" t="str">
        <f>IF(AND(F437=G437,H437=I437,F437="A"),"2016 - kw","")</f>
        <v/>
      </c>
      <c r="AB436" s="504" t="str">
        <f>IF(OR(B436="2017 - kw",B436="2018 - kw"),"2016 - kw","")</f>
        <v/>
      </c>
      <c r="AC436" s="504"/>
      <c r="AD436" s="504"/>
      <c r="AE436" s="504"/>
    </row>
    <row r="437" spans="1:31" hidden="1" x14ac:dyDescent="0.35">
      <c r="A437" s="503"/>
      <c r="B437" s="503"/>
      <c r="C437" s="514"/>
      <c r="D437" s="515"/>
      <c r="E437" s="516" t="s">
        <v>210</v>
      </c>
      <c r="F437" s="502"/>
      <c r="G437" s="502"/>
      <c r="H437" s="502"/>
      <c r="I437" s="502"/>
      <c r="J437" s="502"/>
      <c r="K437" s="502"/>
      <c r="L437" s="502"/>
      <c r="M437" s="502"/>
      <c r="N437" s="502"/>
      <c r="O437" s="502"/>
      <c r="P437" s="503"/>
      <c r="Q437" s="503"/>
      <c r="R437" s="503"/>
      <c r="S437" s="503"/>
      <c r="T437" s="503"/>
      <c r="U437" s="503"/>
      <c r="V437" s="503"/>
      <c r="Z437" s="504"/>
      <c r="AA437" s="504"/>
      <c r="AB437" s="504"/>
      <c r="AC437" s="504"/>
      <c r="AD437" s="504"/>
      <c r="AE437" s="504"/>
    </row>
    <row r="438" spans="1:31" hidden="1" x14ac:dyDescent="0.35">
      <c r="A438" s="503" t="str">
        <f>IF(AND(F440=G440,H440=I440,J440=K440,F440="A"),"2016 - kwh",IF(AND(F440=G440,H440=I440,J440&lt;&gt;K440,F440="A"),"2017 - kwh",IF(AND(F440=G440,H440&lt;&gt;I440,F440="A"),"2018 - kwh","N/A")))</f>
        <v>N/A</v>
      </c>
      <c r="B438" s="503" t="str">
        <f>IF(F440&lt;&gt;G440,"2018 - kwh",IF(H440&lt;&gt;I440,"2017 - kwh",IF(J440&lt;&gt;K440,"2016 - kwh","N/A")))</f>
        <v>N/A</v>
      </c>
      <c r="C438" s="508" t="s">
        <v>345</v>
      </c>
      <c r="D438" s="509"/>
      <c r="E438" s="510" t="s">
        <v>139</v>
      </c>
      <c r="F438" s="415"/>
      <c r="G438" s="415"/>
      <c r="H438" s="415"/>
      <c r="I438" s="415"/>
      <c r="J438" s="415"/>
      <c r="K438" s="415"/>
      <c r="L438" s="415"/>
      <c r="M438" s="415"/>
      <c r="N438" s="415"/>
      <c r="O438" s="415"/>
      <c r="P438" s="503"/>
      <c r="Q438" s="503"/>
      <c r="R438" s="503"/>
      <c r="S438" s="503"/>
      <c r="T438" s="503"/>
      <c r="U438" s="503"/>
      <c r="V438" s="503"/>
      <c r="Z438" s="504"/>
      <c r="AA438" s="504" t="str">
        <f>IF(AND(F440=G440,H440=I440,F440="A"),"2016 - kwh","")</f>
        <v/>
      </c>
      <c r="AB438" s="504" t="str">
        <f>IF(OR(B438="2017 - kwh",B438="2018 - kwh"),"2016 - kwh","")</f>
        <v/>
      </c>
      <c r="AC438" s="504"/>
      <c r="AD438" s="504"/>
      <c r="AE438" s="504"/>
    </row>
    <row r="439" spans="1:31" hidden="1" x14ac:dyDescent="0.35">
      <c r="A439" s="503" t="str">
        <f>IF(AND(F440=G440,H440=I440,J440=K440,F440="A"),"2016 - kw",IF(AND(F440=G440,H440=I440,J440&lt;&gt;K440,F440="A"),"2017 - kw",IF(AND(F440=G440,H440&lt;&gt;I440,F440="A"),"2018 - kw","N/A")))</f>
        <v>N/A</v>
      </c>
      <c r="B439" s="503" t="str">
        <f>IF(F440&lt;&gt;G440,"2018 - kw",IF(H440&lt;&gt;I440,"2017 - kw",IF(J440&lt;&gt;K440,"2016 - kw","N/A")))</f>
        <v>N/A</v>
      </c>
      <c r="C439" s="511"/>
      <c r="D439" s="512" t="str">
        <f>D438 &amp; "kW"</f>
        <v>kW</v>
      </c>
      <c r="E439" s="513" t="s">
        <v>170</v>
      </c>
      <c r="F439" s="415"/>
      <c r="G439" s="415"/>
      <c r="H439" s="415"/>
      <c r="I439" s="415"/>
      <c r="J439" s="415"/>
      <c r="K439" s="415"/>
      <c r="L439" s="415"/>
      <c r="M439" s="415"/>
      <c r="N439" s="415"/>
      <c r="O439" s="415"/>
      <c r="P439" s="503"/>
      <c r="Q439" s="503"/>
      <c r="R439" s="503"/>
      <c r="S439" s="503"/>
      <c r="T439" s="503"/>
      <c r="U439" s="503"/>
      <c r="V439" s="503"/>
      <c r="Z439" s="504"/>
      <c r="AA439" s="504" t="str">
        <f>IF(AND(F440=G440,H440=I440,F440="A"),"2016 - kw","")</f>
        <v/>
      </c>
      <c r="AB439" s="504" t="str">
        <f>IF(OR(B439="2017 - kw",B439="2018 - kw"),"2016 - kw","")</f>
        <v/>
      </c>
      <c r="AC439" s="504"/>
      <c r="AD439" s="504"/>
      <c r="AE439" s="504"/>
    </row>
    <row r="440" spans="1:31" hidden="1" x14ac:dyDescent="0.35">
      <c r="A440" s="503"/>
      <c r="B440" s="503"/>
      <c r="C440" s="514"/>
      <c r="D440" s="515"/>
      <c r="E440" s="516" t="s">
        <v>210</v>
      </c>
      <c r="F440" s="502"/>
      <c r="G440" s="502"/>
      <c r="H440" s="502"/>
      <c r="I440" s="502"/>
      <c r="J440" s="502"/>
      <c r="K440" s="502"/>
      <c r="L440" s="502"/>
      <c r="M440" s="502"/>
      <c r="N440" s="502"/>
      <c r="O440" s="502"/>
      <c r="P440" s="503"/>
      <c r="Q440" s="503"/>
      <c r="R440" s="503"/>
      <c r="S440" s="503"/>
      <c r="T440" s="503"/>
      <c r="U440" s="503"/>
      <c r="V440" s="503"/>
      <c r="Z440" s="504"/>
      <c r="AA440" s="504"/>
      <c r="AB440" s="504"/>
      <c r="AC440" s="504"/>
      <c r="AD440" s="504"/>
      <c r="AE440" s="504"/>
    </row>
    <row r="441" spans="1:31" hidden="1" x14ac:dyDescent="0.35">
      <c r="A441" s="503" t="str">
        <f>IF(AND(F443=G443,H443=I443,J443=K443,F443="A"),"2016 - kwh",IF(AND(F443=G443,H443=I443,J443&lt;&gt;K443,F443="A"),"2017 - kwh",IF(AND(F443=G443,H443&lt;&gt;I443,F443="A"),"2018 - kwh","N/A")))</f>
        <v>N/A</v>
      </c>
      <c r="B441" s="503" t="str">
        <f>IF(F443&lt;&gt;G443,"2018 - kwh",IF(H443&lt;&gt;I443,"2017 - kwh",IF(J443&lt;&gt;K443,"2016 - kwh","N/A")))</f>
        <v>N/A</v>
      </c>
      <c r="C441" s="508" t="s">
        <v>346</v>
      </c>
      <c r="D441" s="509"/>
      <c r="E441" s="510" t="s">
        <v>139</v>
      </c>
      <c r="F441" s="415"/>
      <c r="G441" s="415"/>
      <c r="H441" s="415"/>
      <c r="I441" s="415"/>
      <c r="J441" s="415"/>
      <c r="K441" s="415"/>
      <c r="L441" s="415"/>
      <c r="M441" s="415"/>
      <c r="N441" s="415"/>
      <c r="O441" s="415"/>
      <c r="P441" s="503"/>
      <c r="Q441" s="503"/>
      <c r="R441" s="503"/>
      <c r="S441" s="503"/>
      <c r="T441" s="503"/>
      <c r="U441" s="503"/>
      <c r="V441" s="503"/>
      <c r="Z441" s="504"/>
      <c r="AA441" s="504" t="str">
        <f>IF(AND(F443=G443,H443=I443,F443="A"),"2016 - kwh","")</f>
        <v/>
      </c>
      <c r="AB441" s="504" t="str">
        <f>IF(OR(B441="2017 - kwh",B441="2018 - kwh"),"2016 - kwh","")</f>
        <v/>
      </c>
      <c r="AC441" s="504"/>
      <c r="AD441" s="504"/>
      <c r="AE441" s="504"/>
    </row>
    <row r="442" spans="1:31" hidden="1" x14ac:dyDescent="0.35">
      <c r="A442" s="503" t="str">
        <f>IF(AND(F443=G443,H443=I443,J443=K443,F443="A"),"2016 - kw",IF(AND(F443=G443,H443=I443,J443&lt;&gt;K443,F443="A"),"2017 - kw",IF(AND(F443=G443,H443&lt;&gt;I443,F443="A"),"2018 - kw","N/A")))</f>
        <v>N/A</v>
      </c>
      <c r="B442" s="503" t="str">
        <f>IF(F443&lt;&gt;G443,"2018 - kw",IF(H443&lt;&gt;I443,"2017 - kw",IF(J443&lt;&gt;K443,"2016 - kw","N/A")))</f>
        <v>N/A</v>
      </c>
      <c r="C442" s="511"/>
      <c r="D442" s="512" t="str">
        <f>D441 &amp; "kW"</f>
        <v>kW</v>
      </c>
      <c r="E442" s="513" t="s">
        <v>170</v>
      </c>
      <c r="F442" s="415"/>
      <c r="G442" s="415"/>
      <c r="H442" s="415"/>
      <c r="I442" s="415"/>
      <c r="J442" s="415"/>
      <c r="K442" s="415"/>
      <c r="L442" s="415"/>
      <c r="M442" s="415"/>
      <c r="N442" s="415"/>
      <c r="O442" s="415"/>
      <c r="P442" s="503"/>
      <c r="Q442" s="503"/>
      <c r="R442" s="503"/>
      <c r="S442" s="503"/>
      <c r="T442" s="503"/>
      <c r="U442" s="503"/>
      <c r="V442" s="503"/>
      <c r="Z442" s="504"/>
      <c r="AA442" s="504" t="str">
        <f>IF(AND(F443=G443,H443=I443,F443="A"),"2016 - kw","")</f>
        <v/>
      </c>
      <c r="AB442" s="504" t="str">
        <f>IF(OR(B442="2017 - kw",B442="2018 - kw"),"2016 - kw","")</f>
        <v/>
      </c>
      <c r="AC442" s="504"/>
      <c r="AD442" s="504"/>
      <c r="AE442" s="504"/>
    </row>
    <row r="443" spans="1:31" hidden="1" x14ac:dyDescent="0.35">
      <c r="A443" s="503"/>
      <c r="B443" s="503"/>
      <c r="C443" s="514"/>
      <c r="D443" s="515"/>
      <c r="E443" s="516" t="s">
        <v>210</v>
      </c>
      <c r="F443" s="502"/>
      <c r="G443" s="502"/>
      <c r="H443" s="502"/>
      <c r="I443" s="502"/>
      <c r="J443" s="502"/>
      <c r="K443" s="502"/>
      <c r="L443" s="502"/>
      <c r="M443" s="502"/>
      <c r="N443" s="502"/>
      <c r="O443" s="502"/>
      <c r="P443" s="503"/>
      <c r="Q443" s="503"/>
      <c r="R443" s="503"/>
      <c r="S443" s="503"/>
      <c r="T443" s="503"/>
      <c r="U443" s="503"/>
      <c r="V443" s="503"/>
      <c r="Z443" s="504"/>
      <c r="AA443" s="504"/>
      <c r="AB443" s="504"/>
      <c r="AC443" s="504"/>
      <c r="AD443" s="504"/>
      <c r="AE443" s="504"/>
    </row>
    <row r="444" spans="1:31" hidden="1" x14ac:dyDescent="0.35">
      <c r="A444" s="503" t="str">
        <f>IF(AND(F446=G446,H446=I446,J446=K446,F446="A"),"2016 - kwh",IF(AND(F446=G446,H446=I446,J446&lt;&gt;K446,F446="A"),"2017 - kwh",IF(AND(F446=G446,H446&lt;&gt;I446,F446="A"),"2018 - kwh","N/A")))</f>
        <v>N/A</v>
      </c>
      <c r="B444" s="503" t="str">
        <f>IF(F446&lt;&gt;G446,"2018 - kwh",IF(H446&lt;&gt;I446,"2017 - kwh",IF(J446&lt;&gt;K446,"2016 - kwh","N/A")))</f>
        <v>N/A</v>
      </c>
      <c r="C444" s="508" t="s">
        <v>347</v>
      </c>
      <c r="D444" s="509"/>
      <c r="E444" s="510" t="s">
        <v>139</v>
      </c>
      <c r="F444" s="415"/>
      <c r="G444" s="415"/>
      <c r="H444" s="415"/>
      <c r="I444" s="415"/>
      <c r="J444" s="415"/>
      <c r="K444" s="415"/>
      <c r="L444" s="415"/>
      <c r="M444" s="415"/>
      <c r="N444" s="415"/>
      <c r="O444" s="415"/>
      <c r="P444" s="503"/>
      <c r="Q444" s="503"/>
      <c r="R444" s="503"/>
      <c r="S444" s="503"/>
      <c r="T444" s="503"/>
      <c r="U444" s="503"/>
      <c r="V444" s="503"/>
      <c r="Z444" s="504"/>
      <c r="AA444" s="504" t="str">
        <f>IF(AND(F446=G446,H446=I446,F446="A"),"2016 - kwh","")</f>
        <v/>
      </c>
      <c r="AB444" s="504" t="str">
        <f>IF(OR(B444="2017 - kwh",B444="2018 - kwh"),"2016 - kwh","")</f>
        <v/>
      </c>
      <c r="AC444" s="504"/>
      <c r="AD444" s="504"/>
      <c r="AE444" s="504"/>
    </row>
    <row r="445" spans="1:31" hidden="1" x14ac:dyDescent="0.35">
      <c r="A445" s="503" t="str">
        <f>IF(AND(F446=G446,H446=I446,J446=K446,F446="A"),"2016 - kw",IF(AND(F446=G446,H446=I446,J446&lt;&gt;K446,F446="A"),"2017 - kw",IF(AND(F446=G446,H446&lt;&gt;I446,F446="A"),"2018 - kw","N/A")))</f>
        <v>N/A</v>
      </c>
      <c r="B445" s="503" t="str">
        <f>IF(F446&lt;&gt;G446,"2018 - kw",IF(H446&lt;&gt;I446,"2017 - kw",IF(J446&lt;&gt;K446,"2016 - kw","N/A")))</f>
        <v>N/A</v>
      </c>
      <c r="C445" s="511"/>
      <c r="D445" s="512" t="str">
        <f>D444 &amp; "kW"</f>
        <v>kW</v>
      </c>
      <c r="E445" s="513" t="s">
        <v>170</v>
      </c>
      <c r="F445" s="415"/>
      <c r="G445" s="415"/>
      <c r="H445" s="415"/>
      <c r="I445" s="415"/>
      <c r="J445" s="415"/>
      <c r="K445" s="415"/>
      <c r="L445" s="415"/>
      <c r="M445" s="415"/>
      <c r="N445" s="415"/>
      <c r="O445" s="415"/>
      <c r="P445" s="503"/>
      <c r="Q445" s="503"/>
      <c r="R445" s="503"/>
      <c r="S445" s="503"/>
      <c r="T445" s="503"/>
      <c r="U445" s="503"/>
      <c r="V445" s="503"/>
      <c r="Z445" s="504"/>
      <c r="AA445" s="504" t="str">
        <f>IF(AND(F446=G446,H446=I446,F446="A"),"2016 - kw","")</f>
        <v/>
      </c>
      <c r="AB445" s="504" t="str">
        <f>IF(OR(B445="2017 - kw",B445="2018 - kw"),"2016 - kw","")</f>
        <v/>
      </c>
      <c r="AC445" s="504"/>
      <c r="AD445" s="504"/>
      <c r="AE445" s="504"/>
    </row>
    <row r="446" spans="1:31" hidden="1" x14ac:dyDescent="0.35">
      <c r="A446" s="503"/>
      <c r="B446" s="503"/>
      <c r="C446" s="514"/>
      <c r="D446" s="515"/>
      <c r="E446" s="516" t="s">
        <v>210</v>
      </c>
      <c r="F446" s="502"/>
      <c r="G446" s="502"/>
      <c r="H446" s="502"/>
      <c r="I446" s="502"/>
      <c r="J446" s="502"/>
      <c r="K446" s="502"/>
      <c r="L446" s="502"/>
      <c r="M446" s="502"/>
      <c r="N446" s="502"/>
      <c r="O446" s="502"/>
      <c r="P446" s="503"/>
      <c r="Q446" s="503"/>
      <c r="R446" s="503"/>
      <c r="S446" s="503"/>
      <c r="T446" s="503"/>
      <c r="U446" s="503"/>
      <c r="V446" s="503"/>
      <c r="Z446" s="504"/>
      <c r="AA446" s="504"/>
      <c r="AB446" s="504"/>
      <c r="AC446" s="504"/>
      <c r="AD446" s="504"/>
      <c r="AE446" s="504"/>
    </row>
    <row r="447" spans="1:31" hidden="1" x14ac:dyDescent="0.35">
      <c r="A447" s="503" t="str">
        <f>IF(AND(F449=G449,H449=I449,J449=K449,F449="A"),"2016 - kwh",IF(AND(F449=G449,H449=I449,J449&lt;&gt;K449,F449="A"),"2017 - kwh",IF(AND(F449=G449,H449&lt;&gt;I449,F449="A"),"2018 - kwh","N/A")))</f>
        <v>N/A</v>
      </c>
      <c r="B447" s="503" t="str">
        <f>IF(F449&lt;&gt;G449,"2018 - kwh",IF(H449&lt;&gt;I449,"2017 - kwh",IF(J449&lt;&gt;K449,"2016 - kwh","N/A")))</f>
        <v>N/A</v>
      </c>
      <c r="C447" s="508" t="s">
        <v>348</v>
      </c>
      <c r="D447" s="509"/>
      <c r="E447" s="510" t="s">
        <v>139</v>
      </c>
      <c r="F447" s="415"/>
      <c r="G447" s="415"/>
      <c r="H447" s="415"/>
      <c r="I447" s="415"/>
      <c r="J447" s="415"/>
      <c r="K447" s="415"/>
      <c r="L447" s="415"/>
      <c r="M447" s="415"/>
      <c r="N447" s="415"/>
      <c r="O447" s="415"/>
      <c r="P447" s="503"/>
      <c r="Q447" s="503"/>
      <c r="R447" s="503"/>
      <c r="S447" s="503"/>
      <c r="T447" s="503"/>
      <c r="U447" s="503"/>
      <c r="V447" s="503"/>
      <c r="Z447" s="504"/>
      <c r="AA447" s="504" t="str">
        <f>IF(AND(F449=G449,H449=I449,F449="A"),"2016 - kwh","")</f>
        <v/>
      </c>
      <c r="AB447" s="504" t="str">
        <f>IF(OR(B447="2017 - kwh",B447="2018 - kwh"),"2016 - kwh","")</f>
        <v/>
      </c>
      <c r="AC447" s="504"/>
      <c r="AD447" s="504"/>
      <c r="AE447" s="504"/>
    </row>
    <row r="448" spans="1:31" hidden="1" x14ac:dyDescent="0.35">
      <c r="A448" s="503" t="str">
        <f>IF(AND(F449=G449,H449=I449,J449=K449,F449="A"),"2016 - kw",IF(AND(F449=G449,H449=I449,J449&lt;&gt;K449,F449="A"),"2017 - kw",IF(AND(F449=G449,H449&lt;&gt;I449,F449="A"),"2018 - kw","N/A")))</f>
        <v>N/A</v>
      </c>
      <c r="B448" s="503" t="str">
        <f>IF(F449&lt;&gt;G449,"2018 - kw",IF(H449&lt;&gt;I449,"2017 - kw",IF(J449&lt;&gt;K449,"2016 - kw","N/A")))</f>
        <v>N/A</v>
      </c>
      <c r="C448" s="511"/>
      <c r="D448" s="512" t="str">
        <f>D447 &amp; "kW"</f>
        <v>kW</v>
      </c>
      <c r="E448" s="513" t="s">
        <v>170</v>
      </c>
      <c r="F448" s="415"/>
      <c r="G448" s="415"/>
      <c r="H448" s="415"/>
      <c r="I448" s="415"/>
      <c r="J448" s="415"/>
      <c r="K448" s="415"/>
      <c r="L448" s="415"/>
      <c r="M448" s="415"/>
      <c r="N448" s="415"/>
      <c r="O448" s="415"/>
      <c r="P448" s="503"/>
      <c r="Q448" s="503"/>
      <c r="R448" s="503"/>
      <c r="S448" s="503"/>
      <c r="T448" s="503"/>
      <c r="U448" s="503"/>
      <c r="V448" s="503"/>
      <c r="Z448" s="504"/>
      <c r="AA448" s="504" t="str">
        <f>IF(AND(F449=G449,H449=I449,F449="A"),"2016 - kw","")</f>
        <v/>
      </c>
      <c r="AB448" s="504" t="str">
        <f>IF(OR(B448="2017 - kw",B448="2018 - kw"),"2016 - kw","")</f>
        <v/>
      </c>
      <c r="AC448" s="504"/>
      <c r="AD448" s="504"/>
      <c r="AE448" s="504"/>
    </row>
    <row r="449" spans="1:31" hidden="1" x14ac:dyDescent="0.35">
      <c r="A449" s="503"/>
      <c r="B449" s="503"/>
      <c r="C449" s="514"/>
      <c r="D449" s="515"/>
      <c r="E449" s="516" t="s">
        <v>210</v>
      </c>
      <c r="F449" s="502"/>
      <c r="G449" s="502"/>
      <c r="H449" s="502"/>
      <c r="I449" s="502"/>
      <c r="J449" s="502"/>
      <c r="K449" s="502"/>
      <c r="L449" s="502"/>
      <c r="M449" s="502"/>
      <c r="N449" s="502"/>
      <c r="O449" s="502"/>
      <c r="P449" s="503"/>
      <c r="Q449" s="503"/>
      <c r="R449" s="503"/>
      <c r="S449" s="503"/>
      <c r="T449" s="503"/>
      <c r="U449" s="503"/>
      <c r="V449" s="503"/>
      <c r="Z449" s="504"/>
      <c r="AA449" s="504"/>
      <c r="AB449" s="504"/>
      <c r="AC449" s="504"/>
      <c r="AD449" s="504"/>
      <c r="AE449" s="504"/>
    </row>
    <row r="450" spans="1:31" hidden="1" x14ac:dyDescent="0.35">
      <c r="A450" s="503" t="str">
        <f>IF(AND(F452=G452,H452=I452,J452=K452,F452="A"),"2016 - kwh",IF(AND(F452=G452,H452=I452,J452&lt;&gt;K452,F452="A"),"2017 - kwh",IF(AND(F452=G452,H452&lt;&gt;I452,F452="A"),"2018 - kwh","N/A")))</f>
        <v>N/A</v>
      </c>
      <c r="B450" s="503" t="str">
        <f>IF(F452&lt;&gt;G452,"2018 - kwh",IF(H452&lt;&gt;I452,"2017 - kwh",IF(J452&lt;&gt;K452,"2016 - kwh","N/A")))</f>
        <v>N/A</v>
      </c>
      <c r="C450" s="508" t="s">
        <v>349</v>
      </c>
      <c r="D450" s="509"/>
      <c r="E450" s="510" t="s">
        <v>139</v>
      </c>
      <c r="F450" s="415"/>
      <c r="G450" s="415"/>
      <c r="H450" s="415"/>
      <c r="I450" s="415"/>
      <c r="J450" s="415"/>
      <c r="K450" s="415"/>
      <c r="L450" s="415"/>
      <c r="M450" s="415"/>
      <c r="N450" s="415"/>
      <c r="O450" s="415"/>
      <c r="P450" s="503"/>
      <c r="Q450" s="503"/>
      <c r="R450" s="503"/>
      <c r="S450" s="503"/>
      <c r="T450" s="503"/>
      <c r="U450" s="503"/>
      <c r="V450" s="503"/>
      <c r="Z450" s="504"/>
      <c r="AA450" s="504" t="str">
        <f>IF(AND(F452=G452,H452=I452,F452="A"),"2016 - kwh","")</f>
        <v/>
      </c>
      <c r="AB450" s="504" t="str">
        <f>IF(OR(B450="2017 - kwh",B450="2018 - kwh"),"2016 - kwh","")</f>
        <v/>
      </c>
      <c r="AC450" s="504"/>
      <c r="AD450" s="504"/>
      <c r="AE450" s="504"/>
    </row>
    <row r="451" spans="1:31" hidden="1" x14ac:dyDescent="0.35">
      <c r="A451" s="503" t="str">
        <f>IF(AND(F452=G452,H452=I452,J452=K452,F452="A"),"2016 - kw",IF(AND(F452=G452,H452=I452,J452&lt;&gt;K452,F452="A"),"2017 - kw",IF(AND(F452=G452,H452&lt;&gt;I452,F452="A"),"2018 - kw","N/A")))</f>
        <v>N/A</v>
      </c>
      <c r="B451" s="503" t="str">
        <f>IF(F452&lt;&gt;G452,"2018 - kw",IF(H452&lt;&gt;I452,"2017 - kw",IF(J452&lt;&gt;K452,"2016 - kw","N/A")))</f>
        <v>N/A</v>
      </c>
      <c r="C451" s="511"/>
      <c r="D451" s="512" t="str">
        <f>D450 &amp; "kW"</f>
        <v>kW</v>
      </c>
      <c r="E451" s="513" t="s">
        <v>170</v>
      </c>
      <c r="F451" s="415"/>
      <c r="G451" s="415"/>
      <c r="H451" s="415"/>
      <c r="I451" s="415"/>
      <c r="J451" s="415"/>
      <c r="K451" s="415"/>
      <c r="L451" s="415"/>
      <c r="M451" s="415"/>
      <c r="N451" s="415"/>
      <c r="O451" s="415"/>
      <c r="P451" s="503"/>
      <c r="Q451" s="503"/>
      <c r="R451" s="503"/>
      <c r="S451" s="503"/>
      <c r="T451" s="503"/>
      <c r="U451" s="503"/>
      <c r="V451" s="503"/>
      <c r="Z451" s="504"/>
      <c r="AA451" s="504" t="str">
        <f>IF(AND(F452=G452,H452=I452,F452="A"),"2016 - kw","")</f>
        <v/>
      </c>
      <c r="AB451" s="504" t="str">
        <f>IF(OR(B451="2017 - kw",B451="2018 - kw"),"2016 - kw","")</f>
        <v/>
      </c>
      <c r="AC451" s="504"/>
      <c r="AD451" s="504"/>
      <c r="AE451" s="504"/>
    </row>
    <row r="452" spans="1:31" hidden="1" x14ac:dyDescent="0.35">
      <c r="A452" s="503"/>
      <c r="B452" s="503"/>
      <c r="C452" s="514"/>
      <c r="D452" s="515"/>
      <c r="E452" s="516" t="s">
        <v>210</v>
      </c>
      <c r="F452" s="502"/>
      <c r="G452" s="502"/>
      <c r="H452" s="502"/>
      <c r="I452" s="502"/>
      <c r="J452" s="502"/>
      <c r="K452" s="502"/>
      <c r="L452" s="502"/>
      <c r="M452" s="502"/>
      <c r="N452" s="502"/>
      <c r="O452" s="502"/>
      <c r="P452" s="503"/>
      <c r="Q452" s="503"/>
      <c r="R452" s="503"/>
      <c r="S452" s="503"/>
      <c r="T452" s="503"/>
      <c r="U452" s="503"/>
      <c r="V452" s="503"/>
      <c r="Z452" s="504"/>
      <c r="AA452" s="504"/>
      <c r="AB452" s="504"/>
      <c r="AC452" s="504"/>
      <c r="AD452" s="504"/>
      <c r="AE452" s="504"/>
    </row>
    <row r="453" spans="1:31" hidden="1" x14ac:dyDescent="0.35">
      <c r="A453" s="503" t="str">
        <f>IF(AND(F455=G455,H455=I455,J455=K455,F455="A"),"2016 - kwh",IF(AND(F455=G455,H455=I455,J455&lt;&gt;K455,F455="A"),"2017 - kwh",IF(AND(F455=G455,H455&lt;&gt;I455,F455="A"),"2018 - kwh","N/A")))</f>
        <v>N/A</v>
      </c>
      <c r="B453" s="503" t="str">
        <f>IF(F455&lt;&gt;G455,"2018 - kwh",IF(H455&lt;&gt;I455,"2017 - kwh",IF(J455&lt;&gt;K455,"2016 - kwh","N/A")))</f>
        <v>N/A</v>
      </c>
      <c r="C453" s="508" t="s">
        <v>350</v>
      </c>
      <c r="D453" s="509"/>
      <c r="E453" s="510" t="s">
        <v>139</v>
      </c>
      <c r="F453" s="415"/>
      <c r="G453" s="415"/>
      <c r="H453" s="415"/>
      <c r="I453" s="415"/>
      <c r="J453" s="415"/>
      <c r="K453" s="415"/>
      <c r="L453" s="415"/>
      <c r="M453" s="415"/>
      <c r="N453" s="415"/>
      <c r="O453" s="415"/>
      <c r="P453" s="503"/>
      <c r="Q453" s="503"/>
      <c r="R453" s="503"/>
      <c r="S453" s="503"/>
      <c r="T453" s="503"/>
      <c r="U453" s="503"/>
      <c r="V453" s="503"/>
      <c r="Z453" s="504"/>
      <c r="AA453" s="504" t="str">
        <f>IF(AND(F455=G455,H455=I455,F455="A"),"2016 - kwh","")</f>
        <v/>
      </c>
      <c r="AB453" s="504" t="str">
        <f>IF(OR(B453="2017 - kwh",B453="2018 - kwh"),"2016 - kwh","")</f>
        <v/>
      </c>
      <c r="AC453" s="504"/>
      <c r="AD453" s="504"/>
      <c r="AE453" s="504"/>
    </row>
    <row r="454" spans="1:31" hidden="1" x14ac:dyDescent="0.35">
      <c r="A454" s="503" t="str">
        <f>IF(AND(F455=G455,H455=I455,J455=K455,F455="A"),"2016 - kw",IF(AND(F455=G455,H455=I455,J455&lt;&gt;K455,F455="A"),"2017 - kw",IF(AND(F455=G455,H455&lt;&gt;I455,F455="A"),"2018 - kw","N/A")))</f>
        <v>N/A</v>
      </c>
      <c r="B454" s="503" t="str">
        <f>IF(F455&lt;&gt;G455,"2018 - kw",IF(H455&lt;&gt;I455,"2017 - kw",IF(J455&lt;&gt;K455,"2016 - kw","N/A")))</f>
        <v>N/A</v>
      </c>
      <c r="C454" s="511"/>
      <c r="D454" s="512" t="str">
        <f>D453 &amp; "kW"</f>
        <v>kW</v>
      </c>
      <c r="E454" s="513" t="s">
        <v>170</v>
      </c>
      <c r="F454" s="415"/>
      <c r="G454" s="415"/>
      <c r="H454" s="415"/>
      <c r="I454" s="415"/>
      <c r="J454" s="415"/>
      <c r="K454" s="415"/>
      <c r="L454" s="415"/>
      <c r="M454" s="415"/>
      <c r="N454" s="415"/>
      <c r="O454" s="415"/>
      <c r="P454" s="503"/>
      <c r="Q454" s="503"/>
      <c r="R454" s="503"/>
      <c r="S454" s="503"/>
      <c r="T454" s="503"/>
      <c r="U454" s="503"/>
      <c r="V454" s="503"/>
      <c r="Z454" s="504"/>
      <c r="AA454" s="504" t="str">
        <f>IF(AND(F455=G455,H455=I455,F455="A"),"2016 - kw","")</f>
        <v/>
      </c>
      <c r="AB454" s="504" t="str">
        <f>IF(OR(B454="2017 - kw",B454="2018 - kw"),"2016 - kw","")</f>
        <v/>
      </c>
      <c r="AC454" s="504"/>
      <c r="AD454" s="504"/>
      <c r="AE454" s="504"/>
    </row>
    <row r="455" spans="1:31" hidden="1" x14ac:dyDescent="0.35">
      <c r="A455" s="503"/>
      <c r="B455" s="503"/>
      <c r="C455" s="514"/>
      <c r="D455" s="515"/>
      <c r="E455" s="516" t="s">
        <v>210</v>
      </c>
      <c r="F455" s="502"/>
      <c r="G455" s="502"/>
      <c r="H455" s="502"/>
      <c r="I455" s="502"/>
      <c r="J455" s="502"/>
      <c r="K455" s="502"/>
      <c r="L455" s="502"/>
      <c r="M455" s="502"/>
      <c r="N455" s="502"/>
      <c r="O455" s="502"/>
      <c r="P455" s="503"/>
      <c r="Q455" s="503"/>
      <c r="R455" s="503"/>
      <c r="S455" s="503"/>
      <c r="T455" s="503"/>
      <c r="U455" s="503"/>
      <c r="V455" s="503"/>
      <c r="Z455" s="504"/>
      <c r="AA455" s="504"/>
      <c r="AB455" s="504"/>
      <c r="AC455" s="504"/>
      <c r="AD455" s="504"/>
      <c r="AE455" s="504"/>
    </row>
    <row r="456" spans="1:31" hidden="1" x14ac:dyDescent="0.35">
      <c r="A456" s="503" t="str">
        <f>IF(AND(F458=G458,H458=I458,J458=K458,F458="A"),"2016 - kwh",IF(AND(F458=G458,H458=I458,J458&lt;&gt;K458,F458="A"),"2017 - kwh",IF(AND(F458=G458,H458&lt;&gt;I458,F458="A"),"2018 - kwh","N/A")))</f>
        <v>N/A</v>
      </c>
      <c r="B456" s="503" t="str">
        <f>IF(F458&lt;&gt;G458,"2018 - kwh",IF(H458&lt;&gt;I458,"2017 - kwh",IF(J458&lt;&gt;K458,"2016 - kwh","N/A")))</f>
        <v>N/A</v>
      </c>
      <c r="C456" s="508" t="s">
        <v>351</v>
      </c>
      <c r="D456" s="509"/>
      <c r="E456" s="510" t="s">
        <v>139</v>
      </c>
      <c r="F456" s="415"/>
      <c r="G456" s="415"/>
      <c r="H456" s="415"/>
      <c r="I456" s="415"/>
      <c r="J456" s="415"/>
      <c r="K456" s="415"/>
      <c r="L456" s="415"/>
      <c r="M456" s="415"/>
      <c r="N456" s="415"/>
      <c r="O456" s="415"/>
      <c r="P456" s="503"/>
      <c r="Q456" s="503"/>
      <c r="R456" s="503"/>
      <c r="S456" s="503"/>
      <c r="T456" s="503"/>
      <c r="U456" s="503"/>
      <c r="V456" s="503"/>
      <c r="Z456" s="504"/>
      <c r="AA456" s="504" t="str">
        <f>IF(AND(F458=G458,H458=I458,F458="A"),"2016 - kwh","")</f>
        <v/>
      </c>
      <c r="AB456" s="504" t="str">
        <f>IF(OR(B456="2017 - kwh",B456="2018 - kwh"),"2016 - kwh","")</f>
        <v/>
      </c>
      <c r="AC456" s="504"/>
      <c r="AD456" s="504"/>
      <c r="AE456" s="504"/>
    </row>
    <row r="457" spans="1:31" hidden="1" x14ac:dyDescent="0.35">
      <c r="A457" s="503" t="str">
        <f>IF(AND(F458=G458,H458=I458,J458=K458,F458="A"),"2016 - kw",IF(AND(F458=G458,H458=I458,J458&lt;&gt;K458,F458="A"),"2017 - kw",IF(AND(F458=G458,H458&lt;&gt;I458,F458="A"),"2018 - kw","N/A")))</f>
        <v>N/A</v>
      </c>
      <c r="B457" s="503" t="str">
        <f>IF(F458&lt;&gt;G458,"2018 - kw",IF(H458&lt;&gt;I458,"2017 - kw",IF(J458&lt;&gt;K458,"2016 - kw","N/A")))</f>
        <v>N/A</v>
      </c>
      <c r="C457" s="511"/>
      <c r="D457" s="512" t="str">
        <f>D456 &amp; "kW"</f>
        <v>kW</v>
      </c>
      <c r="E457" s="513" t="s">
        <v>170</v>
      </c>
      <c r="F457" s="415"/>
      <c r="G457" s="415"/>
      <c r="H457" s="415"/>
      <c r="I457" s="415"/>
      <c r="J457" s="415"/>
      <c r="K457" s="415"/>
      <c r="L457" s="415"/>
      <c r="M457" s="415"/>
      <c r="N457" s="415"/>
      <c r="O457" s="415"/>
      <c r="P457" s="503"/>
      <c r="Q457" s="503"/>
      <c r="R457" s="503"/>
      <c r="S457" s="503"/>
      <c r="T457" s="503"/>
      <c r="U457" s="503"/>
      <c r="V457" s="503"/>
      <c r="Z457" s="504"/>
      <c r="AA457" s="504" t="str">
        <f>IF(AND(F458=G458,H458=I458,F458="A"),"2016 - kw","")</f>
        <v/>
      </c>
      <c r="AB457" s="504" t="str">
        <f>IF(OR(B457="2017 - kw",B457="2018 - kw"),"2016 - kw","")</f>
        <v/>
      </c>
      <c r="AC457" s="504"/>
      <c r="AD457" s="504"/>
      <c r="AE457" s="504"/>
    </row>
    <row r="458" spans="1:31" hidden="1" x14ac:dyDescent="0.35">
      <c r="A458" s="503"/>
      <c r="B458" s="503"/>
      <c r="C458" s="514"/>
      <c r="D458" s="515"/>
      <c r="E458" s="516" t="s">
        <v>210</v>
      </c>
      <c r="F458" s="502"/>
      <c r="G458" s="502"/>
      <c r="H458" s="502"/>
      <c r="I458" s="502"/>
      <c r="J458" s="502"/>
      <c r="K458" s="502"/>
      <c r="L458" s="502"/>
      <c r="M458" s="502"/>
      <c r="N458" s="502"/>
      <c r="O458" s="502"/>
      <c r="P458" s="503"/>
      <c r="Q458" s="503"/>
      <c r="R458" s="503"/>
      <c r="S458" s="503"/>
      <c r="T458" s="503"/>
      <c r="U458" s="503"/>
      <c r="V458" s="503"/>
      <c r="Z458" s="504"/>
      <c r="AA458" s="504"/>
      <c r="AB458" s="504"/>
      <c r="AC458" s="504"/>
      <c r="AD458" s="504"/>
      <c r="AE458" s="504"/>
    </row>
    <row r="459" spans="1:31" hidden="1" x14ac:dyDescent="0.35">
      <c r="A459" s="503" t="str">
        <f>IF(AND(F461=G461,H461=I461,J461=K461,F461="A"),"2016 - kwh",IF(AND(F461=G461,H461=I461,J461&lt;&gt;K461,F461="A"),"2017 - kwh",IF(AND(F461=G461,H461&lt;&gt;I461,F461="A"),"2018 - kwh","N/A")))</f>
        <v>N/A</v>
      </c>
      <c r="B459" s="503" t="str">
        <f>IF(F461&lt;&gt;G461,"2018 - kwh",IF(H461&lt;&gt;I461,"2017 - kwh",IF(J461&lt;&gt;K461,"2016 - kwh","N/A")))</f>
        <v>N/A</v>
      </c>
      <c r="C459" s="508" t="s">
        <v>352</v>
      </c>
      <c r="D459" s="509"/>
      <c r="E459" s="510" t="s">
        <v>139</v>
      </c>
      <c r="F459" s="415"/>
      <c r="G459" s="415"/>
      <c r="H459" s="415"/>
      <c r="I459" s="415"/>
      <c r="J459" s="415"/>
      <c r="K459" s="415"/>
      <c r="L459" s="415"/>
      <c r="M459" s="415"/>
      <c r="N459" s="415"/>
      <c r="O459" s="415"/>
      <c r="P459" s="503"/>
      <c r="Q459" s="503"/>
      <c r="R459" s="503"/>
      <c r="S459" s="503"/>
      <c r="T459" s="503"/>
      <c r="U459" s="503"/>
      <c r="V459" s="503"/>
      <c r="Z459" s="504"/>
      <c r="AA459" s="504" t="str">
        <f>IF(AND(F461=G461,H461=I461,F461="A"),"2016 - kwh","")</f>
        <v/>
      </c>
      <c r="AB459" s="504" t="str">
        <f>IF(OR(B459="2017 - kwh",B459="2018 - kwh"),"2016 - kwh","")</f>
        <v/>
      </c>
      <c r="AC459" s="504"/>
      <c r="AD459" s="504"/>
      <c r="AE459" s="504"/>
    </row>
    <row r="460" spans="1:31" hidden="1" x14ac:dyDescent="0.35">
      <c r="A460" s="503" t="str">
        <f>IF(AND(F461=G461,H461=I461,J461=K461,F461="A"),"2016 - kw",IF(AND(F461=G461,H461=I461,J461&lt;&gt;K461,F461="A"),"2017 - kw",IF(AND(F461=G461,H461&lt;&gt;I461,F461="A"),"2018 - kw","N/A")))</f>
        <v>N/A</v>
      </c>
      <c r="B460" s="503" t="str">
        <f>IF(F461&lt;&gt;G461,"2018 - kw",IF(H461&lt;&gt;I461,"2017 - kw",IF(J461&lt;&gt;K461,"2016 - kw","N/A")))</f>
        <v>N/A</v>
      </c>
      <c r="C460" s="511"/>
      <c r="D460" s="512" t="str">
        <f>D459 &amp; "kW"</f>
        <v>kW</v>
      </c>
      <c r="E460" s="513" t="s">
        <v>170</v>
      </c>
      <c r="F460" s="415"/>
      <c r="G460" s="415"/>
      <c r="H460" s="415"/>
      <c r="I460" s="415"/>
      <c r="J460" s="415"/>
      <c r="K460" s="415"/>
      <c r="L460" s="415"/>
      <c r="M460" s="415"/>
      <c r="N460" s="415"/>
      <c r="O460" s="415"/>
      <c r="P460" s="503"/>
      <c r="Q460" s="503"/>
      <c r="R460" s="503"/>
      <c r="S460" s="503"/>
      <c r="T460" s="503"/>
      <c r="U460" s="503"/>
      <c r="V460" s="503"/>
      <c r="Z460" s="504"/>
      <c r="AA460" s="504" t="str">
        <f>IF(AND(F461=G461,H461=I461,F461="A"),"2016 - kw","")</f>
        <v/>
      </c>
      <c r="AB460" s="504" t="str">
        <f>IF(OR(B460="2017 - kw",B460="2018 - kw"),"2016 - kw","")</f>
        <v/>
      </c>
      <c r="AC460" s="504"/>
      <c r="AD460" s="504"/>
      <c r="AE460" s="504"/>
    </row>
    <row r="461" spans="1:31" hidden="1" x14ac:dyDescent="0.35">
      <c r="A461" s="503"/>
      <c r="B461" s="503"/>
      <c r="C461" s="514"/>
      <c r="D461" s="515"/>
      <c r="E461" s="516" t="s">
        <v>210</v>
      </c>
      <c r="F461" s="502"/>
      <c r="G461" s="502"/>
      <c r="H461" s="502"/>
      <c r="I461" s="502"/>
      <c r="J461" s="502"/>
      <c r="K461" s="502"/>
      <c r="L461" s="502"/>
      <c r="M461" s="502"/>
      <c r="N461" s="502"/>
      <c r="O461" s="502"/>
      <c r="P461" s="503"/>
      <c r="Q461" s="503"/>
      <c r="R461" s="503"/>
      <c r="S461" s="503"/>
      <c r="T461" s="503"/>
      <c r="U461" s="503"/>
      <c r="V461" s="503"/>
      <c r="Z461" s="504"/>
      <c r="AA461" s="504"/>
      <c r="AB461" s="504"/>
      <c r="AC461" s="504"/>
      <c r="AD461" s="504"/>
      <c r="AE461" s="504"/>
    </row>
    <row r="462" spans="1:31" hidden="1" x14ac:dyDescent="0.35">
      <c r="A462" s="503" t="str">
        <f>IF(AND(F464=G464,H464=I464,J464=K464,F464="A"),"2016 - kwh",IF(AND(F464=G464,H464=I464,J464&lt;&gt;K464,F464="A"),"2017 - kwh",IF(AND(F464=G464,H464&lt;&gt;I464,F464="A"),"2018 - kwh","N/A")))</f>
        <v>N/A</v>
      </c>
      <c r="B462" s="503" t="str">
        <f>IF(F464&lt;&gt;G464,"2018 - kwh",IF(H464&lt;&gt;I464,"2017 - kwh",IF(J464&lt;&gt;K464,"2016 - kwh","N/A")))</f>
        <v>N/A</v>
      </c>
      <c r="C462" s="508" t="s">
        <v>353</v>
      </c>
      <c r="D462" s="509"/>
      <c r="E462" s="510" t="s">
        <v>139</v>
      </c>
      <c r="F462" s="415"/>
      <c r="G462" s="415"/>
      <c r="H462" s="415"/>
      <c r="I462" s="415"/>
      <c r="J462" s="415"/>
      <c r="K462" s="415"/>
      <c r="L462" s="415"/>
      <c r="M462" s="415"/>
      <c r="N462" s="415"/>
      <c r="O462" s="415"/>
      <c r="P462" s="503"/>
      <c r="Q462" s="503"/>
      <c r="R462" s="503"/>
      <c r="S462" s="503"/>
      <c r="T462" s="503"/>
      <c r="U462" s="503"/>
      <c r="V462" s="503"/>
      <c r="Z462" s="504"/>
      <c r="AA462" s="504" t="str">
        <f>IF(AND(F464=G464,H464=I464,F464="A"),"2016 - kwh","")</f>
        <v/>
      </c>
      <c r="AB462" s="504" t="str">
        <f>IF(OR(B462="2017 - kwh",B462="2018 - kwh"),"2016 - kwh","")</f>
        <v/>
      </c>
      <c r="AC462" s="504"/>
      <c r="AD462" s="504"/>
      <c r="AE462" s="504"/>
    </row>
    <row r="463" spans="1:31" hidden="1" x14ac:dyDescent="0.35">
      <c r="A463" s="503" t="str">
        <f>IF(AND(F464=G464,H464=I464,J464=K464,F464="A"),"2016 - kw",IF(AND(F464=G464,H464=I464,J464&lt;&gt;K464,F464="A"),"2017 - kw",IF(AND(F464=G464,H464&lt;&gt;I464,F464="A"),"2018 - kw","N/A")))</f>
        <v>N/A</v>
      </c>
      <c r="B463" s="503" t="str">
        <f>IF(F464&lt;&gt;G464,"2018 - kw",IF(H464&lt;&gt;I464,"2017 - kw",IF(J464&lt;&gt;K464,"2016 - kw","N/A")))</f>
        <v>N/A</v>
      </c>
      <c r="C463" s="511"/>
      <c r="D463" s="512" t="str">
        <f>D462 &amp; "kW"</f>
        <v>kW</v>
      </c>
      <c r="E463" s="513" t="s">
        <v>170</v>
      </c>
      <c r="F463" s="415"/>
      <c r="G463" s="415"/>
      <c r="H463" s="415"/>
      <c r="I463" s="415"/>
      <c r="J463" s="415"/>
      <c r="K463" s="415"/>
      <c r="L463" s="415"/>
      <c r="M463" s="415"/>
      <c r="N463" s="415"/>
      <c r="O463" s="415"/>
      <c r="P463" s="503"/>
      <c r="Q463" s="503"/>
      <c r="R463" s="503"/>
      <c r="S463" s="503"/>
      <c r="T463" s="503"/>
      <c r="U463" s="503"/>
      <c r="V463" s="503"/>
      <c r="Z463" s="504"/>
      <c r="AA463" s="504" t="str">
        <f>IF(AND(F464=G464,H464=I464,F464="A"),"2016 - kw","")</f>
        <v/>
      </c>
      <c r="AB463" s="504" t="str">
        <f>IF(OR(B463="2017 - kw",B463="2018 - kw"),"2016 - kw","")</f>
        <v/>
      </c>
      <c r="AC463" s="504"/>
      <c r="AD463" s="504"/>
      <c r="AE463" s="504"/>
    </row>
    <row r="464" spans="1:31" hidden="1" x14ac:dyDescent="0.35">
      <c r="A464" s="503"/>
      <c r="B464" s="503"/>
      <c r="C464" s="514"/>
      <c r="D464" s="515"/>
      <c r="E464" s="516" t="s">
        <v>210</v>
      </c>
      <c r="F464" s="502"/>
      <c r="G464" s="502"/>
      <c r="H464" s="502"/>
      <c r="I464" s="502"/>
      <c r="J464" s="502"/>
      <c r="K464" s="502"/>
      <c r="L464" s="502"/>
      <c r="M464" s="502"/>
      <c r="N464" s="502"/>
      <c r="O464" s="502"/>
      <c r="P464" s="503"/>
      <c r="Q464" s="503"/>
      <c r="R464" s="503"/>
      <c r="S464" s="503"/>
      <c r="T464" s="503"/>
      <c r="U464" s="503"/>
      <c r="V464" s="503"/>
      <c r="Z464" s="504"/>
      <c r="AA464" s="504"/>
      <c r="AB464" s="504"/>
      <c r="AC464" s="504"/>
      <c r="AD464" s="504"/>
      <c r="AE464" s="504"/>
    </row>
    <row r="465" spans="1:31" hidden="1" x14ac:dyDescent="0.35">
      <c r="A465" s="503" t="str">
        <f>IF(AND(F467=G467,H467=I467,J467=K467,F467="A"),"2016 - kwh",IF(AND(F467=G467,H467=I467,J467&lt;&gt;K467,F467="A"),"2017 - kwh",IF(AND(F467=G467,H467&lt;&gt;I467,F467="A"),"2018 - kwh","N/A")))</f>
        <v>N/A</v>
      </c>
      <c r="B465" s="503" t="str">
        <f>IF(F467&lt;&gt;G467,"2018 - kwh",IF(H467&lt;&gt;I467,"2017 - kwh",IF(J467&lt;&gt;K467,"2016 - kwh","N/A")))</f>
        <v>N/A</v>
      </c>
      <c r="C465" s="508" t="s">
        <v>354</v>
      </c>
      <c r="D465" s="509"/>
      <c r="E465" s="510" t="s">
        <v>139</v>
      </c>
      <c r="F465" s="415"/>
      <c r="G465" s="415"/>
      <c r="H465" s="415"/>
      <c r="I465" s="415"/>
      <c r="J465" s="415"/>
      <c r="K465" s="415"/>
      <c r="L465" s="415"/>
      <c r="M465" s="415"/>
      <c r="N465" s="415"/>
      <c r="O465" s="415"/>
      <c r="P465" s="503"/>
      <c r="Q465" s="503"/>
      <c r="R465" s="503"/>
      <c r="S465" s="503"/>
      <c r="T465" s="503"/>
      <c r="U465" s="503"/>
      <c r="V465" s="503"/>
      <c r="Z465" s="504"/>
      <c r="AA465" s="504" t="str">
        <f>IF(AND(F467=G467,H467=I467,F467="A"),"2016 - kwh","")</f>
        <v/>
      </c>
      <c r="AB465" s="504" t="str">
        <f>IF(OR(B465="2017 - kwh",B465="2018 - kwh"),"2016 - kwh","")</f>
        <v/>
      </c>
      <c r="AC465" s="504"/>
      <c r="AD465" s="504"/>
      <c r="AE465" s="504"/>
    </row>
    <row r="466" spans="1:31" hidden="1" x14ac:dyDescent="0.35">
      <c r="A466" s="503" t="str">
        <f>IF(AND(F467=G467,H467=I467,J467=K467,F467="A"),"2016 - kw",IF(AND(F467=G467,H467=I467,J467&lt;&gt;K467,F467="A"),"2017 - kw",IF(AND(F467=G467,H467&lt;&gt;I467,F467="A"),"2018 - kw","N/A")))</f>
        <v>N/A</v>
      </c>
      <c r="B466" s="503" t="str">
        <f>IF(F467&lt;&gt;G467,"2018 - kw",IF(H467&lt;&gt;I467,"2017 - kw",IF(J467&lt;&gt;K467,"2016 - kw","N/A")))</f>
        <v>N/A</v>
      </c>
      <c r="C466" s="511"/>
      <c r="D466" s="512" t="str">
        <f>D465 &amp; "kW"</f>
        <v>kW</v>
      </c>
      <c r="E466" s="513" t="s">
        <v>170</v>
      </c>
      <c r="F466" s="415"/>
      <c r="G466" s="415"/>
      <c r="H466" s="415"/>
      <c r="I466" s="415"/>
      <c r="J466" s="415"/>
      <c r="K466" s="415"/>
      <c r="L466" s="415"/>
      <c r="M466" s="415"/>
      <c r="N466" s="415"/>
      <c r="O466" s="415"/>
      <c r="P466" s="503"/>
      <c r="Q466" s="503"/>
      <c r="R466" s="503"/>
      <c r="S466" s="503"/>
      <c r="T466" s="503"/>
      <c r="U466" s="503"/>
      <c r="V466" s="503"/>
      <c r="Z466" s="504"/>
      <c r="AA466" s="504" t="str">
        <f>IF(AND(F467=G467,H467=I467,F467="A"),"2016 - kw","")</f>
        <v/>
      </c>
      <c r="AB466" s="504" t="str">
        <f>IF(OR(B466="2017 - kw",B466="2018 - kw"),"2016 - kw","")</f>
        <v/>
      </c>
      <c r="AC466" s="504"/>
      <c r="AD466" s="504"/>
      <c r="AE466" s="504"/>
    </row>
    <row r="467" spans="1:31" hidden="1" x14ac:dyDescent="0.35">
      <c r="A467" s="503"/>
      <c r="B467" s="503"/>
      <c r="C467" s="514"/>
      <c r="D467" s="515"/>
      <c r="E467" s="516" t="s">
        <v>210</v>
      </c>
      <c r="F467" s="502"/>
      <c r="G467" s="502"/>
      <c r="H467" s="502"/>
      <c r="I467" s="502"/>
      <c r="J467" s="502"/>
      <c r="K467" s="502"/>
      <c r="L467" s="502"/>
      <c r="M467" s="502"/>
      <c r="N467" s="502"/>
      <c r="O467" s="502"/>
      <c r="P467" s="503"/>
      <c r="Q467" s="503"/>
      <c r="R467" s="503"/>
      <c r="S467" s="503"/>
      <c r="T467" s="503"/>
      <c r="U467" s="503"/>
      <c r="V467" s="503"/>
      <c r="Z467" s="504"/>
      <c r="AA467" s="504"/>
      <c r="AB467" s="504"/>
      <c r="AC467" s="504"/>
      <c r="AD467" s="504"/>
      <c r="AE467" s="504"/>
    </row>
    <row r="468" spans="1:31" hidden="1" x14ac:dyDescent="0.35">
      <c r="A468" s="503" t="str">
        <f>IF(AND(F470=G470,H470=I470,J470=K470,F470="A"),"2016 - kwh",IF(AND(F470=G470,H470=I470,J470&lt;&gt;K470,F470="A"),"2017 - kwh",IF(AND(F470=G470,H470&lt;&gt;I470,F470="A"),"2018 - kwh","N/A")))</f>
        <v>N/A</v>
      </c>
      <c r="B468" s="503" t="str">
        <f>IF(F470&lt;&gt;G470,"2018 - kwh",IF(H470&lt;&gt;I470,"2017 - kwh",IF(J470&lt;&gt;K470,"2016 - kwh","N/A")))</f>
        <v>N/A</v>
      </c>
      <c r="C468" s="508" t="s">
        <v>355</v>
      </c>
      <c r="D468" s="509"/>
      <c r="E468" s="510" t="s">
        <v>139</v>
      </c>
      <c r="F468" s="415"/>
      <c r="G468" s="415"/>
      <c r="H468" s="415"/>
      <c r="I468" s="415"/>
      <c r="J468" s="415"/>
      <c r="K468" s="415"/>
      <c r="L468" s="415"/>
      <c r="M468" s="415"/>
      <c r="N468" s="415"/>
      <c r="O468" s="415"/>
      <c r="P468" s="503"/>
      <c r="Q468" s="503"/>
      <c r="R468" s="503"/>
      <c r="S468" s="503"/>
      <c r="T468" s="503"/>
      <c r="U468" s="503"/>
      <c r="V468" s="503"/>
      <c r="Z468" s="504"/>
      <c r="AA468" s="504" t="str">
        <f>IF(AND(F470=G470,H470=I470,F470="A"),"2016 - kwh","")</f>
        <v/>
      </c>
      <c r="AB468" s="504" t="str">
        <f>IF(OR(B468="2017 - kwh",B468="2018 - kwh"),"2016 - kwh","")</f>
        <v/>
      </c>
      <c r="AC468" s="504"/>
      <c r="AD468" s="504"/>
      <c r="AE468" s="504"/>
    </row>
    <row r="469" spans="1:31" hidden="1" x14ac:dyDescent="0.35">
      <c r="A469" s="503" t="str">
        <f>IF(AND(F470=G470,H470=I470,J470=K470,F470="A"),"2016 - kw",IF(AND(F470=G470,H470=I470,J470&lt;&gt;K470,F470="A"),"2017 - kw",IF(AND(F470=G470,H470&lt;&gt;I470,F470="A"),"2018 - kw","N/A")))</f>
        <v>N/A</v>
      </c>
      <c r="B469" s="503" t="str">
        <f>IF(F470&lt;&gt;G470,"2018 - kw",IF(H470&lt;&gt;I470,"2017 - kw",IF(J470&lt;&gt;K470,"2016 - kw","N/A")))</f>
        <v>N/A</v>
      </c>
      <c r="C469" s="511"/>
      <c r="D469" s="512" t="str">
        <f>D468 &amp; "kW"</f>
        <v>kW</v>
      </c>
      <c r="E469" s="513" t="s">
        <v>170</v>
      </c>
      <c r="F469" s="415"/>
      <c r="G469" s="415"/>
      <c r="H469" s="415"/>
      <c r="I469" s="415"/>
      <c r="J469" s="415"/>
      <c r="K469" s="415"/>
      <c r="L469" s="415"/>
      <c r="M469" s="415"/>
      <c r="N469" s="415"/>
      <c r="O469" s="415"/>
      <c r="P469" s="503"/>
      <c r="Q469" s="503"/>
      <c r="R469" s="503"/>
      <c r="S469" s="503"/>
      <c r="T469" s="503"/>
      <c r="U469" s="503"/>
      <c r="V469" s="503"/>
      <c r="Z469" s="504"/>
      <c r="AA469" s="504" t="str">
        <f>IF(AND(F470=G470,H470=I470,F470="A"),"2016 - kw","")</f>
        <v/>
      </c>
      <c r="AB469" s="504" t="str">
        <f>IF(OR(B469="2017 - kw",B469="2018 - kw"),"2016 - kw","")</f>
        <v/>
      </c>
      <c r="AC469" s="504"/>
      <c r="AD469" s="504"/>
      <c r="AE469" s="504"/>
    </row>
    <row r="470" spans="1:31" hidden="1" x14ac:dyDescent="0.35">
      <c r="A470" s="503"/>
      <c r="B470" s="503"/>
      <c r="C470" s="514"/>
      <c r="D470" s="515"/>
      <c r="E470" s="516" t="s">
        <v>210</v>
      </c>
      <c r="F470" s="502"/>
      <c r="G470" s="502"/>
      <c r="H470" s="502"/>
      <c r="I470" s="502"/>
      <c r="J470" s="502"/>
      <c r="K470" s="502"/>
      <c r="L470" s="502"/>
      <c r="M470" s="502"/>
      <c r="N470" s="502"/>
      <c r="O470" s="502"/>
      <c r="P470" s="503"/>
      <c r="Q470" s="503"/>
      <c r="R470" s="503"/>
      <c r="S470" s="503"/>
      <c r="T470" s="503"/>
      <c r="U470" s="503"/>
      <c r="V470" s="503"/>
      <c r="Z470" s="504"/>
      <c r="AA470" s="504"/>
      <c r="AB470" s="504"/>
      <c r="AC470" s="504"/>
      <c r="AD470" s="504"/>
      <c r="AE470" s="504"/>
    </row>
    <row r="471" spans="1:31" hidden="1" x14ac:dyDescent="0.35">
      <c r="A471" s="503" t="str">
        <f>IF(AND(F473=G473,H473=I473,J473=K473,F473="A"),"2016 - kwh",IF(AND(F473=G473,H473=I473,J473&lt;&gt;K473,F473="A"),"2017 - kwh",IF(AND(F473=G473,H473&lt;&gt;I473,F473="A"),"2018 - kwh","N/A")))</f>
        <v>N/A</v>
      </c>
      <c r="B471" s="503" t="str">
        <f>IF(F473&lt;&gt;G473,"2018 - kwh",IF(H473&lt;&gt;I473,"2017 - kwh",IF(J473&lt;&gt;K473,"2016 - kwh","N/A")))</f>
        <v>N/A</v>
      </c>
      <c r="C471" s="508" t="s">
        <v>356</v>
      </c>
      <c r="D471" s="509"/>
      <c r="E471" s="510" t="s">
        <v>139</v>
      </c>
      <c r="F471" s="415"/>
      <c r="G471" s="415"/>
      <c r="H471" s="415"/>
      <c r="I471" s="415"/>
      <c r="J471" s="415"/>
      <c r="K471" s="415"/>
      <c r="L471" s="415"/>
      <c r="M471" s="415"/>
      <c r="N471" s="415"/>
      <c r="O471" s="415"/>
      <c r="P471" s="503"/>
      <c r="Q471" s="503"/>
      <c r="R471" s="503"/>
      <c r="S471" s="503"/>
      <c r="T471" s="503"/>
      <c r="U471" s="503"/>
      <c r="V471" s="503"/>
      <c r="Z471" s="504"/>
      <c r="AA471" s="504" t="str">
        <f>IF(AND(F473=G473,H473=I473,F473="A"),"2016 - kwh","")</f>
        <v/>
      </c>
      <c r="AB471" s="504" t="str">
        <f>IF(OR(B471="2017 - kwh",B471="2018 - kwh"),"2016 - kwh","")</f>
        <v/>
      </c>
      <c r="AC471" s="504"/>
      <c r="AD471" s="504"/>
      <c r="AE471" s="504"/>
    </row>
    <row r="472" spans="1:31" hidden="1" x14ac:dyDescent="0.35">
      <c r="A472" s="503" t="str">
        <f>IF(AND(F473=G473,H473=I473,J473=K473,F473="A"),"2016 - kw",IF(AND(F473=G473,H473=I473,J473&lt;&gt;K473,F473="A"),"2017 - kw",IF(AND(F473=G473,H473&lt;&gt;I473,F473="A"),"2018 - kw","N/A")))</f>
        <v>N/A</v>
      </c>
      <c r="B472" s="503" t="str">
        <f>IF(F473&lt;&gt;G473,"2018 - kw",IF(H473&lt;&gt;I473,"2017 - kw",IF(J473&lt;&gt;K473,"2016 - kw","N/A")))</f>
        <v>N/A</v>
      </c>
      <c r="C472" s="511"/>
      <c r="D472" s="512" t="str">
        <f>D471 &amp; "kW"</f>
        <v>kW</v>
      </c>
      <c r="E472" s="513" t="s">
        <v>170</v>
      </c>
      <c r="F472" s="415"/>
      <c r="G472" s="415"/>
      <c r="H472" s="415"/>
      <c r="I472" s="415"/>
      <c r="J472" s="415"/>
      <c r="K472" s="415"/>
      <c r="L472" s="415"/>
      <c r="M472" s="415"/>
      <c r="N472" s="415"/>
      <c r="O472" s="415"/>
      <c r="P472" s="503"/>
      <c r="Q472" s="503"/>
      <c r="R472" s="503"/>
      <c r="S472" s="503"/>
      <c r="T472" s="503"/>
      <c r="U472" s="503"/>
      <c r="V472" s="503"/>
      <c r="Z472" s="504"/>
      <c r="AA472" s="504" t="str">
        <f>IF(AND(F473=G473,H473=I473,F473="A"),"2016 - kw","")</f>
        <v/>
      </c>
      <c r="AB472" s="504" t="str">
        <f>IF(OR(B472="2017 - kw",B472="2018 - kw"),"2016 - kw","")</f>
        <v/>
      </c>
      <c r="AC472" s="504"/>
      <c r="AD472" s="504"/>
      <c r="AE472" s="504"/>
    </row>
    <row r="473" spans="1:31" hidden="1" x14ac:dyDescent="0.35">
      <c r="A473" s="503"/>
      <c r="B473" s="503"/>
      <c r="C473" s="514"/>
      <c r="D473" s="515"/>
      <c r="E473" s="516" t="s">
        <v>210</v>
      </c>
      <c r="F473" s="502"/>
      <c r="G473" s="502"/>
      <c r="H473" s="502"/>
      <c r="I473" s="502"/>
      <c r="J473" s="502"/>
      <c r="K473" s="502"/>
      <c r="L473" s="502"/>
      <c r="M473" s="502"/>
      <c r="N473" s="502"/>
      <c r="O473" s="502"/>
      <c r="P473" s="503"/>
      <c r="Q473" s="503"/>
      <c r="R473" s="503"/>
      <c r="S473" s="503"/>
      <c r="T473" s="503"/>
      <c r="U473" s="503"/>
      <c r="V473" s="503"/>
      <c r="Z473" s="504"/>
      <c r="AA473" s="504"/>
      <c r="AB473" s="504"/>
      <c r="AC473" s="504"/>
      <c r="AD473" s="504"/>
      <c r="AE473" s="504"/>
    </row>
    <row r="474" spans="1:31" hidden="1" x14ac:dyDescent="0.35">
      <c r="A474" s="503" t="str">
        <f>IF(AND(F476=G476,H476=I476,J476=K476,F476="A"),"2016 - kwh",IF(AND(F476=G476,H476=I476,J476&lt;&gt;K476,F476="A"),"2017 - kwh",IF(AND(F476=G476,H476&lt;&gt;I476,F476="A"),"2018 - kwh","N/A")))</f>
        <v>N/A</v>
      </c>
      <c r="B474" s="503" t="str">
        <f>IF(F476&lt;&gt;G476,"2018 - kwh",IF(H476&lt;&gt;I476,"2017 - kwh",IF(J476&lt;&gt;K476,"2016 - kwh","N/A")))</f>
        <v>N/A</v>
      </c>
      <c r="C474" s="508" t="s">
        <v>357</v>
      </c>
      <c r="D474" s="509"/>
      <c r="E474" s="510" t="s">
        <v>139</v>
      </c>
      <c r="F474" s="415"/>
      <c r="G474" s="415"/>
      <c r="H474" s="415"/>
      <c r="I474" s="415"/>
      <c r="J474" s="415"/>
      <c r="K474" s="415"/>
      <c r="L474" s="415"/>
      <c r="M474" s="415"/>
      <c r="N474" s="415"/>
      <c r="O474" s="415"/>
      <c r="P474" s="503"/>
      <c r="Q474" s="503"/>
      <c r="R474" s="503"/>
      <c r="S474" s="503"/>
      <c r="T474" s="503"/>
      <c r="U474" s="503"/>
      <c r="V474" s="503"/>
      <c r="Z474" s="504"/>
      <c r="AA474" s="504" t="str">
        <f>IF(AND(F476=G476,H476=I476,F476="A"),"2016 - kwh","")</f>
        <v/>
      </c>
      <c r="AB474" s="504" t="str">
        <f>IF(OR(B474="2017 - kwh",B474="2018 - kwh"),"2016 - kwh","")</f>
        <v/>
      </c>
      <c r="AC474" s="504"/>
      <c r="AD474" s="504"/>
      <c r="AE474" s="504"/>
    </row>
    <row r="475" spans="1:31" hidden="1" x14ac:dyDescent="0.35">
      <c r="A475" s="503" t="str">
        <f>IF(AND(F476=G476,H476=I476,J476=K476,F476="A"),"2016 - kw",IF(AND(F476=G476,H476=I476,J476&lt;&gt;K476,F476="A"),"2017 - kw",IF(AND(F476=G476,H476&lt;&gt;I476,F476="A"),"2018 - kw","N/A")))</f>
        <v>N/A</v>
      </c>
      <c r="B475" s="503" t="str">
        <f>IF(F476&lt;&gt;G476,"2018 - kw",IF(H476&lt;&gt;I476,"2017 - kw",IF(J476&lt;&gt;K476,"2016 - kw","N/A")))</f>
        <v>N/A</v>
      </c>
      <c r="C475" s="511"/>
      <c r="D475" s="512" t="str">
        <f>D474 &amp; "kW"</f>
        <v>kW</v>
      </c>
      <c r="E475" s="513" t="s">
        <v>170</v>
      </c>
      <c r="F475" s="415"/>
      <c r="G475" s="415"/>
      <c r="H475" s="415"/>
      <c r="I475" s="415"/>
      <c r="J475" s="415"/>
      <c r="K475" s="415"/>
      <c r="L475" s="415"/>
      <c r="M475" s="415"/>
      <c r="N475" s="415"/>
      <c r="O475" s="415"/>
      <c r="P475" s="503"/>
      <c r="Q475" s="503"/>
      <c r="R475" s="503"/>
      <c r="S475" s="503"/>
      <c r="T475" s="503"/>
      <c r="U475" s="503"/>
      <c r="V475" s="503"/>
      <c r="Z475" s="504"/>
      <c r="AA475" s="504" t="str">
        <f>IF(AND(F476=G476,H476=I476,F476="A"),"2016 - kw","")</f>
        <v/>
      </c>
      <c r="AB475" s="504" t="str">
        <f>IF(OR(B475="2017 - kw",B475="2018 - kw"),"2016 - kw","")</f>
        <v/>
      </c>
      <c r="AC475" s="504"/>
      <c r="AD475" s="504"/>
      <c r="AE475" s="504"/>
    </row>
    <row r="476" spans="1:31" hidden="1" x14ac:dyDescent="0.35">
      <c r="A476" s="503"/>
      <c r="B476" s="503"/>
      <c r="C476" s="514"/>
      <c r="D476" s="515"/>
      <c r="E476" s="516" t="s">
        <v>210</v>
      </c>
      <c r="F476" s="502"/>
      <c r="G476" s="502"/>
      <c r="H476" s="502"/>
      <c r="I476" s="502"/>
      <c r="J476" s="502"/>
      <c r="K476" s="502"/>
      <c r="L476" s="502"/>
      <c r="M476" s="502"/>
      <c r="N476" s="502"/>
      <c r="O476" s="502"/>
      <c r="P476" s="503"/>
      <c r="Q476" s="503"/>
      <c r="R476" s="503"/>
      <c r="S476" s="503"/>
      <c r="T476" s="503"/>
      <c r="U476" s="503"/>
      <c r="V476" s="503"/>
      <c r="Z476" s="504"/>
      <c r="AA476" s="504"/>
      <c r="AB476" s="504"/>
      <c r="AC476" s="504"/>
      <c r="AD476" s="504"/>
      <c r="AE476" s="504"/>
    </row>
    <row r="477" spans="1:31" hidden="1" x14ac:dyDescent="0.35">
      <c r="A477" s="503" t="str">
        <f>IF(AND(F479=G479,H479=I479,J479=K479,F479="A"),"2016 - kwh",IF(AND(F479=G479,H479=I479,J479&lt;&gt;K479,F479="A"),"2017 - kwh",IF(AND(F479=G479,H479&lt;&gt;I479,F479="A"),"2018 - kwh","N/A")))</f>
        <v>N/A</v>
      </c>
      <c r="B477" s="503" t="str">
        <f>IF(F479&lt;&gt;G479,"2018 - kwh",IF(H479&lt;&gt;I479,"2017 - kwh",IF(J479&lt;&gt;K479,"2016 - kwh","N/A")))</f>
        <v>N/A</v>
      </c>
      <c r="C477" s="518" t="s">
        <v>358</v>
      </c>
      <c r="D477" s="509"/>
      <c r="E477" s="510" t="s">
        <v>139</v>
      </c>
      <c r="F477" s="415"/>
      <c r="G477" s="415"/>
      <c r="H477" s="415"/>
      <c r="I477" s="415"/>
      <c r="J477" s="415"/>
      <c r="K477" s="415"/>
      <c r="L477" s="415"/>
      <c r="M477" s="415"/>
      <c r="N477" s="415"/>
      <c r="O477" s="415"/>
      <c r="P477" s="503"/>
      <c r="Q477" s="503"/>
      <c r="R477" s="503"/>
      <c r="S477" s="503"/>
      <c r="T477" s="503"/>
      <c r="U477" s="503"/>
      <c r="V477" s="503"/>
      <c r="Z477" s="504"/>
      <c r="AA477" s="504" t="str">
        <f>IF(AND(F479=G479,H479=I479,F479="A"),"2016 - kwh","")</f>
        <v/>
      </c>
      <c r="AB477" s="504" t="str">
        <f>IF(OR(B477="2017 - kwh",B477="2018 - kwh"),"2016 - kwh","")</f>
        <v/>
      </c>
      <c r="AC477" s="504"/>
      <c r="AD477" s="504"/>
      <c r="AE477" s="504"/>
    </row>
    <row r="478" spans="1:31" hidden="1" x14ac:dyDescent="0.35">
      <c r="A478" s="503" t="str">
        <f>IF(AND(F479=G479,H479=I479,J479=K479,F479="A"),"2016 - kw",IF(AND(F479=G479,H479=I479,J479&lt;&gt;K479,F479="A"),"2017 - kw",IF(AND(F479=G479,H479&lt;&gt;I479,F479="A"),"2018 - kw","N/A")))</f>
        <v>N/A</v>
      </c>
      <c r="B478" s="503" t="str">
        <f>IF(F479&lt;&gt;G479,"2018 - kw",IF(H479&lt;&gt;I479,"2017 - kw",IF(J479&lt;&gt;K479,"2016 - kw","N/A")))</f>
        <v>N/A</v>
      </c>
      <c r="C478" s="519"/>
      <c r="D478" s="512" t="str">
        <f>D477 &amp; "kW"</f>
        <v>kW</v>
      </c>
      <c r="E478" s="513" t="s">
        <v>170</v>
      </c>
      <c r="F478" s="415"/>
      <c r="G478" s="415"/>
      <c r="H478" s="415"/>
      <c r="I478" s="415"/>
      <c r="J478" s="415"/>
      <c r="K478" s="415"/>
      <c r="L478" s="415"/>
      <c r="M478" s="415"/>
      <c r="N478" s="415"/>
      <c r="O478" s="415"/>
      <c r="P478" s="503"/>
      <c r="Q478" s="503"/>
      <c r="R478" s="503"/>
      <c r="S478" s="503"/>
      <c r="T478" s="503"/>
      <c r="U478" s="503"/>
      <c r="V478" s="503"/>
      <c r="Z478" s="504"/>
      <c r="AA478" s="504" t="str">
        <f>IF(AND(F479=G479,H479=I479,F479="A"),"2016 - kw","")</f>
        <v/>
      </c>
      <c r="AB478" s="504" t="str">
        <f>IF(OR(B478="2017 - kw",B478="2018 - kw"),"2016 - kw","")</f>
        <v/>
      </c>
      <c r="AC478" s="504"/>
      <c r="AD478" s="504"/>
      <c r="AE478" s="504"/>
    </row>
    <row r="479" spans="1:31" hidden="1" x14ac:dyDescent="0.35">
      <c r="A479" s="503"/>
      <c r="B479" s="503"/>
      <c r="C479" s="514"/>
      <c r="D479" s="515"/>
      <c r="E479" s="516" t="s">
        <v>210</v>
      </c>
      <c r="F479" s="502"/>
      <c r="G479" s="502"/>
      <c r="H479" s="502"/>
      <c r="I479" s="502"/>
      <c r="J479" s="502"/>
      <c r="K479" s="502"/>
      <c r="L479" s="502"/>
      <c r="M479" s="502"/>
      <c r="N479" s="502"/>
      <c r="O479" s="502"/>
      <c r="P479" s="503"/>
      <c r="Q479" s="503"/>
      <c r="R479" s="503"/>
      <c r="S479" s="503"/>
      <c r="T479" s="503"/>
      <c r="U479" s="503"/>
      <c r="V479" s="503"/>
      <c r="Z479" s="504"/>
      <c r="AA479" s="504"/>
      <c r="AB479" s="504"/>
      <c r="AC479" s="504"/>
      <c r="AD479" s="504"/>
      <c r="AE479" s="504"/>
    </row>
    <row r="480" spans="1:31" ht="14.25" customHeight="1" x14ac:dyDescent="0.35">
      <c r="A480" s="503"/>
      <c r="B480" s="503"/>
      <c r="D480" s="520"/>
      <c r="P480" s="503"/>
      <c r="Q480" s="503"/>
      <c r="R480" s="503"/>
      <c r="S480" s="503"/>
      <c r="T480" s="503"/>
      <c r="U480" s="503"/>
      <c r="V480" s="503"/>
      <c r="Z480" s="504"/>
      <c r="AA480" s="504"/>
      <c r="AB480" s="504"/>
      <c r="AC480" s="504"/>
      <c r="AD480" s="504"/>
      <c r="AE480" s="504"/>
    </row>
    <row r="481" spans="1:29" x14ac:dyDescent="0.35">
      <c r="A481" s="503"/>
      <c r="B481" s="503"/>
      <c r="F481" s="521"/>
      <c r="P481" s="503"/>
      <c r="Q481" s="503"/>
      <c r="R481" s="503"/>
      <c r="S481" s="503"/>
      <c r="T481" s="503"/>
      <c r="U481" s="503"/>
      <c r="V481" s="503"/>
      <c r="Z481" s="503"/>
      <c r="AA481" s="503"/>
      <c r="AB481" s="503"/>
      <c r="AC481" s="503"/>
    </row>
    <row r="482" spans="1:29" x14ac:dyDescent="0.35">
      <c r="A482" s="503"/>
      <c r="B482" s="503"/>
      <c r="E482" s="522"/>
      <c r="F482" s="463"/>
      <c r="P482" s="503"/>
      <c r="Q482" s="503"/>
      <c r="R482" s="503"/>
      <c r="S482" s="503"/>
      <c r="T482" s="503"/>
      <c r="U482" s="503"/>
      <c r="V482" s="503"/>
    </row>
    <row r="483" spans="1:29" x14ac:dyDescent="0.35">
      <c r="A483" s="503"/>
      <c r="B483" s="503"/>
      <c r="F483" s="521"/>
      <c r="P483" s="503"/>
      <c r="Q483" s="503"/>
      <c r="R483" s="503"/>
      <c r="S483" s="503"/>
      <c r="T483" s="503"/>
      <c r="U483" s="503"/>
      <c r="V483" s="503"/>
    </row>
    <row r="484" spans="1:29" x14ac:dyDescent="0.35">
      <c r="C484" s="523"/>
      <c r="F484" s="521"/>
      <c r="P484" s="503"/>
      <c r="Q484" s="503"/>
      <c r="R484" s="503"/>
      <c r="S484" s="503"/>
      <c r="T484" s="503"/>
      <c r="U484" s="503"/>
      <c r="V484" s="503"/>
    </row>
    <row r="485" spans="1:29" x14ac:dyDescent="0.35">
      <c r="P485" s="503"/>
      <c r="Q485" s="503"/>
      <c r="R485" s="503"/>
      <c r="S485" s="503"/>
      <c r="T485" s="503"/>
      <c r="U485" s="503"/>
      <c r="V485" s="503"/>
    </row>
    <row r="487" spans="1:29" ht="76.900000000000006" customHeight="1" x14ac:dyDescent="0.35">
      <c r="A487" s="501" t="s">
        <v>359</v>
      </c>
      <c r="B487" s="467" t="s">
        <v>2955</v>
      </c>
      <c r="C487" s="415">
        <v>4</v>
      </c>
    </row>
    <row r="488" spans="1:29" ht="143.65" customHeight="1" x14ac:dyDescent="0.35">
      <c r="B488" s="627" t="s">
        <v>3335</v>
      </c>
    </row>
    <row r="490" spans="1:29" ht="50.25" customHeight="1" x14ac:dyDescent="0.35">
      <c r="B490" s="505" t="s">
        <v>478</v>
      </c>
      <c r="D490" s="525" t="s">
        <v>630</v>
      </c>
      <c r="E490" s="1216" t="s">
        <v>631</v>
      </c>
      <c r="F490" s="1216"/>
      <c r="G490" s="1216"/>
      <c r="H490" s="1216"/>
      <c r="I490" s="1216"/>
      <c r="J490" s="1216"/>
      <c r="K490" s="1216"/>
      <c r="L490" s="1216"/>
      <c r="M490" s="1216"/>
      <c r="N490" s="1216"/>
      <c r="O490" s="1216"/>
      <c r="P490" s="538"/>
    </row>
    <row r="491" spans="1:29" ht="33" customHeight="1" x14ac:dyDescent="0.35">
      <c r="A491" s="541"/>
      <c r="B491" s="472" t="s">
        <v>207</v>
      </c>
      <c r="C491" s="471"/>
      <c r="D491" s="471" t="s">
        <v>629</v>
      </c>
      <c r="E491" s="471" t="s">
        <v>629</v>
      </c>
      <c r="F491" s="1203">
        <f>F28</f>
        <v>2023</v>
      </c>
      <c r="G491" s="1204"/>
      <c r="H491" s="1203">
        <f>H28</f>
        <v>2022</v>
      </c>
      <c r="I491" s="1204"/>
      <c r="J491" s="1203">
        <f>J28</f>
        <v>2020</v>
      </c>
      <c r="K491" s="1204"/>
      <c r="L491" s="1203">
        <f>L28</f>
        <v>2019</v>
      </c>
      <c r="M491" s="1204"/>
      <c r="N491" s="1203">
        <f>N28</f>
        <v>2018</v>
      </c>
      <c r="O491" s="1204"/>
      <c r="P491" s="503"/>
      <c r="Q491" s="503"/>
      <c r="R491" s="503"/>
      <c r="S491" s="503"/>
      <c r="T491" s="503"/>
      <c r="U491" s="503"/>
      <c r="V491" s="503"/>
      <c r="W491" s="503"/>
    </row>
    <row r="492" spans="1:29" x14ac:dyDescent="0.35">
      <c r="A492" s="542" t="s">
        <v>479</v>
      </c>
      <c r="B492" s="539" t="s">
        <v>3945</v>
      </c>
      <c r="C492" s="524" t="s">
        <v>139</v>
      </c>
      <c r="D492" s="526">
        <v>156959815.57932019</v>
      </c>
      <c r="E492" s="567">
        <v>1129473272.2612765</v>
      </c>
      <c r="F492" s="1201">
        <v>1381678361.3667173</v>
      </c>
      <c r="G492" s="1202"/>
      <c r="H492" s="1201">
        <v>1392939539.7893043</v>
      </c>
      <c r="I492" s="1202"/>
      <c r="J492" s="1201"/>
      <c r="K492" s="1202"/>
      <c r="L492" s="1201"/>
      <c r="M492" s="1202"/>
      <c r="N492" s="1201"/>
      <c r="O492" s="1202"/>
      <c r="P492" s="503"/>
      <c r="Q492" s="503"/>
      <c r="R492" s="503"/>
      <c r="S492" s="503"/>
      <c r="T492" s="503"/>
      <c r="U492" s="503"/>
      <c r="V492" s="503"/>
      <c r="W492" s="503"/>
    </row>
    <row r="493" spans="1:29" x14ac:dyDescent="0.35">
      <c r="A493" s="542"/>
      <c r="B493" s="540" t="str">
        <f>B492&amp;"KW"</f>
        <v>LARGE USE SERVICE CLASSIFICATIONKW</v>
      </c>
      <c r="C493" s="524" t="s">
        <v>170</v>
      </c>
      <c r="D493" s="771">
        <v>500078.06455218513</v>
      </c>
      <c r="E493" s="567">
        <v>2750577.502911313</v>
      </c>
      <c r="F493" s="1201">
        <v>2801274.6173119997</v>
      </c>
      <c r="G493" s="1202"/>
      <c r="H493" s="1201">
        <v>2790367.7640455901</v>
      </c>
      <c r="I493" s="1202"/>
      <c r="J493" s="1201"/>
      <c r="K493" s="1202"/>
      <c r="L493" s="1201"/>
      <c r="M493" s="1202"/>
      <c r="N493" s="1201"/>
      <c r="O493" s="1202"/>
      <c r="P493" s="503"/>
      <c r="Q493" s="503"/>
      <c r="R493" s="503"/>
      <c r="S493" s="503"/>
      <c r="T493" s="503"/>
      <c r="U493" s="503"/>
      <c r="V493" s="503"/>
      <c r="W493" s="503"/>
    </row>
    <row r="494" spans="1:29" x14ac:dyDescent="0.35">
      <c r="A494" s="543" t="s">
        <v>480</v>
      </c>
      <c r="B494" s="539" t="s">
        <v>3944</v>
      </c>
      <c r="C494" s="524" t="s">
        <v>139</v>
      </c>
      <c r="D494" s="771">
        <v>192861208.84317499</v>
      </c>
      <c r="E494" s="567">
        <v>493037316.41379946</v>
      </c>
      <c r="F494" s="1201">
        <v>526013300.13600695</v>
      </c>
      <c r="G494" s="1202"/>
      <c r="H494" s="1201">
        <v>486825235.15738499</v>
      </c>
      <c r="I494" s="1202"/>
      <c r="J494" s="1201"/>
      <c r="K494" s="1202"/>
      <c r="L494" s="1201"/>
      <c r="M494" s="1202"/>
      <c r="N494" s="1201"/>
      <c r="O494" s="1202"/>
      <c r="P494" s="503"/>
      <c r="Q494" s="503"/>
      <c r="R494" s="503"/>
      <c r="S494" s="503"/>
      <c r="T494" s="503"/>
      <c r="U494" s="503"/>
      <c r="V494" s="503"/>
      <c r="W494" s="503"/>
    </row>
    <row r="495" spans="1:29" x14ac:dyDescent="0.35">
      <c r="A495" s="543"/>
      <c r="B495" s="540" t="str">
        <f>B494&amp;"KW"</f>
        <v>GENERAL SERVICE 1,000 TO 4,999 KW SERVICE CLASSIFICATIONKW</v>
      </c>
      <c r="C495" s="524" t="s">
        <v>170</v>
      </c>
      <c r="D495" s="771">
        <v>479324.2601829489</v>
      </c>
      <c r="E495" s="567">
        <v>1205821.3366012049</v>
      </c>
      <c r="F495" s="1201">
        <v>1313030.4907019988</v>
      </c>
      <c r="G495" s="1202"/>
      <c r="H495" s="1201">
        <v>1179085.1215310006</v>
      </c>
      <c r="I495" s="1202"/>
      <c r="J495" s="1201"/>
      <c r="K495" s="1202"/>
      <c r="L495" s="1201"/>
      <c r="M495" s="1202"/>
      <c r="N495" s="1201"/>
      <c r="O495" s="1202"/>
      <c r="P495" s="503"/>
      <c r="Q495" s="503"/>
      <c r="R495" s="503"/>
      <c r="S495" s="503"/>
      <c r="T495" s="503"/>
      <c r="U495" s="503"/>
      <c r="V495" s="503"/>
      <c r="W495" s="503"/>
    </row>
    <row r="496" spans="1:29" x14ac:dyDescent="0.35">
      <c r="A496" s="543" t="s">
        <v>481</v>
      </c>
      <c r="B496" s="539" t="s">
        <v>3943</v>
      </c>
      <c r="C496" s="524" t="s">
        <v>139</v>
      </c>
      <c r="D496" s="771">
        <v>113100685.06698549</v>
      </c>
      <c r="E496" s="567">
        <v>3429731006.0636992</v>
      </c>
      <c r="F496" s="1201">
        <v>3469666600.8167949</v>
      </c>
      <c r="G496" s="1202"/>
      <c r="H496" s="1201">
        <v>3289314841.2032418</v>
      </c>
      <c r="I496" s="1202"/>
      <c r="J496" s="1201"/>
      <c r="K496" s="1202"/>
      <c r="L496" s="1201"/>
      <c r="M496" s="1202"/>
      <c r="N496" s="1201"/>
      <c r="O496" s="1202"/>
      <c r="P496" s="503"/>
      <c r="Q496" s="503"/>
      <c r="R496" s="503"/>
      <c r="S496" s="503"/>
      <c r="T496" s="503"/>
      <c r="U496" s="503"/>
      <c r="V496" s="503"/>
      <c r="W496" s="503"/>
    </row>
    <row r="497" spans="1:23" x14ac:dyDescent="0.35">
      <c r="A497" s="543"/>
      <c r="B497" s="540" t="str">
        <f>B496&amp;"KW"</f>
        <v>GENERAL SERVICE 50 TO 999 KW SERVICE CLASSIFICATIONKW</v>
      </c>
      <c r="C497" s="524" t="s">
        <v>170</v>
      </c>
      <c r="D497" s="771">
        <v>269719.73562137724</v>
      </c>
      <c r="E497" s="567">
        <v>7076902.6242099814</v>
      </c>
      <c r="F497" s="1201">
        <v>7402452.6977829942</v>
      </c>
      <c r="G497" s="1202"/>
      <c r="H497" s="1201">
        <v>6940722.4931630269</v>
      </c>
      <c r="I497" s="1202"/>
      <c r="J497" s="1201"/>
      <c r="K497" s="1202"/>
      <c r="L497" s="1201"/>
      <c r="M497" s="1202"/>
      <c r="N497" s="1201"/>
      <c r="O497" s="1202"/>
      <c r="P497" s="503"/>
      <c r="Q497" s="503"/>
      <c r="R497" s="503"/>
      <c r="S497" s="503"/>
      <c r="T497" s="503"/>
      <c r="U497" s="503"/>
      <c r="V497" s="503"/>
      <c r="W497" s="503"/>
    </row>
    <row r="498" spans="1:23" x14ac:dyDescent="0.35">
      <c r="A498" s="543" t="s">
        <v>482</v>
      </c>
      <c r="B498" s="539" t="s">
        <v>3942</v>
      </c>
      <c r="C498" s="524" t="s">
        <v>139</v>
      </c>
      <c r="D498" s="771">
        <v>0</v>
      </c>
      <c r="E498" s="526">
        <v>252157.17976954451</v>
      </c>
      <c r="F498" s="1199">
        <v>249736.57461700001</v>
      </c>
      <c r="G498" s="1200"/>
      <c r="H498" s="1199">
        <v>116526.11692100001</v>
      </c>
      <c r="I498" s="1200"/>
      <c r="J498" s="1199"/>
      <c r="K498" s="1200"/>
      <c r="L498" s="1199"/>
      <c r="M498" s="1200"/>
      <c r="N498" s="1199"/>
      <c r="O498" s="1200"/>
      <c r="P498" s="503"/>
      <c r="Q498" s="503"/>
      <c r="R498" s="503"/>
      <c r="S498" s="503"/>
      <c r="T498" s="503"/>
      <c r="U498" s="503"/>
      <c r="V498" s="503"/>
      <c r="W498" s="503"/>
    </row>
    <row r="499" spans="1:23" x14ac:dyDescent="0.35">
      <c r="A499" s="543"/>
      <c r="B499" s="540" t="str">
        <f>B498&amp;"KW"</f>
        <v>GENERAL SERVICE LESS THAN 50 KW SERVICE CLASSIFICATIONKW</v>
      </c>
      <c r="C499" s="524" t="s">
        <v>170</v>
      </c>
      <c r="D499" s="771">
        <v>0</v>
      </c>
      <c r="E499" s="526">
        <v>0</v>
      </c>
      <c r="F499" s="1199">
        <v>896.23997799999984</v>
      </c>
      <c r="G499" s="1200"/>
      <c r="H499" s="1199">
        <v>343.19</v>
      </c>
      <c r="I499" s="1200"/>
      <c r="J499" s="1199"/>
      <c r="K499" s="1200"/>
      <c r="L499" s="1199"/>
      <c r="M499" s="1200"/>
      <c r="N499" s="1199"/>
      <c r="O499" s="1200"/>
      <c r="P499" s="503"/>
      <c r="Q499" s="503"/>
      <c r="R499" s="503"/>
      <c r="S499" s="503"/>
      <c r="T499" s="503"/>
      <c r="U499" s="503"/>
      <c r="V499" s="503"/>
      <c r="W499" s="503"/>
    </row>
    <row r="500" spans="1:23" hidden="1" x14ac:dyDescent="0.35">
      <c r="A500" s="543" t="s">
        <v>483</v>
      </c>
      <c r="B500" s="539"/>
      <c r="C500" s="524" t="s">
        <v>139</v>
      </c>
      <c r="D500" s="526"/>
      <c r="E500" s="526"/>
      <c r="F500" s="1199"/>
      <c r="G500" s="1200"/>
      <c r="H500" s="1199"/>
      <c r="I500" s="1200"/>
      <c r="J500" s="1199"/>
      <c r="K500" s="1200"/>
      <c r="L500" s="1199"/>
      <c r="M500" s="1200"/>
      <c r="N500" s="1199"/>
      <c r="O500" s="1200"/>
      <c r="P500" s="503"/>
      <c r="Q500" s="503"/>
      <c r="R500" s="503"/>
      <c r="S500" s="503"/>
      <c r="T500" s="503"/>
      <c r="U500" s="503"/>
      <c r="V500" s="503"/>
      <c r="W500" s="503"/>
    </row>
    <row r="501" spans="1:23" hidden="1" x14ac:dyDescent="0.35">
      <c r="A501" s="543"/>
      <c r="B501" s="540" t="str">
        <f>B500&amp;"KW"</f>
        <v>KW</v>
      </c>
      <c r="C501" s="524" t="s">
        <v>170</v>
      </c>
      <c r="D501" s="526"/>
      <c r="E501" s="526"/>
      <c r="F501" s="1199"/>
      <c r="G501" s="1200"/>
      <c r="H501" s="1199"/>
      <c r="I501" s="1200"/>
      <c r="J501" s="1199"/>
      <c r="K501" s="1200"/>
      <c r="L501" s="1199"/>
      <c r="M501" s="1200"/>
      <c r="N501" s="1199"/>
      <c r="O501" s="1200"/>
      <c r="P501" s="503"/>
      <c r="Q501" s="503"/>
      <c r="R501" s="503"/>
      <c r="S501" s="503"/>
      <c r="T501" s="503"/>
      <c r="U501" s="503"/>
      <c r="V501" s="503"/>
      <c r="W501" s="503"/>
    </row>
    <row r="502" spans="1:23" hidden="1" x14ac:dyDescent="0.35">
      <c r="A502" s="543" t="s">
        <v>484</v>
      </c>
      <c r="B502" s="539"/>
      <c r="C502" s="524" t="s">
        <v>139</v>
      </c>
      <c r="D502" s="526"/>
      <c r="E502" s="526"/>
      <c r="F502" s="1199"/>
      <c r="G502" s="1200"/>
      <c r="H502" s="1199"/>
      <c r="I502" s="1200"/>
      <c r="J502" s="1199"/>
      <c r="K502" s="1200"/>
      <c r="L502" s="1199"/>
      <c r="M502" s="1200"/>
      <c r="N502" s="1199"/>
      <c r="O502" s="1200"/>
      <c r="P502" s="503"/>
      <c r="Q502" s="503"/>
      <c r="R502" s="503"/>
      <c r="S502" s="503"/>
      <c r="T502" s="503"/>
      <c r="U502" s="503"/>
      <c r="V502" s="503"/>
      <c r="W502" s="503"/>
    </row>
    <row r="503" spans="1:23" hidden="1" x14ac:dyDescent="0.35">
      <c r="A503" s="543"/>
      <c r="B503" s="540" t="str">
        <f>B502&amp;"KW"</f>
        <v>KW</v>
      </c>
      <c r="C503" s="524" t="s">
        <v>170</v>
      </c>
      <c r="D503" s="526"/>
      <c r="E503" s="526"/>
      <c r="F503" s="1199"/>
      <c r="G503" s="1200"/>
      <c r="H503" s="1199"/>
      <c r="I503" s="1200"/>
      <c r="J503" s="1199"/>
      <c r="K503" s="1200"/>
      <c r="L503" s="1199"/>
      <c r="M503" s="1200"/>
      <c r="N503" s="1199"/>
      <c r="O503" s="1200"/>
      <c r="P503" s="503"/>
      <c r="Q503" s="503"/>
      <c r="R503" s="503"/>
      <c r="S503" s="503"/>
      <c r="T503" s="503"/>
      <c r="U503" s="503"/>
      <c r="V503" s="503"/>
      <c r="W503" s="503"/>
    </row>
    <row r="504" spans="1:23" hidden="1" x14ac:dyDescent="0.35">
      <c r="A504" s="543" t="s">
        <v>485</v>
      </c>
      <c r="B504" s="539"/>
      <c r="C504" s="524" t="s">
        <v>139</v>
      </c>
      <c r="D504" s="526"/>
      <c r="E504" s="526"/>
      <c r="F504" s="1199"/>
      <c r="G504" s="1200"/>
      <c r="H504" s="1199"/>
      <c r="I504" s="1200"/>
      <c r="J504" s="1199"/>
      <c r="K504" s="1200"/>
      <c r="L504" s="1199"/>
      <c r="M504" s="1200"/>
      <c r="N504" s="1199"/>
      <c r="O504" s="1200"/>
      <c r="P504" s="503"/>
      <c r="Q504" s="503"/>
      <c r="R504" s="503"/>
      <c r="S504" s="503"/>
      <c r="T504" s="503"/>
      <c r="U504" s="503"/>
      <c r="V504" s="503"/>
      <c r="W504" s="503"/>
    </row>
    <row r="505" spans="1:23" hidden="1" x14ac:dyDescent="0.35">
      <c r="A505" s="543"/>
      <c r="B505" s="540" t="str">
        <f>B504&amp;"KW"</f>
        <v>KW</v>
      </c>
      <c r="C505" s="524" t="s">
        <v>170</v>
      </c>
      <c r="D505" s="526"/>
      <c r="E505" s="526"/>
      <c r="F505" s="1199"/>
      <c r="G505" s="1200"/>
      <c r="H505" s="1199"/>
      <c r="I505" s="1200"/>
      <c r="J505" s="1199"/>
      <c r="K505" s="1200"/>
      <c r="L505" s="1199"/>
      <c r="M505" s="1200"/>
      <c r="N505" s="1199"/>
      <c r="O505" s="1200"/>
      <c r="P505" s="503"/>
      <c r="Q505" s="503"/>
      <c r="R505" s="503"/>
      <c r="S505" s="503"/>
      <c r="T505" s="503"/>
      <c r="U505" s="503"/>
      <c r="V505" s="503"/>
      <c r="W505" s="503"/>
    </row>
    <row r="506" spans="1:23" hidden="1" x14ac:dyDescent="0.35">
      <c r="A506" s="543" t="s">
        <v>486</v>
      </c>
      <c r="B506" s="539"/>
      <c r="C506" s="524" t="s">
        <v>139</v>
      </c>
      <c r="D506" s="526"/>
      <c r="E506" s="526"/>
      <c r="F506" s="1199"/>
      <c r="G506" s="1200"/>
      <c r="H506" s="1199"/>
      <c r="I506" s="1200"/>
      <c r="J506" s="1199"/>
      <c r="K506" s="1200"/>
      <c r="L506" s="1199"/>
      <c r="M506" s="1200"/>
      <c r="N506" s="1199"/>
      <c r="O506" s="1200"/>
      <c r="P506" s="503"/>
      <c r="Q506" s="503"/>
      <c r="R506" s="503"/>
      <c r="S506" s="503"/>
      <c r="T506" s="503"/>
      <c r="U506" s="503"/>
      <c r="V506" s="503"/>
      <c r="W506" s="503"/>
    </row>
    <row r="507" spans="1:23" hidden="1" x14ac:dyDescent="0.35">
      <c r="A507" s="543"/>
      <c r="B507" s="540" t="str">
        <f>B506&amp;"KW"</f>
        <v>KW</v>
      </c>
      <c r="C507" s="524" t="s">
        <v>170</v>
      </c>
      <c r="D507" s="526"/>
      <c r="E507" s="526"/>
      <c r="F507" s="1199"/>
      <c r="G507" s="1200"/>
      <c r="H507" s="1199"/>
      <c r="I507" s="1200"/>
      <c r="J507" s="1199"/>
      <c r="K507" s="1200"/>
      <c r="L507" s="1199"/>
      <c r="M507" s="1200"/>
      <c r="N507" s="1199"/>
      <c r="O507" s="1200"/>
      <c r="P507" s="503"/>
      <c r="Q507" s="503"/>
      <c r="R507" s="503"/>
      <c r="S507" s="503"/>
      <c r="T507" s="503"/>
      <c r="U507" s="503"/>
      <c r="V507" s="503"/>
      <c r="W507" s="503"/>
    </row>
    <row r="508" spans="1:23" hidden="1" x14ac:dyDescent="0.35">
      <c r="A508" s="543" t="s">
        <v>487</v>
      </c>
      <c r="B508" s="539"/>
      <c r="C508" s="524" t="s">
        <v>139</v>
      </c>
      <c r="D508" s="526"/>
      <c r="E508" s="526"/>
      <c r="F508" s="1199"/>
      <c r="G508" s="1200"/>
      <c r="H508" s="1199"/>
      <c r="I508" s="1200"/>
      <c r="J508" s="1199"/>
      <c r="K508" s="1200"/>
      <c r="L508" s="1199"/>
      <c r="M508" s="1200"/>
      <c r="N508" s="1199"/>
      <c r="O508" s="1200"/>
      <c r="P508" s="503"/>
      <c r="Q508" s="503"/>
      <c r="R508" s="503"/>
      <c r="S508" s="503"/>
      <c r="T508" s="503"/>
      <c r="U508" s="503"/>
      <c r="V508" s="503"/>
      <c r="W508" s="503"/>
    </row>
    <row r="509" spans="1:23" hidden="1" x14ac:dyDescent="0.35">
      <c r="A509" s="543"/>
      <c r="B509" s="540" t="str">
        <f>B508&amp;"KW"</f>
        <v>KW</v>
      </c>
      <c r="C509" s="524" t="s">
        <v>170</v>
      </c>
      <c r="D509" s="526"/>
      <c r="E509" s="526"/>
      <c r="F509" s="1199"/>
      <c r="G509" s="1200"/>
      <c r="H509" s="1199"/>
      <c r="I509" s="1200"/>
      <c r="J509" s="1199"/>
      <c r="K509" s="1200"/>
      <c r="L509" s="1199"/>
      <c r="M509" s="1200"/>
      <c r="N509" s="1199"/>
      <c r="O509" s="1200"/>
      <c r="P509" s="503"/>
      <c r="Q509" s="503"/>
      <c r="R509" s="503"/>
      <c r="S509" s="503"/>
      <c r="T509" s="503"/>
      <c r="U509" s="503"/>
      <c r="V509" s="503"/>
      <c r="W509" s="503"/>
    </row>
    <row r="510" spans="1:23" hidden="1" x14ac:dyDescent="0.35">
      <c r="A510" s="543" t="s">
        <v>488</v>
      </c>
      <c r="B510" s="539"/>
      <c r="C510" s="524" t="s">
        <v>139</v>
      </c>
      <c r="D510" s="526"/>
      <c r="E510" s="526"/>
      <c r="F510" s="1199"/>
      <c r="G510" s="1200"/>
      <c r="H510" s="1199"/>
      <c r="I510" s="1200"/>
      <c r="J510" s="1199"/>
      <c r="K510" s="1200"/>
      <c r="L510" s="1199"/>
      <c r="M510" s="1200"/>
      <c r="N510" s="1199"/>
      <c r="O510" s="1200"/>
      <c r="P510" s="503"/>
      <c r="Q510" s="503"/>
      <c r="R510" s="503"/>
      <c r="S510" s="503"/>
      <c r="T510" s="503"/>
      <c r="U510" s="503"/>
      <c r="V510" s="503"/>
      <c r="W510" s="503"/>
    </row>
    <row r="511" spans="1:23" hidden="1" x14ac:dyDescent="0.35">
      <c r="A511" s="543"/>
      <c r="B511" s="540" t="str">
        <f>B510&amp;"KW"</f>
        <v>KW</v>
      </c>
      <c r="C511" s="524" t="s">
        <v>170</v>
      </c>
      <c r="D511" s="526"/>
      <c r="E511" s="526"/>
      <c r="F511" s="1199"/>
      <c r="G511" s="1200"/>
      <c r="H511" s="1199"/>
      <c r="I511" s="1200"/>
      <c r="J511" s="1199"/>
      <c r="K511" s="1200"/>
      <c r="L511" s="1199"/>
      <c r="M511" s="1200"/>
      <c r="N511" s="1199"/>
      <c r="O511" s="1200"/>
      <c r="P511" s="503"/>
      <c r="Q511" s="503"/>
      <c r="R511" s="503"/>
      <c r="S511" s="503"/>
      <c r="T511" s="503"/>
      <c r="U511" s="503"/>
      <c r="V511" s="503"/>
      <c r="W511" s="503"/>
    </row>
    <row r="512" spans="1:23" hidden="1" x14ac:dyDescent="0.35">
      <c r="A512" s="543" t="s">
        <v>489</v>
      </c>
      <c r="B512" s="539"/>
      <c r="C512" s="524" t="s">
        <v>139</v>
      </c>
      <c r="D512" s="526"/>
      <c r="E512" s="526"/>
      <c r="F512" s="1199"/>
      <c r="G512" s="1200"/>
      <c r="H512" s="1199"/>
      <c r="I512" s="1200"/>
      <c r="J512" s="1199"/>
      <c r="K512" s="1200"/>
      <c r="L512" s="1199"/>
      <c r="M512" s="1200"/>
      <c r="N512" s="1199"/>
      <c r="O512" s="1200"/>
      <c r="P512" s="503"/>
      <c r="Q512" s="503"/>
      <c r="R512" s="503"/>
      <c r="S512" s="503"/>
      <c r="T512" s="503"/>
      <c r="U512" s="503"/>
      <c r="V512" s="503"/>
      <c r="W512" s="503"/>
    </row>
    <row r="513" spans="1:23" hidden="1" x14ac:dyDescent="0.35">
      <c r="A513" s="543"/>
      <c r="B513" s="540" t="str">
        <f>B512&amp;"KW"</f>
        <v>KW</v>
      </c>
      <c r="C513" s="524" t="s">
        <v>170</v>
      </c>
      <c r="D513" s="526"/>
      <c r="E513" s="526"/>
      <c r="F513" s="1199"/>
      <c r="G513" s="1200"/>
      <c r="H513" s="1199"/>
      <c r="I513" s="1200"/>
      <c r="J513" s="1199"/>
      <c r="K513" s="1200"/>
      <c r="L513" s="1199"/>
      <c r="M513" s="1200"/>
      <c r="N513" s="1199"/>
      <c r="O513" s="1200"/>
      <c r="P513" s="503"/>
      <c r="Q513" s="503"/>
      <c r="R513" s="503"/>
      <c r="S513" s="503"/>
      <c r="T513" s="503"/>
      <c r="U513" s="503"/>
      <c r="V513" s="503"/>
      <c r="W513" s="503"/>
    </row>
    <row r="514" spans="1:23" hidden="1" x14ac:dyDescent="0.35">
      <c r="A514" s="543" t="s">
        <v>490</v>
      </c>
      <c r="B514" s="539"/>
      <c r="C514" s="524" t="s">
        <v>139</v>
      </c>
      <c r="D514" s="526"/>
      <c r="E514" s="526"/>
      <c r="F514" s="1199"/>
      <c r="G514" s="1200"/>
      <c r="H514" s="1199"/>
      <c r="I514" s="1200"/>
      <c r="J514" s="1199"/>
      <c r="K514" s="1200"/>
      <c r="L514" s="1199"/>
      <c r="M514" s="1200"/>
      <c r="N514" s="1199"/>
      <c r="O514" s="1200"/>
      <c r="P514" s="503"/>
      <c r="Q514" s="503"/>
      <c r="R514" s="503"/>
      <c r="S514" s="503"/>
      <c r="T514" s="503"/>
      <c r="U514" s="503"/>
      <c r="V514" s="503"/>
      <c r="W514" s="503"/>
    </row>
    <row r="515" spans="1:23" hidden="1" x14ac:dyDescent="0.35">
      <c r="A515" s="543"/>
      <c r="B515" s="540" t="str">
        <f>B514&amp;"KW"</f>
        <v>KW</v>
      </c>
      <c r="C515" s="524" t="s">
        <v>170</v>
      </c>
      <c r="D515" s="526"/>
      <c r="E515" s="526"/>
      <c r="F515" s="1199"/>
      <c r="G515" s="1200"/>
      <c r="H515" s="1199"/>
      <c r="I515" s="1200"/>
      <c r="J515" s="1199"/>
      <c r="K515" s="1200"/>
      <c r="L515" s="1199"/>
      <c r="M515" s="1200"/>
      <c r="N515" s="1199"/>
      <c r="O515" s="1200"/>
      <c r="P515" s="503"/>
      <c r="Q515" s="503"/>
      <c r="R515" s="503"/>
      <c r="S515" s="503"/>
      <c r="T515" s="503"/>
      <c r="U515" s="503"/>
      <c r="V515" s="503"/>
      <c r="W515" s="503"/>
    </row>
    <row r="516" spans="1:23" hidden="1" x14ac:dyDescent="0.35">
      <c r="A516" s="543" t="s">
        <v>491</v>
      </c>
      <c r="B516" s="539"/>
      <c r="C516" s="524" t="s">
        <v>139</v>
      </c>
      <c r="D516" s="526"/>
      <c r="E516" s="526"/>
      <c r="F516" s="1199"/>
      <c r="G516" s="1200"/>
      <c r="H516" s="1199"/>
      <c r="I516" s="1200"/>
      <c r="J516" s="1199"/>
      <c r="K516" s="1200"/>
      <c r="L516" s="1199"/>
      <c r="M516" s="1200"/>
      <c r="N516" s="1199"/>
      <c r="O516" s="1200"/>
      <c r="P516" s="503"/>
      <c r="Q516" s="503"/>
      <c r="R516" s="503"/>
      <c r="S516" s="503"/>
      <c r="T516" s="503"/>
      <c r="U516" s="503"/>
      <c r="V516" s="503"/>
      <c r="W516" s="503"/>
    </row>
    <row r="517" spans="1:23" hidden="1" x14ac:dyDescent="0.35">
      <c r="A517" s="543"/>
      <c r="B517" s="540" t="str">
        <f>B516&amp;"KW"</f>
        <v>KW</v>
      </c>
      <c r="C517" s="524" t="s">
        <v>170</v>
      </c>
      <c r="D517" s="526"/>
      <c r="E517" s="526"/>
      <c r="F517" s="1199"/>
      <c r="G517" s="1200"/>
      <c r="H517" s="1199"/>
      <c r="I517" s="1200"/>
      <c r="J517" s="1199"/>
      <c r="K517" s="1200"/>
      <c r="L517" s="1199"/>
      <c r="M517" s="1200"/>
      <c r="N517" s="1199"/>
      <c r="O517" s="1200"/>
      <c r="P517" s="503"/>
      <c r="Q517" s="503"/>
      <c r="R517" s="503"/>
      <c r="S517" s="503"/>
      <c r="T517" s="503"/>
      <c r="U517" s="503"/>
      <c r="V517" s="503"/>
      <c r="W517" s="503"/>
    </row>
    <row r="518" spans="1:23" hidden="1" x14ac:dyDescent="0.35">
      <c r="A518" s="543" t="s">
        <v>492</v>
      </c>
      <c r="B518" s="539"/>
      <c r="C518" s="524" t="s">
        <v>139</v>
      </c>
      <c r="D518" s="526"/>
      <c r="E518" s="526"/>
      <c r="F518" s="1199"/>
      <c r="G518" s="1200"/>
      <c r="H518" s="1199"/>
      <c r="I518" s="1200"/>
      <c r="J518" s="1199"/>
      <c r="K518" s="1200"/>
      <c r="L518" s="1199"/>
      <c r="M518" s="1200"/>
      <c r="N518" s="1199"/>
      <c r="O518" s="1200"/>
      <c r="P518" s="503"/>
      <c r="Q518" s="503"/>
      <c r="R518" s="503"/>
      <c r="S518" s="503"/>
      <c r="T518" s="503"/>
      <c r="U518" s="503"/>
      <c r="V518" s="503"/>
      <c r="W518" s="503"/>
    </row>
    <row r="519" spans="1:23" hidden="1" x14ac:dyDescent="0.35">
      <c r="A519" s="543"/>
      <c r="B519" s="540" t="str">
        <f>B518&amp;"KW"</f>
        <v>KW</v>
      </c>
      <c r="C519" s="524" t="s">
        <v>170</v>
      </c>
      <c r="D519" s="526"/>
      <c r="E519" s="526"/>
      <c r="F519" s="1199"/>
      <c r="G519" s="1200"/>
      <c r="H519" s="1199"/>
      <c r="I519" s="1200"/>
      <c r="J519" s="1199"/>
      <c r="K519" s="1200"/>
      <c r="L519" s="1199"/>
      <c r="M519" s="1200"/>
      <c r="N519" s="1199"/>
      <c r="O519" s="1200"/>
      <c r="P519" s="503"/>
      <c r="Q519" s="503"/>
      <c r="R519" s="503"/>
      <c r="S519" s="503"/>
      <c r="T519" s="503"/>
      <c r="U519" s="503"/>
      <c r="V519" s="503"/>
      <c r="W519" s="503"/>
    </row>
    <row r="520" spans="1:23" hidden="1" x14ac:dyDescent="0.35">
      <c r="A520" s="543" t="s">
        <v>493</v>
      </c>
      <c r="B520" s="539"/>
      <c r="C520" s="524" t="s">
        <v>139</v>
      </c>
      <c r="D520" s="526"/>
      <c r="E520" s="526"/>
      <c r="F520" s="1199"/>
      <c r="G520" s="1200"/>
      <c r="H520" s="1199"/>
      <c r="I520" s="1200"/>
      <c r="J520" s="1199"/>
      <c r="K520" s="1200"/>
      <c r="L520" s="1199"/>
      <c r="M520" s="1200"/>
      <c r="N520" s="1199"/>
      <c r="O520" s="1200"/>
      <c r="P520" s="503"/>
      <c r="Q520" s="503"/>
      <c r="R520" s="503"/>
      <c r="S520" s="503"/>
      <c r="T520" s="503"/>
      <c r="U520" s="503"/>
      <c r="V520" s="503"/>
      <c r="W520" s="503"/>
    </row>
    <row r="521" spans="1:23" hidden="1" x14ac:dyDescent="0.35">
      <c r="A521" s="543"/>
      <c r="B521" s="540" t="str">
        <f>B520&amp;"KW"</f>
        <v>KW</v>
      </c>
      <c r="C521" s="524" t="s">
        <v>170</v>
      </c>
      <c r="D521" s="526"/>
      <c r="E521" s="526"/>
      <c r="F521" s="1199"/>
      <c r="G521" s="1200"/>
      <c r="H521" s="1199"/>
      <c r="I521" s="1200"/>
      <c r="J521" s="1199"/>
      <c r="K521" s="1200"/>
      <c r="L521" s="1199"/>
      <c r="M521" s="1200"/>
      <c r="N521" s="1199"/>
      <c r="O521" s="1200"/>
      <c r="P521" s="503"/>
      <c r="Q521" s="503"/>
      <c r="R521" s="503"/>
      <c r="S521" s="503"/>
      <c r="T521" s="503"/>
      <c r="U521" s="503"/>
      <c r="V521" s="503"/>
      <c r="W521" s="503"/>
    </row>
    <row r="522" spans="1:23" hidden="1" x14ac:dyDescent="0.35">
      <c r="A522" s="543" t="s">
        <v>494</v>
      </c>
      <c r="B522" s="539"/>
      <c r="C522" s="524" t="s">
        <v>139</v>
      </c>
      <c r="D522" s="526"/>
      <c r="E522" s="526"/>
      <c r="F522" s="1199"/>
      <c r="G522" s="1200"/>
      <c r="H522" s="1199"/>
      <c r="I522" s="1200"/>
      <c r="J522" s="1199"/>
      <c r="K522" s="1200"/>
      <c r="L522" s="1199"/>
      <c r="M522" s="1200"/>
      <c r="N522" s="1199"/>
      <c r="O522" s="1200"/>
      <c r="P522" s="503"/>
      <c r="Q522" s="503"/>
      <c r="R522" s="503"/>
      <c r="S522" s="503"/>
      <c r="T522" s="503"/>
      <c r="U522" s="503"/>
      <c r="V522" s="503"/>
      <c r="W522" s="503"/>
    </row>
    <row r="523" spans="1:23" hidden="1" x14ac:dyDescent="0.35">
      <c r="A523" s="543"/>
      <c r="B523" s="540" t="str">
        <f>B522&amp;"KW"</f>
        <v>KW</v>
      </c>
      <c r="C523" s="524" t="s">
        <v>170</v>
      </c>
      <c r="D523" s="526"/>
      <c r="E523" s="526"/>
      <c r="F523" s="1199"/>
      <c r="G523" s="1200"/>
      <c r="H523" s="1199"/>
      <c r="I523" s="1200"/>
      <c r="J523" s="1199"/>
      <c r="K523" s="1200"/>
      <c r="L523" s="1199"/>
      <c r="M523" s="1200"/>
      <c r="N523" s="1199"/>
      <c r="O523" s="1200"/>
      <c r="P523" s="503"/>
      <c r="Q523" s="503"/>
      <c r="R523" s="503"/>
      <c r="S523" s="503"/>
      <c r="T523" s="503"/>
      <c r="U523" s="503"/>
      <c r="V523" s="503"/>
      <c r="W523" s="503"/>
    </row>
    <row r="524" spans="1:23" hidden="1" x14ac:dyDescent="0.35">
      <c r="A524" s="543" t="s">
        <v>495</v>
      </c>
      <c r="B524" s="539"/>
      <c r="C524" s="524" t="s">
        <v>139</v>
      </c>
      <c r="D524" s="526"/>
      <c r="E524" s="526"/>
      <c r="F524" s="1199"/>
      <c r="G524" s="1200"/>
      <c r="H524" s="1199"/>
      <c r="I524" s="1200"/>
      <c r="J524" s="1199"/>
      <c r="K524" s="1200"/>
      <c r="L524" s="1199"/>
      <c r="M524" s="1200"/>
      <c r="N524" s="1199"/>
      <c r="O524" s="1200"/>
      <c r="P524" s="503"/>
      <c r="Q524" s="503"/>
      <c r="R524" s="503"/>
      <c r="S524" s="503"/>
      <c r="T524" s="503"/>
      <c r="U524" s="503"/>
      <c r="V524" s="503"/>
      <c r="W524" s="503"/>
    </row>
    <row r="525" spans="1:23" hidden="1" x14ac:dyDescent="0.35">
      <c r="A525" s="543"/>
      <c r="B525" s="540" t="str">
        <f>B524&amp;"KW"</f>
        <v>KW</v>
      </c>
      <c r="C525" s="524" t="s">
        <v>170</v>
      </c>
      <c r="D525" s="526"/>
      <c r="E525" s="526"/>
      <c r="F525" s="1199"/>
      <c r="G525" s="1200"/>
      <c r="H525" s="1199"/>
      <c r="I525" s="1200"/>
      <c r="J525" s="1199"/>
      <c r="K525" s="1200"/>
      <c r="L525" s="1199"/>
      <c r="M525" s="1200"/>
      <c r="N525" s="1199"/>
      <c r="O525" s="1200"/>
      <c r="P525" s="503"/>
      <c r="Q525" s="503"/>
      <c r="R525" s="503"/>
      <c r="S525" s="503"/>
      <c r="T525" s="503"/>
      <c r="U525" s="503"/>
      <c r="V525" s="503"/>
      <c r="W525" s="503"/>
    </row>
    <row r="526" spans="1:23" hidden="1" x14ac:dyDescent="0.35">
      <c r="A526" s="543" t="s">
        <v>496</v>
      </c>
      <c r="B526" s="539"/>
      <c r="C526" s="524" t="s">
        <v>139</v>
      </c>
      <c r="D526" s="526"/>
      <c r="E526" s="526"/>
      <c r="F526" s="1199"/>
      <c r="G526" s="1200"/>
      <c r="H526" s="1199"/>
      <c r="I526" s="1200"/>
      <c r="J526" s="1199"/>
      <c r="K526" s="1200"/>
      <c r="L526" s="1199"/>
      <c r="M526" s="1200"/>
      <c r="N526" s="1199"/>
      <c r="O526" s="1200"/>
      <c r="P526" s="503"/>
      <c r="Q526" s="503"/>
      <c r="R526" s="503"/>
      <c r="S526" s="503"/>
      <c r="T526" s="503"/>
      <c r="U526" s="503"/>
      <c r="V526" s="503"/>
      <c r="W526" s="503"/>
    </row>
    <row r="527" spans="1:23" hidden="1" x14ac:dyDescent="0.35">
      <c r="A527" s="543"/>
      <c r="B527" s="540" t="str">
        <f>B526&amp;"KW"</f>
        <v>KW</v>
      </c>
      <c r="C527" s="524" t="s">
        <v>170</v>
      </c>
      <c r="D527" s="526"/>
      <c r="E527" s="526"/>
      <c r="F527" s="1199"/>
      <c r="G527" s="1200"/>
      <c r="H527" s="1199"/>
      <c r="I527" s="1200"/>
      <c r="J527" s="1199"/>
      <c r="K527" s="1200"/>
      <c r="L527" s="1199"/>
      <c r="M527" s="1200"/>
      <c r="N527" s="1199"/>
      <c r="O527" s="1200"/>
      <c r="P527" s="503"/>
      <c r="Q527" s="503"/>
      <c r="R527" s="503"/>
      <c r="S527" s="503"/>
      <c r="T527" s="503"/>
      <c r="U527" s="503"/>
      <c r="V527" s="503"/>
      <c r="W527" s="503"/>
    </row>
    <row r="528" spans="1:23" hidden="1" x14ac:dyDescent="0.35">
      <c r="A528" s="543" t="s">
        <v>497</v>
      </c>
      <c r="B528" s="539"/>
      <c r="C528" s="524" t="s">
        <v>139</v>
      </c>
      <c r="D528" s="526"/>
      <c r="E528" s="526"/>
      <c r="F528" s="1199"/>
      <c r="G528" s="1200"/>
      <c r="H528" s="1199"/>
      <c r="I528" s="1200"/>
      <c r="J528" s="1199"/>
      <c r="K528" s="1200"/>
      <c r="L528" s="1199"/>
      <c r="M528" s="1200"/>
      <c r="N528" s="1199"/>
      <c r="O528" s="1200"/>
      <c r="P528" s="503"/>
      <c r="Q528" s="503"/>
      <c r="R528" s="503"/>
      <c r="S528" s="503"/>
      <c r="T528" s="503"/>
      <c r="U528" s="503"/>
      <c r="V528" s="503"/>
      <c r="W528" s="503"/>
    </row>
    <row r="529" spans="1:23" hidden="1" x14ac:dyDescent="0.35">
      <c r="A529" s="543"/>
      <c r="B529" s="540" t="str">
        <f>B528&amp;"KW"</f>
        <v>KW</v>
      </c>
      <c r="C529" s="524" t="s">
        <v>170</v>
      </c>
      <c r="D529" s="526"/>
      <c r="E529" s="526"/>
      <c r="F529" s="1199"/>
      <c r="G529" s="1200"/>
      <c r="H529" s="1199"/>
      <c r="I529" s="1200"/>
      <c r="J529" s="1199"/>
      <c r="K529" s="1200"/>
      <c r="L529" s="1199"/>
      <c r="M529" s="1200"/>
      <c r="N529" s="1199"/>
      <c r="O529" s="1200"/>
      <c r="P529" s="503"/>
      <c r="Q529" s="503"/>
      <c r="R529" s="503"/>
      <c r="S529" s="503"/>
      <c r="T529" s="503"/>
      <c r="U529" s="503"/>
      <c r="V529" s="503"/>
      <c r="W529" s="503"/>
    </row>
    <row r="530" spans="1:23" hidden="1" x14ac:dyDescent="0.35">
      <c r="A530" s="543" t="s">
        <v>498</v>
      </c>
      <c r="B530" s="539"/>
      <c r="C530" s="524" t="s">
        <v>139</v>
      </c>
      <c r="D530" s="526"/>
      <c r="E530" s="526"/>
      <c r="F530" s="1199"/>
      <c r="G530" s="1200"/>
      <c r="H530" s="1199"/>
      <c r="I530" s="1200"/>
      <c r="J530" s="1199"/>
      <c r="K530" s="1200"/>
      <c r="L530" s="1199"/>
      <c r="M530" s="1200"/>
      <c r="N530" s="1199"/>
      <c r="O530" s="1200"/>
      <c r="P530" s="503"/>
      <c r="Q530" s="503"/>
      <c r="R530" s="503"/>
      <c r="S530" s="503"/>
      <c r="T530" s="503"/>
      <c r="U530" s="503"/>
      <c r="V530" s="503"/>
      <c r="W530" s="503"/>
    </row>
    <row r="531" spans="1:23" hidden="1" x14ac:dyDescent="0.35">
      <c r="A531" s="543"/>
      <c r="B531" s="540" t="str">
        <f>B530&amp;"KW"</f>
        <v>KW</v>
      </c>
      <c r="C531" s="524" t="s">
        <v>170</v>
      </c>
      <c r="D531" s="526"/>
      <c r="E531" s="526"/>
      <c r="F531" s="1199"/>
      <c r="G531" s="1200"/>
      <c r="H531" s="1199"/>
      <c r="I531" s="1200"/>
      <c r="J531" s="1199"/>
      <c r="K531" s="1200"/>
      <c r="L531" s="1199"/>
      <c r="M531" s="1200"/>
      <c r="N531" s="1199"/>
      <c r="O531" s="1200"/>
      <c r="P531" s="503"/>
      <c r="Q531" s="503"/>
      <c r="R531" s="503"/>
      <c r="S531" s="503"/>
      <c r="T531" s="503"/>
      <c r="U531" s="503"/>
      <c r="V531" s="503"/>
      <c r="W531" s="503"/>
    </row>
    <row r="532" spans="1:23" hidden="1" x14ac:dyDescent="0.35">
      <c r="A532" s="543" t="s">
        <v>499</v>
      </c>
      <c r="B532" s="539"/>
      <c r="C532" s="524" t="s">
        <v>139</v>
      </c>
      <c r="D532" s="526"/>
      <c r="E532" s="526"/>
      <c r="F532" s="1199"/>
      <c r="G532" s="1200"/>
      <c r="H532" s="1199"/>
      <c r="I532" s="1200"/>
      <c r="J532" s="1199"/>
      <c r="K532" s="1200"/>
      <c r="L532" s="1199"/>
      <c r="M532" s="1200"/>
      <c r="N532" s="1199"/>
      <c r="O532" s="1200"/>
      <c r="P532" s="503"/>
      <c r="Q532" s="503"/>
      <c r="R532" s="503"/>
      <c r="S532" s="503"/>
      <c r="T532" s="503"/>
      <c r="U532" s="503"/>
      <c r="V532" s="503"/>
      <c r="W532" s="503"/>
    </row>
    <row r="533" spans="1:23" hidden="1" x14ac:dyDescent="0.35">
      <c r="A533" s="543"/>
      <c r="B533" s="540" t="str">
        <f>B532&amp;"KW"</f>
        <v>KW</v>
      </c>
      <c r="C533" s="524" t="s">
        <v>170</v>
      </c>
      <c r="D533" s="526"/>
      <c r="E533" s="526"/>
      <c r="F533" s="1199"/>
      <c r="G533" s="1200"/>
      <c r="H533" s="1199"/>
      <c r="I533" s="1200"/>
      <c r="J533" s="1199"/>
      <c r="K533" s="1200"/>
      <c r="L533" s="1199"/>
      <c r="M533" s="1200"/>
      <c r="N533" s="1199"/>
      <c r="O533" s="1200"/>
      <c r="P533" s="503"/>
      <c r="Q533" s="503"/>
      <c r="R533" s="503"/>
      <c r="S533" s="503"/>
      <c r="T533" s="503"/>
      <c r="U533" s="503"/>
      <c r="V533" s="503"/>
      <c r="W533" s="503"/>
    </row>
    <row r="534" spans="1:23" hidden="1" x14ac:dyDescent="0.35">
      <c r="A534" s="543" t="s">
        <v>500</v>
      </c>
      <c r="B534" s="539"/>
      <c r="C534" s="524" t="s">
        <v>139</v>
      </c>
      <c r="D534" s="526"/>
      <c r="E534" s="526"/>
      <c r="F534" s="1199"/>
      <c r="G534" s="1200"/>
      <c r="H534" s="1199"/>
      <c r="I534" s="1200"/>
      <c r="J534" s="1199"/>
      <c r="K534" s="1200"/>
      <c r="L534" s="1199"/>
      <c r="M534" s="1200"/>
      <c r="N534" s="1199"/>
      <c r="O534" s="1200"/>
      <c r="P534" s="503"/>
      <c r="Q534" s="503"/>
      <c r="R534" s="503"/>
      <c r="S534" s="503"/>
      <c r="T534" s="503"/>
      <c r="U534" s="503"/>
      <c r="V534" s="503"/>
      <c r="W534" s="503"/>
    </row>
    <row r="535" spans="1:23" hidden="1" x14ac:dyDescent="0.35">
      <c r="A535" s="543"/>
      <c r="B535" s="540" t="str">
        <f>B534&amp;"KW"</f>
        <v>KW</v>
      </c>
      <c r="C535" s="524" t="s">
        <v>170</v>
      </c>
      <c r="D535" s="526"/>
      <c r="E535" s="526"/>
      <c r="F535" s="1199"/>
      <c r="G535" s="1200"/>
      <c r="H535" s="1199"/>
      <c r="I535" s="1200"/>
      <c r="J535" s="1199"/>
      <c r="K535" s="1200"/>
      <c r="L535" s="1199"/>
      <c r="M535" s="1200"/>
      <c r="N535" s="1199"/>
      <c r="O535" s="1200"/>
      <c r="P535" s="503"/>
      <c r="Q535" s="503"/>
      <c r="R535" s="503"/>
      <c r="S535" s="503"/>
      <c r="T535" s="503"/>
      <c r="U535" s="503"/>
      <c r="V535" s="503"/>
      <c r="W535" s="503"/>
    </row>
    <row r="536" spans="1:23" hidden="1" x14ac:dyDescent="0.35">
      <c r="A536" s="543" t="s">
        <v>501</v>
      </c>
      <c r="B536" s="539"/>
      <c r="C536" s="524" t="s">
        <v>139</v>
      </c>
      <c r="D536" s="526"/>
      <c r="E536" s="526"/>
      <c r="F536" s="1199"/>
      <c r="G536" s="1200"/>
      <c r="H536" s="1199"/>
      <c r="I536" s="1200"/>
      <c r="J536" s="1199"/>
      <c r="K536" s="1200"/>
      <c r="L536" s="1199"/>
      <c r="M536" s="1200"/>
      <c r="N536" s="1199"/>
      <c r="O536" s="1200"/>
      <c r="P536" s="503"/>
      <c r="Q536" s="503"/>
      <c r="R536" s="503"/>
      <c r="S536" s="503"/>
      <c r="T536" s="503"/>
      <c r="U536" s="503"/>
      <c r="V536" s="503"/>
      <c r="W536" s="503"/>
    </row>
    <row r="537" spans="1:23" hidden="1" x14ac:dyDescent="0.35">
      <c r="A537" s="543"/>
      <c r="B537" s="540" t="str">
        <f>B536&amp;"KW"</f>
        <v>KW</v>
      </c>
      <c r="C537" s="524" t="s">
        <v>170</v>
      </c>
      <c r="D537" s="526"/>
      <c r="E537" s="526"/>
      <c r="F537" s="1199"/>
      <c r="G537" s="1200"/>
      <c r="H537" s="1199"/>
      <c r="I537" s="1200"/>
      <c r="J537" s="1199"/>
      <c r="K537" s="1200"/>
      <c r="L537" s="1199"/>
      <c r="M537" s="1200"/>
      <c r="N537" s="1199"/>
      <c r="O537" s="1200"/>
      <c r="P537" s="503"/>
      <c r="Q537" s="503"/>
      <c r="R537" s="503"/>
      <c r="S537" s="503"/>
      <c r="T537" s="503"/>
      <c r="U537" s="503"/>
      <c r="V537" s="503"/>
      <c r="W537" s="503"/>
    </row>
    <row r="538" spans="1:23" hidden="1" x14ac:dyDescent="0.35">
      <c r="A538" s="543" t="s">
        <v>502</v>
      </c>
      <c r="B538" s="539"/>
      <c r="C538" s="524" t="s">
        <v>139</v>
      </c>
      <c r="D538" s="526"/>
      <c r="E538" s="526"/>
      <c r="F538" s="1199"/>
      <c r="G538" s="1200"/>
      <c r="H538" s="1199"/>
      <c r="I538" s="1200"/>
      <c r="J538" s="1199"/>
      <c r="K538" s="1200"/>
      <c r="L538" s="1199"/>
      <c r="M538" s="1200"/>
      <c r="N538" s="1199"/>
      <c r="O538" s="1200"/>
      <c r="P538" s="503"/>
      <c r="Q538" s="503"/>
      <c r="R538" s="503"/>
      <c r="S538" s="503"/>
      <c r="T538" s="503"/>
      <c r="U538" s="503"/>
      <c r="V538" s="503"/>
      <c r="W538" s="503"/>
    </row>
    <row r="539" spans="1:23" hidden="1" x14ac:dyDescent="0.35">
      <c r="A539" s="543"/>
      <c r="B539" s="540" t="str">
        <f>B538&amp;"KW"</f>
        <v>KW</v>
      </c>
      <c r="C539" s="524" t="s">
        <v>170</v>
      </c>
      <c r="D539" s="526"/>
      <c r="E539" s="526"/>
      <c r="F539" s="1199"/>
      <c r="G539" s="1200"/>
      <c r="H539" s="1199"/>
      <c r="I539" s="1200"/>
      <c r="J539" s="1199"/>
      <c r="K539" s="1200"/>
      <c r="L539" s="1199"/>
      <c r="M539" s="1200"/>
      <c r="N539" s="1199"/>
      <c r="O539" s="1200"/>
      <c r="P539" s="503"/>
      <c r="Q539" s="503"/>
      <c r="R539" s="503"/>
      <c r="S539" s="503"/>
      <c r="T539" s="503"/>
      <c r="U539" s="503"/>
      <c r="V539" s="503"/>
      <c r="W539" s="503"/>
    </row>
    <row r="540" spans="1:23" hidden="1" x14ac:dyDescent="0.35">
      <c r="A540" s="543" t="s">
        <v>503</v>
      </c>
      <c r="B540" s="539"/>
      <c r="C540" s="524" t="s">
        <v>139</v>
      </c>
      <c r="D540" s="526"/>
      <c r="E540" s="526"/>
      <c r="F540" s="1199"/>
      <c r="G540" s="1200"/>
      <c r="H540" s="1199"/>
      <c r="I540" s="1200"/>
      <c r="J540" s="1199"/>
      <c r="K540" s="1200"/>
      <c r="L540" s="1199"/>
      <c r="M540" s="1200"/>
      <c r="N540" s="1199"/>
      <c r="O540" s="1200"/>
      <c r="P540" s="503"/>
      <c r="Q540" s="503"/>
      <c r="R540" s="503"/>
      <c r="S540" s="503"/>
      <c r="T540" s="503"/>
      <c r="U540" s="503"/>
      <c r="V540" s="503"/>
      <c r="W540" s="503"/>
    </row>
    <row r="541" spans="1:23" hidden="1" x14ac:dyDescent="0.35">
      <c r="A541" s="543"/>
      <c r="B541" s="540" t="str">
        <f>B540&amp;"KW"</f>
        <v>KW</v>
      </c>
      <c r="C541" s="524" t="s">
        <v>170</v>
      </c>
      <c r="D541" s="526"/>
      <c r="E541" s="526"/>
      <c r="F541" s="1199"/>
      <c r="G541" s="1200"/>
      <c r="H541" s="1199"/>
      <c r="I541" s="1200"/>
      <c r="J541" s="1199"/>
      <c r="K541" s="1200"/>
      <c r="L541" s="1199"/>
      <c r="M541" s="1200"/>
      <c r="N541" s="1199"/>
      <c r="O541" s="1200"/>
      <c r="P541" s="503"/>
      <c r="Q541" s="503"/>
      <c r="R541" s="503"/>
      <c r="S541" s="503"/>
      <c r="T541" s="503"/>
      <c r="U541" s="503"/>
      <c r="V541" s="503"/>
      <c r="W541" s="503"/>
    </row>
    <row r="542" spans="1:23" hidden="1" x14ac:dyDescent="0.35">
      <c r="A542" s="543" t="s">
        <v>504</v>
      </c>
      <c r="B542" s="539"/>
      <c r="C542" s="524" t="s">
        <v>139</v>
      </c>
      <c r="D542" s="526"/>
      <c r="E542" s="526"/>
      <c r="F542" s="1199"/>
      <c r="G542" s="1200"/>
      <c r="H542" s="1199"/>
      <c r="I542" s="1200"/>
      <c r="J542" s="1199"/>
      <c r="K542" s="1200"/>
      <c r="L542" s="1199"/>
      <c r="M542" s="1200"/>
      <c r="N542" s="1199"/>
      <c r="O542" s="1200"/>
      <c r="P542" s="503"/>
      <c r="Q542" s="503"/>
      <c r="R542" s="503"/>
      <c r="S542" s="503"/>
      <c r="T542" s="503"/>
      <c r="U542" s="503"/>
      <c r="V542" s="503"/>
      <c r="W542" s="503"/>
    </row>
    <row r="543" spans="1:23" hidden="1" x14ac:dyDescent="0.35">
      <c r="A543" s="543"/>
      <c r="B543" s="540" t="str">
        <f>B542&amp;"KW"</f>
        <v>KW</v>
      </c>
      <c r="C543" s="524" t="s">
        <v>170</v>
      </c>
      <c r="D543" s="526"/>
      <c r="E543" s="526"/>
      <c r="F543" s="1199"/>
      <c r="G543" s="1200"/>
      <c r="H543" s="1199"/>
      <c r="I543" s="1200"/>
      <c r="J543" s="1199"/>
      <c r="K543" s="1200"/>
      <c r="L543" s="1199"/>
      <c r="M543" s="1200"/>
      <c r="N543" s="1199"/>
      <c r="O543" s="1200"/>
      <c r="P543" s="503"/>
      <c r="Q543" s="503"/>
      <c r="R543" s="503"/>
      <c r="S543" s="503"/>
      <c r="T543" s="503"/>
      <c r="U543" s="503"/>
      <c r="V543" s="503"/>
      <c r="W543" s="503"/>
    </row>
    <row r="544" spans="1:23" hidden="1" x14ac:dyDescent="0.35">
      <c r="A544" s="543" t="s">
        <v>505</v>
      </c>
      <c r="B544" s="539"/>
      <c r="C544" s="524" t="s">
        <v>139</v>
      </c>
      <c r="D544" s="526"/>
      <c r="E544" s="526"/>
      <c r="F544" s="1199"/>
      <c r="G544" s="1200"/>
      <c r="H544" s="1199"/>
      <c r="I544" s="1200"/>
      <c r="J544" s="1199"/>
      <c r="K544" s="1200"/>
      <c r="L544" s="1199"/>
      <c r="M544" s="1200"/>
      <c r="N544" s="1199"/>
      <c r="O544" s="1200"/>
      <c r="P544" s="503"/>
      <c r="Q544" s="503"/>
      <c r="R544" s="503"/>
      <c r="S544" s="503"/>
      <c r="T544" s="503"/>
      <c r="U544" s="503"/>
      <c r="V544" s="503"/>
      <c r="W544" s="503"/>
    </row>
    <row r="545" spans="1:23" hidden="1" x14ac:dyDescent="0.35">
      <c r="A545" s="543"/>
      <c r="B545" s="540" t="str">
        <f>B544&amp;"KW"</f>
        <v>KW</v>
      </c>
      <c r="C545" s="524" t="s">
        <v>170</v>
      </c>
      <c r="D545" s="526"/>
      <c r="E545" s="526"/>
      <c r="F545" s="1199"/>
      <c r="G545" s="1200"/>
      <c r="H545" s="1199"/>
      <c r="I545" s="1200"/>
      <c r="J545" s="1199"/>
      <c r="K545" s="1200"/>
      <c r="L545" s="1199"/>
      <c r="M545" s="1200"/>
      <c r="N545" s="1199"/>
      <c r="O545" s="1200"/>
      <c r="P545" s="503"/>
      <c r="Q545" s="503"/>
      <c r="R545" s="503"/>
      <c r="S545" s="503"/>
      <c r="T545" s="503"/>
      <c r="U545" s="503"/>
      <c r="V545" s="503"/>
      <c r="W545" s="503"/>
    </row>
    <row r="546" spans="1:23" hidden="1" x14ac:dyDescent="0.35">
      <c r="A546" s="543" t="s">
        <v>506</v>
      </c>
      <c r="B546" s="539"/>
      <c r="C546" s="524" t="s">
        <v>139</v>
      </c>
      <c r="D546" s="526"/>
      <c r="E546" s="526"/>
      <c r="F546" s="1199"/>
      <c r="G546" s="1200"/>
      <c r="H546" s="1199"/>
      <c r="I546" s="1200"/>
      <c r="J546" s="1199"/>
      <c r="K546" s="1200"/>
      <c r="L546" s="1199"/>
      <c r="M546" s="1200"/>
      <c r="N546" s="1199"/>
      <c r="O546" s="1200"/>
      <c r="P546" s="503"/>
      <c r="Q546" s="503"/>
      <c r="R546" s="503"/>
      <c r="S546" s="503"/>
      <c r="T546" s="503"/>
      <c r="U546" s="503"/>
      <c r="V546" s="503"/>
      <c r="W546" s="503"/>
    </row>
    <row r="547" spans="1:23" hidden="1" x14ac:dyDescent="0.35">
      <c r="A547" s="543"/>
      <c r="B547" s="540" t="str">
        <f>B546&amp;"KW"</f>
        <v>KW</v>
      </c>
      <c r="C547" s="524" t="s">
        <v>170</v>
      </c>
      <c r="D547" s="526"/>
      <c r="E547" s="526"/>
      <c r="F547" s="1199"/>
      <c r="G547" s="1200"/>
      <c r="H547" s="1199"/>
      <c r="I547" s="1200"/>
      <c r="J547" s="1199"/>
      <c r="K547" s="1200"/>
      <c r="L547" s="1199"/>
      <c r="M547" s="1200"/>
      <c r="N547" s="1199"/>
      <c r="O547" s="1200"/>
      <c r="P547" s="503"/>
      <c r="Q547" s="503"/>
      <c r="R547" s="503"/>
      <c r="S547" s="503"/>
      <c r="T547" s="503"/>
      <c r="U547" s="503"/>
      <c r="V547" s="503"/>
      <c r="W547" s="503"/>
    </row>
    <row r="548" spans="1:23" hidden="1" x14ac:dyDescent="0.35">
      <c r="A548" s="543" t="s">
        <v>507</v>
      </c>
      <c r="B548" s="539"/>
      <c r="C548" s="524" t="s">
        <v>139</v>
      </c>
      <c r="D548" s="526"/>
      <c r="E548" s="526"/>
      <c r="F548" s="1199"/>
      <c r="G548" s="1200"/>
      <c r="H548" s="1199"/>
      <c r="I548" s="1200"/>
      <c r="J548" s="1199"/>
      <c r="K548" s="1200"/>
      <c r="L548" s="1199"/>
      <c r="M548" s="1200"/>
      <c r="N548" s="1199"/>
      <c r="O548" s="1200"/>
      <c r="P548" s="503"/>
      <c r="Q548" s="503"/>
      <c r="R548" s="503"/>
      <c r="S548" s="503"/>
      <c r="T548" s="503"/>
      <c r="U548" s="503"/>
      <c r="V548" s="503"/>
      <c r="W548" s="503"/>
    </row>
    <row r="549" spans="1:23" hidden="1" x14ac:dyDescent="0.35">
      <c r="A549" s="543"/>
      <c r="B549" s="540" t="str">
        <f>B548&amp;"KW"</f>
        <v>KW</v>
      </c>
      <c r="C549" s="524" t="s">
        <v>170</v>
      </c>
      <c r="D549" s="526"/>
      <c r="E549" s="526"/>
      <c r="F549" s="1199"/>
      <c r="G549" s="1200"/>
      <c r="H549" s="1199"/>
      <c r="I549" s="1200"/>
      <c r="J549" s="1199"/>
      <c r="K549" s="1200"/>
      <c r="L549" s="1199"/>
      <c r="M549" s="1200"/>
      <c r="N549" s="1199"/>
      <c r="O549" s="1200"/>
      <c r="P549" s="503"/>
      <c r="Q549" s="503"/>
      <c r="R549" s="503"/>
      <c r="S549" s="503"/>
      <c r="T549" s="503"/>
      <c r="U549" s="503"/>
      <c r="V549" s="503"/>
      <c r="W549" s="503"/>
    </row>
    <row r="550" spans="1:23" hidden="1" x14ac:dyDescent="0.35">
      <c r="A550" s="543" t="s">
        <v>508</v>
      </c>
      <c r="B550" s="539"/>
      <c r="C550" s="524" t="s">
        <v>139</v>
      </c>
      <c r="D550" s="526"/>
      <c r="E550" s="526"/>
      <c r="F550" s="1199"/>
      <c r="G550" s="1200"/>
      <c r="H550" s="1199"/>
      <c r="I550" s="1200"/>
      <c r="J550" s="1199"/>
      <c r="K550" s="1200"/>
      <c r="L550" s="1199"/>
      <c r="M550" s="1200"/>
      <c r="N550" s="1199"/>
      <c r="O550" s="1200"/>
      <c r="P550" s="503"/>
      <c r="Q550" s="503"/>
      <c r="R550" s="503"/>
      <c r="S550" s="503"/>
      <c r="T550" s="503"/>
      <c r="U550" s="503"/>
      <c r="V550" s="503"/>
      <c r="W550" s="503"/>
    </row>
    <row r="551" spans="1:23" hidden="1" x14ac:dyDescent="0.35">
      <c r="A551" s="543"/>
      <c r="B551" s="540" t="str">
        <f>B550&amp;"KW"</f>
        <v>KW</v>
      </c>
      <c r="C551" s="524" t="s">
        <v>170</v>
      </c>
      <c r="D551" s="526"/>
      <c r="E551" s="526"/>
      <c r="F551" s="1199"/>
      <c r="G551" s="1200"/>
      <c r="H551" s="1199"/>
      <c r="I551" s="1200"/>
      <c r="J551" s="1199"/>
      <c r="K551" s="1200"/>
      <c r="L551" s="1199"/>
      <c r="M551" s="1200"/>
      <c r="N551" s="1199"/>
      <c r="O551" s="1200"/>
      <c r="P551" s="503"/>
      <c r="Q551" s="503"/>
      <c r="R551" s="503"/>
      <c r="S551" s="503"/>
      <c r="T551" s="503"/>
      <c r="U551" s="503"/>
      <c r="V551" s="503"/>
      <c r="W551" s="503"/>
    </row>
    <row r="552" spans="1:23" hidden="1" x14ac:dyDescent="0.35">
      <c r="A552" s="543" t="s">
        <v>509</v>
      </c>
      <c r="B552" s="539"/>
      <c r="C552" s="524" t="s">
        <v>139</v>
      </c>
      <c r="D552" s="526"/>
      <c r="E552" s="526"/>
      <c r="F552" s="1199"/>
      <c r="G552" s="1200"/>
      <c r="H552" s="1199"/>
      <c r="I552" s="1200"/>
      <c r="J552" s="1199"/>
      <c r="K552" s="1200"/>
      <c r="L552" s="1199"/>
      <c r="M552" s="1200"/>
      <c r="N552" s="1199"/>
      <c r="O552" s="1200"/>
      <c r="P552" s="503"/>
      <c r="Q552" s="503"/>
      <c r="R552" s="503"/>
      <c r="S552" s="503"/>
      <c r="T552" s="503"/>
      <c r="U552" s="503"/>
      <c r="V552" s="503"/>
      <c r="W552" s="503"/>
    </row>
    <row r="553" spans="1:23" hidden="1" x14ac:dyDescent="0.35">
      <c r="A553" s="543"/>
      <c r="B553" s="540" t="str">
        <f>B552&amp;"KW"</f>
        <v>KW</v>
      </c>
      <c r="C553" s="524" t="s">
        <v>170</v>
      </c>
      <c r="D553" s="526"/>
      <c r="E553" s="526"/>
      <c r="F553" s="1199"/>
      <c r="G553" s="1200"/>
      <c r="H553" s="1199"/>
      <c r="I553" s="1200"/>
      <c r="J553" s="1199"/>
      <c r="K553" s="1200"/>
      <c r="L553" s="1199"/>
      <c r="M553" s="1200"/>
      <c r="N553" s="1199"/>
      <c r="O553" s="1200"/>
      <c r="P553" s="503"/>
      <c r="Q553" s="503"/>
      <c r="R553" s="503"/>
      <c r="S553" s="503"/>
      <c r="T553" s="503"/>
      <c r="U553" s="503"/>
      <c r="V553" s="503"/>
      <c r="W553" s="503"/>
    </row>
    <row r="554" spans="1:23" hidden="1" x14ac:dyDescent="0.35">
      <c r="A554" s="543" t="s">
        <v>510</v>
      </c>
      <c r="B554" s="539"/>
      <c r="C554" s="524" t="s">
        <v>139</v>
      </c>
      <c r="D554" s="526"/>
      <c r="E554" s="526"/>
      <c r="F554" s="1199"/>
      <c r="G554" s="1200"/>
      <c r="H554" s="1199"/>
      <c r="I554" s="1200"/>
      <c r="J554" s="1199"/>
      <c r="K554" s="1200"/>
      <c r="L554" s="1199"/>
      <c r="M554" s="1200"/>
      <c r="N554" s="1199"/>
      <c r="O554" s="1200"/>
      <c r="P554" s="503"/>
      <c r="Q554" s="503"/>
      <c r="R554" s="503"/>
      <c r="S554" s="503"/>
      <c r="T554" s="503"/>
      <c r="U554" s="503"/>
      <c r="V554" s="503"/>
      <c r="W554" s="503"/>
    </row>
    <row r="555" spans="1:23" hidden="1" x14ac:dyDescent="0.35">
      <c r="A555" s="543"/>
      <c r="B555" s="540" t="str">
        <f>B554&amp;"KW"</f>
        <v>KW</v>
      </c>
      <c r="C555" s="524" t="s">
        <v>170</v>
      </c>
      <c r="D555" s="526"/>
      <c r="E555" s="526"/>
      <c r="F555" s="1199"/>
      <c r="G555" s="1200"/>
      <c r="H555" s="1199"/>
      <c r="I555" s="1200"/>
      <c r="J555" s="1199"/>
      <c r="K555" s="1200"/>
      <c r="L555" s="1199"/>
      <c r="M555" s="1200"/>
      <c r="N555" s="1199"/>
      <c r="O555" s="1200"/>
      <c r="P555" s="503"/>
      <c r="Q555" s="503"/>
      <c r="R555" s="503"/>
      <c r="S555" s="503"/>
      <c r="T555" s="503"/>
      <c r="U555" s="503"/>
      <c r="V555" s="503"/>
      <c r="W555" s="503"/>
    </row>
    <row r="556" spans="1:23" hidden="1" x14ac:dyDescent="0.35">
      <c r="A556" s="543" t="s">
        <v>511</v>
      </c>
      <c r="B556" s="539"/>
      <c r="C556" s="524" t="s">
        <v>139</v>
      </c>
      <c r="D556" s="526"/>
      <c r="E556" s="526"/>
      <c r="F556" s="1199"/>
      <c r="G556" s="1200"/>
      <c r="H556" s="1199"/>
      <c r="I556" s="1200"/>
      <c r="J556" s="1199"/>
      <c r="K556" s="1200"/>
      <c r="L556" s="1199"/>
      <c r="M556" s="1200"/>
      <c r="N556" s="1199"/>
      <c r="O556" s="1200"/>
      <c r="P556" s="503"/>
      <c r="Q556" s="503"/>
      <c r="R556" s="503"/>
      <c r="S556" s="503"/>
      <c r="T556" s="503"/>
      <c r="U556" s="503"/>
      <c r="V556" s="503"/>
      <c r="W556" s="503"/>
    </row>
    <row r="557" spans="1:23" hidden="1" x14ac:dyDescent="0.35">
      <c r="A557" s="543"/>
      <c r="B557" s="540" t="str">
        <f>B556&amp;"KW"</f>
        <v>KW</v>
      </c>
      <c r="C557" s="524" t="s">
        <v>170</v>
      </c>
      <c r="D557" s="526"/>
      <c r="E557" s="526"/>
      <c r="F557" s="1199"/>
      <c r="G557" s="1200"/>
      <c r="H557" s="1199"/>
      <c r="I557" s="1200"/>
      <c r="J557" s="1199"/>
      <c r="K557" s="1200"/>
      <c r="L557" s="1199"/>
      <c r="M557" s="1200"/>
      <c r="N557" s="1199"/>
      <c r="O557" s="1200"/>
      <c r="P557" s="503"/>
      <c r="Q557" s="503"/>
      <c r="R557" s="503"/>
      <c r="S557" s="503"/>
      <c r="T557" s="503"/>
      <c r="U557" s="503"/>
      <c r="V557" s="503"/>
      <c r="W557" s="503"/>
    </row>
    <row r="558" spans="1:23" hidden="1" x14ac:dyDescent="0.35">
      <c r="A558" s="543" t="s">
        <v>512</v>
      </c>
      <c r="B558" s="539"/>
      <c r="C558" s="524" t="s">
        <v>139</v>
      </c>
      <c r="D558" s="526"/>
      <c r="E558" s="526"/>
      <c r="F558" s="1199"/>
      <c r="G558" s="1200"/>
      <c r="H558" s="1199"/>
      <c r="I558" s="1200"/>
      <c r="J558" s="1199"/>
      <c r="K558" s="1200"/>
      <c r="L558" s="1199"/>
      <c r="M558" s="1200"/>
      <c r="N558" s="1199"/>
      <c r="O558" s="1200"/>
      <c r="P558" s="503"/>
      <c r="Q558" s="503"/>
      <c r="R558" s="503"/>
      <c r="S558" s="503"/>
      <c r="T558" s="503"/>
      <c r="U558" s="503"/>
      <c r="V558" s="503"/>
      <c r="W558" s="503"/>
    </row>
    <row r="559" spans="1:23" hidden="1" x14ac:dyDescent="0.35">
      <c r="A559" s="543"/>
      <c r="B559" s="540" t="str">
        <f>B558&amp;"KW"</f>
        <v>KW</v>
      </c>
      <c r="C559" s="524" t="s">
        <v>170</v>
      </c>
      <c r="D559" s="526"/>
      <c r="E559" s="526"/>
      <c r="F559" s="1199"/>
      <c r="G559" s="1200"/>
      <c r="H559" s="1199"/>
      <c r="I559" s="1200"/>
      <c r="J559" s="1199"/>
      <c r="K559" s="1200"/>
      <c r="L559" s="1199"/>
      <c r="M559" s="1200"/>
      <c r="N559" s="1199"/>
      <c r="O559" s="1200"/>
      <c r="P559" s="503"/>
      <c r="Q559" s="503"/>
      <c r="R559" s="503"/>
      <c r="S559" s="503"/>
      <c r="T559" s="503"/>
      <c r="U559" s="503"/>
      <c r="V559" s="503"/>
      <c r="W559" s="503"/>
    </row>
    <row r="560" spans="1:23" hidden="1" x14ac:dyDescent="0.35">
      <c r="A560" s="543" t="s">
        <v>513</v>
      </c>
      <c r="B560" s="539"/>
      <c r="C560" s="524" t="s">
        <v>139</v>
      </c>
      <c r="D560" s="526"/>
      <c r="E560" s="526"/>
      <c r="F560" s="1199"/>
      <c r="G560" s="1200"/>
      <c r="H560" s="1199"/>
      <c r="I560" s="1200"/>
      <c r="J560" s="1199"/>
      <c r="K560" s="1200"/>
      <c r="L560" s="1199"/>
      <c r="M560" s="1200"/>
      <c r="N560" s="1199"/>
      <c r="O560" s="1200"/>
      <c r="P560" s="503"/>
      <c r="Q560" s="503"/>
      <c r="R560" s="503"/>
      <c r="S560" s="503"/>
      <c r="T560" s="503"/>
      <c r="U560" s="503"/>
      <c r="V560" s="503"/>
      <c r="W560" s="503"/>
    </row>
    <row r="561" spans="1:23" hidden="1" x14ac:dyDescent="0.35">
      <c r="A561" s="543"/>
      <c r="B561" s="540" t="str">
        <f>B560&amp;"KW"</f>
        <v>KW</v>
      </c>
      <c r="C561" s="524" t="s">
        <v>170</v>
      </c>
      <c r="D561" s="526"/>
      <c r="E561" s="526"/>
      <c r="F561" s="1199"/>
      <c r="G561" s="1200"/>
      <c r="H561" s="1199"/>
      <c r="I561" s="1200"/>
      <c r="J561" s="1199"/>
      <c r="K561" s="1200"/>
      <c r="L561" s="1199"/>
      <c r="M561" s="1200"/>
      <c r="N561" s="1199"/>
      <c r="O561" s="1200"/>
      <c r="P561" s="503"/>
      <c r="Q561" s="503"/>
      <c r="R561" s="503"/>
      <c r="S561" s="503"/>
      <c r="T561" s="503"/>
      <c r="U561" s="503"/>
      <c r="V561" s="503"/>
      <c r="W561" s="503"/>
    </row>
    <row r="562" spans="1:23" hidden="1" x14ac:dyDescent="0.35">
      <c r="A562" s="543" t="s">
        <v>514</v>
      </c>
      <c r="B562" s="539"/>
      <c r="C562" s="524" t="s">
        <v>139</v>
      </c>
      <c r="D562" s="526"/>
      <c r="E562" s="526"/>
      <c r="F562" s="1199"/>
      <c r="G562" s="1200"/>
      <c r="H562" s="1199"/>
      <c r="I562" s="1200"/>
      <c r="J562" s="1199"/>
      <c r="K562" s="1200"/>
      <c r="L562" s="1199"/>
      <c r="M562" s="1200"/>
      <c r="N562" s="1199"/>
      <c r="O562" s="1200"/>
      <c r="P562" s="503"/>
      <c r="Q562" s="503"/>
      <c r="R562" s="503"/>
      <c r="S562" s="503"/>
      <c r="T562" s="503"/>
      <c r="U562" s="503"/>
      <c r="V562" s="503"/>
      <c r="W562" s="503"/>
    </row>
    <row r="563" spans="1:23" hidden="1" x14ac:dyDescent="0.35">
      <c r="A563" s="543"/>
      <c r="B563" s="540" t="str">
        <f>B562&amp;"KW"</f>
        <v>KW</v>
      </c>
      <c r="C563" s="524" t="s">
        <v>170</v>
      </c>
      <c r="D563" s="526"/>
      <c r="E563" s="526"/>
      <c r="F563" s="1199"/>
      <c r="G563" s="1200"/>
      <c r="H563" s="1199"/>
      <c r="I563" s="1200"/>
      <c r="J563" s="1199"/>
      <c r="K563" s="1200"/>
      <c r="L563" s="1199"/>
      <c r="M563" s="1200"/>
      <c r="N563" s="1199"/>
      <c r="O563" s="1200"/>
      <c r="P563" s="503"/>
      <c r="Q563" s="503"/>
      <c r="R563" s="503"/>
      <c r="S563" s="503"/>
      <c r="T563" s="503"/>
      <c r="U563" s="503"/>
      <c r="V563" s="503"/>
      <c r="W563" s="503"/>
    </row>
    <row r="564" spans="1:23" hidden="1" x14ac:dyDescent="0.35">
      <c r="A564" s="543" t="s">
        <v>515</v>
      </c>
      <c r="B564" s="539"/>
      <c r="C564" s="524" t="s">
        <v>139</v>
      </c>
      <c r="D564" s="526"/>
      <c r="E564" s="526"/>
      <c r="F564" s="1199"/>
      <c r="G564" s="1200"/>
      <c r="H564" s="1199"/>
      <c r="I564" s="1200"/>
      <c r="J564" s="1199"/>
      <c r="K564" s="1200"/>
      <c r="L564" s="1199"/>
      <c r="M564" s="1200"/>
      <c r="N564" s="1199"/>
      <c r="O564" s="1200"/>
      <c r="P564" s="503"/>
      <c r="Q564" s="503"/>
      <c r="R564" s="503"/>
      <c r="S564" s="503"/>
      <c r="T564" s="503"/>
      <c r="U564" s="503"/>
      <c r="V564" s="503"/>
      <c r="W564" s="503"/>
    </row>
    <row r="565" spans="1:23" hidden="1" x14ac:dyDescent="0.35">
      <c r="A565" s="543"/>
      <c r="B565" s="540" t="str">
        <f>B564&amp;"KW"</f>
        <v>KW</v>
      </c>
      <c r="C565" s="524" t="s">
        <v>170</v>
      </c>
      <c r="D565" s="526"/>
      <c r="E565" s="526"/>
      <c r="F565" s="1199"/>
      <c r="G565" s="1200"/>
      <c r="H565" s="1199"/>
      <c r="I565" s="1200"/>
      <c r="J565" s="1199"/>
      <c r="K565" s="1200"/>
      <c r="L565" s="1199"/>
      <c r="M565" s="1200"/>
      <c r="N565" s="1199"/>
      <c r="O565" s="1200"/>
      <c r="P565" s="503"/>
      <c r="Q565" s="503"/>
      <c r="R565" s="503"/>
      <c r="S565" s="503"/>
      <c r="T565" s="503"/>
      <c r="U565" s="503"/>
      <c r="V565" s="503"/>
      <c r="W565" s="503"/>
    </row>
    <row r="566" spans="1:23" hidden="1" x14ac:dyDescent="0.35">
      <c r="A566" s="543" t="s">
        <v>516</v>
      </c>
      <c r="B566" s="539"/>
      <c r="C566" s="524" t="s">
        <v>139</v>
      </c>
      <c r="D566" s="526"/>
      <c r="E566" s="526"/>
      <c r="F566" s="1199"/>
      <c r="G566" s="1200"/>
      <c r="H566" s="1199"/>
      <c r="I566" s="1200"/>
      <c r="J566" s="1199"/>
      <c r="K566" s="1200"/>
      <c r="L566" s="1199"/>
      <c r="M566" s="1200"/>
      <c r="N566" s="1199"/>
      <c r="O566" s="1200"/>
      <c r="P566" s="503"/>
      <c r="Q566" s="503"/>
      <c r="R566" s="503"/>
      <c r="S566" s="503"/>
      <c r="T566" s="503"/>
      <c r="U566" s="503"/>
      <c r="V566" s="503"/>
      <c r="W566" s="503"/>
    </row>
    <row r="567" spans="1:23" hidden="1" x14ac:dyDescent="0.35">
      <c r="A567" s="543"/>
      <c r="B567" s="540" t="str">
        <f>B566&amp;"KW"</f>
        <v>KW</v>
      </c>
      <c r="C567" s="524" t="s">
        <v>170</v>
      </c>
      <c r="D567" s="526"/>
      <c r="E567" s="526"/>
      <c r="F567" s="1199"/>
      <c r="G567" s="1200"/>
      <c r="H567" s="1199"/>
      <c r="I567" s="1200"/>
      <c r="J567" s="1199"/>
      <c r="K567" s="1200"/>
      <c r="L567" s="1199"/>
      <c r="M567" s="1200"/>
      <c r="N567" s="1199"/>
      <c r="O567" s="1200"/>
      <c r="P567" s="503"/>
      <c r="Q567" s="503"/>
      <c r="R567" s="503"/>
      <c r="S567" s="503"/>
      <c r="T567" s="503"/>
      <c r="U567" s="503"/>
      <c r="V567" s="503"/>
      <c r="W567" s="503"/>
    </row>
    <row r="568" spans="1:23" hidden="1" x14ac:dyDescent="0.35">
      <c r="A568" s="543" t="s">
        <v>517</v>
      </c>
      <c r="B568" s="539"/>
      <c r="C568" s="524" t="s">
        <v>139</v>
      </c>
      <c r="D568" s="526"/>
      <c r="E568" s="526"/>
      <c r="F568" s="1199"/>
      <c r="G568" s="1200"/>
      <c r="H568" s="1199"/>
      <c r="I568" s="1200"/>
      <c r="J568" s="1199"/>
      <c r="K568" s="1200"/>
      <c r="L568" s="1199"/>
      <c r="M568" s="1200"/>
      <c r="N568" s="1199"/>
      <c r="O568" s="1200"/>
      <c r="P568" s="503"/>
      <c r="Q568" s="503"/>
      <c r="R568" s="503"/>
      <c r="S568" s="503"/>
      <c r="T568" s="503"/>
      <c r="U568" s="503"/>
      <c r="V568" s="503"/>
      <c r="W568" s="503"/>
    </row>
    <row r="569" spans="1:23" hidden="1" x14ac:dyDescent="0.35">
      <c r="A569" s="543"/>
      <c r="B569" s="540" t="str">
        <f>B568&amp;"KW"</f>
        <v>KW</v>
      </c>
      <c r="C569" s="524" t="s">
        <v>170</v>
      </c>
      <c r="D569" s="526"/>
      <c r="E569" s="526"/>
      <c r="F569" s="1199"/>
      <c r="G569" s="1200"/>
      <c r="H569" s="1199"/>
      <c r="I569" s="1200"/>
      <c r="J569" s="1199"/>
      <c r="K569" s="1200"/>
      <c r="L569" s="1199"/>
      <c r="M569" s="1200"/>
      <c r="N569" s="1199"/>
      <c r="O569" s="1200"/>
      <c r="P569" s="503"/>
      <c r="Q569" s="503"/>
      <c r="R569" s="503"/>
      <c r="S569" s="503"/>
      <c r="T569" s="503"/>
      <c r="U569" s="503"/>
      <c r="V569" s="503"/>
      <c r="W569" s="503"/>
    </row>
    <row r="570" spans="1:23" hidden="1" x14ac:dyDescent="0.35">
      <c r="A570" s="543" t="s">
        <v>518</v>
      </c>
      <c r="B570" s="539"/>
      <c r="C570" s="524" t="s">
        <v>139</v>
      </c>
      <c r="D570" s="526"/>
      <c r="E570" s="526"/>
      <c r="F570" s="1199"/>
      <c r="G570" s="1200"/>
      <c r="H570" s="1199"/>
      <c r="I570" s="1200"/>
      <c r="J570" s="1199"/>
      <c r="K570" s="1200"/>
      <c r="L570" s="1199"/>
      <c r="M570" s="1200"/>
      <c r="N570" s="1199"/>
      <c r="O570" s="1200"/>
      <c r="P570" s="503"/>
      <c r="Q570" s="503"/>
      <c r="R570" s="503"/>
      <c r="S570" s="503"/>
      <c r="T570" s="503"/>
      <c r="U570" s="503"/>
      <c r="V570" s="503"/>
      <c r="W570" s="503"/>
    </row>
    <row r="571" spans="1:23" hidden="1" x14ac:dyDescent="0.35">
      <c r="A571" s="543"/>
      <c r="B571" s="540" t="str">
        <f>B570&amp;"KW"</f>
        <v>KW</v>
      </c>
      <c r="C571" s="524" t="s">
        <v>170</v>
      </c>
      <c r="D571" s="526"/>
      <c r="E571" s="526"/>
      <c r="F571" s="1199"/>
      <c r="G571" s="1200"/>
      <c r="H571" s="1199"/>
      <c r="I571" s="1200"/>
      <c r="J571" s="1199"/>
      <c r="K571" s="1200"/>
      <c r="L571" s="1199"/>
      <c r="M571" s="1200"/>
      <c r="N571" s="1199"/>
      <c r="O571" s="1200"/>
      <c r="P571" s="503"/>
      <c r="Q571" s="503"/>
      <c r="R571" s="503"/>
      <c r="S571" s="503"/>
      <c r="T571" s="503"/>
      <c r="U571" s="503"/>
      <c r="V571" s="503"/>
      <c r="W571" s="503"/>
    </row>
    <row r="572" spans="1:23" hidden="1" x14ac:dyDescent="0.35">
      <c r="A572" s="543" t="s">
        <v>519</v>
      </c>
      <c r="B572" s="539"/>
      <c r="C572" s="524" t="s">
        <v>139</v>
      </c>
      <c r="D572" s="526"/>
      <c r="E572" s="526"/>
      <c r="F572" s="1199"/>
      <c r="G572" s="1200"/>
      <c r="H572" s="1199"/>
      <c r="I572" s="1200"/>
      <c r="J572" s="1199"/>
      <c r="K572" s="1200"/>
      <c r="L572" s="1199"/>
      <c r="M572" s="1200"/>
      <c r="N572" s="1199"/>
      <c r="O572" s="1200"/>
      <c r="P572" s="503"/>
      <c r="Q572" s="503"/>
      <c r="R572" s="503"/>
      <c r="S572" s="503"/>
      <c r="T572" s="503"/>
      <c r="U572" s="503"/>
      <c r="V572" s="503"/>
      <c r="W572" s="503"/>
    </row>
    <row r="573" spans="1:23" hidden="1" x14ac:dyDescent="0.35">
      <c r="A573" s="543"/>
      <c r="B573" s="540" t="str">
        <f>B572&amp;"KW"</f>
        <v>KW</v>
      </c>
      <c r="C573" s="524" t="s">
        <v>170</v>
      </c>
      <c r="D573" s="526"/>
      <c r="E573" s="526"/>
      <c r="F573" s="1199"/>
      <c r="G573" s="1200"/>
      <c r="H573" s="1199"/>
      <c r="I573" s="1200"/>
      <c r="J573" s="1199"/>
      <c r="K573" s="1200"/>
      <c r="L573" s="1199"/>
      <c r="M573" s="1200"/>
      <c r="N573" s="1199"/>
      <c r="O573" s="1200"/>
      <c r="P573" s="503"/>
      <c r="Q573" s="503"/>
      <c r="R573" s="503"/>
      <c r="S573" s="503"/>
      <c r="T573" s="503"/>
      <c r="U573" s="503"/>
      <c r="V573" s="503"/>
      <c r="W573" s="503"/>
    </row>
    <row r="574" spans="1:23" hidden="1" x14ac:dyDescent="0.35">
      <c r="A574" s="543" t="s">
        <v>520</v>
      </c>
      <c r="B574" s="539"/>
      <c r="C574" s="524" t="s">
        <v>139</v>
      </c>
      <c r="D574" s="526"/>
      <c r="E574" s="526"/>
      <c r="F574" s="1199"/>
      <c r="G574" s="1200"/>
      <c r="H574" s="1199"/>
      <c r="I574" s="1200"/>
      <c r="J574" s="1199"/>
      <c r="K574" s="1200"/>
      <c r="L574" s="1199"/>
      <c r="M574" s="1200"/>
      <c r="N574" s="1199"/>
      <c r="O574" s="1200"/>
      <c r="P574" s="503"/>
      <c r="Q574" s="503"/>
      <c r="R574" s="503"/>
      <c r="S574" s="503"/>
      <c r="T574" s="503"/>
      <c r="U574" s="503"/>
      <c r="V574" s="503"/>
      <c r="W574" s="503"/>
    </row>
    <row r="575" spans="1:23" hidden="1" x14ac:dyDescent="0.35">
      <c r="A575" s="543"/>
      <c r="B575" s="540" t="str">
        <f>B574&amp;"KW"</f>
        <v>KW</v>
      </c>
      <c r="C575" s="524" t="s">
        <v>170</v>
      </c>
      <c r="D575" s="526"/>
      <c r="E575" s="526"/>
      <c r="F575" s="1199"/>
      <c r="G575" s="1200"/>
      <c r="H575" s="1199"/>
      <c r="I575" s="1200"/>
      <c r="J575" s="1199"/>
      <c r="K575" s="1200"/>
      <c r="L575" s="1199"/>
      <c r="M575" s="1200"/>
      <c r="N575" s="1199"/>
      <c r="O575" s="1200"/>
      <c r="P575" s="503"/>
      <c r="Q575" s="503"/>
      <c r="R575" s="503"/>
      <c r="S575" s="503"/>
      <c r="T575" s="503"/>
      <c r="U575" s="503"/>
      <c r="V575" s="503"/>
      <c r="W575" s="503"/>
    </row>
    <row r="576" spans="1:23" hidden="1" x14ac:dyDescent="0.35">
      <c r="A576" s="543" t="s">
        <v>521</v>
      </c>
      <c r="B576" s="539"/>
      <c r="C576" s="524" t="s">
        <v>139</v>
      </c>
      <c r="D576" s="526"/>
      <c r="E576" s="526"/>
      <c r="F576" s="1199"/>
      <c r="G576" s="1200"/>
      <c r="H576" s="1199"/>
      <c r="I576" s="1200"/>
      <c r="J576" s="1199"/>
      <c r="K576" s="1200"/>
      <c r="L576" s="1199"/>
      <c r="M576" s="1200"/>
      <c r="N576" s="1199"/>
      <c r="O576" s="1200"/>
      <c r="P576" s="503"/>
      <c r="Q576" s="503"/>
      <c r="R576" s="503"/>
      <c r="S576" s="503"/>
      <c r="T576" s="503"/>
      <c r="U576" s="503"/>
      <c r="V576" s="503"/>
      <c r="W576" s="503"/>
    </row>
    <row r="577" spans="1:23" hidden="1" x14ac:dyDescent="0.35">
      <c r="A577" s="543"/>
      <c r="B577" s="631" t="str">
        <f>B576&amp;"KW"</f>
        <v>KW</v>
      </c>
      <c r="C577" s="524" t="s">
        <v>170</v>
      </c>
      <c r="D577" s="526"/>
      <c r="E577" s="526"/>
      <c r="F577" s="1199"/>
      <c r="G577" s="1200"/>
      <c r="H577" s="1199"/>
      <c r="I577" s="1200"/>
      <c r="J577" s="1199"/>
      <c r="K577" s="1200"/>
      <c r="L577" s="1199"/>
      <c r="M577" s="1200"/>
      <c r="N577" s="1199"/>
      <c r="O577" s="1200"/>
      <c r="P577" s="503"/>
      <c r="Q577" s="503"/>
      <c r="R577" s="503"/>
      <c r="S577" s="503"/>
      <c r="T577" s="503"/>
      <c r="U577" s="503"/>
      <c r="V577" s="503"/>
      <c r="W577" s="503"/>
    </row>
    <row r="578" spans="1:23" hidden="1" x14ac:dyDescent="0.35">
      <c r="A578" s="543" t="s">
        <v>522</v>
      </c>
      <c r="B578" s="539"/>
      <c r="C578" s="524" t="s">
        <v>139</v>
      </c>
      <c r="D578" s="526"/>
      <c r="E578" s="526"/>
      <c r="F578" s="1199"/>
      <c r="G578" s="1200"/>
      <c r="H578" s="1199"/>
      <c r="I578" s="1200"/>
      <c r="J578" s="1199"/>
      <c r="K578" s="1200"/>
      <c r="L578" s="1199"/>
      <c r="M578" s="1200"/>
      <c r="N578" s="1199"/>
      <c r="O578" s="1200"/>
      <c r="P578" s="503"/>
      <c r="Q578" s="503"/>
      <c r="R578" s="503"/>
      <c r="S578" s="503"/>
      <c r="T578" s="503"/>
      <c r="U578" s="503"/>
      <c r="V578" s="503"/>
      <c r="W578" s="503"/>
    </row>
    <row r="579" spans="1:23" hidden="1" x14ac:dyDescent="0.35">
      <c r="A579" s="543"/>
      <c r="B579" s="540" t="str">
        <f>B578&amp;"KW"</f>
        <v>KW</v>
      </c>
      <c r="C579" s="524" t="s">
        <v>170</v>
      </c>
      <c r="D579" s="526"/>
      <c r="E579" s="526"/>
      <c r="F579" s="1199"/>
      <c r="G579" s="1200"/>
      <c r="H579" s="1199"/>
      <c r="I579" s="1200"/>
      <c r="J579" s="1199"/>
      <c r="K579" s="1200"/>
      <c r="L579" s="1199"/>
      <c r="M579" s="1200"/>
      <c r="N579" s="1199"/>
      <c r="O579" s="1200"/>
      <c r="P579" s="503"/>
      <c r="Q579" s="503"/>
      <c r="R579" s="503"/>
      <c r="S579" s="503"/>
      <c r="T579" s="503"/>
      <c r="U579" s="503"/>
      <c r="V579" s="503"/>
      <c r="W579" s="503"/>
    </row>
    <row r="580" spans="1:23" hidden="1" x14ac:dyDescent="0.35">
      <c r="A580" s="543" t="s">
        <v>523</v>
      </c>
      <c r="B580" s="539"/>
      <c r="C580" s="524" t="s">
        <v>139</v>
      </c>
      <c r="D580" s="526"/>
      <c r="E580" s="526"/>
      <c r="F580" s="1199"/>
      <c r="G580" s="1200"/>
      <c r="H580" s="1199"/>
      <c r="I580" s="1200"/>
      <c r="J580" s="1199"/>
      <c r="K580" s="1200"/>
      <c r="L580" s="1199"/>
      <c r="M580" s="1200"/>
      <c r="N580" s="1199"/>
      <c r="O580" s="1200"/>
      <c r="P580" s="503"/>
      <c r="Q580" s="503"/>
      <c r="R580" s="503"/>
      <c r="S580" s="503"/>
      <c r="T580" s="503"/>
      <c r="U580" s="503"/>
      <c r="V580" s="503"/>
      <c r="W580" s="503"/>
    </row>
    <row r="581" spans="1:23" hidden="1" x14ac:dyDescent="0.35">
      <c r="A581" s="543"/>
      <c r="B581" s="540" t="str">
        <f>B580&amp;"KW"</f>
        <v>KW</v>
      </c>
      <c r="C581" s="524" t="s">
        <v>170</v>
      </c>
      <c r="D581" s="526"/>
      <c r="E581" s="526"/>
      <c r="F581" s="1199"/>
      <c r="G581" s="1200"/>
      <c r="H581" s="1199"/>
      <c r="I581" s="1200"/>
      <c r="J581" s="1199"/>
      <c r="K581" s="1200"/>
      <c r="L581" s="1199"/>
      <c r="M581" s="1200"/>
      <c r="N581" s="1199"/>
      <c r="O581" s="1200"/>
      <c r="P581" s="503"/>
      <c r="Q581" s="503"/>
      <c r="R581" s="503"/>
      <c r="S581" s="503"/>
      <c r="T581" s="503"/>
      <c r="U581" s="503"/>
      <c r="V581" s="503"/>
      <c r="W581" s="503"/>
    </row>
    <row r="582" spans="1:23" hidden="1" x14ac:dyDescent="0.35">
      <c r="A582" s="543" t="s">
        <v>524</v>
      </c>
      <c r="B582" s="539"/>
      <c r="C582" s="524" t="s">
        <v>139</v>
      </c>
      <c r="D582" s="526"/>
      <c r="E582" s="526"/>
      <c r="F582" s="1199"/>
      <c r="G582" s="1200"/>
      <c r="H582" s="1199"/>
      <c r="I582" s="1200"/>
      <c r="J582" s="1199"/>
      <c r="K582" s="1200"/>
      <c r="L582" s="1199"/>
      <c r="M582" s="1200"/>
      <c r="N582" s="1199"/>
      <c r="O582" s="1200"/>
      <c r="P582" s="503"/>
      <c r="Q582" s="503"/>
      <c r="R582" s="503"/>
      <c r="S582" s="503"/>
      <c r="T582" s="503"/>
      <c r="U582" s="503"/>
      <c r="V582" s="503"/>
      <c r="W582" s="503"/>
    </row>
    <row r="583" spans="1:23" hidden="1" x14ac:dyDescent="0.35">
      <c r="A583" s="543"/>
      <c r="B583" s="540" t="str">
        <f>B582&amp;"KW"</f>
        <v>KW</v>
      </c>
      <c r="C583" s="524" t="s">
        <v>170</v>
      </c>
      <c r="D583" s="526"/>
      <c r="E583" s="526"/>
      <c r="F583" s="1199"/>
      <c r="G583" s="1200"/>
      <c r="H583" s="1199"/>
      <c r="I583" s="1200"/>
      <c r="J583" s="1199"/>
      <c r="K583" s="1200"/>
      <c r="L583" s="1199"/>
      <c r="M583" s="1200"/>
      <c r="N583" s="1199"/>
      <c r="O583" s="1200"/>
      <c r="P583" s="503"/>
      <c r="Q583" s="503"/>
      <c r="R583" s="503"/>
      <c r="S583" s="503"/>
      <c r="T583" s="503"/>
      <c r="U583" s="503"/>
      <c r="V583" s="503"/>
      <c r="W583" s="503"/>
    </row>
    <row r="584" spans="1:23" hidden="1" x14ac:dyDescent="0.35">
      <c r="A584" s="543" t="s">
        <v>525</v>
      </c>
      <c r="B584" s="539"/>
      <c r="C584" s="524" t="s">
        <v>139</v>
      </c>
      <c r="D584" s="526"/>
      <c r="E584" s="526"/>
      <c r="F584" s="1199"/>
      <c r="G584" s="1200"/>
      <c r="H584" s="1199"/>
      <c r="I584" s="1200"/>
      <c r="J584" s="1199"/>
      <c r="K584" s="1200"/>
      <c r="L584" s="1199"/>
      <c r="M584" s="1200"/>
      <c r="N584" s="1199"/>
      <c r="O584" s="1200"/>
      <c r="P584" s="503"/>
      <c r="Q584" s="503"/>
      <c r="R584" s="503"/>
      <c r="S584" s="503"/>
      <c r="T584" s="503"/>
      <c r="U584" s="503"/>
      <c r="V584" s="503"/>
      <c r="W584" s="503"/>
    </row>
    <row r="585" spans="1:23" hidden="1" x14ac:dyDescent="0.35">
      <c r="A585" s="543"/>
      <c r="B585" s="540" t="str">
        <f>B584&amp;"KW"</f>
        <v>KW</v>
      </c>
      <c r="C585" s="524" t="s">
        <v>170</v>
      </c>
      <c r="D585" s="526"/>
      <c r="E585" s="526"/>
      <c r="F585" s="1199"/>
      <c r="G585" s="1200"/>
      <c r="H585" s="1199"/>
      <c r="I585" s="1200"/>
      <c r="J585" s="1199"/>
      <c r="K585" s="1200"/>
      <c r="L585" s="1199"/>
      <c r="M585" s="1200"/>
      <c r="N585" s="1199"/>
      <c r="O585" s="1200"/>
      <c r="P585" s="503"/>
      <c r="Q585" s="503"/>
      <c r="R585" s="503"/>
      <c r="S585" s="503"/>
      <c r="T585" s="503"/>
      <c r="U585" s="503"/>
      <c r="V585" s="503"/>
      <c r="W585" s="503"/>
    </row>
    <row r="586" spans="1:23" hidden="1" x14ac:dyDescent="0.35">
      <c r="A586" s="543" t="s">
        <v>526</v>
      </c>
      <c r="B586" s="539"/>
      <c r="C586" s="524" t="s">
        <v>139</v>
      </c>
      <c r="D586" s="526"/>
      <c r="E586" s="526"/>
      <c r="F586" s="1199"/>
      <c r="G586" s="1200"/>
      <c r="H586" s="1199"/>
      <c r="I586" s="1200"/>
      <c r="J586" s="1199"/>
      <c r="K586" s="1200"/>
      <c r="L586" s="1199"/>
      <c r="M586" s="1200"/>
      <c r="N586" s="1199"/>
      <c r="O586" s="1200"/>
      <c r="P586" s="503"/>
      <c r="Q586" s="503"/>
      <c r="R586" s="503"/>
      <c r="S586" s="503"/>
      <c r="T586" s="503"/>
      <c r="U586" s="503"/>
      <c r="V586" s="503"/>
      <c r="W586" s="503"/>
    </row>
    <row r="587" spans="1:23" hidden="1" x14ac:dyDescent="0.35">
      <c r="A587" s="543"/>
      <c r="B587" s="540" t="str">
        <f>B586&amp;"KW"</f>
        <v>KW</v>
      </c>
      <c r="C587" s="524" t="s">
        <v>170</v>
      </c>
      <c r="D587" s="526"/>
      <c r="E587" s="526"/>
      <c r="F587" s="1199"/>
      <c r="G587" s="1200"/>
      <c r="H587" s="1199"/>
      <c r="I587" s="1200"/>
      <c r="J587" s="1199"/>
      <c r="K587" s="1200"/>
      <c r="L587" s="1199"/>
      <c r="M587" s="1200"/>
      <c r="N587" s="1199"/>
      <c r="O587" s="1200"/>
      <c r="P587" s="503"/>
      <c r="Q587" s="503"/>
      <c r="R587" s="503"/>
      <c r="S587" s="503"/>
      <c r="T587" s="503"/>
      <c r="U587" s="503"/>
      <c r="V587" s="503"/>
      <c r="W587" s="503"/>
    </row>
    <row r="588" spans="1:23" hidden="1" x14ac:dyDescent="0.35">
      <c r="A588" s="543" t="s">
        <v>527</v>
      </c>
      <c r="B588" s="539"/>
      <c r="C588" s="524" t="s">
        <v>139</v>
      </c>
      <c r="D588" s="526"/>
      <c r="E588" s="526"/>
      <c r="F588" s="1199"/>
      <c r="G588" s="1200"/>
      <c r="H588" s="1199"/>
      <c r="I588" s="1200"/>
      <c r="J588" s="1199"/>
      <c r="K588" s="1200"/>
      <c r="L588" s="1199"/>
      <c r="M588" s="1200"/>
      <c r="N588" s="1199"/>
      <c r="O588" s="1200"/>
      <c r="P588" s="503"/>
      <c r="Q588" s="503"/>
      <c r="R588" s="503"/>
      <c r="S588" s="503"/>
      <c r="T588" s="503"/>
      <c r="U588" s="503"/>
      <c r="V588" s="503"/>
      <c r="W588" s="503"/>
    </row>
    <row r="589" spans="1:23" hidden="1" x14ac:dyDescent="0.35">
      <c r="A589" s="543"/>
      <c r="B589" s="540" t="str">
        <f>B588&amp;"KW"</f>
        <v>KW</v>
      </c>
      <c r="C589" s="524" t="s">
        <v>170</v>
      </c>
      <c r="D589" s="526"/>
      <c r="E589" s="526"/>
      <c r="F589" s="1199"/>
      <c r="G589" s="1200"/>
      <c r="H589" s="1199"/>
      <c r="I589" s="1200"/>
      <c r="J589" s="1199"/>
      <c r="K589" s="1200"/>
      <c r="L589" s="1199"/>
      <c r="M589" s="1200"/>
      <c r="N589" s="1199"/>
      <c r="O589" s="1200"/>
      <c r="P589" s="503"/>
      <c r="Q589" s="503"/>
      <c r="R589" s="503"/>
      <c r="S589" s="503"/>
      <c r="T589" s="503"/>
      <c r="U589" s="503"/>
      <c r="V589" s="503"/>
      <c r="W589" s="503"/>
    </row>
    <row r="590" spans="1:23" hidden="1" x14ac:dyDescent="0.35">
      <c r="A590" s="543" t="s">
        <v>528</v>
      </c>
      <c r="B590" s="539"/>
      <c r="C590" s="524" t="s">
        <v>139</v>
      </c>
      <c r="D590" s="526"/>
      <c r="E590" s="526"/>
      <c r="F590" s="1199"/>
      <c r="G590" s="1200"/>
      <c r="H590" s="1199"/>
      <c r="I590" s="1200"/>
      <c r="J590" s="1199"/>
      <c r="K590" s="1200"/>
      <c r="L590" s="1199"/>
      <c r="M590" s="1200"/>
      <c r="N590" s="1199"/>
      <c r="O590" s="1200"/>
      <c r="P590" s="503"/>
      <c r="Q590" s="503"/>
      <c r="R590" s="503"/>
      <c r="S590" s="503"/>
      <c r="T590" s="503"/>
      <c r="U590" s="503"/>
      <c r="V590" s="503"/>
      <c r="W590" s="503"/>
    </row>
    <row r="591" spans="1:23" hidden="1" x14ac:dyDescent="0.35">
      <c r="A591" s="543"/>
      <c r="B591" s="540" t="str">
        <f>B590&amp;"KW"</f>
        <v>KW</v>
      </c>
      <c r="C591" s="524" t="s">
        <v>170</v>
      </c>
      <c r="D591" s="526"/>
      <c r="E591" s="526"/>
      <c r="F591" s="1199"/>
      <c r="G591" s="1200"/>
      <c r="H591" s="1199"/>
      <c r="I591" s="1200"/>
      <c r="J591" s="1199"/>
      <c r="K591" s="1200"/>
      <c r="L591" s="1199"/>
      <c r="M591" s="1200"/>
      <c r="N591" s="1199"/>
      <c r="O591" s="1200"/>
      <c r="P591" s="503"/>
      <c r="Q591" s="503"/>
      <c r="R591" s="503"/>
      <c r="S591" s="503"/>
      <c r="T591" s="503"/>
      <c r="U591" s="503"/>
      <c r="V591" s="503"/>
      <c r="W591" s="503"/>
    </row>
    <row r="592" spans="1:23" hidden="1" x14ac:dyDescent="0.35">
      <c r="A592" s="543" t="s">
        <v>529</v>
      </c>
      <c r="B592" s="539"/>
      <c r="C592" s="524" t="s">
        <v>139</v>
      </c>
      <c r="D592" s="526"/>
      <c r="E592" s="526"/>
      <c r="F592" s="1199"/>
      <c r="G592" s="1200"/>
      <c r="H592" s="1199"/>
      <c r="I592" s="1200"/>
      <c r="J592" s="1199"/>
      <c r="K592" s="1200"/>
      <c r="L592" s="1199"/>
      <c r="M592" s="1200"/>
      <c r="N592" s="1199"/>
      <c r="O592" s="1200"/>
      <c r="P592" s="503"/>
      <c r="Q592" s="503"/>
      <c r="R592" s="503"/>
      <c r="S592" s="503"/>
      <c r="T592" s="503"/>
      <c r="U592" s="503"/>
      <c r="V592" s="503"/>
      <c r="W592" s="503"/>
    </row>
    <row r="593" spans="1:23" hidden="1" x14ac:dyDescent="0.35">
      <c r="A593" s="543"/>
      <c r="B593" s="540" t="str">
        <f>B592&amp;"KW"</f>
        <v>KW</v>
      </c>
      <c r="C593" s="524" t="s">
        <v>170</v>
      </c>
      <c r="D593" s="526"/>
      <c r="E593" s="526"/>
      <c r="F593" s="1199"/>
      <c r="G593" s="1200"/>
      <c r="H593" s="1199"/>
      <c r="I593" s="1200"/>
      <c r="J593" s="1199"/>
      <c r="K593" s="1200"/>
      <c r="L593" s="1199"/>
      <c r="M593" s="1200"/>
      <c r="N593" s="1199"/>
      <c r="O593" s="1200"/>
      <c r="P593" s="503"/>
      <c r="Q593" s="503"/>
      <c r="R593" s="503"/>
      <c r="S593" s="503"/>
      <c r="T593" s="503"/>
      <c r="U593" s="503"/>
      <c r="V593" s="503"/>
      <c r="W593" s="503"/>
    </row>
    <row r="594" spans="1:23" hidden="1" x14ac:dyDescent="0.35">
      <c r="A594" s="543" t="s">
        <v>530</v>
      </c>
      <c r="B594" s="539"/>
      <c r="C594" s="524" t="s">
        <v>139</v>
      </c>
      <c r="D594" s="526"/>
      <c r="E594" s="526"/>
      <c r="F594" s="1199"/>
      <c r="G594" s="1200"/>
      <c r="H594" s="1199"/>
      <c r="I594" s="1200"/>
      <c r="J594" s="1199"/>
      <c r="K594" s="1200"/>
      <c r="L594" s="1199"/>
      <c r="M594" s="1200"/>
      <c r="N594" s="1199"/>
      <c r="O594" s="1200"/>
      <c r="P594" s="503"/>
      <c r="Q594" s="503"/>
      <c r="R594" s="503"/>
      <c r="S594" s="503"/>
      <c r="T594" s="503"/>
      <c r="U594" s="503"/>
      <c r="V594" s="503"/>
      <c r="W594" s="503"/>
    </row>
    <row r="595" spans="1:23" hidden="1" x14ac:dyDescent="0.35">
      <c r="A595" s="543"/>
      <c r="B595" s="540" t="str">
        <f>B594&amp;"KW"</f>
        <v>KW</v>
      </c>
      <c r="C595" s="524" t="s">
        <v>170</v>
      </c>
      <c r="D595" s="526"/>
      <c r="E595" s="526"/>
      <c r="F595" s="1199"/>
      <c r="G595" s="1200"/>
      <c r="H595" s="1199"/>
      <c r="I595" s="1200"/>
      <c r="J595" s="1199"/>
      <c r="K595" s="1200"/>
      <c r="L595" s="1199"/>
      <c r="M595" s="1200"/>
      <c r="N595" s="1199"/>
      <c r="O595" s="1200"/>
      <c r="P595" s="503"/>
      <c r="Q595" s="503"/>
      <c r="R595" s="503"/>
      <c r="S595" s="503"/>
      <c r="T595" s="503"/>
      <c r="U595" s="503"/>
      <c r="V595" s="503"/>
      <c r="W595" s="503"/>
    </row>
    <row r="596" spans="1:23" hidden="1" x14ac:dyDescent="0.35">
      <c r="A596" s="543" t="s">
        <v>531</v>
      </c>
      <c r="B596" s="539"/>
      <c r="C596" s="524" t="s">
        <v>139</v>
      </c>
      <c r="D596" s="526"/>
      <c r="E596" s="526"/>
      <c r="F596" s="1199"/>
      <c r="G596" s="1200"/>
      <c r="H596" s="1199"/>
      <c r="I596" s="1200"/>
      <c r="J596" s="1199"/>
      <c r="K596" s="1200"/>
      <c r="L596" s="1199"/>
      <c r="M596" s="1200"/>
      <c r="N596" s="1199"/>
      <c r="O596" s="1200"/>
      <c r="P596" s="503"/>
      <c r="Q596" s="503"/>
      <c r="R596" s="503"/>
      <c r="S596" s="503"/>
      <c r="T596" s="503"/>
      <c r="U596" s="503"/>
      <c r="V596" s="503"/>
      <c r="W596" s="503"/>
    </row>
    <row r="597" spans="1:23" hidden="1" x14ac:dyDescent="0.35">
      <c r="A597" s="543"/>
      <c r="B597" s="540" t="str">
        <f>B596&amp;"KW"</f>
        <v>KW</v>
      </c>
      <c r="C597" s="524" t="s">
        <v>170</v>
      </c>
      <c r="D597" s="526"/>
      <c r="E597" s="526"/>
      <c r="F597" s="1199"/>
      <c r="G597" s="1200"/>
      <c r="H597" s="1199"/>
      <c r="I597" s="1200"/>
      <c r="J597" s="1199"/>
      <c r="K597" s="1200"/>
      <c r="L597" s="1199"/>
      <c r="M597" s="1200"/>
      <c r="N597" s="1199"/>
      <c r="O597" s="1200"/>
      <c r="P597" s="503"/>
      <c r="Q597" s="503"/>
      <c r="R597" s="503"/>
      <c r="S597" s="503"/>
      <c r="T597" s="503"/>
      <c r="U597" s="503"/>
      <c r="V597" s="503"/>
      <c r="W597" s="503"/>
    </row>
    <row r="598" spans="1:23" hidden="1" x14ac:dyDescent="0.35">
      <c r="A598" s="543" t="s">
        <v>532</v>
      </c>
      <c r="B598" s="539"/>
      <c r="C598" s="524" t="s">
        <v>139</v>
      </c>
      <c r="D598" s="526"/>
      <c r="E598" s="526"/>
      <c r="F598" s="1199"/>
      <c r="G598" s="1200"/>
      <c r="H598" s="1199"/>
      <c r="I598" s="1200"/>
      <c r="J598" s="1199"/>
      <c r="K598" s="1200"/>
      <c r="L598" s="1199"/>
      <c r="M598" s="1200"/>
      <c r="N598" s="1199"/>
      <c r="O598" s="1200"/>
      <c r="P598" s="503"/>
      <c r="Q598" s="503"/>
      <c r="R598" s="503"/>
      <c r="S598" s="503"/>
      <c r="T598" s="503"/>
      <c r="U598" s="503"/>
      <c r="V598" s="503"/>
      <c r="W598" s="503"/>
    </row>
    <row r="599" spans="1:23" hidden="1" x14ac:dyDescent="0.35">
      <c r="A599" s="543"/>
      <c r="B599" s="540" t="str">
        <f>B598&amp;"KW"</f>
        <v>KW</v>
      </c>
      <c r="C599" s="524" t="s">
        <v>170</v>
      </c>
      <c r="D599" s="526"/>
      <c r="E599" s="526"/>
      <c r="F599" s="1199"/>
      <c r="G599" s="1200"/>
      <c r="H599" s="1199"/>
      <c r="I599" s="1200"/>
      <c r="J599" s="1199"/>
      <c r="K599" s="1200"/>
      <c r="L599" s="1199"/>
      <c r="M599" s="1200"/>
      <c r="N599" s="1199"/>
      <c r="O599" s="1200"/>
      <c r="P599" s="503"/>
      <c r="Q599" s="503"/>
      <c r="R599" s="503"/>
      <c r="S599" s="503"/>
      <c r="T599" s="503"/>
      <c r="U599" s="503"/>
      <c r="V599" s="503"/>
      <c r="W599" s="503"/>
    </row>
    <row r="600" spans="1:23" hidden="1" x14ac:dyDescent="0.35">
      <c r="A600" s="543" t="s">
        <v>533</v>
      </c>
      <c r="B600" s="539"/>
      <c r="C600" s="524" t="s">
        <v>139</v>
      </c>
      <c r="D600" s="526"/>
      <c r="E600" s="526"/>
      <c r="F600" s="1199"/>
      <c r="G600" s="1200"/>
      <c r="H600" s="1199"/>
      <c r="I600" s="1200"/>
      <c r="J600" s="1199"/>
      <c r="K600" s="1200"/>
      <c r="L600" s="1199"/>
      <c r="M600" s="1200"/>
      <c r="N600" s="1199"/>
      <c r="O600" s="1200"/>
      <c r="P600" s="503"/>
      <c r="Q600" s="503"/>
      <c r="R600" s="503"/>
      <c r="S600" s="503"/>
      <c r="T600" s="503"/>
      <c r="U600" s="503"/>
      <c r="V600" s="503"/>
      <c r="W600" s="503"/>
    </row>
    <row r="601" spans="1:23" hidden="1" x14ac:dyDescent="0.35">
      <c r="A601" s="543"/>
      <c r="B601" s="540" t="str">
        <f>B600&amp;"KW"</f>
        <v>KW</v>
      </c>
      <c r="C601" s="524" t="s">
        <v>170</v>
      </c>
      <c r="D601" s="526"/>
      <c r="E601" s="526"/>
      <c r="F601" s="1199"/>
      <c r="G601" s="1200"/>
      <c r="H601" s="1199"/>
      <c r="I601" s="1200"/>
      <c r="J601" s="1199"/>
      <c r="K601" s="1200"/>
      <c r="L601" s="1199"/>
      <c r="M601" s="1200"/>
      <c r="N601" s="1199"/>
      <c r="O601" s="1200"/>
      <c r="P601" s="503"/>
      <c r="Q601" s="503"/>
      <c r="R601" s="503"/>
      <c r="S601" s="503"/>
      <c r="T601" s="503"/>
      <c r="U601" s="503"/>
      <c r="V601" s="503"/>
      <c r="W601" s="503"/>
    </row>
    <row r="602" spans="1:23" hidden="1" x14ac:dyDescent="0.35">
      <c r="A602" s="543" t="s">
        <v>534</v>
      </c>
      <c r="B602" s="539"/>
      <c r="C602" s="524" t="s">
        <v>139</v>
      </c>
      <c r="D602" s="526"/>
      <c r="E602" s="526"/>
      <c r="F602" s="1199"/>
      <c r="G602" s="1200"/>
      <c r="H602" s="1199"/>
      <c r="I602" s="1200"/>
      <c r="J602" s="1199"/>
      <c r="K602" s="1200"/>
      <c r="L602" s="1199"/>
      <c r="M602" s="1200"/>
      <c r="N602" s="1199"/>
      <c r="O602" s="1200"/>
      <c r="P602" s="503"/>
      <c r="Q602" s="503"/>
      <c r="R602" s="503"/>
      <c r="S602" s="503"/>
      <c r="T602" s="503"/>
      <c r="U602" s="503"/>
      <c r="V602" s="503"/>
      <c r="W602" s="503"/>
    </row>
    <row r="603" spans="1:23" hidden="1" x14ac:dyDescent="0.35">
      <c r="A603" s="543"/>
      <c r="B603" s="540" t="str">
        <f>B602&amp;"KW"</f>
        <v>KW</v>
      </c>
      <c r="C603" s="524" t="s">
        <v>170</v>
      </c>
      <c r="D603" s="526"/>
      <c r="E603" s="526"/>
      <c r="F603" s="1199"/>
      <c r="G603" s="1200"/>
      <c r="H603" s="1199"/>
      <c r="I603" s="1200"/>
      <c r="J603" s="1199"/>
      <c r="K603" s="1200"/>
      <c r="L603" s="1199"/>
      <c r="M603" s="1200"/>
      <c r="N603" s="1199"/>
      <c r="O603" s="1200"/>
      <c r="P603" s="503"/>
      <c r="Q603" s="503"/>
      <c r="R603" s="503"/>
      <c r="S603" s="503"/>
      <c r="T603" s="503"/>
      <c r="U603" s="503"/>
      <c r="V603" s="503"/>
      <c r="W603" s="503"/>
    </row>
    <row r="604" spans="1:23" hidden="1" x14ac:dyDescent="0.35">
      <c r="A604" s="543" t="s">
        <v>535</v>
      </c>
      <c r="B604" s="539"/>
      <c r="C604" s="524" t="s">
        <v>139</v>
      </c>
      <c r="D604" s="526"/>
      <c r="E604" s="526"/>
      <c r="F604" s="1199"/>
      <c r="G604" s="1200"/>
      <c r="H604" s="1199"/>
      <c r="I604" s="1200"/>
      <c r="J604" s="1199"/>
      <c r="K604" s="1200"/>
      <c r="L604" s="1199"/>
      <c r="M604" s="1200"/>
      <c r="N604" s="1199"/>
      <c r="O604" s="1200"/>
      <c r="P604" s="503"/>
      <c r="Q604" s="503"/>
      <c r="R604" s="503"/>
      <c r="S604" s="503"/>
      <c r="T604" s="503"/>
      <c r="U604" s="503"/>
      <c r="V604" s="503"/>
      <c r="W604" s="503"/>
    </row>
    <row r="605" spans="1:23" hidden="1" x14ac:dyDescent="0.35">
      <c r="A605" s="543"/>
      <c r="B605" s="540" t="str">
        <f>B604&amp;"KW"</f>
        <v>KW</v>
      </c>
      <c r="C605" s="524" t="s">
        <v>170</v>
      </c>
      <c r="D605" s="526"/>
      <c r="E605" s="526"/>
      <c r="F605" s="1199"/>
      <c r="G605" s="1200"/>
      <c r="H605" s="1199"/>
      <c r="I605" s="1200"/>
      <c r="J605" s="1199"/>
      <c r="K605" s="1200"/>
      <c r="L605" s="1199"/>
      <c r="M605" s="1200"/>
      <c r="N605" s="1199"/>
      <c r="O605" s="1200"/>
      <c r="P605" s="503"/>
      <c r="Q605" s="503"/>
      <c r="R605" s="503"/>
      <c r="S605" s="503"/>
      <c r="T605" s="503"/>
      <c r="U605" s="503"/>
      <c r="V605" s="503"/>
      <c r="W605" s="503"/>
    </row>
    <row r="606" spans="1:23" hidden="1" x14ac:dyDescent="0.35">
      <c r="A606" s="543" t="s">
        <v>536</v>
      </c>
      <c r="B606" s="539"/>
      <c r="C606" s="524" t="s">
        <v>139</v>
      </c>
      <c r="D606" s="526"/>
      <c r="E606" s="526"/>
      <c r="F606" s="1199"/>
      <c r="G606" s="1200"/>
      <c r="H606" s="1199"/>
      <c r="I606" s="1200"/>
      <c r="J606" s="1199"/>
      <c r="K606" s="1200"/>
      <c r="L606" s="1199"/>
      <c r="M606" s="1200"/>
      <c r="N606" s="1199"/>
      <c r="O606" s="1200"/>
      <c r="P606" s="503"/>
      <c r="Q606" s="503"/>
      <c r="R606" s="503"/>
      <c r="S606" s="503"/>
      <c r="T606" s="503"/>
      <c r="U606" s="503"/>
      <c r="V606" s="503"/>
      <c r="W606" s="503"/>
    </row>
    <row r="607" spans="1:23" hidden="1" x14ac:dyDescent="0.35">
      <c r="A607" s="543"/>
      <c r="B607" s="540" t="str">
        <f>B606&amp;"KW"</f>
        <v>KW</v>
      </c>
      <c r="C607" s="524" t="s">
        <v>170</v>
      </c>
      <c r="D607" s="526"/>
      <c r="E607" s="526"/>
      <c r="F607" s="1199"/>
      <c r="G607" s="1200"/>
      <c r="H607" s="1199"/>
      <c r="I607" s="1200"/>
      <c r="J607" s="1199"/>
      <c r="K607" s="1200"/>
      <c r="L607" s="1199"/>
      <c r="M607" s="1200"/>
      <c r="N607" s="1199"/>
      <c r="O607" s="1200"/>
      <c r="P607" s="503"/>
      <c r="Q607" s="503"/>
      <c r="R607" s="503"/>
      <c r="S607" s="503"/>
      <c r="T607" s="503"/>
      <c r="U607" s="503"/>
      <c r="V607" s="503"/>
      <c r="W607" s="503"/>
    </row>
    <row r="608" spans="1:23" hidden="1" x14ac:dyDescent="0.35">
      <c r="A608" s="543" t="s">
        <v>537</v>
      </c>
      <c r="B608" s="539"/>
      <c r="C608" s="524" t="s">
        <v>139</v>
      </c>
      <c r="D608" s="526"/>
      <c r="E608" s="526"/>
      <c r="F608" s="1199"/>
      <c r="G608" s="1200"/>
      <c r="H608" s="1199"/>
      <c r="I608" s="1200"/>
      <c r="J608" s="1199"/>
      <c r="K608" s="1200"/>
      <c r="L608" s="1199"/>
      <c r="M608" s="1200"/>
      <c r="N608" s="1199"/>
      <c r="O608" s="1200"/>
      <c r="P608" s="503"/>
      <c r="Q608" s="503"/>
      <c r="R608" s="503"/>
      <c r="S608" s="503"/>
      <c r="T608" s="503"/>
      <c r="U608" s="503"/>
      <c r="V608" s="503"/>
      <c r="W608" s="503"/>
    </row>
    <row r="609" spans="1:23" hidden="1" x14ac:dyDescent="0.35">
      <c r="A609" s="543"/>
      <c r="B609" s="540" t="str">
        <f>B608&amp;"KW"</f>
        <v>KW</v>
      </c>
      <c r="C609" s="524" t="s">
        <v>170</v>
      </c>
      <c r="D609" s="526"/>
      <c r="E609" s="526"/>
      <c r="F609" s="1199"/>
      <c r="G609" s="1200"/>
      <c r="H609" s="1199"/>
      <c r="I609" s="1200"/>
      <c r="J609" s="1199"/>
      <c r="K609" s="1200"/>
      <c r="L609" s="1199"/>
      <c r="M609" s="1200"/>
      <c r="N609" s="1199"/>
      <c r="O609" s="1200"/>
      <c r="P609" s="503"/>
      <c r="Q609" s="503"/>
      <c r="R609" s="503"/>
      <c r="S609" s="503"/>
      <c r="T609" s="503"/>
      <c r="U609" s="503"/>
      <c r="V609" s="503"/>
      <c r="W609" s="503"/>
    </row>
    <row r="610" spans="1:23" hidden="1" x14ac:dyDescent="0.35">
      <c r="A610" s="543" t="s">
        <v>538</v>
      </c>
      <c r="B610" s="539"/>
      <c r="C610" s="524" t="s">
        <v>139</v>
      </c>
      <c r="D610" s="526"/>
      <c r="E610" s="526"/>
      <c r="F610" s="1199"/>
      <c r="G610" s="1200"/>
      <c r="H610" s="1199"/>
      <c r="I610" s="1200"/>
      <c r="J610" s="1199"/>
      <c r="K610" s="1200"/>
      <c r="L610" s="1199"/>
      <c r="M610" s="1200"/>
      <c r="N610" s="1199"/>
      <c r="O610" s="1200"/>
      <c r="P610" s="503"/>
      <c r="Q610" s="503"/>
      <c r="R610" s="503"/>
      <c r="S610" s="503"/>
      <c r="T610" s="503"/>
      <c r="U610" s="503"/>
      <c r="V610" s="503"/>
      <c r="W610" s="503"/>
    </row>
    <row r="611" spans="1:23" hidden="1" x14ac:dyDescent="0.35">
      <c r="A611" s="543"/>
      <c r="B611" s="540" t="str">
        <f>B610&amp;"KW"</f>
        <v>KW</v>
      </c>
      <c r="C611" s="524" t="s">
        <v>170</v>
      </c>
      <c r="D611" s="526"/>
      <c r="E611" s="526"/>
      <c r="F611" s="1199"/>
      <c r="G611" s="1200"/>
      <c r="H611" s="1199"/>
      <c r="I611" s="1200"/>
      <c r="J611" s="1199"/>
      <c r="K611" s="1200"/>
      <c r="L611" s="1199"/>
      <c r="M611" s="1200"/>
      <c r="N611" s="1199"/>
      <c r="O611" s="1200"/>
      <c r="P611" s="503"/>
      <c r="Q611" s="503"/>
      <c r="R611" s="503"/>
      <c r="S611" s="503"/>
      <c r="T611" s="503"/>
      <c r="U611" s="503"/>
      <c r="V611" s="503"/>
      <c r="W611" s="503"/>
    </row>
    <row r="612" spans="1:23" hidden="1" x14ac:dyDescent="0.35">
      <c r="A612" s="543" t="s">
        <v>539</v>
      </c>
      <c r="B612" s="539"/>
      <c r="C612" s="524" t="s">
        <v>139</v>
      </c>
      <c r="D612" s="526"/>
      <c r="E612" s="526"/>
      <c r="F612" s="1199"/>
      <c r="G612" s="1200"/>
      <c r="H612" s="1199"/>
      <c r="I612" s="1200"/>
      <c r="J612" s="1199"/>
      <c r="K612" s="1200"/>
      <c r="L612" s="1199"/>
      <c r="M612" s="1200"/>
      <c r="N612" s="1199"/>
      <c r="O612" s="1200"/>
      <c r="P612" s="503"/>
      <c r="Q612" s="503"/>
      <c r="R612" s="503"/>
      <c r="S612" s="503"/>
      <c r="T612" s="503"/>
      <c r="U612" s="503"/>
      <c r="V612" s="503"/>
      <c r="W612" s="503"/>
    </row>
    <row r="613" spans="1:23" hidden="1" x14ac:dyDescent="0.35">
      <c r="A613" s="543"/>
      <c r="B613" s="540" t="str">
        <f>B612&amp;"KW"</f>
        <v>KW</v>
      </c>
      <c r="C613" s="524" t="s">
        <v>170</v>
      </c>
      <c r="D613" s="526"/>
      <c r="E613" s="526"/>
      <c r="F613" s="1199"/>
      <c r="G613" s="1200"/>
      <c r="H613" s="1199"/>
      <c r="I613" s="1200"/>
      <c r="J613" s="1199"/>
      <c r="K613" s="1200"/>
      <c r="L613" s="1199"/>
      <c r="M613" s="1200"/>
      <c r="N613" s="1199"/>
      <c r="O613" s="1200"/>
      <c r="P613" s="503"/>
      <c r="Q613" s="503"/>
      <c r="R613" s="503"/>
      <c r="S613" s="503"/>
      <c r="T613" s="503"/>
      <c r="U613" s="503"/>
      <c r="V613" s="503"/>
      <c r="W613" s="503"/>
    </row>
    <row r="614" spans="1:23" hidden="1" x14ac:dyDescent="0.35">
      <c r="A614" s="543" t="s">
        <v>540</v>
      </c>
      <c r="B614" s="539"/>
      <c r="C614" s="524" t="s">
        <v>139</v>
      </c>
      <c r="D614" s="526"/>
      <c r="E614" s="526"/>
      <c r="F614" s="1199"/>
      <c r="G614" s="1200"/>
      <c r="H614" s="1199"/>
      <c r="I614" s="1200"/>
      <c r="J614" s="1199"/>
      <c r="K614" s="1200"/>
      <c r="L614" s="1199"/>
      <c r="M614" s="1200"/>
      <c r="N614" s="1199"/>
      <c r="O614" s="1200"/>
      <c r="P614" s="503"/>
      <c r="Q614" s="503"/>
      <c r="R614" s="503"/>
      <c r="S614" s="503"/>
      <c r="T614" s="503"/>
      <c r="U614" s="503"/>
      <c r="V614" s="503"/>
      <c r="W614" s="503"/>
    </row>
    <row r="615" spans="1:23" hidden="1" x14ac:dyDescent="0.35">
      <c r="A615" s="543"/>
      <c r="B615" s="540" t="str">
        <f>B614&amp;"KW"</f>
        <v>KW</v>
      </c>
      <c r="C615" s="524" t="s">
        <v>170</v>
      </c>
      <c r="D615" s="526"/>
      <c r="E615" s="526"/>
      <c r="F615" s="1199"/>
      <c r="G615" s="1200"/>
      <c r="H615" s="1199"/>
      <c r="I615" s="1200"/>
      <c r="J615" s="1199"/>
      <c r="K615" s="1200"/>
      <c r="L615" s="1199"/>
      <c r="M615" s="1200"/>
      <c r="N615" s="1199"/>
      <c r="O615" s="1200"/>
      <c r="P615" s="503"/>
      <c r="Q615" s="503"/>
      <c r="R615" s="503"/>
      <c r="S615" s="503"/>
      <c r="T615" s="503"/>
      <c r="U615" s="503"/>
      <c r="V615" s="503"/>
      <c r="W615" s="503"/>
    </row>
    <row r="616" spans="1:23" hidden="1" x14ac:dyDescent="0.35">
      <c r="A616" s="543" t="s">
        <v>541</v>
      </c>
      <c r="B616" s="539"/>
      <c r="C616" s="524" t="s">
        <v>139</v>
      </c>
      <c r="D616" s="526"/>
      <c r="E616" s="526"/>
      <c r="F616" s="1199"/>
      <c r="G616" s="1200"/>
      <c r="H616" s="1199"/>
      <c r="I616" s="1200"/>
      <c r="J616" s="1199"/>
      <c r="K616" s="1200"/>
      <c r="L616" s="1199"/>
      <c r="M616" s="1200"/>
      <c r="N616" s="1199"/>
      <c r="O616" s="1200"/>
      <c r="P616" s="503"/>
      <c r="Q616" s="503"/>
      <c r="R616" s="503"/>
      <c r="S616" s="503"/>
      <c r="T616" s="503"/>
      <c r="U616" s="503"/>
      <c r="V616" s="503"/>
      <c r="W616" s="503"/>
    </row>
    <row r="617" spans="1:23" hidden="1" x14ac:dyDescent="0.35">
      <c r="A617" s="543"/>
      <c r="B617" s="540" t="str">
        <f>B616&amp;"KW"</f>
        <v>KW</v>
      </c>
      <c r="C617" s="524" t="s">
        <v>170</v>
      </c>
      <c r="D617" s="526"/>
      <c r="E617" s="526"/>
      <c r="F617" s="1199"/>
      <c r="G617" s="1200"/>
      <c r="H617" s="1199"/>
      <c r="I617" s="1200"/>
      <c r="J617" s="1199"/>
      <c r="K617" s="1200"/>
      <c r="L617" s="1199"/>
      <c r="M617" s="1200"/>
      <c r="N617" s="1199"/>
      <c r="O617" s="1200"/>
      <c r="P617" s="503"/>
      <c r="Q617" s="503"/>
      <c r="R617" s="503"/>
      <c r="S617" s="503"/>
      <c r="T617" s="503"/>
      <c r="U617" s="503"/>
      <c r="V617" s="503"/>
      <c r="W617" s="503"/>
    </row>
    <row r="618" spans="1:23" hidden="1" x14ac:dyDescent="0.35">
      <c r="A618" s="543" t="s">
        <v>542</v>
      </c>
      <c r="B618" s="539"/>
      <c r="C618" s="524" t="s">
        <v>139</v>
      </c>
      <c r="D618" s="526"/>
      <c r="E618" s="526"/>
      <c r="F618" s="1199"/>
      <c r="G618" s="1200"/>
      <c r="H618" s="1199"/>
      <c r="I618" s="1200"/>
      <c r="J618" s="1199"/>
      <c r="K618" s="1200"/>
      <c r="L618" s="1199"/>
      <c r="M618" s="1200"/>
      <c r="N618" s="1199"/>
      <c r="O618" s="1200"/>
      <c r="P618" s="503"/>
      <c r="Q618" s="503"/>
      <c r="R618" s="503"/>
      <c r="S618" s="503"/>
      <c r="T618" s="503"/>
      <c r="U618" s="503"/>
      <c r="V618" s="503"/>
      <c r="W618" s="503"/>
    </row>
    <row r="619" spans="1:23" hidden="1" x14ac:dyDescent="0.35">
      <c r="A619" s="543"/>
      <c r="B619" s="540" t="str">
        <f>B618&amp;"KW"</f>
        <v>KW</v>
      </c>
      <c r="C619" s="524" t="s">
        <v>170</v>
      </c>
      <c r="D619" s="526"/>
      <c r="E619" s="526"/>
      <c r="F619" s="1199"/>
      <c r="G619" s="1200"/>
      <c r="H619" s="1199"/>
      <c r="I619" s="1200"/>
      <c r="J619" s="1199"/>
      <c r="K619" s="1200"/>
      <c r="L619" s="1199"/>
      <c r="M619" s="1200"/>
      <c r="N619" s="1199"/>
      <c r="O619" s="1200"/>
      <c r="P619" s="503"/>
      <c r="Q619" s="503"/>
      <c r="R619" s="503"/>
      <c r="S619" s="503"/>
      <c r="T619" s="503"/>
      <c r="U619" s="503"/>
      <c r="V619" s="503"/>
      <c r="W619" s="503"/>
    </row>
    <row r="620" spans="1:23" hidden="1" x14ac:dyDescent="0.35">
      <c r="A620" s="543" t="s">
        <v>543</v>
      </c>
      <c r="B620" s="539"/>
      <c r="C620" s="524" t="s">
        <v>139</v>
      </c>
      <c r="D620" s="526"/>
      <c r="E620" s="526"/>
      <c r="F620" s="1199"/>
      <c r="G620" s="1200"/>
      <c r="H620" s="1199"/>
      <c r="I620" s="1200"/>
      <c r="J620" s="1199"/>
      <c r="K620" s="1200"/>
      <c r="L620" s="1199"/>
      <c r="M620" s="1200"/>
      <c r="N620" s="1199"/>
      <c r="O620" s="1200"/>
      <c r="P620" s="503"/>
      <c r="Q620" s="503"/>
      <c r="R620" s="503"/>
      <c r="S620" s="503"/>
      <c r="T620" s="503"/>
      <c r="U620" s="503"/>
      <c r="V620" s="503"/>
      <c r="W620" s="503"/>
    </row>
    <row r="621" spans="1:23" hidden="1" x14ac:dyDescent="0.35">
      <c r="A621" s="543"/>
      <c r="B621" s="540" t="str">
        <f>B620&amp;"KW"</f>
        <v>KW</v>
      </c>
      <c r="C621" s="524" t="s">
        <v>170</v>
      </c>
      <c r="D621" s="526"/>
      <c r="E621" s="526"/>
      <c r="F621" s="1199"/>
      <c r="G621" s="1200"/>
      <c r="H621" s="1199"/>
      <c r="I621" s="1200"/>
      <c r="J621" s="1199"/>
      <c r="K621" s="1200"/>
      <c r="L621" s="1199"/>
      <c r="M621" s="1200"/>
      <c r="N621" s="1199"/>
      <c r="O621" s="1200"/>
      <c r="P621" s="503"/>
      <c r="Q621" s="503"/>
      <c r="R621" s="503"/>
      <c r="S621" s="503"/>
      <c r="T621" s="503"/>
      <c r="U621" s="503"/>
      <c r="V621" s="503"/>
      <c r="W621" s="503"/>
    </row>
    <row r="622" spans="1:23" hidden="1" x14ac:dyDescent="0.35">
      <c r="A622" s="543" t="s">
        <v>544</v>
      </c>
      <c r="B622" s="539"/>
      <c r="C622" s="524" t="s">
        <v>139</v>
      </c>
      <c r="D622" s="526"/>
      <c r="E622" s="526"/>
      <c r="F622" s="1199"/>
      <c r="G622" s="1200"/>
      <c r="H622" s="1199"/>
      <c r="I622" s="1200"/>
      <c r="J622" s="1199"/>
      <c r="K622" s="1200"/>
      <c r="L622" s="1199"/>
      <c r="M622" s="1200"/>
      <c r="N622" s="1199"/>
      <c r="O622" s="1200"/>
      <c r="P622" s="503"/>
      <c r="Q622" s="503"/>
      <c r="R622" s="503"/>
      <c r="S622" s="503"/>
      <c r="T622" s="503"/>
      <c r="U622" s="503"/>
      <c r="V622" s="503"/>
      <c r="W622" s="503"/>
    </row>
    <row r="623" spans="1:23" hidden="1" x14ac:dyDescent="0.35">
      <c r="A623" s="543"/>
      <c r="B623" s="540" t="str">
        <f>B622&amp;"KW"</f>
        <v>KW</v>
      </c>
      <c r="C623" s="524" t="s">
        <v>170</v>
      </c>
      <c r="D623" s="526"/>
      <c r="E623" s="526"/>
      <c r="F623" s="1199"/>
      <c r="G623" s="1200"/>
      <c r="H623" s="1199"/>
      <c r="I623" s="1200"/>
      <c r="J623" s="1199"/>
      <c r="K623" s="1200"/>
      <c r="L623" s="1199"/>
      <c r="M623" s="1200"/>
      <c r="N623" s="1199"/>
      <c r="O623" s="1200"/>
      <c r="P623" s="503"/>
      <c r="Q623" s="503"/>
      <c r="R623" s="503"/>
      <c r="S623" s="503"/>
      <c r="T623" s="503"/>
      <c r="U623" s="503"/>
      <c r="V623" s="503"/>
      <c r="W623" s="503"/>
    </row>
    <row r="624" spans="1:23" hidden="1" x14ac:dyDescent="0.35">
      <c r="A624" s="543" t="s">
        <v>545</v>
      </c>
      <c r="B624" s="539"/>
      <c r="C624" s="524" t="s">
        <v>139</v>
      </c>
      <c r="D624" s="526"/>
      <c r="E624" s="526"/>
      <c r="F624" s="1199"/>
      <c r="G624" s="1200"/>
      <c r="H624" s="1199"/>
      <c r="I624" s="1200"/>
      <c r="J624" s="1199"/>
      <c r="K624" s="1200"/>
      <c r="L624" s="1199"/>
      <c r="M624" s="1200"/>
      <c r="N624" s="1199"/>
      <c r="O624" s="1200"/>
      <c r="P624" s="503"/>
      <c r="Q624" s="503"/>
      <c r="R624" s="503"/>
      <c r="S624" s="503"/>
      <c r="T624" s="503"/>
      <c r="U624" s="503"/>
      <c r="V624" s="503"/>
      <c r="W624" s="503"/>
    </row>
    <row r="625" spans="1:23" hidden="1" x14ac:dyDescent="0.35">
      <c r="A625" s="543"/>
      <c r="B625" s="540" t="str">
        <f>B624&amp;"KW"</f>
        <v>KW</v>
      </c>
      <c r="C625" s="524" t="s">
        <v>170</v>
      </c>
      <c r="D625" s="526"/>
      <c r="E625" s="526"/>
      <c r="F625" s="1199"/>
      <c r="G625" s="1200"/>
      <c r="H625" s="1199"/>
      <c r="I625" s="1200"/>
      <c r="J625" s="1199"/>
      <c r="K625" s="1200"/>
      <c r="L625" s="1199"/>
      <c r="M625" s="1200"/>
      <c r="N625" s="1199"/>
      <c r="O625" s="1200"/>
      <c r="P625" s="503"/>
      <c r="Q625" s="503"/>
      <c r="R625" s="503"/>
      <c r="S625" s="503"/>
      <c r="T625" s="503"/>
      <c r="U625" s="503"/>
      <c r="V625" s="503"/>
      <c r="W625" s="503"/>
    </row>
    <row r="626" spans="1:23" hidden="1" x14ac:dyDescent="0.35">
      <c r="A626" s="543" t="s">
        <v>546</v>
      </c>
      <c r="B626" s="539"/>
      <c r="C626" s="524" t="s">
        <v>139</v>
      </c>
      <c r="D626" s="526"/>
      <c r="E626" s="526"/>
      <c r="F626" s="1199"/>
      <c r="G626" s="1200"/>
      <c r="H626" s="1199"/>
      <c r="I626" s="1200"/>
      <c r="J626" s="1199"/>
      <c r="K626" s="1200"/>
      <c r="L626" s="1199"/>
      <c r="M626" s="1200"/>
      <c r="N626" s="1199"/>
      <c r="O626" s="1200"/>
      <c r="P626" s="503"/>
      <c r="Q626" s="503"/>
      <c r="R626" s="503"/>
      <c r="S626" s="503"/>
      <c r="T626" s="503"/>
      <c r="U626" s="503"/>
      <c r="V626" s="503"/>
      <c r="W626" s="503"/>
    </row>
    <row r="627" spans="1:23" hidden="1" x14ac:dyDescent="0.35">
      <c r="A627" s="543"/>
      <c r="B627" s="540" t="str">
        <f>B626&amp;"KW"</f>
        <v>KW</v>
      </c>
      <c r="C627" s="524" t="s">
        <v>170</v>
      </c>
      <c r="D627" s="526"/>
      <c r="E627" s="526"/>
      <c r="F627" s="1199"/>
      <c r="G627" s="1200"/>
      <c r="H627" s="1199"/>
      <c r="I627" s="1200"/>
      <c r="J627" s="1199"/>
      <c r="K627" s="1200"/>
      <c r="L627" s="1199"/>
      <c r="M627" s="1200"/>
      <c r="N627" s="1199"/>
      <c r="O627" s="1200"/>
      <c r="P627" s="503"/>
      <c r="Q627" s="503"/>
      <c r="R627" s="503"/>
      <c r="S627" s="503"/>
      <c r="T627" s="503"/>
      <c r="U627" s="503"/>
      <c r="V627" s="503"/>
      <c r="W627" s="503"/>
    </row>
    <row r="628" spans="1:23" hidden="1" x14ac:dyDescent="0.35">
      <c r="A628" s="543" t="s">
        <v>547</v>
      </c>
      <c r="B628" s="539"/>
      <c r="C628" s="524" t="s">
        <v>139</v>
      </c>
      <c r="D628" s="526"/>
      <c r="E628" s="526"/>
      <c r="F628" s="1199"/>
      <c r="G628" s="1200"/>
      <c r="H628" s="1199"/>
      <c r="I628" s="1200"/>
      <c r="J628" s="1199"/>
      <c r="K628" s="1200"/>
      <c r="L628" s="1199"/>
      <c r="M628" s="1200"/>
      <c r="N628" s="1199"/>
      <c r="O628" s="1200"/>
      <c r="P628" s="503"/>
      <c r="Q628" s="503"/>
      <c r="R628" s="503"/>
      <c r="S628" s="503"/>
      <c r="T628" s="503"/>
      <c r="U628" s="503"/>
      <c r="V628" s="503"/>
      <c r="W628" s="503"/>
    </row>
    <row r="629" spans="1:23" hidden="1" x14ac:dyDescent="0.35">
      <c r="A629" s="543"/>
      <c r="B629" s="540" t="str">
        <f>B628&amp;"KW"</f>
        <v>KW</v>
      </c>
      <c r="C629" s="524" t="s">
        <v>170</v>
      </c>
      <c r="D629" s="526"/>
      <c r="E629" s="526"/>
      <c r="F629" s="1199"/>
      <c r="G629" s="1200"/>
      <c r="H629" s="1199"/>
      <c r="I629" s="1200"/>
      <c r="J629" s="1199"/>
      <c r="K629" s="1200"/>
      <c r="L629" s="1199"/>
      <c r="M629" s="1200"/>
      <c r="N629" s="1199"/>
      <c r="O629" s="1200"/>
      <c r="P629" s="503"/>
      <c r="Q629" s="503"/>
      <c r="R629" s="503"/>
      <c r="S629" s="503"/>
      <c r="T629" s="503"/>
      <c r="U629" s="503"/>
      <c r="V629" s="503"/>
      <c r="W629" s="503"/>
    </row>
    <row r="630" spans="1:23" hidden="1" x14ac:dyDescent="0.35">
      <c r="A630" s="543" t="s">
        <v>548</v>
      </c>
      <c r="B630" s="539"/>
      <c r="C630" s="524" t="s">
        <v>139</v>
      </c>
      <c r="D630" s="526"/>
      <c r="E630" s="526"/>
      <c r="F630" s="1199"/>
      <c r="G630" s="1200"/>
      <c r="H630" s="1199"/>
      <c r="I630" s="1200"/>
      <c r="J630" s="1199"/>
      <c r="K630" s="1200"/>
      <c r="L630" s="1199"/>
      <c r="M630" s="1200"/>
      <c r="N630" s="1199"/>
      <c r="O630" s="1200"/>
      <c r="P630" s="503"/>
      <c r="Q630" s="503"/>
      <c r="R630" s="503"/>
      <c r="S630" s="503"/>
      <c r="T630" s="503"/>
      <c r="U630" s="503"/>
      <c r="V630" s="503"/>
      <c r="W630" s="503"/>
    </row>
    <row r="631" spans="1:23" hidden="1" x14ac:dyDescent="0.35">
      <c r="A631" s="543"/>
      <c r="B631" s="540" t="str">
        <f>B630&amp;"KW"</f>
        <v>KW</v>
      </c>
      <c r="C631" s="524" t="s">
        <v>170</v>
      </c>
      <c r="D631" s="526"/>
      <c r="E631" s="526"/>
      <c r="F631" s="1199"/>
      <c r="G631" s="1200"/>
      <c r="H631" s="1199"/>
      <c r="I631" s="1200"/>
      <c r="J631" s="1199"/>
      <c r="K631" s="1200"/>
      <c r="L631" s="1199"/>
      <c r="M631" s="1200"/>
      <c r="N631" s="1199"/>
      <c r="O631" s="1200"/>
      <c r="P631" s="503"/>
      <c r="Q631" s="503"/>
      <c r="R631" s="503"/>
      <c r="S631" s="503"/>
      <c r="T631" s="503"/>
      <c r="U631" s="503"/>
      <c r="V631" s="503"/>
      <c r="W631" s="503"/>
    </row>
    <row r="632" spans="1:23" hidden="1" x14ac:dyDescent="0.35">
      <c r="A632" s="543" t="s">
        <v>549</v>
      </c>
      <c r="B632" s="539"/>
      <c r="C632" s="524" t="s">
        <v>139</v>
      </c>
      <c r="D632" s="526"/>
      <c r="E632" s="526"/>
      <c r="F632" s="1199"/>
      <c r="G632" s="1200"/>
      <c r="H632" s="1199"/>
      <c r="I632" s="1200"/>
      <c r="J632" s="1199"/>
      <c r="K632" s="1200"/>
      <c r="L632" s="1199"/>
      <c r="M632" s="1200"/>
      <c r="N632" s="1199"/>
      <c r="O632" s="1200"/>
      <c r="P632" s="503"/>
      <c r="Q632" s="503"/>
      <c r="R632" s="503"/>
      <c r="S632" s="503"/>
      <c r="T632" s="503"/>
      <c r="U632" s="503"/>
      <c r="V632" s="503"/>
      <c r="W632" s="503"/>
    </row>
    <row r="633" spans="1:23" hidden="1" x14ac:dyDescent="0.35">
      <c r="A633" s="543"/>
      <c r="B633" s="540" t="str">
        <f>B632&amp;"KW"</f>
        <v>KW</v>
      </c>
      <c r="C633" s="524" t="s">
        <v>170</v>
      </c>
      <c r="D633" s="526"/>
      <c r="E633" s="526"/>
      <c r="F633" s="1199"/>
      <c r="G633" s="1200"/>
      <c r="H633" s="1199"/>
      <c r="I633" s="1200"/>
      <c r="J633" s="1199"/>
      <c r="K633" s="1200"/>
      <c r="L633" s="1199"/>
      <c r="M633" s="1200"/>
      <c r="N633" s="1199"/>
      <c r="O633" s="1200"/>
      <c r="P633" s="503"/>
      <c r="Q633" s="503"/>
      <c r="R633" s="503"/>
      <c r="S633" s="503"/>
      <c r="T633" s="503"/>
      <c r="U633" s="503"/>
      <c r="V633" s="503"/>
      <c r="W633" s="503"/>
    </row>
    <row r="634" spans="1:23" hidden="1" x14ac:dyDescent="0.35">
      <c r="A634" s="543" t="s">
        <v>550</v>
      </c>
      <c r="B634" s="539"/>
      <c r="C634" s="524" t="s">
        <v>139</v>
      </c>
      <c r="D634" s="526"/>
      <c r="E634" s="526"/>
      <c r="F634" s="1199"/>
      <c r="G634" s="1200"/>
      <c r="H634" s="1199"/>
      <c r="I634" s="1200"/>
      <c r="J634" s="1199"/>
      <c r="K634" s="1200"/>
      <c r="L634" s="1199"/>
      <c r="M634" s="1200"/>
      <c r="N634" s="1199"/>
      <c r="O634" s="1200"/>
      <c r="P634" s="503"/>
      <c r="Q634" s="503"/>
      <c r="R634" s="503"/>
      <c r="S634" s="503"/>
      <c r="T634" s="503"/>
      <c r="U634" s="503"/>
      <c r="V634" s="503"/>
      <c r="W634" s="503"/>
    </row>
    <row r="635" spans="1:23" hidden="1" x14ac:dyDescent="0.35">
      <c r="A635" s="543"/>
      <c r="B635" s="540" t="str">
        <f>B634&amp;"KW"</f>
        <v>KW</v>
      </c>
      <c r="C635" s="524" t="s">
        <v>170</v>
      </c>
      <c r="D635" s="526"/>
      <c r="E635" s="526"/>
      <c r="F635" s="1199"/>
      <c r="G635" s="1200"/>
      <c r="H635" s="1199"/>
      <c r="I635" s="1200"/>
      <c r="J635" s="1199"/>
      <c r="K635" s="1200"/>
      <c r="L635" s="1199"/>
      <c r="M635" s="1200"/>
      <c r="N635" s="1199"/>
      <c r="O635" s="1200"/>
      <c r="P635" s="503"/>
      <c r="Q635" s="503"/>
      <c r="R635" s="503"/>
      <c r="S635" s="503"/>
      <c r="T635" s="503"/>
      <c r="U635" s="503"/>
      <c r="V635" s="503"/>
      <c r="W635" s="503"/>
    </row>
    <row r="636" spans="1:23" hidden="1" x14ac:dyDescent="0.35">
      <c r="A636" s="543" t="s">
        <v>551</v>
      </c>
      <c r="B636" s="539"/>
      <c r="C636" s="524" t="s">
        <v>139</v>
      </c>
      <c r="D636" s="526"/>
      <c r="E636" s="526"/>
      <c r="F636" s="1199"/>
      <c r="G636" s="1200"/>
      <c r="H636" s="1199"/>
      <c r="I636" s="1200"/>
      <c r="J636" s="1199"/>
      <c r="K636" s="1200"/>
      <c r="L636" s="1199"/>
      <c r="M636" s="1200"/>
      <c r="N636" s="1199"/>
      <c r="O636" s="1200"/>
      <c r="P636" s="503"/>
      <c r="Q636" s="503"/>
      <c r="R636" s="503"/>
      <c r="S636" s="503"/>
      <c r="T636" s="503"/>
      <c r="U636" s="503"/>
      <c r="V636" s="503"/>
      <c r="W636" s="503"/>
    </row>
    <row r="637" spans="1:23" hidden="1" x14ac:dyDescent="0.35">
      <c r="A637" s="543"/>
      <c r="B637" s="540" t="str">
        <f>B636&amp;"KW"</f>
        <v>KW</v>
      </c>
      <c r="C637" s="524" t="s">
        <v>170</v>
      </c>
      <c r="D637" s="526"/>
      <c r="E637" s="526"/>
      <c r="F637" s="1199"/>
      <c r="G637" s="1200"/>
      <c r="H637" s="1199"/>
      <c r="I637" s="1200"/>
      <c r="J637" s="1199"/>
      <c r="K637" s="1200"/>
      <c r="L637" s="1199"/>
      <c r="M637" s="1200"/>
      <c r="N637" s="1199"/>
      <c r="O637" s="1200"/>
      <c r="P637" s="503"/>
      <c r="Q637" s="503"/>
      <c r="R637" s="503"/>
      <c r="S637" s="503"/>
      <c r="T637" s="503"/>
      <c r="U637" s="503"/>
      <c r="V637" s="503"/>
      <c r="W637" s="503"/>
    </row>
    <row r="638" spans="1:23" hidden="1" x14ac:dyDescent="0.35">
      <c r="A638" s="543" t="s">
        <v>552</v>
      </c>
      <c r="B638" s="539"/>
      <c r="C638" s="524" t="s">
        <v>139</v>
      </c>
      <c r="D638" s="526"/>
      <c r="E638" s="526"/>
      <c r="F638" s="1199"/>
      <c r="G638" s="1200"/>
      <c r="H638" s="1199"/>
      <c r="I638" s="1200"/>
      <c r="J638" s="1199"/>
      <c r="K638" s="1200"/>
      <c r="L638" s="1199"/>
      <c r="M638" s="1200"/>
      <c r="N638" s="1199"/>
      <c r="O638" s="1200"/>
      <c r="P638" s="503"/>
      <c r="Q638" s="503"/>
      <c r="R638" s="503"/>
      <c r="S638" s="503"/>
      <c r="T638" s="503"/>
      <c r="U638" s="503"/>
      <c r="V638" s="503"/>
      <c r="W638" s="503"/>
    </row>
    <row r="639" spans="1:23" hidden="1" x14ac:dyDescent="0.35">
      <c r="A639" s="543"/>
      <c r="B639" s="540" t="str">
        <f>B638&amp;"KW"</f>
        <v>KW</v>
      </c>
      <c r="C639" s="524" t="s">
        <v>170</v>
      </c>
      <c r="D639" s="526"/>
      <c r="E639" s="526"/>
      <c r="F639" s="1199"/>
      <c r="G639" s="1200"/>
      <c r="H639" s="1199"/>
      <c r="I639" s="1200"/>
      <c r="J639" s="1199"/>
      <c r="K639" s="1200"/>
      <c r="L639" s="1199"/>
      <c r="M639" s="1200"/>
      <c r="N639" s="1199"/>
      <c r="O639" s="1200"/>
      <c r="P639" s="503"/>
      <c r="Q639" s="503"/>
      <c r="R639" s="503"/>
      <c r="S639" s="503"/>
      <c r="T639" s="503"/>
      <c r="U639" s="503"/>
      <c r="V639" s="503"/>
      <c r="W639" s="503"/>
    </row>
    <row r="640" spans="1:23" hidden="1" x14ac:dyDescent="0.35">
      <c r="A640" s="543" t="s">
        <v>553</v>
      </c>
      <c r="B640" s="539"/>
      <c r="C640" s="524" t="s">
        <v>139</v>
      </c>
      <c r="D640" s="526"/>
      <c r="E640" s="526"/>
      <c r="F640" s="1199"/>
      <c r="G640" s="1200"/>
      <c r="H640" s="1199"/>
      <c r="I640" s="1200"/>
      <c r="J640" s="1199"/>
      <c r="K640" s="1200"/>
      <c r="L640" s="1199"/>
      <c r="M640" s="1200"/>
      <c r="N640" s="1199"/>
      <c r="O640" s="1200"/>
      <c r="P640" s="503"/>
      <c r="Q640" s="503"/>
      <c r="R640" s="503"/>
      <c r="S640" s="503"/>
      <c r="T640" s="503"/>
      <c r="U640" s="503"/>
      <c r="V640" s="503"/>
      <c r="W640" s="503"/>
    </row>
    <row r="641" spans="1:23" hidden="1" x14ac:dyDescent="0.35">
      <c r="A641" s="543"/>
      <c r="B641" s="540" t="str">
        <f>B640&amp;"KW"</f>
        <v>KW</v>
      </c>
      <c r="C641" s="524" t="s">
        <v>170</v>
      </c>
      <c r="D641" s="526"/>
      <c r="E641" s="526"/>
      <c r="F641" s="1199"/>
      <c r="G641" s="1200"/>
      <c r="H641" s="1199"/>
      <c r="I641" s="1200"/>
      <c r="J641" s="1199"/>
      <c r="K641" s="1200"/>
      <c r="L641" s="1199"/>
      <c r="M641" s="1200"/>
      <c r="N641" s="1199"/>
      <c r="O641" s="1200"/>
      <c r="P641" s="503"/>
      <c r="Q641" s="503"/>
      <c r="R641" s="503"/>
      <c r="S641" s="503"/>
      <c r="T641" s="503"/>
      <c r="U641" s="503"/>
      <c r="V641" s="503"/>
      <c r="W641" s="503"/>
    </row>
    <row r="642" spans="1:23" hidden="1" x14ac:dyDescent="0.35">
      <c r="A642" s="543" t="s">
        <v>554</v>
      </c>
      <c r="B642" s="539"/>
      <c r="C642" s="524" t="s">
        <v>139</v>
      </c>
      <c r="D642" s="526"/>
      <c r="E642" s="526"/>
      <c r="F642" s="1199"/>
      <c r="G642" s="1200"/>
      <c r="H642" s="1199"/>
      <c r="I642" s="1200"/>
      <c r="J642" s="1199"/>
      <c r="K642" s="1200"/>
      <c r="L642" s="1199"/>
      <c r="M642" s="1200"/>
      <c r="N642" s="1199"/>
      <c r="O642" s="1200"/>
      <c r="P642" s="503"/>
      <c r="Q642" s="503"/>
      <c r="R642" s="503"/>
      <c r="S642" s="503"/>
      <c r="T642" s="503"/>
      <c r="U642" s="503"/>
      <c r="V642" s="503"/>
      <c r="W642" s="503"/>
    </row>
    <row r="643" spans="1:23" hidden="1" x14ac:dyDescent="0.35">
      <c r="A643" s="543"/>
      <c r="B643" s="540" t="str">
        <f>B642&amp;"KW"</f>
        <v>KW</v>
      </c>
      <c r="C643" s="524" t="s">
        <v>170</v>
      </c>
      <c r="D643" s="526"/>
      <c r="E643" s="526"/>
      <c r="F643" s="1199"/>
      <c r="G643" s="1200"/>
      <c r="H643" s="1199"/>
      <c r="I643" s="1200"/>
      <c r="J643" s="1199"/>
      <c r="K643" s="1200"/>
      <c r="L643" s="1199"/>
      <c r="M643" s="1200"/>
      <c r="N643" s="1199"/>
      <c r="O643" s="1200"/>
      <c r="P643" s="503"/>
      <c r="Q643" s="503"/>
      <c r="R643" s="503"/>
      <c r="S643" s="503"/>
      <c r="T643" s="503"/>
      <c r="U643" s="503"/>
      <c r="V643" s="503"/>
      <c r="W643" s="503"/>
    </row>
    <row r="644" spans="1:23" hidden="1" x14ac:dyDescent="0.35">
      <c r="A644" s="543" t="s">
        <v>555</v>
      </c>
      <c r="B644" s="539"/>
      <c r="C644" s="524" t="s">
        <v>139</v>
      </c>
      <c r="D644" s="526"/>
      <c r="E644" s="526"/>
      <c r="F644" s="1199"/>
      <c r="G644" s="1200"/>
      <c r="H644" s="1199"/>
      <c r="I644" s="1200"/>
      <c r="J644" s="1199"/>
      <c r="K644" s="1200"/>
      <c r="L644" s="1199"/>
      <c r="M644" s="1200"/>
      <c r="N644" s="1199"/>
      <c r="O644" s="1200"/>
      <c r="P644" s="503"/>
      <c r="Q644" s="503"/>
      <c r="R644" s="503"/>
      <c r="S644" s="503"/>
      <c r="T644" s="503"/>
      <c r="U644" s="503"/>
      <c r="V644" s="503"/>
      <c r="W644" s="503"/>
    </row>
    <row r="645" spans="1:23" hidden="1" x14ac:dyDescent="0.35">
      <c r="A645" s="543"/>
      <c r="B645" s="540" t="str">
        <f>B644&amp;"KW"</f>
        <v>KW</v>
      </c>
      <c r="C645" s="524" t="s">
        <v>170</v>
      </c>
      <c r="D645" s="526"/>
      <c r="E645" s="526"/>
      <c r="F645" s="1199"/>
      <c r="G645" s="1200"/>
      <c r="H645" s="1199"/>
      <c r="I645" s="1200"/>
      <c r="J645" s="1199"/>
      <c r="K645" s="1200"/>
      <c r="L645" s="1199"/>
      <c r="M645" s="1200"/>
      <c r="N645" s="1199"/>
      <c r="O645" s="1200"/>
      <c r="P645" s="503"/>
      <c r="Q645" s="503"/>
      <c r="R645" s="503"/>
      <c r="S645" s="503"/>
      <c r="T645" s="503"/>
      <c r="U645" s="503"/>
      <c r="V645" s="503"/>
      <c r="W645" s="503"/>
    </row>
    <row r="646" spans="1:23" hidden="1" x14ac:dyDescent="0.35">
      <c r="A646" s="543" t="s">
        <v>556</v>
      </c>
      <c r="B646" s="539"/>
      <c r="C646" s="524" t="s">
        <v>139</v>
      </c>
      <c r="D646" s="526"/>
      <c r="E646" s="526"/>
      <c r="F646" s="1199"/>
      <c r="G646" s="1200"/>
      <c r="H646" s="1199"/>
      <c r="I646" s="1200"/>
      <c r="J646" s="1199"/>
      <c r="K646" s="1200"/>
      <c r="L646" s="1199"/>
      <c r="M646" s="1200"/>
      <c r="N646" s="1199"/>
      <c r="O646" s="1200"/>
      <c r="P646" s="503"/>
      <c r="Q646" s="503"/>
      <c r="R646" s="503"/>
      <c r="S646" s="503"/>
      <c r="T646" s="503"/>
      <c r="U646" s="503"/>
      <c r="V646" s="503"/>
      <c r="W646" s="503"/>
    </row>
    <row r="647" spans="1:23" hidden="1" x14ac:dyDescent="0.35">
      <c r="A647" s="543"/>
      <c r="B647" s="540" t="str">
        <f>B646&amp;"KW"</f>
        <v>KW</v>
      </c>
      <c r="C647" s="524" t="s">
        <v>170</v>
      </c>
      <c r="D647" s="526"/>
      <c r="E647" s="526"/>
      <c r="F647" s="1199"/>
      <c r="G647" s="1200"/>
      <c r="H647" s="1199"/>
      <c r="I647" s="1200"/>
      <c r="J647" s="1199"/>
      <c r="K647" s="1200"/>
      <c r="L647" s="1199"/>
      <c r="M647" s="1200"/>
      <c r="N647" s="1199"/>
      <c r="O647" s="1200"/>
      <c r="P647" s="503"/>
      <c r="Q647" s="503"/>
      <c r="R647" s="503"/>
      <c r="S647" s="503"/>
      <c r="T647" s="503"/>
      <c r="U647" s="503"/>
      <c r="V647" s="503"/>
      <c r="W647" s="503"/>
    </row>
    <row r="648" spans="1:23" hidden="1" x14ac:dyDescent="0.35">
      <c r="A648" s="543" t="s">
        <v>557</v>
      </c>
      <c r="B648" s="539"/>
      <c r="C648" s="524" t="s">
        <v>139</v>
      </c>
      <c r="D648" s="526"/>
      <c r="E648" s="526"/>
      <c r="F648" s="1199"/>
      <c r="G648" s="1200"/>
      <c r="H648" s="1199"/>
      <c r="I648" s="1200"/>
      <c r="J648" s="1199"/>
      <c r="K648" s="1200"/>
      <c r="L648" s="1199"/>
      <c r="M648" s="1200"/>
      <c r="N648" s="1199"/>
      <c r="O648" s="1200"/>
      <c r="P648" s="503"/>
      <c r="Q648" s="503"/>
      <c r="R648" s="503"/>
      <c r="S648" s="503"/>
      <c r="T648" s="503"/>
      <c r="U648" s="503"/>
      <c r="V648" s="503"/>
      <c r="W648" s="503"/>
    </row>
    <row r="649" spans="1:23" hidden="1" x14ac:dyDescent="0.35">
      <c r="A649" s="543"/>
      <c r="B649" s="540" t="str">
        <f>B648&amp;"KW"</f>
        <v>KW</v>
      </c>
      <c r="C649" s="524" t="s">
        <v>170</v>
      </c>
      <c r="D649" s="526"/>
      <c r="E649" s="526"/>
      <c r="F649" s="1199"/>
      <c r="G649" s="1200"/>
      <c r="H649" s="1199"/>
      <c r="I649" s="1200"/>
      <c r="J649" s="1199"/>
      <c r="K649" s="1200"/>
      <c r="L649" s="1199"/>
      <c r="M649" s="1200"/>
      <c r="N649" s="1199"/>
      <c r="O649" s="1200"/>
      <c r="P649" s="503"/>
      <c r="Q649" s="503"/>
      <c r="R649" s="503"/>
      <c r="S649" s="503"/>
      <c r="T649" s="503"/>
      <c r="U649" s="503"/>
      <c r="V649" s="503"/>
      <c r="W649" s="503"/>
    </row>
    <row r="650" spans="1:23" hidden="1" x14ac:dyDescent="0.35">
      <c r="A650" s="543" t="s">
        <v>558</v>
      </c>
      <c r="B650" s="539"/>
      <c r="C650" s="524" t="s">
        <v>139</v>
      </c>
      <c r="D650" s="526"/>
      <c r="E650" s="526"/>
      <c r="F650" s="1199"/>
      <c r="G650" s="1200"/>
      <c r="H650" s="1199"/>
      <c r="I650" s="1200"/>
      <c r="J650" s="1199"/>
      <c r="K650" s="1200"/>
      <c r="L650" s="1199"/>
      <c r="M650" s="1200"/>
      <c r="N650" s="1199"/>
      <c r="O650" s="1200"/>
      <c r="P650" s="503"/>
      <c r="Q650" s="503"/>
      <c r="R650" s="503"/>
      <c r="S650" s="503"/>
      <c r="T650" s="503"/>
      <c r="U650" s="503"/>
      <c r="V650" s="503"/>
      <c r="W650" s="503"/>
    </row>
    <row r="651" spans="1:23" hidden="1" x14ac:dyDescent="0.35">
      <c r="A651" s="543"/>
      <c r="B651" s="540" t="str">
        <f>B650&amp;"KW"</f>
        <v>KW</v>
      </c>
      <c r="C651" s="524" t="s">
        <v>170</v>
      </c>
      <c r="D651" s="526"/>
      <c r="E651" s="526"/>
      <c r="F651" s="1199"/>
      <c r="G651" s="1200"/>
      <c r="H651" s="1199"/>
      <c r="I651" s="1200"/>
      <c r="J651" s="1199"/>
      <c r="K651" s="1200"/>
      <c r="L651" s="1199"/>
      <c r="M651" s="1200"/>
      <c r="N651" s="1199"/>
      <c r="O651" s="1200"/>
      <c r="P651" s="503"/>
      <c r="Q651" s="503"/>
      <c r="R651" s="503"/>
      <c r="S651" s="503"/>
      <c r="T651" s="503"/>
      <c r="U651" s="503"/>
      <c r="V651" s="503"/>
      <c r="W651" s="503"/>
    </row>
    <row r="652" spans="1:23" hidden="1" x14ac:dyDescent="0.35">
      <c r="A652" s="543" t="s">
        <v>559</v>
      </c>
      <c r="B652" s="539"/>
      <c r="C652" s="524" t="s">
        <v>139</v>
      </c>
      <c r="D652" s="526"/>
      <c r="E652" s="526"/>
      <c r="F652" s="1199"/>
      <c r="G652" s="1200"/>
      <c r="H652" s="1199"/>
      <c r="I652" s="1200"/>
      <c r="J652" s="1199"/>
      <c r="K652" s="1200"/>
      <c r="L652" s="1199"/>
      <c r="M652" s="1200"/>
      <c r="N652" s="1199"/>
      <c r="O652" s="1200"/>
      <c r="P652" s="503"/>
      <c r="Q652" s="503"/>
      <c r="R652" s="503"/>
      <c r="S652" s="503"/>
      <c r="T652" s="503"/>
      <c r="U652" s="503"/>
      <c r="V652" s="503"/>
      <c r="W652" s="503"/>
    </row>
    <row r="653" spans="1:23" hidden="1" x14ac:dyDescent="0.35">
      <c r="A653" s="543"/>
      <c r="B653" s="540" t="str">
        <f>B652&amp;"KW"</f>
        <v>KW</v>
      </c>
      <c r="C653" s="524" t="s">
        <v>170</v>
      </c>
      <c r="D653" s="526"/>
      <c r="E653" s="526"/>
      <c r="F653" s="1199"/>
      <c r="G653" s="1200"/>
      <c r="H653" s="1199"/>
      <c r="I653" s="1200"/>
      <c r="J653" s="1199"/>
      <c r="K653" s="1200"/>
      <c r="L653" s="1199"/>
      <c r="M653" s="1200"/>
      <c r="N653" s="1199"/>
      <c r="O653" s="1200"/>
      <c r="P653" s="503"/>
      <c r="Q653" s="503"/>
      <c r="R653" s="503"/>
      <c r="S653" s="503"/>
      <c r="T653" s="503"/>
      <c r="U653" s="503"/>
      <c r="V653" s="503"/>
      <c r="W653" s="503"/>
    </row>
    <row r="654" spans="1:23" hidden="1" x14ac:dyDescent="0.35">
      <c r="A654" s="543" t="s">
        <v>560</v>
      </c>
      <c r="B654" s="539"/>
      <c r="C654" s="524" t="s">
        <v>139</v>
      </c>
      <c r="D654" s="526"/>
      <c r="E654" s="526"/>
      <c r="F654" s="1199"/>
      <c r="G654" s="1200"/>
      <c r="H654" s="1199"/>
      <c r="I654" s="1200"/>
      <c r="J654" s="1199"/>
      <c r="K654" s="1200"/>
      <c r="L654" s="1199"/>
      <c r="M654" s="1200"/>
      <c r="N654" s="1199"/>
      <c r="O654" s="1200"/>
      <c r="P654" s="503"/>
      <c r="Q654" s="503"/>
      <c r="R654" s="503"/>
      <c r="S654" s="503"/>
      <c r="T654" s="503"/>
      <c r="U654" s="503"/>
      <c r="V654" s="503"/>
      <c r="W654" s="503"/>
    </row>
    <row r="655" spans="1:23" hidden="1" x14ac:dyDescent="0.35">
      <c r="A655" s="543"/>
      <c r="B655" s="540" t="str">
        <f>B654&amp;"KW"</f>
        <v>KW</v>
      </c>
      <c r="C655" s="524" t="s">
        <v>170</v>
      </c>
      <c r="D655" s="526"/>
      <c r="E655" s="526"/>
      <c r="F655" s="1199"/>
      <c r="G655" s="1200"/>
      <c r="H655" s="1199"/>
      <c r="I655" s="1200"/>
      <c r="J655" s="1199"/>
      <c r="K655" s="1200"/>
      <c r="L655" s="1199"/>
      <c r="M655" s="1200"/>
      <c r="N655" s="1199"/>
      <c r="O655" s="1200"/>
      <c r="P655" s="503"/>
      <c r="Q655" s="503"/>
      <c r="R655" s="503"/>
      <c r="S655" s="503"/>
      <c r="T655" s="503"/>
      <c r="U655" s="503"/>
      <c r="V655" s="503"/>
      <c r="W655" s="503"/>
    </row>
    <row r="656" spans="1:23" hidden="1" x14ac:dyDescent="0.35">
      <c r="A656" s="543" t="s">
        <v>561</v>
      </c>
      <c r="B656" s="539"/>
      <c r="C656" s="524" t="s">
        <v>139</v>
      </c>
      <c r="D656" s="526"/>
      <c r="E656" s="526"/>
      <c r="F656" s="1199"/>
      <c r="G656" s="1200"/>
      <c r="H656" s="1199"/>
      <c r="I656" s="1200"/>
      <c r="J656" s="1199"/>
      <c r="K656" s="1200"/>
      <c r="L656" s="1199"/>
      <c r="M656" s="1200"/>
      <c r="N656" s="1199"/>
      <c r="O656" s="1200"/>
      <c r="P656" s="503"/>
      <c r="Q656" s="503"/>
      <c r="R656" s="503"/>
      <c r="S656" s="503"/>
      <c r="T656" s="503"/>
      <c r="U656" s="503"/>
      <c r="V656" s="503"/>
      <c r="W656" s="503"/>
    </row>
    <row r="657" spans="1:23" hidden="1" x14ac:dyDescent="0.35">
      <c r="A657" s="543"/>
      <c r="B657" s="540" t="str">
        <f>B656&amp;"KW"</f>
        <v>KW</v>
      </c>
      <c r="C657" s="524" t="s">
        <v>170</v>
      </c>
      <c r="D657" s="526"/>
      <c r="E657" s="526"/>
      <c r="F657" s="1199"/>
      <c r="G657" s="1200"/>
      <c r="H657" s="1199"/>
      <c r="I657" s="1200"/>
      <c r="J657" s="1199"/>
      <c r="K657" s="1200"/>
      <c r="L657" s="1199"/>
      <c r="M657" s="1200"/>
      <c r="N657" s="1199"/>
      <c r="O657" s="1200"/>
      <c r="P657" s="503"/>
      <c r="Q657" s="503"/>
      <c r="R657" s="503"/>
      <c r="S657" s="503"/>
      <c r="T657" s="503"/>
      <c r="U657" s="503"/>
      <c r="V657" s="503"/>
      <c r="W657" s="503"/>
    </row>
    <row r="658" spans="1:23" hidden="1" x14ac:dyDescent="0.35">
      <c r="A658" s="543" t="s">
        <v>562</v>
      </c>
      <c r="B658" s="539"/>
      <c r="C658" s="524" t="s">
        <v>139</v>
      </c>
      <c r="D658" s="526"/>
      <c r="E658" s="526"/>
      <c r="F658" s="1199"/>
      <c r="G658" s="1200"/>
      <c r="H658" s="1199"/>
      <c r="I658" s="1200"/>
      <c r="J658" s="1199"/>
      <c r="K658" s="1200"/>
      <c r="L658" s="1199"/>
      <c r="M658" s="1200"/>
      <c r="N658" s="1199"/>
      <c r="O658" s="1200"/>
      <c r="P658" s="503"/>
      <c r="Q658" s="503"/>
      <c r="R658" s="503"/>
      <c r="S658" s="503"/>
      <c r="T658" s="503"/>
      <c r="U658" s="503"/>
      <c r="V658" s="503"/>
      <c r="W658" s="503"/>
    </row>
    <row r="659" spans="1:23" hidden="1" x14ac:dyDescent="0.35">
      <c r="A659" s="543"/>
      <c r="B659" s="540" t="str">
        <f>B658&amp;"KW"</f>
        <v>KW</v>
      </c>
      <c r="C659" s="524" t="s">
        <v>170</v>
      </c>
      <c r="D659" s="526"/>
      <c r="E659" s="526"/>
      <c r="F659" s="1199"/>
      <c r="G659" s="1200"/>
      <c r="H659" s="1199"/>
      <c r="I659" s="1200"/>
      <c r="J659" s="1199"/>
      <c r="K659" s="1200"/>
      <c r="L659" s="1199"/>
      <c r="M659" s="1200"/>
      <c r="N659" s="1199"/>
      <c r="O659" s="1200"/>
      <c r="P659" s="503"/>
      <c r="Q659" s="503"/>
      <c r="R659" s="503"/>
      <c r="S659" s="503"/>
      <c r="T659" s="503"/>
      <c r="U659" s="503"/>
      <c r="V659" s="503"/>
      <c r="W659" s="503"/>
    </row>
    <row r="660" spans="1:23" hidden="1" x14ac:dyDescent="0.35">
      <c r="A660" s="543" t="s">
        <v>563</v>
      </c>
      <c r="B660" s="539"/>
      <c r="C660" s="524" t="s">
        <v>139</v>
      </c>
      <c r="D660" s="526"/>
      <c r="E660" s="526"/>
      <c r="F660" s="1199"/>
      <c r="G660" s="1200"/>
      <c r="H660" s="1199"/>
      <c r="I660" s="1200"/>
      <c r="J660" s="1199"/>
      <c r="K660" s="1200"/>
      <c r="L660" s="1199"/>
      <c r="M660" s="1200"/>
      <c r="N660" s="1199"/>
      <c r="O660" s="1200"/>
      <c r="P660" s="503"/>
      <c r="Q660" s="503"/>
      <c r="R660" s="503"/>
      <c r="S660" s="503"/>
      <c r="T660" s="503"/>
      <c r="U660" s="503"/>
      <c r="V660" s="503"/>
      <c r="W660" s="503"/>
    </row>
    <row r="661" spans="1:23" hidden="1" x14ac:dyDescent="0.35">
      <c r="A661" s="543"/>
      <c r="B661" s="540" t="str">
        <f>B660&amp;"KW"</f>
        <v>KW</v>
      </c>
      <c r="C661" s="524" t="s">
        <v>170</v>
      </c>
      <c r="D661" s="526"/>
      <c r="E661" s="526"/>
      <c r="F661" s="1199"/>
      <c r="G661" s="1200"/>
      <c r="H661" s="1199"/>
      <c r="I661" s="1200"/>
      <c r="J661" s="1199"/>
      <c r="K661" s="1200"/>
      <c r="L661" s="1199"/>
      <c r="M661" s="1200"/>
      <c r="N661" s="1199"/>
      <c r="O661" s="1200"/>
      <c r="P661" s="503"/>
      <c r="Q661" s="503"/>
      <c r="R661" s="503"/>
      <c r="S661" s="503"/>
      <c r="T661" s="503"/>
      <c r="U661" s="503"/>
      <c r="V661" s="503"/>
      <c r="W661" s="503"/>
    </row>
    <row r="662" spans="1:23" hidden="1" x14ac:dyDescent="0.35">
      <c r="A662" s="543" t="s">
        <v>564</v>
      </c>
      <c r="B662" s="539"/>
      <c r="C662" s="524" t="s">
        <v>139</v>
      </c>
      <c r="D662" s="526"/>
      <c r="E662" s="526"/>
      <c r="F662" s="1199"/>
      <c r="G662" s="1200"/>
      <c r="H662" s="1199"/>
      <c r="I662" s="1200"/>
      <c r="J662" s="1199"/>
      <c r="K662" s="1200"/>
      <c r="L662" s="1199"/>
      <c r="M662" s="1200"/>
      <c r="N662" s="1199"/>
      <c r="O662" s="1200"/>
      <c r="P662" s="503"/>
      <c r="Q662" s="503"/>
      <c r="R662" s="503"/>
      <c r="S662" s="503"/>
      <c r="T662" s="503"/>
      <c r="U662" s="503"/>
      <c r="V662" s="503"/>
      <c r="W662" s="503"/>
    </row>
    <row r="663" spans="1:23" hidden="1" x14ac:dyDescent="0.35">
      <c r="A663" s="543"/>
      <c r="B663" s="540" t="str">
        <f>B662&amp;"KW"</f>
        <v>KW</v>
      </c>
      <c r="C663" s="524" t="s">
        <v>170</v>
      </c>
      <c r="D663" s="526"/>
      <c r="E663" s="526"/>
      <c r="F663" s="1199"/>
      <c r="G663" s="1200"/>
      <c r="H663" s="1199"/>
      <c r="I663" s="1200"/>
      <c r="J663" s="1199"/>
      <c r="K663" s="1200"/>
      <c r="L663" s="1199"/>
      <c r="M663" s="1200"/>
      <c r="N663" s="1199"/>
      <c r="O663" s="1200"/>
      <c r="P663" s="503"/>
      <c r="Q663" s="503"/>
      <c r="R663" s="503"/>
      <c r="S663" s="503"/>
      <c r="T663" s="503"/>
      <c r="U663" s="503"/>
      <c r="V663" s="503"/>
      <c r="W663" s="503"/>
    </row>
    <row r="664" spans="1:23" hidden="1" x14ac:dyDescent="0.35">
      <c r="A664" s="543" t="s">
        <v>565</v>
      </c>
      <c r="B664" s="539"/>
      <c r="C664" s="524" t="s">
        <v>139</v>
      </c>
      <c r="D664" s="526"/>
      <c r="E664" s="526"/>
      <c r="F664" s="1199"/>
      <c r="G664" s="1200"/>
      <c r="H664" s="1199"/>
      <c r="I664" s="1200"/>
      <c r="J664" s="1199"/>
      <c r="K664" s="1200"/>
      <c r="L664" s="1199"/>
      <c r="M664" s="1200"/>
      <c r="N664" s="1199"/>
      <c r="O664" s="1200"/>
      <c r="P664" s="503"/>
      <c r="Q664" s="503"/>
      <c r="R664" s="503"/>
      <c r="S664" s="503"/>
      <c r="T664" s="503"/>
      <c r="U664" s="503"/>
      <c r="V664" s="503"/>
      <c r="W664" s="503"/>
    </row>
    <row r="665" spans="1:23" hidden="1" x14ac:dyDescent="0.35">
      <c r="A665" s="543"/>
      <c r="B665" s="540" t="str">
        <f>B664&amp;"KW"</f>
        <v>KW</v>
      </c>
      <c r="C665" s="524" t="s">
        <v>170</v>
      </c>
      <c r="D665" s="526"/>
      <c r="E665" s="526"/>
      <c r="F665" s="1199"/>
      <c r="G665" s="1200"/>
      <c r="H665" s="1199"/>
      <c r="I665" s="1200"/>
      <c r="J665" s="1199"/>
      <c r="K665" s="1200"/>
      <c r="L665" s="1199"/>
      <c r="M665" s="1200"/>
      <c r="N665" s="1199"/>
      <c r="O665" s="1200"/>
      <c r="P665" s="503"/>
      <c r="Q665" s="503"/>
      <c r="R665" s="503"/>
      <c r="S665" s="503"/>
      <c r="T665" s="503"/>
      <c r="U665" s="503"/>
      <c r="V665" s="503"/>
      <c r="W665" s="503"/>
    </row>
    <row r="666" spans="1:23" hidden="1" x14ac:dyDescent="0.35">
      <c r="A666" s="543" t="s">
        <v>566</v>
      </c>
      <c r="B666" s="539"/>
      <c r="C666" s="524" t="s">
        <v>139</v>
      </c>
      <c r="D666" s="526"/>
      <c r="E666" s="526"/>
      <c r="F666" s="1199"/>
      <c r="G666" s="1200"/>
      <c r="H666" s="1199"/>
      <c r="I666" s="1200"/>
      <c r="J666" s="1199"/>
      <c r="K666" s="1200"/>
      <c r="L666" s="1199"/>
      <c r="M666" s="1200"/>
      <c r="N666" s="1199"/>
      <c r="O666" s="1200"/>
      <c r="P666" s="503"/>
      <c r="Q666" s="503"/>
      <c r="R666" s="503"/>
      <c r="S666" s="503"/>
      <c r="T666" s="503"/>
      <c r="U666" s="503"/>
      <c r="V666" s="503"/>
      <c r="W666" s="503"/>
    </row>
    <row r="667" spans="1:23" hidden="1" x14ac:dyDescent="0.35">
      <c r="A667" s="543"/>
      <c r="B667" s="540" t="str">
        <f>B666&amp;"KW"</f>
        <v>KW</v>
      </c>
      <c r="C667" s="524" t="s">
        <v>170</v>
      </c>
      <c r="D667" s="526"/>
      <c r="E667" s="526"/>
      <c r="F667" s="1199"/>
      <c r="G667" s="1200"/>
      <c r="H667" s="1199"/>
      <c r="I667" s="1200"/>
      <c r="J667" s="1199"/>
      <c r="K667" s="1200"/>
      <c r="L667" s="1199"/>
      <c r="M667" s="1200"/>
      <c r="N667" s="1199"/>
      <c r="O667" s="1200"/>
      <c r="P667" s="503"/>
      <c r="Q667" s="503"/>
      <c r="R667" s="503"/>
      <c r="S667" s="503"/>
      <c r="T667" s="503"/>
      <c r="U667" s="503"/>
      <c r="V667" s="503"/>
      <c r="W667" s="503"/>
    </row>
    <row r="668" spans="1:23" hidden="1" x14ac:dyDescent="0.35">
      <c r="A668" s="543" t="s">
        <v>567</v>
      </c>
      <c r="B668" s="539"/>
      <c r="C668" s="524" t="s">
        <v>139</v>
      </c>
      <c r="D668" s="526"/>
      <c r="E668" s="526"/>
      <c r="F668" s="1199"/>
      <c r="G668" s="1200"/>
      <c r="H668" s="1199"/>
      <c r="I668" s="1200"/>
      <c r="J668" s="1199"/>
      <c r="K668" s="1200"/>
      <c r="L668" s="1199"/>
      <c r="M668" s="1200"/>
      <c r="N668" s="1199"/>
      <c r="O668" s="1200"/>
      <c r="P668" s="503"/>
      <c r="Q668" s="503"/>
      <c r="R668" s="503"/>
      <c r="S668" s="503"/>
      <c r="T668" s="503"/>
      <c r="U668" s="503"/>
      <c r="V668" s="503"/>
      <c r="W668" s="503"/>
    </row>
    <row r="669" spans="1:23" hidden="1" x14ac:dyDescent="0.35">
      <c r="A669" s="543"/>
      <c r="B669" s="540" t="str">
        <f>B668&amp;"KW"</f>
        <v>KW</v>
      </c>
      <c r="C669" s="524" t="s">
        <v>170</v>
      </c>
      <c r="D669" s="526"/>
      <c r="E669" s="526"/>
      <c r="F669" s="1199"/>
      <c r="G669" s="1200"/>
      <c r="H669" s="1199"/>
      <c r="I669" s="1200"/>
      <c r="J669" s="1199"/>
      <c r="K669" s="1200"/>
      <c r="L669" s="1199"/>
      <c r="M669" s="1200"/>
      <c r="N669" s="1199"/>
      <c r="O669" s="1200"/>
      <c r="P669" s="503"/>
      <c r="Q669" s="503"/>
      <c r="R669" s="503"/>
      <c r="S669" s="503"/>
      <c r="T669" s="503"/>
      <c r="U669" s="503"/>
      <c r="V669" s="503"/>
      <c r="W669" s="503"/>
    </row>
    <row r="670" spans="1:23" hidden="1" x14ac:dyDescent="0.35">
      <c r="A670" s="543" t="s">
        <v>568</v>
      </c>
      <c r="B670" s="539"/>
      <c r="C670" s="524" t="s">
        <v>139</v>
      </c>
      <c r="D670" s="526"/>
      <c r="E670" s="526"/>
      <c r="F670" s="1199"/>
      <c r="G670" s="1200"/>
      <c r="H670" s="1199"/>
      <c r="I670" s="1200"/>
      <c r="J670" s="1199"/>
      <c r="K670" s="1200"/>
      <c r="L670" s="1199"/>
      <c r="M670" s="1200"/>
      <c r="N670" s="1199"/>
      <c r="O670" s="1200"/>
      <c r="P670" s="503"/>
      <c r="Q670" s="503"/>
      <c r="R670" s="503"/>
      <c r="S670" s="503"/>
      <c r="T670" s="503"/>
      <c r="U670" s="503"/>
      <c r="V670" s="503"/>
      <c r="W670" s="503"/>
    </row>
    <row r="671" spans="1:23" hidden="1" x14ac:dyDescent="0.35">
      <c r="A671" s="543"/>
      <c r="B671" s="540" t="str">
        <f>B670&amp;"KW"</f>
        <v>KW</v>
      </c>
      <c r="C671" s="524" t="s">
        <v>170</v>
      </c>
      <c r="D671" s="526"/>
      <c r="E671" s="526"/>
      <c r="F671" s="1199"/>
      <c r="G671" s="1200"/>
      <c r="H671" s="1199"/>
      <c r="I671" s="1200"/>
      <c r="J671" s="1199"/>
      <c r="K671" s="1200"/>
      <c r="L671" s="1199"/>
      <c r="M671" s="1200"/>
      <c r="N671" s="1199"/>
      <c r="O671" s="1200"/>
      <c r="P671" s="503"/>
      <c r="Q671" s="503"/>
      <c r="R671" s="503"/>
      <c r="S671" s="503"/>
      <c r="T671" s="503"/>
      <c r="U671" s="503"/>
      <c r="V671" s="503"/>
      <c r="W671" s="503"/>
    </row>
    <row r="672" spans="1:23" hidden="1" x14ac:dyDescent="0.35">
      <c r="A672" s="543" t="s">
        <v>569</v>
      </c>
      <c r="B672" s="539"/>
      <c r="C672" s="524" t="s">
        <v>139</v>
      </c>
      <c r="D672" s="526"/>
      <c r="E672" s="526"/>
      <c r="F672" s="1199"/>
      <c r="G672" s="1200"/>
      <c r="H672" s="1199"/>
      <c r="I672" s="1200"/>
      <c r="J672" s="1199"/>
      <c r="K672" s="1200"/>
      <c r="L672" s="1199"/>
      <c r="M672" s="1200"/>
      <c r="N672" s="1199"/>
      <c r="O672" s="1200"/>
      <c r="P672" s="503"/>
      <c r="Q672" s="503"/>
      <c r="R672" s="503"/>
      <c r="S672" s="503"/>
      <c r="T672" s="503"/>
      <c r="U672" s="503"/>
      <c r="V672" s="503"/>
      <c r="W672" s="503"/>
    </row>
    <row r="673" spans="1:23" hidden="1" x14ac:dyDescent="0.35">
      <c r="A673" s="543"/>
      <c r="B673" s="540" t="str">
        <f>B672&amp;"KW"</f>
        <v>KW</v>
      </c>
      <c r="C673" s="524" t="s">
        <v>170</v>
      </c>
      <c r="D673" s="526"/>
      <c r="E673" s="526"/>
      <c r="F673" s="1199"/>
      <c r="G673" s="1200"/>
      <c r="H673" s="1199"/>
      <c r="I673" s="1200"/>
      <c r="J673" s="1199"/>
      <c r="K673" s="1200"/>
      <c r="L673" s="1199"/>
      <c r="M673" s="1200"/>
      <c r="N673" s="1199"/>
      <c r="O673" s="1200"/>
      <c r="P673" s="503"/>
      <c r="Q673" s="503"/>
      <c r="R673" s="503"/>
      <c r="S673" s="503"/>
      <c r="T673" s="503"/>
      <c r="U673" s="503"/>
      <c r="V673" s="503"/>
      <c r="W673" s="503"/>
    </row>
    <row r="674" spans="1:23" hidden="1" x14ac:dyDescent="0.35">
      <c r="A674" s="543" t="s">
        <v>570</v>
      </c>
      <c r="B674" s="539"/>
      <c r="C674" s="524" t="s">
        <v>139</v>
      </c>
      <c r="D674" s="526"/>
      <c r="E674" s="526"/>
      <c r="F674" s="1199"/>
      <c r="G674" s="1200"/>
      <c r="H674" s="1199"/>
      <c r="I674" s="1200"/>
      <c r="J674" s="1199"/>
      <c r="K674" s="1200"/>
      <c r="L674" s="1199"/>
      <c r="M674" s="1200"/>
      <c r="N674" s="1199"/>
      <c r="O674" s="1200"/>
      <c r="P674" s="503"/>
      <c r="Q674" s="503"/>
      <c r="R674" s="503"/>
      <c r="S674" s="503"/>
      <c r="T674" s="503"/>
      <c r="U674" s="503"/>
      <c r="V674" s="503"/>
      <c r="W674" s="503"/>
    </row>
    <row r="675" spans="1:23" hidden="1" x14ac:dyDescent="0.35">
      <c r="A675" s="543"/>
      <c r="B675" s="540" t="str">
        <f>B674&amp;"KW"</f>
        <v>KW</v>
      </c>
      <c r="C675" s="524" t="s">
        <v>170</v>
      </c>
      <c r="D675" s="526"/>
      <c r="E675" s="526"/>
      <c r="F675" s="1199"/>
      <c r="G675" s="1200"/>
      <c r="H675" s="1199"/>
      <c r="I675" s="1200"/>
      <c r="J675" s="1199"/>
      <c r="K675" s="1200"/>
      <c r="L675" s="1199"/>
      <c r="M675" s="1200"/>
      <c r="N675" s="1199"/>
      <c r="O675" s="1200"/>
      <c r="P675" s="503"/>
      <c r="Q675" s="503"/>
      <c r="R675" s="503"/>
      <c r="S675" s="503"/>
      <c r="T675" s="503"/>
      <c r="U675" s="503"/>
      <c r="V675" s="503"/>
      <c r="W675" s="503"/>
    </row>
    <row r="676" spans="1:23" hidden="1" x14ac:dyDescent="0.35">
      <c r="A676" s="543" t="s">
        <v>571</v>
      </c>
      <c r="B676" s="539"/>
      <c r="C676" s="524" t="s">
        <v>139</v>
      </c>
      <c r="D676" s="526"/>
      <c r="E676" s="526"/>
      <c r="F676" s="1199"/>
      <c r="G676" s="1200"/>
      <c r="H676" s="1199"/>
      <c r="I676" s="1200"/>
      <c r="J676" s="1199"/>
      <c r="K676" s="1200"/>
      <c r="L676" s="1199"/>
      <c r="M676" s="1200"/>
      <c r="N676" s="1199"/>
      <c r="O676" s="1200"/>
      <c r="P676" s="503"/>
      <c r="Q676" s="503"/>
      <c r="R676" s="503"/>
      <c r="S676" s="503"/>
      <c r="T676" s="503"/>
      <c r="U676" s="503"/>
      <c r="V676" s="503"/>
      <c r="W676" s="503"/>
    </row>
    <row r="677" spans="1:23" hidden="1" x14ac:dyDescent="0.35">
      <c r="A677" s="543"/>
      <c r="B677" s="540" t="str">
        <f>B676&amp;"KW"</f>
        <v>KW</v>
      </c>
      <c r="C677" s="524" t="s">
        <v>170</v>
      </c>
      <c r="D677" s="526"/>
      <c r="E677" s="526"/>
      <c r="F677" s="1199"/>
      <c r="G677" s="1200"/>
      <c r="H677" s="1199"/>
      <c r="I677" s="1200"/>
      <c r="J677" s="1199"/>
      <c r="K677" s="1200"/>
      <c r="L677" s="1199"/>
      <c r="M677" s="1200"/>
      <c r="N677" s="1199"/>
      <c r="O677" s="1200"/>
      <c r="P677" s="503"/>
      <c r="Q677" s="503"/>
      <c r="R677" s="503"/>
      <c r="S677" s="503"/>
      <c r="T677" s="503"/>
      <c r="U677" s="503"/>
      <c r="V677" s="503"/>
      <c r="W677" s="503"/>
    </row>
    <row r="678" spans="1:23" hidden="1" x14ac:dyDescent="0.35">
      <c r="A678" s="543" t="s">
        <v>572</v>
      </c>
      <c r="B678" s="539"/>
      <c r="C678" s="524" t="s">
        <v>139</v>
      </c>
      <c r="D678" s="526"/>
      <c r="E678" s="526"/>
      <c r="F678" s="1199"/>
      <c r="G678" s="1200"/>
      <c r="H678" s="1199"/>
      <c r="I678" s="1200"/>
      <c r="J678" s="1199"/>
      <c r="K678" s="1200"/>
      <c r="L678" s="1199"/>
      <c r="M678" s="1200"/>
      <c r="N678" s="1199"/>
      <c r="O678" s="1200"/>
      <c r="P678" s="503"/>
      <c r="Q678" s="503"/>
      <c r="R678" s="503"/>
      <c r="S678" s="503"/>
      <c r="T678" s="503"/>
      <c r="U678" s="503"/>
      <c r="V678" s="503"/>
      <c r="W678" s="503"/>
    </row>
    <row r="679" spans="1:23" hidden="1" x14ac:dyDescent="0.35">
      <c r="A679" s="543"/>
      <c r="B679" s="540" t="str">
        <f>B678&amp;"KW"</f>
        <v>KW</v>
      </c>
      <c r="C679" s="524" t="s">
        <v>170</v>
      </c>
      <c r="D679" s="526"/>
      <c r="E679" s="526"/>
      <c r="F679" s="1199"/>
      <c r="G679" s="1200"/>
      <c r="H679" s="1199"/>
      <c r="I679" s="1200"/>
      <c r="J679" s="1199"/>
      <c r="K679" s="1200"/>
      <c r="L679" s="1199"/>
      <c r="M679" s="1200"/>
      <c r="N679" s="1199"/>
      <c r="O679" s="1200"/>
      <c r="P679" s="503"/>
      <c r="Q679" s="503"/>
      <c r="R679" s="503"/>
      <c r="S679" s="503"/>
      <c r="T679" s="503"/>
      <c r="U679" s="503"/>
      <c r="V679" s="503"/>
      <c r="W679" s="503"/>
    </row>
    <row r="680" spans="1:23" hidden="1" x14ac:dyDescent="0.35">
      <c r="A680" s="543" t="s">
        <v>573</v>
      </c>
      <c r="B680" s="539"/>
      <c r="C680" s="524" t="s">
        <v>139</v>
      </c>
      <c r="D680" s="526"/>
      <c r="E680" s="526"/>
      <c r="F680" s="1199"/>
      <c r="G680" s="1200"/>
      <c r="H680" s="1199"/>
      <c r="I680" s="1200"/>
      <c r="J680" s="1199"/>
      <c r="K680" s="1200"/>
      <c r="L680" s="1199"/>
      <c r="M680" s="1200"/>
      <c r="N680" s="1199"/>
      <c r="O680" s="1200"/>
      <c r="P680" s="503"/>
      <c r="Q680" s="503"/>
      <c r="R680" s="503"/>
      <c r="S680" s="503"/>
      <c r="T680" s="503"/>
      <c r="U680" s="503"/>
      <c r="V680" s="503"/>
      <c r="W680" s="503"/>
    </row>
    <row r="681" spans="1:23" hidden="1" x14ac:dyDescent="0.35">
      <c r="A681" s="543"/>
      <c r="B681" s="540" t="str">
        <f>B680&amp;"KW"</f>
        <v>KW</v>
      </c>
      <c r="C681" s="524" t="s">
        <v>170</v>
      </c>
      <c r="D681" s="526"/>
      <c r="E681" s="526"/>
      <c r="F681" s="1199"/>
      <c r="G681" s="1200"/>
      <c r="H681" s="1199"/>
      <c r="I681" s="1200"/>
      <c r="J681" s="1199"/>
      <c r="K681" s="1200"/>
      <c r="L681" s="1199"/>
      <c r="M681" s="1200"/>
      <c r="N681" s="1199"/>
      <c r="O681" s="1200"/>
      <c r="P681" s="503"/>
      <c r="Q681" s="503"/>
      <c r="R681" s="503"/>
      <c r="S681" s="503"/>
      <c r="T681" s="503"/>
      <c r="U681" s="503"/>
      <c r="V681" s="503"/>
      <c r="W681" s="503"/>
    </row>
    <row r="682" spans="1:23" hidden="1" x14ac:dyDescent="0.35">
      <c r="A682" s="543" t="s">
        <v>574</v>
      </c>
      <c r="B682" s="539"/>
      <c r="C682" s="524" t="s">
        <v>139</v>
      </c>
      <c r="D682" s="526"/>
      <c r="E682" s="526"/>
      <c r="F682" s="1199"/>
      <c r="G682" s="1200"/>
      <c r="H682" s="1199"/>
      <c r="I682" s="1200"/>
      <c r="J682" s="1199"/>
      <c r="K682" s="1200"/>
      <c r="L682" s="1199"/>
      <c r="M682" s="1200"/>
      <c r="N682" s="1199"/>
      <c r="O682" s="1200"/>
      <c r="P682" s="503"/>
      <c r="Q682" s="503"/>
      <c r="R682" s="503"/>
      <c r="S682" s="503"/>
      <c r="T682" s="503"/>
      <c r="U682" s="503"/>
      <c r="V682" s="503"/>
      <c r="W682" s="503"/>
    </row>
    <row r="683" spans="1:23" hidden="1" x14ac:dyDescent="0.35">
      <c r="A683" s="543"/>
      <c r="B683" s="540" t="str">
        <f>B682&amp;"KW"</f>
        <v>KW</v>
      </c>
      <c r="C683" s="524" t="s">
        <v>170</v>
      </c>
      <c r="D683" s="526"/>
      <c r="E683" s="526"/>
      <c r="F683" s="1199"/>
      <c r="G683" s="1200"/>
      <c r="H683" s="1199"/>
      <c r="I683" s="1200"/>
      <c r="J683" s="1199"/>
      <c r="K683" s="1200"/>
      <c r="L683" s="1199"/>
      <c r="M683" s="1200"/>
      <c r="N683" s="1199"/>
      <c r="O683" s="1200"/>
      <c r="P683" s="503"/>
      <c r="Q683" s="503"/>
      <c r="R683" s="503"/>
      <c r="S683" s="503"/>
      <c r="T683" s="503"/>
      <c r="U683" s="503"/>
      <c r="V683" s="503"/>
      <c r="W683" s="503"/>
    </row>
    <row r="684" spans="1:23" hidden="1" x14ac:dyDescent="0.35">
      <c r="A684" s="543" t="s">
        <v>575</v>
      </c>
      <c r="B684" s="539"/>
      <c r="C684" s="524" t="s">
        <v>139</v>
      </c>
      <c r="D684" s="526"/>
      <c r="E684" s="526"/>
      <c r="F684" s="1199"/>
      <c r="G684" s="1200"/>
      <c r="H684" s="1199"/>
      <c r="I684" s="1200"/>
      <c r="J684" s="1199"/>
      <c r="K684" s="1200"/>
      <c r="L684" s="1199"/>
      <c r="M684" s="1200"/>
      <c r="N684" s="1199"/>
      <c r="O684" s="1200"/>
      <c r="P684" s="503"/>
      <c r="Q684" s="503"/>
      <c r="R684" s="503"/>
      <c r="S684" s="503"/>
      <c r="T684" s="503"/>
      <c r="U684" s="503"/>
      <c r="V684" s="503"/>
      <c r="W684" s="503"/>
    </row>
    <row r="685" spans="1:23" hidden="1" x14ac:dyDescent="0.35">
      <c r="A685" s="543"/>
      <c r="B685" s="540" t="str">
        <f>B684&amp;"KW"</f>
        <v>KW</v>
      </c>
      <c r="C685" s="524" t="s">
        <v>170</v>
      </c>
      <c r="D685" s="526"/>
      <c r="E685" s="526"/>
      <c r="F685" s="1199"/>
      <c r="G685" s="1200"/>
      <c r="H685" s="1199"/>
      <c r="I685" s="1200"/>
      <c r="J685" s="1199"/>
      <c r="K685" s="1200"/>
      <c r="L685" s="1199"/>
      <c r="M685" s="1200"/>
      <c r="N685" s="1199"/>
      <c r="O685" s="1200"/>
      <c r="P685" s="503"/>
      <c r="Q685" s="503"/>
      <c r="R685" s="503"/>
      <c r="S685" s="503"/>
      <c r="T685" s="503"/>
      <c r="U685" s="503"/>
      <c r="V685" s="503"/>
      <c r="W685" s="503"/>
    </row>
    <row r="686" spans="1:23" hidden="1" x14ac:dyDescent="0.35">
      <c r="A686" s="543" t="s">
        <v>576</v>
      </c>
      <c r="B686" s="539"/>
      <c r="C686" s="524" t="s">
        <v>139</v>
      </c>
      <c r="D686" s="526"/>
      <c r="E686" s="526"/>
      <c r="F686" s="1199"/>
      <c r="G686" s="1200"/>
      <c r="H686" s="1199"/>
      <c r="I686" s="1200"/>
      <c r="J686" s="1199"/>
      <c r="K686" s="1200"/>
      <c r="L686" s="1199"/>
      <c r="M686" s="1200"/>
      <c r="N686" s="1199"/>
      <c r="O686" s="1200"/>
      <c r="P686" s="503"/>
      <c r="Q686" s="503"/>
      <c r="R686" s="503"/>
      <c r="S686" s="503"/>
      <c r="T686" s="503"/>
      <c r="U686" s="503"/>
      <c r="V686" s="503"/>
      <c r="W686" s="503"/>
    </row>
    <row r="687" spans="1:23" hidden="1" x14ac:dyDescent="0.35">
      <c r="A687" s="543"/>
      <c r="B687" s="540" t="str">
        <f>B686&amp;"KW"</f>
        <v>KW</v>
      </c>
      <c r="C687" s="524" t="s">
        <v>170</v>
      </c>
      <c r="D687" s="526"/>
      <c r="E687" s="526"/>
      <c r="F687" s="1199"/>
      <c r="G687" s="1200"/>
      <c r="H687" s="1199"/>
      <c r="I687" s="1200"/>
      <c r="J687" s="1199"/>
      <c r="K687" s="1200"/>
      <c r="L687" s="1199"/>
      <c r="M687" s="1200"/>
      <c r="N687" s="1199"/>
      <c r="O687" s="1200"/>
      <c r="P687" s="503"/>
      <c r="Q687" s="503"/>
      <c r="R687" s="503"/>
      <c r="S687" s="503"/>
      <c r="T687" s="503"/>
      <c r="U687" s="503"/>
      <c r="V687" s="503"/>
      <c r="W687" s="503"/>
    </row>
    <row r="688" spans="1:23" hidden="1" x14ac:dyDescent="0.35">
      <c r="A688" s="543" t="s">
        <v>577</v>
      </c>
      <c r="B688" s="539"/>
      <c r="C688" s="524" t="s">
        <v>139</v>
      </c>
      <c r="D688" s="526"/>
      <c r="E688" s="526"/>
      <c r="F688" s="1199"/>
      <c r="G688" s="1200"/>
      <c r="H688" s="1199"/>
      <c r="I688" s="1200"/>
      <c r="J688" s="1199"/>
      <c r="K688" s="1200"/>
      <c r="L688" s="1199"/>
      <c r="M688" s="1200"/>
      <c r="N688" s="1199"/>
      <c r="O688" s="1200"/>
      <c r="P688" s="503"/>
      <c r="Q688" s="503"/>
      <c r="R688" s="503"/>
      <c r="S688" s="503"/>
      <c r="T688" s="503"/>
      <c r="U688" s="503"/>
      <c r="V688" s="503"/>
      <c r="W688" s="503"/>
    </row>
    <row r="689" spans="1:23" hidden="1" x14ac:dyDescent="0.35">
      <c r="A689" s="543"/>
      <c r="B689" s="540" t="str">
        <f>B688&amp;"KW"</f>
        <v>KW</v>
      </c>
      <c r="C689" s="524" t="s">
        <v>170</v>
      </c>
      <c r="D689" s="526"/>
      <c r="E689" s="526"/>
      <c r="F689" s="1199"/>
      <c r="G689" s="1200"/>
      <c r="H689" s="1199"/>
      <c r="I689" s="1200"/>
      <c r="J689" s="1199"/>
      <c r="K689" s="1200"/>
      <c r="L689" s="1199"/>
      <c r="M689" s="1200"/>
      <c r="N689" s="1199"/>
      <c r="O689" s="1200"/>
      <c r="P689" s="503"/>
      <c r="Q689" s="503"/>
      <c r="R689" s="503"/>
      <c r="S689" s="503"/>
      <c r="T689" s="503"/>
      <c r="U689" s="503"/>
      <c r="V689" s="503"/>
      <c r="W689" s="503"/>
    </row>
    <row r="690" spans="1:23" hidden="1" x14ac:dyDescent="0.35">
      <c r="A690" s="543" t="s">
        <v>578</v>
      </c>
      <c r="B690" s="539"/>
      <c r="C690" s="524" t="s">
        <v>139</v>
      </c>
      <c r="D690" s="526"/>
      <c r="E690" s="526"/>
      <c r="F690" s="1199"/>
      <c r="G690" s="1200"/>
      <c r="H690" s="1199"/>
      <c r="I690" s="1200"/>
      <c r="J690" s="1199"/>
      <c r="K690" s="1200"/>
      <c r="L690" s="1199"/>
      <c r="M690" s="1200"/>
      <c r="N690" s="1199"/>
      <c r="O690" s="1200"/>
      <c r="P690" s="503"/>
      <c r="Q690" s="503"/>
      <c r="R690" s="503"/>
      <c r="S690" s="503"/>
      <c r="T690" s="503"/>
      <c r="U690" s="503"/>
      <c r="V690" s="503"/>
      <c r="W690" s="503"/>
    </row>
    <row r="691" spans="1:23" hidden="1" x14ac:dyDescent="0.35">
      <c r="A691" s="543"/>
      <c r="B691" s="540" t="str">
        <f>B690&amp;"KW"</f>
        <v>KW</v>
      </c>
      <c r="C691" s="524" t="s">
        <v>170</v>
      </c>
      <c r="D691" s="526"/>
      <c r="E691" s="526"/>
      <c r="F691" s="1199"/>
      <c r="G691" s="1200"/>
      <c r="H691" s="1199"/>
      <c r="I691" s="1200"/>
      <c r="J691" s="1199"/>
      <c r="K691" s="1200"/>
      <c r="L691" s="1199"/>
      <c r="M691" s="1200"/>
      <c r="N691" s="1199"/>
      <c r="O691" s="1200"/>
      <c r="P691" s="503"/>
      <c r="Q691" s="503"/>
      <c r="R691" s="503"/>
      <c r="S691" s="503"/>
      <c r="T691" s="503"/>
      <c r="U691" s="503"/>
      <c r="V691" s="503"/>
      <c r="W691" s="503"/>
    </row>
    <row r="692" spans="1:23" hidden="1" x14ac:dyDescent="0.35">
      <c r="A692" s="543" t="s">
        <v>579</v>
      </c>
      <c r="B692" s="539"/>
      <c r="C692" s="524" t="s">
        <v>139</v>
      </c>
      <c r="D692" s="526"/>
      <c r="E692" s="526"/>
      <c r="F692" s="1199"/>
      <c r="G692" s="1200"/>
      <c r="H692" s="1199"/>
      <c r="I692" s="1200"/>
      <c r="J692" s="1199"/>
      <c r="K692" s="1200"/>
      <c r="L692" s="1199"/>
      <c r="M692" s="1200"/>
      <c r="N692" s="1199"/>
      <c r="O692" s="1200"/>
      <c r="P692" s="503"/>
      <c r="Q692" s="503"/>
      <c r="R692" s="503"/>
      <c r="S692" s="503"/>
      <c r="T692" s="503"/>
      <c r="U692" s="503"/>
      <c r="V692" s="503"/>
      <c r="W692" s="503"/>
    </row>
    <row r="693" spans="1:23" hidden="1" x14ac:dyDescent="0.35">
      <c r="A693" s="543"/>
      <c r="B693" s="540" t="str">
        <f>B692&amp;"KW"</f>
        <v>KW</v>
      </c>
      <c r="C693" s="524" t="s">
        <v>170</v>
      </c>
      <c r="D693" s="526"/>
      <c r="E693" s="526"/>
      <c r="F693" s="1199"/>
      <c r="G693" s="1200"/>
      <c r="H693" s="1199"/>
      <c r="I693" s="1200"/>
      <c r="J693" s="1199"/>
      <c r="K693" s="1200"/>
      <c r="L693" s="1199"/>
      <c r="M693" s="1200"/>
      <c r="N693" s="1199"/>
      <c r="O693" s="1200"/>
      <c r="P693" s="503"/>
      <c r="Q693" s="503"/>
      <c r="R693" s="503"/>
      <c r="S693" s="503"/>
      <c r="T693" s="503"/>
      <c r="U693" s="503"/>
      <c r="V693" s="503"/>
      <c r="W693" s="503"/>
    </row>
    <row r="694" spans="1:23" hidden="1" x14ac:dyDescent="0.35">
      <c r="A694" s="543" t="s">
        <v>580</v>
      </c>
      <c r="B694" s="539"/>
      <c r="C694" s="524" t="s">
        <v>139</v>
      </c>
      <c r="D694" s="526"/>
      <c r="E694" s="526"/>
      <c r="F694" s="1199"/>
      <c r="G694" s="1200"/>
      <c r="H694" s="1199"/>
      <c r="I694" s="1200"/>
      <c r="J694" s="1199"/>
      <c r="K694" s="1200"/>
      <c r="L694" s="1199"/>
      <c r="M694" s="1200"/>
      <c r="N694" s="1199"/>
      <c r="O694" s="1200"/>
      <c r="P694" s="503"/>
      <c r="Q694" s="503"/>
      <c r="R694" s="503"/>
      <c r="S694" s="503"/>
      <c r="T694" s="503"/>
      <c r="U694" s="503"/>
      <c r="V694" s="503"/>
      <c r="W694" s="503"/>
    </row>
    <row r="695" spans="1:23" hidden="1" x14ac:dyDescent="0.35">
      <c r="A695" s="543"/>
      <c r="B695" s="540" t="str">
        <f>B694&amp;"KW"</f>
        <v>KW</v>
      </c>
      <c r="C695" s="524" t="s">
        <v>170</v>
      </c>
      <c r="D695" s="526"/>
      <c r="E695" s="526"/>
      <c r="F695" s="1199"/>
      <c r="G695" s="1200"/>
      <c r="H695" s="1199"/>
      <c r="I695" s="1200"/>
      <c r="J695" s="1199"/>
      <c r="K695" s="1200"/>
      <c r="L695" s="1199"/>
      <c r="M695" s="1200"/>
      <c r="N695" s="1199"/>
      <c r="O695" s="1200"/>
      <c r="P695" s="503"/>
      <c r="Q695" s="503"/>
      <c r="R695" s="503"/>
      <c r="S695" s="503"/>
      <c r="T695" s="503"/>
      <c r="U695" s="503"/>
      <c r="V695" s="503"/>
      <c r="W695" s="503"/>
    </row>
    <row r="696" spans="1:23" hidden="1" x14ac:dyDescent="0.35">
      <c r="A696" s="543" t="s">
        <v>581</v>
      </c>
      <c r="B696" s="539"/>
      <c r="C696" s="524" t="s">
        <v>139</v>
      </c>
      <c r="D696" s="526"/>
      <c r="E696" s="526"/>
      <c r="F696" s="1199"/>
      <c r="G696" s="1200"/>
      <c r="H696" s="1199"/>
      <c r="I696" s="1200"/>
      <c r="J696" s="1199"/>
      <c r="K696" s="1200"/>
      <c r="L696" s="1199"/>
      <c r="M696" s="1200"/>
      <c r="N696" s="1199"/>
      <c r="O696" s="1200"/>
      <c r="P696" s="503"/>
      <c r="Q696" s="503"/>
      <c r="R696" s="503"/>
      <c r="S696" s="503"/>
      <c r="T696" s="503"/>
      <c r="U696" s="503"/>
      <c r="V696" s="503"/>
      <c r="W696" s="503"/>
    </row>
    <row r="697" spans="1:23" hidden="1" x14ac:dyDescent="0.35">
      <c r="A697" s="543"/>
      <c r="B697" s="540" t="str">
        <f>B696&amp;"KW"</f>
        <v>KW</v>
      </c>
      <c r="C697" s="524" t="s">
        <v>170</v>
      </c>
      <c r="D697" s="526"/>
      <c r="E697" s="526"/>
      <c r="F697" s="1199"/>
      <c r="G697" s="1200"/>
      <c r="H697" s="1199"/>
      <c r="I697" s="1200"/>
      <c r="J697" s="1199"/>
      <c r="K697" s="1200"/>
      <c r="L697" s="1199"/>
      <c r="M697" s="1200"/>
      <c r="N697" s="1199"/>
      <c r="O697" s="1200"/>
      <c r="P697" s="503"/>
      <c r="Q697" s="503"/>
      <c r="R697" s="503"/>
      <c r="S697" s="503"/>
      <c r="T697" s="503"/>
      <c r="U697" s="503"/>
      <c r="V697" s="503"/>
      <c r="W697" s="503"/>
    </row>
    <row r="698" spans="1:23" hidden="1" x14ac:dyDescent="0.35">
      <c r="A698" s="543" t="s">
        <v>582</v>
      </c>
      <c r="B698" s="539"/>
      <c r="C698" s="524" t="s">
        <v>139</v>
      </c>
      <c r="D698" s="526"/>
      <c r="E698" s="526"/>
      <c r="F698" s="1199"/>
      <c r="G698" s="1200"/>
      <c r="H698" s="1199"/>
      <c r="I698" s="1200"/>
      <c r="J698" s="1199"/>
      <c r="K698" s="1200"/>
      <c r="L698" s="1199"/>
      <c r="M698" s="1200"/>
      <c r="N698" s="1199"/>
      <c r="O698" s="1200"/>
      <c r="P698" s="503"/>
      <c r="Q698" s="503"/>
      <c r="R698" s="503"/>
      <c r="S698" s="503"/>
      <c r="T698" s="503"/>
      <c r="U698" s="503"/>
      <c r="V698" s="503"/>
      <c r="W698" s="503"/>
    </row>
    <row r="699" spans="1:23" hidden="1" x14ac:dyDescent="0.35">
      <c r="A699" s="543"/>
      <c r="B699" s="540" t="str">
        <f>B698&amp;"KW"</f>
        <v>KW</v>
      </c>
      <c r="C699" s="524" t="s">
        <v>170</v>
      </c>
      <c r="D699" s="526"/>
      <c r="E699" s="526"/>
      <c r="F699" s="1199"/>
      <c r="G699" s="1200"/>
      <c r="H699" s="1199"/>
      <c r="I699" s="1200"/>
      <c r="J699" s="1199"/>
      <c r="K699" s="1200"/>
      <c r="L699" s="1199"/>
      <c r="M699" s="1200"/>
      <c r="N699" s="1199"/>
      <c r="O699" s="1200"/>
      <c r="P699" s="503"/>
      <c r="Q699" s="503"/>
      <c r="R699" s="503"/>
      <c r="S699" s="503"/>
      <c r="T699" s="503"/>
      <c r="U699" s="503"/>
      <c r="V699" s="503"/>
      <c r="W699" s="503"/>
    </row>
    <row r="700" spans="1:23" hidden="1" x14ac:dyDescent="0.35">
      <c r="A700" s="543" t="s">
        <v>583</v>
      </c>
      <c r="B700" s="539"/>
      <c r="C700" s="524" t="s">
        <v>139</v>
      </c>
      <c r="D700" s="526"/>
      <c r="E700" s="526"/>
      <c r="F700" s="1199"/>
      <c r="G700" s="1200"/>
      <c r="H700" s="1199"/>
      <c r="I700" s="1200"/>
      <c r="J700" s="1199"/>
      <c r="K700" s="1200"/>
      <c r="L700" s="1199"/>
      <c r="M700" s="1200"/>
      <c r="N700" s="1199"/>
      <c r="O700" s="1200"/>
      <c r="P700" s="503"/>
      <c r="Q700" s="503"/>
      <c r="R700" s="503"/>
      <c r="S700" s="503"/>
      <c r="T700" s="503"/>
      <c r="U700" s="503"/>
      <c r="V700" s="503"/>
      <c r="W700" s="503"/>
    </row>
    <row r="701" spans="1:23" hidden="1" x14ac:dyDescent="0.35">
      <c r="A701" s="543"/>
      <c r="B701" s="540" t="str">
        <f>B700&amp;"KW"</f>
        <v>KW</v>
      </c>
      <c r="C701" s="524" t="s">
        <v>170</v>
      </c>
      <c r="D701" s="526"/>
      <c r="E701" s="526"/>
      <c r="F701" s="1199"/>
      <c r="G701" s="1200"/>
      <c r="H701" s="1199"/>
      <c r="I701" s="1200"/>
      <c r="J701" s="1199"/>
      <c r="K701" s="1200"/>
      <c r="L701" s="1199"/>
      <c r="M701" s="1200"/>
      <c r="N701" s="1199"/>
      <c r="O701" s="1200"/>
      <c r="P701" s="503"/>
      <c r="Q701" s="503"/>
      <c r="R701" s="503"/>
      <c r="S701" s="503"/>
      <c r="T701" s="503"/>
      <c r="U701" s="503"/>
      <c r="V701" s="503"/>
      <c r="W701" s="503"/>
    </row>
    <row r="702" spans="1:23" hidden="1" x14ac:dyDescent="0.35">
      <c r="A702" s="543" t="s">
        <v>584</v>
      </c>
      <c r="B702" s="539"/>
      <c r="C702" s="524" t="s">
        <v>139</v>
      </c>
      <c r="D702" s="526"/>
      <c r="E702" s="526"/>
      <c r="F702" s="1199"/>
      <c r="G702" s="1200"/>
      <c r="H702" s="1199"/>
      <c r="I702" s="1200"/>
      <c r="J702" s="1199"/>
      <c r="K702" s="1200"/>
      <c r="L702" s="1199"/>
      <c r="M702" s="1200"/>
      <c r="N702" s="1199"/>
      <c r="O702" s="1200"/>
      <c r="P702" s="503"/>
      <c r="Q702" s="503"/>
      <c r="R702" s="503"/>
      <c r="S702" s="503"/>
      <c r="T702" s="503"/>
      <c r="U702" s="503"/>
      <c r="V702" s="503"/>
      <c r="W702" s="503"/>
    </row>
    <row r="703" spans="1:23" hidden="1" x14ac:dyDescent="0.35">
      <c r="A703" s="543"/>
      <c r="B703" s="540" t="str">
        <f>B702&amp;"KW"</f>
        <v>KW</v>
      </c>
      <c r="C703" s="524" t="s">
        <v>170</v>
      </c>
      <c r="D703" s="526"/>
      <c r="E703" s="526"/>
      <c r="F703" s="1199"/>
      <c r="G703" s="1200"/>
      <c r="H703" s="1199"/>
      <c r="I703" s="1200"/>
      <c r="J703" s="1199"/>
      <c r="K703" s="1200"/>
      <c r="L703" s="1199"/>
      <c r="M703" s="1200"/>
      <c r="N703" s="1199"/>
      <c r="O703" s="1200"/>
      <c r="P703" s="503"/>
      <c r="Q703" s="503"/>
      <c r="R703" s="503"/>
      <c r="S703" s="503"/>
      <c r="T703" s="503"/>
      <c r="U703" s="503"/>
      <c r="V703" s="503"/>
      <c r="W703" s="503"/>
    </row>
    <row r="704" spans="1:23" hidden="1" x14ac:dyDescent="0.35">
      <c r="A704" s="543" t="s">
        <v>585</v>
      </c>
      <c r="B704" s="539"/>
      <c r="C704" s="524" t="s">
        <v>139</v>
      </c>
      <c r="D704" s="526"/>
      <c r="E704" s="526"/>
      <c r="F704" s="1199"/>
      <c r="G704" s="1200"/>
      <c r="H704" s="1199"/>
      <c r="I704" s="1200"/>
      <c r="J704" s="1199"/>
      <c r="K704" s="1200"/>
      <c r="L704" s="1199"/>
      <c r="M704" s="1200"/>
      <c r="N704" s="1199"/>
      <c r="O704" s="1200"/>
      <c r="P704" s="503"/>
      <c r="Q704" s="503"/>
      <c r="R704" s="503"/>
      <c r="S704" s="503"/>
      <c r="T704" s="503"/>
      <c r="U704" s="503"/>
      <c r="V704" s="503"/>
      <c r="W704" s="503"/>
    </row>
    <row r="705" spans="1:23" hidden="1" x14ac:dyDescent="0.35">
      <c r="A705" s="543"/>
      <c r="B705" s="540" t="str">
        <f>B704&amp;"KW"</f>
        <v>KW</v>
      </c>
      <c r="C705" s="524" t="s">
        <v>170</v>
      </c>
      <c r="D705" s="526"/>
      <c r="E705" s="526"/>
      <c r="F705" s="1199"/>
      <c r="G705" s="1200"/>
      <c r="H705" s="1199"/>
      <c r="I705" s="1200"/>
      <c r="J705" s="1199"/>
      <c r="K705" s="1200"/>
      <c r="L705" s="1199"/>
      <c r="M705" s="1200"/>
      <c r="N705" s="1199"/>
      <c r="O705" s="1200"/>
      <c r="P705" s="503"/>
      <c r="Q705" s="503"/>
      <c r="R705" s="503"/>
      <c r="S705" s="503"/>
      <c r="T705" s="503"/>
      <c r="U705" s="503"/>
      <c r="V705" s="503"/>
      <c r="W705" s="503"/>
    </row>
    <row r="706" spans="1:23" hidden="1" x14ac:dyDescent="0.35">
      <c r="A706" s="543" t="s">
        <v>586</v>
      </c>
      <c r="B706" s="539"/>
      <c r="C706" s="524" t="s">
        <v>139</v>
      </c>
      <c r="D706" s="526"/>
      <c r="E706" s="526"/>
      <c r="F706" s="1199"/>
      <c r="G706" s="1200"/>
      <c r="H706" s="1199"/>
      <c r="I706" s="1200"/>
      <c r="J706" s="1199"/>
      <c r="K706" s="1200"/>
      <c r="L706" s="1199"/>
      <c r="M706" s="1200"/>
      <c r="N706" s="1199"/>
      <c r="O706" s="1200"/>
      <c r="P706" s="503"/>
      <c r="Q706" s="503"/>
      <c r="R706" s="503"/>
      <c r="S706" s="503"/>
      <c r="T706" s="503"/>
      <c r="U706" s="503"/>
      <c r="V706" s="503"/>
      <c r="W706" s="503"/>
    </row>
    <row r="707" spans="1:23" hidden="1" x14ac:dyDescent="0.35">
      <c r="A707" s="543"/>
      <c r="B707" s="540" t="str">
        <f>B706&amp;"KW"</f>
        <v>KW</v>
      </c>
      <c r="C707" s="524" t="s">
        <v>170</v>
      </c>
      <c r="D707" s="526"/>
      <c r="E707" s="526"/>
      <c r="F707" s="1199"/>
      <c r="G707" s="1200"/>
      <c r="H707" s="1199"/>
      <c r="I707" s="1200"/>
      <c r="J707" s="1199"/>
      <c r="K707" s="1200"/>
      <c r="L707" s="1199"/>
      <c r="M707" s="1200"/>
      <c r="N707" s="1199"/>
      <c r="O707" s="1200"/>
      <c r="P707" s="503"/>
      <c r="Q707" s="503"/>
      <c r="R707" s="503"/>
      <c r="S707" s="503"/>
      <c r="T707" s="503"/>
      <c r="U707" s="503"/>
      <c r="V707" s="503"/>
      <c r="W707" s="503"/>
    </row>
    <row r="708" spans="1:23" hidden="1" x14ac:dyDescent="0.35">
      <c r="A708" s="543" t="s">
        <v>587</v>
      </c>
      <c r="B708" s="539"/>
      <c r="C708" s="524" t="s">
        <v>139</v>
      </c>
      <c r="D708" s="526"/>
      <c r="E708" s="526"/>
      <c r="F708" s="1199"/>
      <c r="G708" s="1200"/>
      <c r="H708" s="1199"/>
      <c r="I708" s="1200"/>
      <c r="J708" s="1199"/>
      <c r="K708" s="1200"/>
      <c r="L708" s="1199"/>
      <c r="M708" s="1200"/>
      <c r="N708" s="1199"/>
      <c r="O708" s="1200"/>
      <c r="P708" s="503"/>
      <c r="Q708" s="503"/>
      <c r="R708" s="503"/>
      <c r="S708" s="503"/>
      <c r="T708" s="503"/>
      <c r="U708" s="503"/>
      <c r="V708" s="503"/>
      <c r="W708" s="503"/>
    </row>
    <row r="709" spans="1:23" hidden="1" x14ac:dyDescent="0.35">
      <c r="A709" s="543"/>
      <c r="B709" s="540" t="str">
        <f>B708&amp;"KW"</f>
        <v>KW</v>
      </c>
      <c r="C709" s="524" t="s">
        <v>170</v>
      </c>
      <c r="D709" s="526"/>
      <c r="E709" s="526"/>
      <c r="F709" s="1199"/>
      <c r="G709" s="1200"/>
      <c r="H709" s="1199"/>
      <c r="I709" s="1200"/>
      <c r="J709" s="1199"/>
      <c r="K709" s="1200"/>
      <c r="L709" s="1199"/>
      <c r="M709" s="1200"/>
      <c r="N709" s="1199"/>
      <c r="O709" s="1200"/>
      <c r="P709" s="503"/>
      <c r="Q709" s="503"/>
      <c r="R709" s="503"/>
      <c r="S709" s="503"/>
      <c r="T709" s="503"/>
      <c r="U709" s="503"/>
      <c r="V709" s="503"/>
      <c r="W709" s="503"/>
    </row>
    <row r="710" spans="1:23" hidden="1" x14ac:dyDescent="0.35">
      <c r="A710" s="543" t="s">
        <v>588</v>
      </c>
      <c r="B710" s="539"/>
      <c r="C710" s="524" t="s">
        <v>139</v>
      </c>
      <c r="D710" s="526"/>
      <c r="E710" s="526"/>
      <c r="F710" s="1199"/>
      <c r="G710" s="1200"/>
      <c r="H710" s="1199"/>
      <c r="I710" s="1200"/>
      <c r="J710" s="1199"/>
      <c r="K710" s="1200"/>
      <c r="L710" s="1199"/>
      <c r="M710" s="1200"/>
      <c r="N710" s="1199"/>
      <c r="O710" s="1200"/>
      <c r="P710" s="503"/>
      <c r="Q710" s="503"/>
      <c r="R710" s="503"/>
      <c r="S710" s="503"/>
      <c r="T710" s="503"/>
      <c r="U710" s="503"/>
      <c r="V710" s="503"/>
      <c r="W710" s="503"/>
    </row>
    <row r="711" spans="1:23" hidden="1" x14ac:dyDescent="0.35">
      <c r="A711" s="543"/>
      <c r="B711" s="540" t="str">
        <f>B710&amp;"KW"</f>
        <v>KW</v>
      </c>
      <c r="C711" s="524" t="s">
        <v>170</v>
      </c>
      <c r="D711" s="526"/>
      <c r="E711" s="526"/>
      <c r="F711" s="1199"/>
      <c r="G711" s="1200"/>
      <c r="H711" s="1199"/>
      <c r="I711" s="1200"/>
      <c r="J711" s="1199"/>
      <c r="K711" s="1200"/>
      <c r="L711" s="1199"/>
      <c r="M711" s="1200"/>
      <c r="N711" s="1199"/>
      <c r="O711" s="1200"/>
      <c r="P711" s="503"/>
      <c r="Q711" s="503"/>
      <c r="R711" s="503"/>
      <c r="S711" s="503"/>
      <c r="T711" s="503"/>
      <c r="U711" s="503"/>
      <c r="V711" s="503"/>
      <c r="W711" s="503"/>
    </row>
    <row r="712" spans="1:23" hidden="1" x14ac:dyDescent="0.35">
      <c r="A712" s="543" t="s">
        <v>589</v>
      </c>
      <c r="B712" s="539"/>
      <c r="C712" s="524" t="s">
        <v>139</v>
      </c>
      <c r="D712" s="526"/>
      <c r="E712" s="526"/>
      <c r="F712" s="1199"/>
      <c r="G712" s="1200"/>
      <c r="H712" s="1199"/>
      <c r="I712" s="1200"/>
      <c r="J712" s="1199"/>
      <c r="K712" s="1200"/>
      <c r="L712" s="1199"/>
      <c r="M712" s="1200"/>
      <c r="N712" s="1199"/>
      <c r="O712" s="1200"/>
      <c r="P712" s="503"/>
      <c r="Q712" s="503"/>
      <c r="R712" s="503"/>
      <c r="S712" s="503"/>
      <c r="T712" s="503"/>
      <c r="U712" s="503"/>
      <c r="V712" s="503"/>
      <c r="W712" s="503"/>
    </row>
    <row r="713" spans="1:23" hidden="1" x14ac:dyDescent="0.35">
      <c r="A713" s="543"/>
      <c r="B713" s="540" t="str">
        <f>B712&amp;"KW"</f>
        <v>KW</v>
      </c>
      <c r="C713" s="524" t="s">
        <v>170</v>
      </c>
      <c r="D713" s="526"/>
      <c r="E713" s="526"/>
      <c r="F713" s="1199"/>
      <c r="G713" s="1200"/>
      <c r="H713" s="1199"/>
      <c r="I713" s="1200"/>
      <c r="J713" s="1199"/>
      <c r="K713" s="1200"/>
      <c r="L713" s="1199"/>
      <c r="M713" s="1200"/>
      <c r="N713" s="1199"/>
      <c r="O713" s="1200"/>
      <c r="P713" s="503"/>
      <c r="Q713" s="503"/>
      <c r="R713" s="503"/>
      <c r="S713" s="503"/>
      <c r="T713" s="503"/>
      <c r="U713" s="503"/>
      <c r="V713" s="503"/>
      <c r="W713" s="503"/>
    </row>
    <row r="714" spans="1:23" hidden="1" x14ac:dyDescent="0.35">
      <c r="A714" s="543" t="s">
        <v>590</v>
      </c>
      <c r="B714" s="539"/>
      <c r="C714" s="524" t="s">
        <v>139</v>
      </c>
      <c r="D714" s="526"/>
      <c r="E714" s="526"/>
      <c r="F714" s="1199"/>
      <c r="G714" s="1200"/>
      <c r="H714" s="1199"/>
      <c r="I714" s="1200"/>
      <c r="J714" s="1199"/>
      <c r="K714" s="1200"/>
      <c r="L714" s="1199"/>
      <c r="M714" s="1200"/>
      <c r="N714" s="1199"/>
      <c r="O714" s="1200"/>
      <c r="P714" s="503"/>
      <c r="Q714" s="503"/>
      <c r="R714" s="503"/>
      <c r="S714" s="503"/>
      <c r="T714" s="503"/>
      <c r="U714" s="503"/>
      <c r="V714" s="503"/>
      <c r="W714" s="503"/>
    </row>
    <row r="715" spans="1:23" hidden="1" x14ac:dyDescent="0.35">
      <c r="A715" s="543"/>
      <c r="B715" s="540" t="str">
        <f>B714&amp;"KW"</f>
        <v>KW</v>
      </c>
      <c r="C715" s="524" t="s">
        <v>170</v>
      </c>
      <c r="D715" s="526"/>
      <c r="E715" s="526"/>
      <c r="F715" s="1199"/>
      <c r="G715" s="1200"/>
      <c r="H715" s="1199"/>
      <c r="I715" s="1200"/>
      <c r="J715" s="1199"/>
      <c r="K715" s="1200"/>
      <c r="L715" s="1199"/>
      <c r="M715" s="1200"/>
      <c r="N715" s="1199"/>
      <c r="O715" s="1200"/>
      <c r="P715" s="503"/>
      <c r="Q715" s="503"/>
      <c r="R715" s="503"/>
      <c r="S715" s="503"/>
      <c r="T715" s="503"/>
      <c r="U715" s="503"/>
      <c r="V715" s="503"/>
      <c r="W715" s="503"/>
    </row>
    <row r="716" spans="1:23" hidden="1" x14ac:dyDescent="0.35">
      <c r="A716" s="543" t="s">
        <v>591</v>
      </c>
      <c r="B716" s="539"/>
      <c r="C716" s="524" t="s">
        <v>139</v>
      </c>
      <c r="D716" s="526"/>
      <c r="E716" s="526"/>
      <c r="F716" s="1199"/>
      <c r="G716" s="1200"/>
      <c r="H716" s="1199"/>
      <c r="I716" s="1200"/>
      <c r="J716" s="1199"/>
      <c r="K716" s="1200"/>
      <c r="L716" s="1199"/>
      <c r="M716" s="1200"/>
      <c r="N716" s="1199"/>
      <c r="O716" s="1200"/>
      <c r="P716" s="503"/>
      <c r="Q716" s="503"/>
      <c r="R716" s="503"/>
      <c r="S716" s="503"/>
      <c r="T716" s="503"/>
      <c r="U716" s="503"/>
      <c r="V716" s="503"/>
      <c r="W716" s="503"/>
    </row>
    <row r="717" spans="1:23" hidden="1" x14ac:dyDescent="0.35">
      <c r="A717" s="543"/>
      <c r="B717" s="540" t="str">
        <f>B716&amp;"KW"</f>
        <v>KW</v>
      </c>
      <c r="C717" s="524" t="s">
        <v>170</v>
      </c>
      <c r="D717" s="526"/>
      <c r="E717" s="526"/>
      <c r="F717" s="1199"/>
      <c r="G717" s="1200"/>
      <c r="H717" s="1199"/>
      <c r="I717" s="1200"/>
      <c r="J717" s="1199"/>
      <c r="K717" s="1200"/>
      <c r="L717" s="1199"/>
      <c r="M717" s="1200"/>
      <c r="N717" s="1199"/>
      <c r="O717" s="1200"/>
      <c r="P717" s="503"/>
      <c r="Q717" s="503"/>
      <c r="R717" s="503"/>
      <c r="S717" s="503"/>
      <c r="T717" s="503"/>
      <c r="U717" s="503"/>
      <c r="V717" s="503"/>
      <c r="W717" s="503"/>
    </row>
    <row r="718" spans="1:23" hidden="1" x14ac:dyDescent="0.35">
      <c r="A718" s="543" t="s">
        <v>592</v>
      </c>
      <c r="B718" s="539"/>
      <c r="C718" s="524" t="s">
        <v>139</v>
      </c>
      <c r="D718" s="526"/>
      <c r="E718" s="526"/>
      <c r="F718" s="1199"/>
      <c r="G718" s="1200"/>
      <c r="H718" s="1199"/>
      <c r="I718" s="1200"/>
      <c r="J718" s="1199"/>
      <c r="K718" s="1200"/>
      <c r="L718" s="1199"/>
      <c r="M718" s="1200"/>
      <c r="N718" s="1199"/>
      <c r="O718" s="1200"/>
      <c r="P718" s="503"/>
      <c r="Q718" s="503"/>
      <c r="R718" s="503"/>
      <c r="S718" s="503"/>
      <c r="T718" s="503"/>
      <c r="U718" s="503"/>
      <c r="V718" s="503"/>
      <c r="W718" s="503"/>
    </row>
    <row r="719" spans="1:23" hidden="1" x14ac:dyDescent="0.35">
      <c r="A719" s="543"/>
      <c r="B719" s="540" t="str">
        <f>B718&amp;"KW"</f>
        <v>KW</v>
      </c>
      <c r="C719" s="524" t="s">
        <v>170</v>
      </c>
      <c r="D719" s="526"/>
      <c r="E719" s="526"/>
      <c r="F719" s="1199"/>
      <c r="G719" s="1200"/>
      <c r="H719" s="1199"/>
      <c r="I719" s="1200"/>
      <c r="J719" s="1199"/>
      <c r="K719" s="1200"/>
      <c r="L719" s="1199"/>
      <c r="M719" s="1200"/>
      <c r="N719" s="1199"/>
      <c r="O719" s="1200"/>
      <c r="P719" s="503"/>
      <c r="Q719" s="503"/>
      <c r="R719" s="503"/>
      <c r="S719" s="503"/>
      <c r="T719" s="503"/>
      <c r="U719" s="503"/>
      <c r="V719" s="503"/>
      <c r="W719" s="503"/>
    </row>
    <row r="720" spans="1:23" hidden="1" x14ac:dyDescent="0.35">
      <c r="A720" s="543" t="s">
        <v>593</v>
      </c>
      <c r="B720" s="539"/>
      <c r="C720" s="524" t="s">
        <v>139</v>
      </c>
      <c r="D720" s="526"/>
      <c r="E720" s="526"/>
      <c r="F720" s="1199"/>
      <c r="G720" s="1200"/>
      <c r="H720" s="1199"/>
      <c r="I720" s="1200"/>
      <c r="J720" s="1199"/>
      <c r="K720" s="1200"/>
      <c r="L720" s="1199"/>
      <c r="M720" s="1200"/>
      <c r="N720" s="1199"/>
      <c r="O720" s="1200"/>
      <c r="P720" s="503"/>
      <c r="Q720" s="503"/>
      <c r="R720" s="503"/>
      <c r="S720" s="503"/>
      <c r="T720" s="503"/>
      <c r="U720" s="503"/>
      <c r="V720" s="503"/>
      <c r="W720" s="503"/>
    </row>
    <row r="721" spans="1:23" hidden="1" x14ac:dyDescent="0.35">
      <c r="A721" s="543"/>
      <c r="B721" s="540" t="str">
        <f>B720&amp;"KW"</f>
        <v>KW</v>
      </c>
      <c r="C721" s="524" t="s">
        <v>170</v>
      </c>
      <c r="D721" s="526"/>
      <c r="E721" s="526"/>
      <c r="F721" s="1199"/>
      <c r="G721" s="1200"/>
      <c r="H721" s="1199"/>
      <c r="I721" s="1200"/>
      <c r="J721" s="1199"/>
      <c r="K721" s="1200"/>
      <c r="L721" s="1199"/>
      <c r="M721" s="1200"/>
      <c r="N721" s="1199"/>
      <c r="O721" s="1200"/>
      <c r="P721" s="503"/>
      <c r="Q721" s="503"/>
      <c r="R721" s="503"/>
      <c r="S721" s="503"/>
      <c r="T721" s="503"/>
      <c r="U721" s="503"/>
      <c r="V721" s="503"/>
      <c r="W721" s="503"/>
    </row>
    <row r="722" spans="1:23" hidden="1" x14ac:dyDescent="0.35">
      <c r="A722" s="543" t="s">
        <v>594</v>
      </c>
      <c r="B722" s="539"/>
      <c r="C722" s="524" t="s">
        <v>139</v>
      </c>
      <c r="D722" s="526"/>
      <c r="E722" s="526"/>
      <c r="F722" s="1199"/>
      <c r="G722" s="1200"/>
      <c r="H722" s="1199"/>
      <c r="I722" s="1200"/>
      <c r="J722" s="1199"/>
      <c r="K722" s="1200"/>
      <c r="L722" s="1199"/>
      <c r="M722" s="1200"/>
      <c r="N722" s="1199"/>
      <c r="O722" s="1200"/>
      <c r="P722" s="503"/>
      <c r="Q722" s="503"/>
      <c r="R722" s="503"/>
      <c r="S722" s="503"/>
      <c r="T722" s="503"/>
      <c r="U722" s="503"/>
      <c r="V722" s="503"/>
      <c r="W722" s="503"/>
    </row>
    <row r="723" spans="1:23" hidden="1" x14ac:dyDescent="0.35">
      <c r="A723" s="543"/>
      <c r="B723" s="540" t="str">
        <f>B722&amp;"KW"</f>
        <v>KW</v>
      </c>
      <c r="C723" s="524" t="s">
        <v>170</v>
      </c>
      <c r="D723" s="526"/>
      <c r="E723" s="526"/>
      <c r="F723" s="1199"/>
      <c r="G723" s="1200"/>
      <c r="H723" s="1199"/>
      <c r="I723" s="1200"/>
      <c r="J723" s="1199"/>
      <c r="K723" s="1200"/>
      <c r="L723" s="1199"/>
      <c r="M723" s="1200"/>
      <c r="N723" s="1199"/>
      <c r="O723" s="1200"/>
      <c r="P723" s="503"/>
      <c r="Q723" s="503"/>
      <c r="R723" s="503"/>
      <c r="S723" s="503"/>
      <c r="T723" s="503"/>
      <c r="U723" s="503"/>
      <c r="V723" s="503"/>
      <c r="W723" s="503"/>
    </row>
    <row r="724" spans="1:23" hidden="1" x14ac:dyDescent="0.35">
      <c r="A724" s="543" t="s">
        <v>595</v>
      </c>
      <c r="B724" s="539"/>
      <c r="C724" s="524" t="s">
        <v>139</v>
      </c>
      <c r="D724" s="526"/>
      <c r="E724" s="526"/>
      <c r="F724" s="1199"/>
      <c r="G724" s="1200"/>
      <c r="H724" s="1199"/>
      <c r="I724" s="1200"/>
      <c r="J724" s="1199"/>
      <c r="K724" s="1200"/>
      <c r="L724" s="1199"/>
      <c r="M724" s="1200"/>
      <c r="N724" s="1199"/>
      <c r="O724" s="1200"/>
      <c r="P724" s="503"/>
      <c r="Q724" s="503"/>
      <c r="R724" s="503"/>
      <c r="S724" s="503"/>
      <c r="T724" s="503"/>
      <c r="U724" s="503"/>
      <c r="V724" s="503"/>
      <c r="W724" s="503"/>
    </row>
    <row r="725" spans="1:23" hidden="1" x14ac:dyDescent="0.35">
      <c r="A725" s="543"/>
      <c r="B725" s="540" t="str">
        <f>B724&amp;"KW"</f>
        <v>KW</v>
      </c>
      <c r="C725" s="524" t="s">
        <v>170</v>
      </c>
      <c r="D725" s="526"/>
      <c r="E725" s="526"/>
      <c r="F725" s="1199"/>
      <c r="G725" s="1200"/>
      <c r="H725" s="1199"/>
      <c r="I725" s="1200"/>
      <c r="J725" s="1199"/>
      <c r="K725" s="1200"/>
      <c r="L725" s="1199"/>
      <c r="M725" s="1200"/>
      <c r="N725" s="1199"/>
      <c r="O725" s="1200"/>
      <c r="P725" s="503"/>
      <c r="Q725" s="503"/>
      <c r="R725" s="503"/>
      <c r="S725" s="503"/>
      <c r="T725" s="503"/>
      <c r="U725" s="503"/>
      <c r="V725" s="503"/>
      <c r="W725" s="503"/>
    </row>
    <row r="726" spans="1:23" hidden="1" x14ac:dyDescent="0.35">
      <c r="A726" s="543" t="s">
        <v>596</v>
      </c>
      <c r="B726" s="539"/>
      <c r="C726" s="524" t="s">
        <v>139</v>
      </c>
      <c r="D726" s="526"/>
      <c r="E726" s="526"/>
      <c r="F726" s="1199"/>
      <c r="G726" s="1200"/>
      <c r="H726" s="1199"/>
      <c r="I726" s="1200"/>
      <c r="J726" s="1199"/>
      <c r="K726" s="1200"/>
      <c r="L726" s="1199"/>
      <c r="M726" s="1200"/>
      <c r="N726" s="1199"/>
      <c r="O726" s="1200"/>
      <c r="P726" s="503"/>
      <c r="Q726" s="503"/>
      <c r="R726" s="503"/>
      <c r="S726" s="503"/>
      <c r="T726" s="503"/>
      <c r="U726" s="503"/>
      <c r="V726" s="503"/>
      <c r="W726" s="503"/>
    </row>
    <row r="727" spans="1:23" hidden="1" x14ac:dyDescent="0.35">
      <c r="A727" s="543"/>
      <c r="B727" s="540" t="str">
        <f>B726&amp;"KW"</f>
        <v>KW</v>
      </c>
      <c r="C727" s="524" t="s">
        <v>170</v>
      </c>
      <c r="D727" s="526"/>
      <c r="E727" s="526"/>
      <c r="F727" s="1199"/>
      <c r="G727" s="1200"/>
      <c r="H727" s="1199"/>
      <c r="I727" s="1200"/>
      <c r="J727" s="1199"/>
      <c r="K727" s="1200"/>
      <c r="L727" s="1199"/>
      <c r="M727" s="1200"/>
      <c r="N727" s="1199"/>
      <c r="O727" s="1200"/>
      <c r="P727" s="503"/>
      <c r="Q727" s="503"/>
      <c r="R727" s="503"/>
      <c r="S727" s="503"/>
      <c r="T727" s="503"/>
      <c r="U727" s="503"/>
      <c r="V727" s="503"/>
      <c r="W727" s="503"/>
    </row>
    <row r="728" spans="1:23" hidden="1" x14ac:dyDescent="0.35">
      <c r="A728" s="543" t="s">
        <v>597</v>
      </c>
      <c r="B728" s="539"/>
      <c r="C728" s="524" t="s">
        <v>139</v>
      </c>
      <c r="D728" s="526"/>
      <c r="E728" s="526"/>
      <c r="F728" s="1199"/>
      <c r="G728" s="1200"/>
      <c r="H728" s="1199"/>
      <c r="I728" s="1200"/>
      <c r="J728" s="1199"/>
      <c r="K728" s="1200"/>
      <c r="L728" s="1199"/>
      <c r="M728" s="1200"/>
      <c r="N728" s="1199"/>
      <c r="O728" s="1200"/>
      <c r="P728" s="503"/>
      <c r="Q728" s="503"/>
      <c r="R728" s="503"/>
      <c r="S728" s="503"/>
      <c r="T728" s="503"/>
      <c r="U728" s="503"/>
      <c r="V728" s="503"/>
      <c r="W728" s="503"/>
    </row>
    <row r="729" spans="1:23" hidden="1" x14ac:dyDescent="0.35">
      <c r="A729" s="543"/>
      <c r="B729" s="540" t="str">
        <f>B728&amp;"KW"</f>
        <v>KW</v>
      </c>
      <c r="C729" s="524" t="s">
        <v>170</v>
      </c>
      <c r="D729" s="526"/>
      <c r="E729" s="526"/>
      <c r="F729" s="1199"/>
      <c r="G729" s="1200"/>
      <c r="H729" s="1199"/>
      <c r="I729" s="1200"/>
      <c r="J729" s="1199"/>
      <c r="K729" s="1200"/>
      <c r="L729" s="1199"/>
      <c r="M729" s="1200"/>
      <c r="N729" s="1199"/>
      <c r="O729" s="1200"/>
      <c r="P729" s="503"/>
      <c r="Q729" s="503"/>
      <c r="R729" s="503"/>
      <c r="S729" s="503"/>
      <c r="T729" s="503"/>
      <c r="U729" s="503"/>
      <c r="V729" s="503"/>
      <c r="W729" s="503"/>
    </row>
    <row r="730" spans="1:23" hidden="1" x14ac:dyDescent="0.35">
      <c r="A730" s="543" t="s">
        <v>598</v>
      </c>
      <c r="B730" s="539"/>
      <c r="C730" s="524" t="s">
        <v>139</v>
      </c>
      <c r="D730" s="526"/>
      <c r="E730" s="526"/>
      <c r="F730" s="1199"/>
      <c r="G730" s="1200"/>
      <c r="H730" s="1199"/>
      <c r="I730" s="1200"/>
      <c r="J730" s="1199"/>
      <c r="K730" s="1200"/>
      <c r="L730" s="1199"/>
      <c r="M730" s="1200"/>
      <c r="N730" s="1199"/>
      <c r="O730" s="1200"/>
      <c r="P730" s="503"/>
      <c r="Q730" s="503"/>
      <c r="R730" s="503"/>
      <c r="S730" s="503"/>
      <c r="T730" s="503"/>
      <c r="U730" s="503"/>
      <c r="V730" s="503"/>
      <c r="W730" s="503"/>
    </row>
    <row r="731" spans="1:23" hidden="1" x14ac:dyDescent="0.35">
      <c r="A731" s="543"/>
      <c r="B731" s="540" t="str">
        <f>B730&amp;"KW"</f>
        <v>KW</v>
      </c>
      <c r="C731" s="524" t="s">
        <v>170</v>
      </c>
      <c r="D731" s="526"/>
      <c r="E731" s="526"/>
      <c r="F731" s="1199"/>
      <c r="G731" s="1200"/>
      <c r="H731" s="1199"/>
      <c r="I731" s="1200"/>
      <c r="J731" s="1199"/>
      <c r="K731" s="1200"/>
      <c r="L731" s="1199"/>
      <c r="M731" s="1200"/>
      <c r="N731" s="1199"/>
      <c r="O731" s="1200"/>
      <c r="P731" s="503"/>
      <c r="Q731" s="503"/>
      <c r="R731" s="503"/>
      <c r="S731" s="503"/>
      <c r="T731" s="503"/>
      <c r="U731" s="503"/>
      <c r="V731" s="503"/>
      <c r="W731" s="503"/>
    </row>
    <row r="732" spans="1:23" hidden="1" x14ac:dyDescent="0.35">
      <c r="A732" s="543" t="s">
        <v>599</v>
      </c>
      <c r="B732" s="539"/>
      <c r="C732" s="524" t="s">
        <v>139</v>
      </c>
      <c r="D732" s="526"/>
      <c r="E732" s="526"/>
      <c r="F732" s="1199"/>
      <c r="G732" s="1200"/>
      <c r="H732" s="1199"/>
      <c r="I732" s="1200"/>
      <c r="J732" s="1199"/>
      <c r="K732" s="1200"/>
      <c r="L732" s="1199"/>
      <c r="M732" s="1200"/>
      <c r="N732" s="1199"/>
      <c r="O732" s="1200"/>
      <c r="P732" s="503"/>
      <c r="Q732" s="503"/>
      <c r="R732" s="503"/>
      <c r="S732" s="503"/>
      <c r="T732" s="503"/>
      <c r="U732" s="503"/>
      <c r="V732" s="503"/>
      <c r="W732" s="503"/>
    </row>
    <row r="733" spans="1:23" hidden="1" x14ac:dyDescent="0.35">
      <c r="A733" s="543"/>
      <c r="B733" s="540" t="str">
        <f>B732&amp;"KW"</f>
        <v>KW</v>
      </c>
      <c r="C733" s="524" t="s">
        <v>170</v>
      </c>
      <c r="D733" s="526"/>
      <c r="E733" s="526"/>
      <c r="F733" s="1199"/>
      <c r="G733" s="1200"/>
      <c r="H733" s="1199"/>
      <c r="I733" s="1200"/>
      <c r="J733" s="1199"/>
      <c r="K733" s="1200"/>
      <c r="L733" s="1199"/>
      <c r="M733" s="1200"/>
      <c r="N733" s="1199"/>
      <c r="O733" s="1200"/>
      <c r="P733" s="503"/>
      <c r="Q733" s="503"/>
      <c r="R733" s="503"/>
      <c r="S733" s="503"/>
      <c r="T733" s="503"/>
      <c r="U733" s="503"/>
      <c r="V733" s="503"/>
      <c r="W733" s="503"/>
    </row>
    <row r="734" spans="1:23" hidden="1" x14ac:dyDescent="0.35">
      <c r="A734" s="543" t="s">
        <v>600</v>
      </c>
      <c r="B734" s="539"/>
      <c r="C734" s="524" t="s">
        <v>139</v>
      </c>
      <c r="D734" s="526"/>
      <c r="E734" s="526"/>
      <c r="F734" s="1199"/>
      <c r="G734" s="1200"/>
      <c r="H734" s="1199"/>
      <c r="I734" s="1200"/>
      <c r="J734" s="1199"/>
      <c r="K734" s="1200"/>
      <c r="L734" s="1199"/>
      <c r="M734" s="1200"/>
      <c r="N734" s="1199"/>
      <c r="O734" s="1200"/>
      <c r="P734" s="503"/>
      <c r="Q734" s="503"/>
      <c r="R734" s="503"/>
      <c r="S734" s="503"/>
      <c r="T734" s="503"/>
      <c r="U734" s="503"/>
      <c r="V734" s="503"/>
      <c r="W734" s="503"/>
    </row>
    <row r="735" spans="1:23" hidden="1" x14ac:dyDescent="0.35">
      <c r="A735" s="543"/>
      <c r="B735" s="540" t="str">
        <f>B734&amp;"KW"</f>
        <v>KW</v>
      </c>
      <c r="C735" s="524" t="s">
        <v>170</v>
      </c>
      <c r="D735" s="526"/>
      <c r="E735" s="526"/>
      <c r="F735" s="1199"/>
      <c r="G735" s="1200"/>
      <c r="H735" s="1199"/>
      <c r="I735" s="1200"/>
      <c r="J735" s="1199"/>
      <c r="K735" s="1200"/>
      <c r="L735" s="1199"/>
      <c r="M735" s="1200"/>
      <c r="N735" s="1199"/>
      <c r="O735" s="1200"/>
      <c r="P735" s="503"/>
      <c r="Q735" s="503"/>
      <c r="R735" s="503"/>
      <c r="S735" s="503"/>
      <c r="T735" s="503"/>
      <c r="U735" s="503"/>
      <c r="V735" s="503"/>
      <c r="W735" s="503"/>
    </row>
    <row r="736" spans="1:23" hidden="1" x14ac:dyDescent="0.35">
      <c r="A736" s="543" t="s">
        <v>601</v>
      </c>
      <c r="B736" s="539"/>
      <c r="C736" s="524" t="s">
        <v>139</v>
      </c>
      <c r="D736" s="526"/>
      <c r="E736" s="526"/>
      <c r="F736" s="1199"/>
      <c r="G736" s="1200"/>
      <c r="H736" s="1199"/>
      <c r="I736" s="1200"/>
      <c r="J736" s="1199"/>
      <c r="K736" s="1200"/>
      <c r="L736" s="1199"/>
      <c r="M736" s="1200"/>
      <c r="N736" s="1199"/>
      <c r="O736" s="1200"/>
      <c r="P736" s="503"/>
      <c r="Q736" s="503"/>
      <c r="R736" s="503"/>
      <c r="S736" s="503"/>
      <c r="T736" s="503"/>
      <c r="U736" s="503"/>
      <c r="V736" s="503"/>
      <c r="W736" s="503"/>
    </row>
    <row r="737" spans="1:23" hidden="1" x14ac:dyDescent="0.35">
      <c r="A737" s="543"/>
      <c r="B737" s="540" t="str">
        <f>B736&amp;"KW"</f>
        <v>KW</v>
      </c>
      <c r="C737" s="524" t="s">
        <v>170</v>
      </c>
      <c r="D737" s="526"/>
      <c r="E737" s="526"/>
      <c r="F737" s="1199"/>
      <c r="G737" s="1200"/>
      <c r="H737" s="1199"/>
      <c r="I737" s="1200"/>
      <c r="J737" s="1199"/>
      <c r="K737" s="1200"/>
      <c r="L737" s="1199"/>
      <c r="M737" s="1200"/>
      <c r="N737" s="1199"/>
      <c r="O737" s="1200"/>
      <c r="P737" s="503"/>
      <c r="Q737" s="503"/>
      <c r="R737" s="503"/>
      <c r="S737" s="503"/>
      <c r="T737" s="503"/>
      <c r="U737" s="503"/>
      <c r="V737" s="503"/>
      <c r="W737" s="503"/>
    </row>
    <row r="738" spans="1:23" hidden="1" x14ac:dyDescent="0.35">
      <c r="A738" s="543" t="s">
        <v>602</v>
      </c>
      <c r="B738" s="539"/>
      <c r="C738" s="524" t="s">
        <v>139</v>
      </c>
      <c r="D738" s="526"/>
      <c r="E738" s="526"/>
      <c r="F738" s="1199"/>
      <c r="G738" s="1200"/>
      <c r="H738" s="1199"/>
      <c r="I738" s="1200"/>
      <c r="J738" s="1199"/>
      <c r="K738" s="1200"/>
      <c r="L738" s="1199"/>
      <c r="M738" s="1200"/>
      <c r="N738" s="1199"/>
      <c r="O738" s="1200"/>
      <c r="P738" s="503"/>
      <c r="Q738" s="503"/>
      <c r="R738" s="503"/>
      <c r="S738" s="503"/>
      <c r="T738" s="503"/>
      <c r="U738" s="503"/>
      <c r="V738" s="503"/>
      <c r="W738" s="503"/>
    </row>
    <row r="739" spans="1:23" hidden="1" x14ac:dyDescent="0.35">
      <c r="A739" s="543"/>
      <c r="B739" s="540" t="str">
        <f>B738&amp;"KW"</f>
        <v>KW</v>
      </c>
      <c r="C739" s="524" t="s">
        <v>170</v>
      </c>
      <c r="D739" s="526"/>
      <c r="E739" s="526"/>
      <c r="F739" s="1199"/>
      <c r="G739" s="1200"/>
      <c r="H739" s="1199"/>
      <c r="I739" s="1200"/>
      <c r="J739" s="1199"/>
      <c r="K739" s="1200"/>
      <c r="L739" s="1199"/>
      <c r="M739" s="1200"/>
      <c r="N739" s="1199"/>
      <c r="O739" s="1200"/>
      <c r="P739" s="503"/>
      <c r="Q739" s="503"/>
      <c r="R739" s="503"/>
      <c r="S739" s="503"/>
      <c r="T739" s="503"/>
      <c r="U739" s="503"/>
      <c r="V739" s="503"/>
      <c r="W739" s="503"/>
    </row>
    <row r="740" spans="1:23" hidden="1" x14ac:dyDescent="0.35">
      <c r="A740" s="543" t="s">
        <v>603</v>
      </c>
      <c r="B740" s="539"/>
      <c r="C740" s="524" t="s">
        <v>139</v>
      </c>
      <c r="D740" s="526"/>
      <c r="E740" s="526"/>
      <c r="F740" s="1199"/>
      <c r="G740" s="1200"/>
      <c r="H740" s="1199"/>
      <c r="I740" s="1200"/>
      <c r="J740" s="1199"/>
      <c r="K740" s="1200"/>
      <c r="L740" s="1199"/>
      <c r="M740" s="1200"/>
      <c r="N740" s="1199"/>
      <c r="O740" s="1200"/>
      <c r="P740" s="503"/>
      <c r="Q740" s="503"/>
      <c r="R740" s="503"/>
      <c r="S740" s="503"/>
      <c r="T740" s="503"/>
      <c r="U740" s="503"/>
      <c r="V740" s="503"/>
      <c r="W740" s="503"/>
    </row>
    <row r="741" spans="1:23" hidden="1" x14ac:dyDescent="0.35">
      <c r="A741" s="543"/>
      <c r="B741" s="540" t="str">
        <f>B740&amp;"KW"</f>
        <v>KW</v>
      </c>
      <c r="C741" s="524" t="s">
        <v>170</v>
      </c>
      <c r="D741" s="526"/>
      <c r="E741" s="526"/>
      <c r="F741" s="1199"/>
      <c r="G741" s="1200"/>
      <c r="H741" s="1199"/>
      <c r="I741" s="1200"/>
      <c r="J741" s="1199"/>
      <c r="K741" s="1200"/>
      <c r="L741" s="1199"/>
      <c r="M741" s="1200"/>
      <c r="N741" s="1199"/>
      <c r="O741" s="1200"/>
      <c r="P741" s="503"/>
      <c r="Q741" s="503"/>
      <c r="R741" s="503"/>
      <c r="S741" s="503"/>
      <c r="T741" s="503"/>
      <c r="U741" s="503"/>
      <c r="V741" s="503"/>
      <c r="W741" s="503"/>
    </row>
    <row r="742" spans="1:23" hidden="1" x14ac:dyDescent="0.35">
      <c r="A742" s="543" t="s">
        <v>604</v>
      </c>
      <c r="B742" s="539"/>
      <c r="C742" s="524" t="s">
        <v>139</v>
      </c>
      <c r="D742" s="526"/>
      <c r="E742" s="526"/>
      <c r="F742" s="1199"/>
      <c r="G742" s="1200"/>
      <c r="H742" s="1199"/>
      <c r="I742" s="1200"/>
      <c r="J742" s="1199"/>
      <c r="K742" s="1200"/>
      <c r="L742" s="1199"/>
      <c r="M742" s="1200"/>
      <c r="N742" s="1199"/>
      <c r="O742" s="1200"/>
      <c r="P742" s="503"/>
      <c r="Q742" s="503"/>
      <c r="R742" s="503"/>
      <c r="S742" s="503"/>
      <c r="T742" s="503"/>
      <c r="U742" s="503"/>
      <c r="V742" s="503"/>
      <c r="W742" s="503"/>
    </row>
    <row r="743" spans="1:23" hidden="1" x14ac:dyDescent="0.35">
      <c r="A743" s="543"/>
      <c r="B743" s="540" t="str">
        <f>B742&amp;"KW"</f>
        <v>KW</v>
      </c>
      <c r="C743" s="524" t="s">
        <v>170</v>
      </c>
      <c r="D743" s="526"/>
      <c r="E743" s="526"/>
      <c r="F743" s="1199"/>
      <c r="G743" s="1200"/>
      <c r="H743" s="1199"/>
      <c r="I743" s="1200"/>
      <c r="J743" s="1199"/>
      <c r="K743" s="1200"/>
      <c r="L743" s="1199"/>
      <c r="M743" s="1200"/>
      <c r="N743" s="1199"/>
      <c r="O743" s="1200"/>
      <c r="P743" s="503"/>
      <c r="Q743" s="503"/>
      <c r="R743" s="503"/>
      <c r="S743" s="503"/>
      <c r="T743" s="503"/>
      <c r="U743" s="503"/>
      <c r="V743" s="503"/>
      <c r="W743" s="503"/>
    </row>
    <row r="744" spans="1:23" hidden="1" x14ac:dyDescent="0.35">
      <c r="A744" s="543" t="s">
        <v>605</v>
      </c>
      <c r="B744" s="539"/>
      <c r="C744" s="524" t="s">
        <v>139</v>
      </c>
      <c r="D744" s="526"/>
      <c r="E744" s="526"/>
      <c r="F744" s="1199"/>
      <c r="G744" s="1200"/>
      <c r="H744" s="1199"/>
      <c r="I744" s="1200"/>
      <c r="J744" s="1199"/>
      <c r="K744" s="1200"/>
      <c r="L744" s="1199"/>
      <c r="M744" s="1200"/>
      <c r="N744" s="1199"/>
      <c r="O744" s="1200"/>
      <c r="P744" s="503"/>
      <c r="Q744" s="503"/>
      <c r="R744" s="503"/>
      <c r="S744" s="503"/>
      <c r="T744" s="503"/>
      <c r="U744" s="503"/>
      <c r="V744" s="503"/>
      <c r="W744" s="503"/>
    </row>
    <row r="745" spans="1:23" hidden="1" x14ac:dyDescent="0.35">
      <c r="A745" s="543"/>
      <c r="B745" s="540" t="str">
        <f>B744&amp;"KW"</f>
        <v>KW</v>
      </c>
      <c r="C745" s="524" t="s">
        <v>170</v>
      </c>
      <c r="D745" s="526"/>
      <c r="E745" s="526"/>
      <c r="F745" s="1199"/>
      <c r="G745" s="1200"/>
      <c r="H745" s="1199"/>
      <c r="I745" s="1200"/>
      <c r="J745" s="1199"/>
      <c r="K745" s="1200"/>
      <c r="L745" s="1199"/>
      <c r="M745" s="1200"/>
      <c r="N745" s="1199"/>
      <c r="O745" s="1200"/>
      <c r="P745" s="503"/>
      <c r="Q745" s="503"/>
      <c r="R745" s="503"/>
      <c r="S745" s="503"/>
      <c r="T745" s="503"/>
      <c r="U745" s="503"/>
      <c r="V745" s="503"/>
      <c r="W745" s="503"/>
    </row>
    <row r="746" spans="1:23" hidden="1" x14ac:dyDescent="0.35">
      <c r="A746" s="543" t="s">
        <v>606</v>
      </c>
      <c r="B746" s="539"/>
      <c r="C746" s="524" t="s">
        <v>139</v>
      </c>
      <c r="D746" s="526"/>
      <c r="E746" s="526"/>
      <c r="F746" s="1199"/>
      <c r="G746" s="1200"/>
      <c r="H746" s="1199"/>
      <c r="I746" s="1200"/>
      <c r="J746" s="1199"/>
      <c r="K746" s="1200"/>
      <c r="L746" s="1199"/>
      <c r="M746" s="1200"/>
      <c r="N746" s="1199"/>
      <c r="O746" s="1200"/>
      <c r="P746" s="503"/>
      <c r="Q746" s="503"/>
      <c r="R746" s="503"/>
      <c r="S746" s="503"/>
      <c r="T746" s="503"/>
      <c r="U746" s="503"/>
      <c r="V746" s="503"/>
      <c r="W746" s="503"/>
    </row>
    <row r="747" spans="1:23" hidden="1" x14ac:dyDescent="0.35">
      <c r="A747" s="543"/>
      <c r="B747" s="540" t="str">
        <f>B746&amp;"KW"</f>
        <v>KW</v>
      </c>
      <c r="C747" s="524" t="s">
        <v>170</v>
      </c>
      <c r="D747" s="526"/>
      <c r="E747" s="526"/>
      <c r="F747" s="1199"/>
      <c r="G747" s="1200"/>
      <c r="H747" s="1199"/>
      <c r="I747" s="1200"/>
      <c r="J747" s="1199"/>
      <c r="K747" s="1200"/>
      <c r="L747" s="1199"/>
      <c r="M747" s="1200"/>
      <c r="N747" s="1199"/>
      <c r="O747" s="1200"/>
      <c r="P747" s="503"/>
      <c r="Q747" s="503"/>
      <c r="R747" s="503"/>
      <c r="S747" s="503"/>
      <c r="T747" s="503"/>
      <c r="U747" s="503"/>
      <c r="V747" s="503"/>
      <c r="W747" s="503"/>
    </row>
    <row r="748" spans="1:23" hidden="1" x14ac:dyDescent="0.35">
      <c r="A748" s="543" t="s">
        <v>607</v>
      </c>
      <c r="B748" s="539"/>
      <c r="C748" s="524" t="s">
        <v>139</v>
      </c>
      <c r="D748" s="526"/>
      <c r="E748" s="526"/>
      <c r="F748" s="1199"/>
      <c r="G748" s="1200"/>
      <c r="H748" s="1199"/>
      <c r="I748" s="1200"/>
      <c r="J748" s="1199"/>
      <c r="K748" s="1200"/>
      <c r="L748" s="1199"/>
      <c r="M748" s="1200"/>
      <c r="N748" s="1199"/>
      <c r="O748" s="1200"/>
      <c r="P748" s="503"/>
      <c r="Q748" s="503"/>
      <c r="R748" s="503"/>
      <c r="S748" s="503"/>
      <c r="T748" s="503"/>
      <c r="U748" s="503"/>
      <c r="V748" s="503"/>
      <c r="W748" s="503"/>
    </row>
    <row r="749" spans="1:23" hidden="1" x14ac:dyDescent="0.35">
      <c r="A749" s="543"/>
      <c r="B749" s="540" t="str">
        <f>B748&amp;"KW"</f>
        <v>KW</v>
      </c>
      <c r="C749" s="524" t="s">
        <v>170</v>
      </c>
      <c r="D749" s="526"/>
      <c r="E749" s="526"/>
      <c r="F749" s="1199"/>
      <c r="G749" s="1200"/>
      <c r="H749" s="1199"/>
      <c r="I749" s="1200"/>
      <c r="J749" s="1199"/>
      <c r="K749" s="1200"/>
      <c r="L749" s="1199"/>
      <c r="M749" s="1200"/>
      <c r="N749" s="1199"/>
      <c r="O749" s="1200"/>
      <c r="P749" s="503"/>
      <c r="Q749" s="503"/>
      <c r="R749" s="503"/>
      <c r="S749" s="503"/>
      <c r="T749" s="503"/>
      <c r="U749" s="503"/>
      <c r="V749" s="503"/>
      <c r="W749" s="503"/>
    </row>
    <row r="750" spans="1:23" hidden="1" x14ac:dyDescent="0.35">
      <c r="A750" s="543" t="s">
        <v>608</v>
      </c>
      <c r="B750" s="539"/>
      <c r="C750" s="524" t="s">
        <v>139</v>
      </c>
      <c r="D750" s="526"/>
      <c r="E750" s="526"/>
      <c r="F750" s="1199"/>
      <c r="G750" s="1200"/>
      <c r="H750" s="1199"/>
      <c r="I750" s="1200"/>
      <c r="J750" s="1199"/>
      <c r="K750" s="1200"/>
      <c r="L750" s="1199"/>
      <c r="M750" s="1200"/>
      <c r="N750" s="1199"/>
      <c r="O750" s="1200"/>
      <c r="P750" s="503"/>
      <c r="Q750" s="503"/>
      <c r="R750" s="503"/>
      <c r="S750" s="503"/>
      <c r="T750" s="503"/>
      <c r="U750" s="503"/>
      <c r="V750" s="503"/>
      <c r="W750" s="503"/>
    </row>
    <row r="751" spans="1:23" hidden="1" x14ac:dyDescent="0.35">
      <c r="A751" s="543"/>
      <c r="B751" s="540" t="str">
        <f>B750&amp;"KW"</f>
        <v>KW</v>
      </c>
      <c r="C751" s="524" t="s">
        <v>170</v>
      </c>
      <c r="D751" s="526"/>
      <c r="E751" s="526"/>
      <c r="F751" s="1199"/>
      <c r="G751" s="1200"/>
      <c r="H751" s="1199"/>
      <c r="I751" s="1200"/>
      <c r="J751" s="1199"/>
      <c r="K751" s="1200"/>
      <c r="L751" s="1199"/>
      <c r="M751" s="1200"/>
      <c r="N751" s="1199"/>
      <c r="O751" s="1200"/>
      <c r="P751" s="503"/>
      <c r="Q751" s="503"/>
      <c r="R751" s="503"/>
      <c r="S751" s="503"/>
      <c r="T751" s="503"/>
      <c r="U751" s="503"/>
      <c r="V751" s="503"/>
      <c r="W751" s="503"/>
    </row>
    <row r="752" spans="1:23" hidden="1" x14ac:dyDescent="0.35">
      <c r="A752" s="543" t="s">
        <v>609</v>
      </c>
      <c r="B752" s="539"/>
      <c r="C752" s="524" t="s">
        <v>139</v>
      </c>
      <c r="D752" s="526"/>
      <c r="E752" s="526"/>
      <c r="F752" s="1199"/>
      <c r="G752" s="1200"/>
      <c r="H752" s="1199"/>
      <c r="I752" s="1200"/>
      <c r="J752" s="1199"/>
      <c r="K752" s="1200"/>
      <c r="L752" s="1199"/>
      <c r="M752" s="1200"/>
      <c r="N752" s="1199"/>
      <c r="O752" s="1200"/>
      <c r="P752" s="503"/>
      <c r="Q752" s="503"/>
      <c r="R752" s="503"/>
      <c r="S752" s="503"/>
      <c r="T752" s="503"/>
      <c r="U752" s="503"/>
      <c r="V752" s="503"/>
      <c r="W752" s="503"/>
    </row>
    <row r="753" spans="1:23" hidden="1" x14ac:dyDescent="0.35">
      <c r="A753" s="543"/>
      <c r="B753" s="540" t="str">
        <f>B752&amp;"KW"</f>
        <v>KW</v>
      </c>
      <c r="C753" s="524" t="s">
        <v>170</v>
      </c>
      <c r="D753" s="526"/>
      <c r="E753" s="526"/>
      <c r="F753" s="1199"/>
      <c r="G753" s="1200"/>
      <c r="H753" s="1199"/>
      <c r="I753" s="1200"/>
      <c r="J753" s="1199"/>
      <c r="K753" s="1200"/>
      <c r="L753" s="1199"/>
      <c r="M753" s="1200"/>
      <c r="N753" s="1199"/>
      <c r="O753" s="1200"/>
      <c r="P753" s="503"/>
      <c r="Q753" s="503"/>
      <c r="R753" s="503"/>
      <c r="S753" s="503"/>
      <c r="T753" s="503"/>
      <c r="U753" s="503"/>
      <c r="V753" s="503"/>
      <c r="W753" s="503"/>
    </row>
    <row r="754" spans="1:23" hidden="1" x14ac:dyDescent="0.35">
      <c r="A754" s="543" t="s">
        <v>610</v>
      </c>
      <c r="B754" s="539"/>
      <c r="C754" s="524" t="s">
        <v>139</v>
      </c>
      <c r="D754" s="526"/>
      <c r="E754" s="526"/>
      <c r="F754" s="1199"/>
      <c r="G754" s="1200"/>
      <c r="H754" s="1199"/>
      <c r="I754" s="1200"/>
      <c r="J754" s="1199"/>
      <c r="K754" s="1200"/>
      <c r="L754" s="1199"/>
      <c r="M754" s="1200"/>
      <c r="N754" s="1199"/>
      <c r="O754" s="1200"/>
      <c r="P754" s="503"/>
      <c r="Q754" s="503"/>
      <c r="R754" s="503"/>
      <c r="S754" s="503"/>
      <c r="T754" s="503"/>
      <c r="U754" s="503"/>
      <c r="V754" s="503"/>
      <c r="W754" s="503"/>
    </row>
    <row r="755" spans="1:23" hidden="1" x14ac:dyDescent="0.35">
      <c r="A755" s="543"/>
      <c r="B755" s="540" t="str">
        <f>B754&amp;"KW"</f>
        <v>KW</v>
      </c>
      <c r="C755" s="524" t="s">
        <v>170</v>
      </c>
      <c r="D755" s="526"/>
      <c r="E755" s="526"/>
      <c r="F755" s="1199"/>
      <c r="G755" s="1200"/>
      <c r="H755" s="1199"/>
      <c r="I755" s="1200"/>
      <c r="J755" s="1199"/>
      <c r="K755" s="1200"/>
      <c r="L755" s="1199"/>
      <c r="M755" s="1200"/>
      <c r="N755" s="1199"/>
      <c r="O755" s="1200"/>
      <c r="P755" s="503"/>
      <c r="Q755" s="503"/>
      <c r="R755" s="503"/>
      <c r="S755" s="503"/>
      <c r="T755" s="503"/>
      <c r="U755" s="503"/>
      <c r="V755" s="503"/>
      <c r="W755" s="503"/>
    </row>
    <row r="756" spans="1:23" hidden="1" x14ac:dyDescent="0.35">
      <c r="A756" s="543" t="s">
        <v>611</v>
      </c>
      <c r="B756" s="539"/>
      <c r="C756" s="524" t="s">
        <v>139</v>
      </c>
      <c r="D756" s="526"/>
      <c r="E756" s="526"/>
      <c r="F756" s="1199"/>
      <c r="G756" s="1200"/>
      <c r="H756" s="1199"/>
      <c r="I756" s="1200"/>
      <c r="J756" s="1199"/>
      <c r="K756" s="1200"/>
      <c r="L756" s="1199"/>
      <c r="M756" s="1200"/>
      <c r="N756" s="1199"/>
      <c r="O756" s="1200"/>
      <c r="P756" s="503"/>
      <c r="Q756" s="503"/>
      <c r="R756" s="503"/>
      <c r="S756" s="503"/>
      <c r="T756" s="503"/>
      <c r="U756" s="503"/>
      <c r="V756" s="503"/>
      <c r="W756" s="503"/>
    </row>
    <row r="757" spans="1:23" hidden="1" x14ac:dyDescent="0.35">
      <c r="A757" s="543"/>
      <c r="B757" s="540" t="str">
        <f>B756&amp;"KW"</f>
        <v>KW</v>
      </c>
      <c r="C757" s="524" t="s">
        <v>170</v>
      </c>
      <c r="D757" s="526"/>
      <c r="E757" s="526"/>
      <c r="F757" s="1199"/>
      <c r="G757" s="1200"/>
      <c r="H757" s="1199"/>
      <c r="I757" s="1200"/>
      <c r="J757" s="1199"/>
      <c r="K757" s="1200"/>
      <c r="L757" s="1199"/>
      <c r="M757" s="1200"/>
      <c r="N757" s="1199"/>
      <c r="O757" s="1200"/>
      <c r="P757" s="503"/>
      <c r="Q757" s="503"/>
      <c r="R757" s="503"/>
      <c r="S757" s="503"/>
      <c r="T757" s="503"/>
      <c r="U757" s="503"/>
      <c r="V757" s="503"/>
      <c r="W757" s="503"/>
    </row>
    <row r="758" spans="1:23" hidden="1" x14ac:dyDescent="0.35">
      <c r="A758" s="543" t="s">
        <v>612</v>
      </c>
      <c r="B758" s="539"/>
      <c r="C758" s="524" t="s">
        <v>139</v>
      </c>
      <c r="D758" s="526"/>
      <c r="E758" s="526"/>
      <c r="F758" s="1199"/>
      <c r="G758" s="1200"/>
      <c r="H758" s="1199"/>
      <c r="I758" s="1200"/>
      <c r="J758" s="1199"/>
      <c r="K758" s="1200"/>
      <c r="L758" s="1199"/>
      <c r="M758" s="1200"/>
      <c r="N758" s="1199"/>
      <c r="O758" s="1200"/>
      <c r="P758" s="503"/>
      <c r="Q758" s="503"/>
      <c r="R758" s="503"/>
      <c r="S758" s="503"/>
      <c r="T758" s="503"/>
      <c r="U758" s="503"/>
      <c r="V758" s="503"/>
      <c r="W758" s="503"/>
    </row>
    <row r="759" spans="1:23" hidden="1" x14ac:dyDescent="0.35">
      <c r="A759" s="543"/>
      <c r="B759" s="540" t="str">
        <f>B758&amp;"KW"</f>
        <v>KW</v>
      </c>
      <c r="C759" s="524" t="s">
        <v>170</v>
      </c>
      <c r="D759" s="526"/>
      <c r="E759" s="526"/>
      <c r="F759" s="1199"/>
      <c r="G759" s="1200"/>
      <c r="H759" s="1199"/>
      <c r="I759" s="1200"/>
      <c r="J759" s="1199"/>
      <c r="K759" s="1200"/>
      <c r="L759" s="1199"/>
      <c r="M759" s="1200"/>
      <c r="N759" s="1199"/>
      <c r="O759" s="1200"/>
      <c r="P759" s="503"/>
      <c r="Q759" s="503"/>
      <c r="R759" s="503"/>
      <c r="S759" s="503"/>
      <c r="T759" s="503"/>
      <c r="U759" s="503"/>
      <c r="V759" s="503"/>
      <c r="W759" s="503"/>
    </row>
    <row r="760" spans="1:23" hidden="1" x14ac:dyDescent="0.35">
      <c r="A760" s="543" t="s">
        <v>613</v>
      </c>
      <c r="B760" s="539"/>
      <c r="C760" s="524" t="s">
        <v>139</v>
      </c>
      <c r="D760" s="526"/>
      <c r="E760" s="526"/>
      <c r="F760" s="1199"/>
      <c r="G760" s="1200"/>
      <c r="H760" s="1199"/>
      <c r="I760" s="1200"/>
      <c r="J760" s="1199"/>
      <c r="K760" s="1200"/>
      <c r="L760" s="1199"/>
      <c r="M760" s="1200"/>
      <c r="N760" s="1199"/>
      <c r="O760" s="1200"/>
      <c r="P760" s="503"/>
      <c r="Q760" s="503"/>
      <c r="R760" s="503"/>
      <c r="S760" s="503"/>
      <c r="T760" s="503"/>
      <c r="U760" s="503"/>
      <c r="V760" s="503"/>
      <c r="W760" s="503"/>
    </row>
    <row r="761" spans="1:23" hidden="1" x14ac:dyDescent="0.35">
      <c r="A761" s="543"/>
      <c r="B761" s="540" t="str">
        <f>B760&amp;"KW"</f>
        <v>KW</v>
      </c>
      <c r="C761" s="524" t="s">
        <v>170</v>
      </c>
      <c r="D761" s="526"/>
      <c r="E761" s="526"/>
      <c r="F761" s="1199"/>
      <c r="G761" s="1200"/>
      <c r="H761" s="1199"/>
      <c r="I761" s="1200"/>
      <c r="J761" s="1199"/>
      <c r="K761" s="1200"/>
      <c r="L761" s="1199"/>
      <c r="M761" s="1200"/>
      <c r="N761" s="1199"/>
      <c r="O761" s="1200"/>
      <c r="P761" s="503"/>
      <c r="Q761" s="503"/>
      <c r="R761" s="503"/>
      <c r="S761" s="503"/>
      <c r="T761" s="503"/>
      <c r="U761" s="503"/>
      <c r="V761" s="503"/>
      <c r="W761" s="503"/>
    </row>
    <row r="762" spans="1:23" hidden="1" x14ac:dyDescent="0.35">
      <c r="A762" s="543" t="s">
        <v>614</v>
      </c>
      <c r="B762" s="539"/>
      <c r="C762" s="524" t="s">
        <v>139</v>
      </c>
      <c r="D762" s="526"/>
      <c r="E762" s="526"/>
      <c r="F762" s="1199"/>
      <c r="G762" s="1200"/>
      <c r="H762" s="1199"/>
      <c r="I762" s="1200"/>
      <c r="J762" s="1199"/>
      <c r="K762" s="1200"/>
      <c r="L762" s="1199"/>
      <c r="M762" s="1200"/>
      <c r="N762" s="1199"/>
      <c r="O762" s="1200"/>
      <c r="P762" s="503"/>
      <c r="Q762" s="503"/>
      <c r="R762" s="503"/>
      <c r="S762" s="503"/>
      <c r="T762" s="503"/>
      <c r="U762" s="503"/>
      <c r="V762" s="503"/>
      <c r="W762" s="503"/>
    </row>
    <row r="763" spans="1:23" hidden="1" x14ac:dyDescent="0.35">
      <c r="A763" s="543"/>
      <c r="B763" s="540" t="str">
        <f>B762&amp;"KW"</f>
        <v>KW</v>
      </c>
      <c r="C763" s="524" t="s">
        <v>170</v>
      </c>
      <c r="D763" s="526"/>
      <c r="E763" s="526"/>
      <c r="F763" s="1199"/>
      <c r="G763" s="1200"/>
      <c r="H763" s="1199"/>
      <c r="I763" s="1200"/>
      <c r="J763" s="1199"/>
      <c r="K763" s="1200"/>
      <c r="L763" s="1199"/>
      <c r="M763" s="1200"/>
      <c r="N763" s="1199"/>
      <c r="O763" s="1200"/>
      <c r="P763" s="503"/>
      <c r="Q763" s="503"/>
      <c r="R763" s="503"/>
      <c r="S763" s="503"/>
      <c r="T763" s="503"/>
      <c r="U763" s="503"/>
      <c r="V763" s="503"/>
      <c r="W763" s="503"/>
    </row>
    <row r="764" spans="1:23" hidden="1" x14ac:dyDescent="0.35">
      <c r="A764" s="543" t="s">
        <v>615</v>
      </c>
      <c r="B764" s="539"/>
      <c r="C764" s="524" t="s">
        <v>139</v>
      </c>
      <c r="D764" s="526"/>
      <c r="E764" s="526"/>
      <c r="F764" s="1199"/>
      <c r="G764" s="1200"/>
      <c r="H764" s="1199"/>
      <c r="I764" s="1200"/>
      <c r="J764" s="1199"/>
      <c r="K764" s="1200"/>
      <c r="L764" s="1199"/>
      <c r="M764" s="1200"/>
      <c r="N764" s="1199"/>
      <c r="O764" s="1200"/>
      <c r="P764" s="503"/>
      <c r="Q764" s="503"/>
      <c r="R764" s="503"/>
      <c r="S764" s="503"/>
      <c r="T764" s="503"/>
      <c r="U764" s="503"/>
      <c r="V764" s="503"/>
      <c r="W764" s="503"/>
    </row>
    <row r="765" spans="1:23" hidden="1" x14ac:dyDescent="0.35">
      <c r="A765" s="543"/>
      <c r="B765" s="540" t="str">
        <f>B764&amp;"KW"</f>
        <v>KW</v>
      </c>
      <c r="C765" s="524" t="s">
        <v>170</v>
      </c>
      <c r="D765" s="526"/>
      <c r="E765" s="526"/>
      <c r="F765" s="1199"/>
      <c r="G765" s="1200"/>
      <c r="H765" s="1199"/>
      <c r="I765" s="1200"/>
      <c r="J765" s="1199"/>
      <c r="K765" s="1200"/>
      <c r="L765" s="1199"/>
      <c r="M765" s="1200"/>
      <c r="N765" s="1199"/>
      <c r="O765" s="1200"/>
      <c r="P765" s="503"/>
      <c r="Q765" s="503"/>
      <c r="R765" s="503"/>
      <c r="S765" s="503"/>
      <c r="T765" s="503"/>
      <c r="U765" s="503"/>
      <c r="V765" s="503"/>
      <c r="W765" s="503"/>
    </row>
    <row r="766" spans="1:23" hidden="1" x14ac:dyDescent="0.35">
      <c r="A766" s="543" t="s">
        <v>616</v>
      </c>
      <c r="B766" s="539"/>
      <c r="C766" s="524" t="s">
        <v>139</v>
      </c>
      <c r="D766" s="526"/>
      <c r="E766" s="526"/>
      <c r="F766" s="1199"/>
      <c r="G766" s="1200"/>
      <c r="H766" s="1199"/>
      <c r="I766" s="1200"/>
      <c r="J766" s="1199"/>
      <c r="K766" s="1200"/>
      <c r="L766" s="1199"/>
      <c r="M766" s="1200"/>
      <c r="N766" s="1199"/>
      <c r="O766" s="1200"/>
      <c r="P766" s="503"/>
      <c r="Q766" s="503"/>
      <c r="R766" s="503"/>
      <c r="S766" s="503"/>
      <c r="T766" s="503"/>
      <c r="U766" s="503"/>
      <c r="V766" s="503"/>
      <c r="W766" s="503"/>
    </row>
    <row r="767" spans="1:23" hidden="1" x14ac:dyDescent="0.35">
      <c r="A767" s="543"/>
      <c r="B767" s="540" t="str">
        <f>B766&amp;"KW"</f>
        <v>KW</v>
      </c>
      <c r="C767" s="524" t="s">
        <v>170</v>
      </c>
      <c r="D767" s="526"/>
      <c r="E767" s="526"/>
      <c r="F767" s="1199"/>
      <c r="G767" s="1200"/>
      <c r="H767" s="1199"/>
      <c r="I767" s="1200"/>
      <c r="J767" s="1199"/>
      <c r="K767" s="1200"/>
      <c r="L767" s="1199"/>
      <c r="M767" s="1200"/>
      <c r="N767" s="1199"/>
      <c r="O767" s="1200"/>
      <c r="P767" s="503"/>
      <c r="Q767" s="503"/>
      <c r="R767" s="503"/>
      <c r="S767" s="503"/>
      <c r="T767" s="503"/>
      <c r="U767" s="503"/>
      <c r="V767" s="503"/>
      <c r="W767" s="503"/>
    </row>
    <row r="768" spans="1:23" hidden="1" x14ac:dyDescent="0.35">
      <c r="A768" s="543" t="s">
        <v>617</v>
      </c>
      <c r="B768" s="539"/>
      <c r="C768" s="524" t="s">
        <v>139</v>
      </c>
      <c r="D768" s="526"/>
      <c r="E768" s="526"/>
      <c r="F768" s="1199"/>
      <c r="G768" s="1200"/>
      <c r="H768" s="1199"/>
      <c r="I768" s="1200"/>
      <c r="J768" s="1199"/>
      <c r="K768" s="1200"/>
      <c r="L768" s="1199"/>
      <c r="M768" s="1200"/>
      <c r="N768" s="1199"/>
      <c r="O768" s="1200"/>
      <c r="P768" s="503"/>
      <c r="Q768" s="503"/>
      <c r="R768" s="503"/>
      <c r="S768" s="503"/>
      <c r="T768" s="503"/>
      <c r="U768" s="503"/>
      <c r="V768" s="503"/>
      <c r="W768" s="503"/>
    </row>
    <row r="769" spans="1:23" hidden="1" x14ac:dyDescent="0.35">
      <c r="A769" s="543"/>
      <c r="B769" s="540" t="str">
        <f>B768&amp;"KW"</f>
        <v>KW</v>
      </c>
      <c r="C769" s="524" t="s">
        <v>170</v>
      </c>
      <c r="D769" s="526"/>
      <c r="E769" s="526"/>
      <c r="F769" s="1199"/>
      <c r="G769" s="1200"/>
      <c r="H769" s="1199"/>
      <c r="I769" s="1200"/>
      <c r="J769" s="1199"/>
      <c r="K769" s="1200"/>
      <c r="L769" s="1199"/>
      <c r="M769" s="1200"/>
      <c r="N769" s="1199"/>
      <c r="O769" s="1200"/>
      <c r="P769" s="503"/>
      <c r="Q769" s="503"/>
      <c r="R769" s="503"/>
      <c r="S769" s="503"/>
      <c r="T769" s="503"/>
      <c r="U769" s="503"/>
      <c r="V769" s="503"/>
      <c r="W769" s="503"/>
    </row>
    <row r="770" spans="1:23" hidden="1" x14ac:dyDescent="0.35">
      <c r="A770" s="543" t="s">
        <v>618</v>
      </c>
      <c r="B770" s="539"/>
      <c r="C770" s="524" t="s">
        <v>139</v>
      </c>
      <c r="D770" s="526"/>
      <c r="E770" s="526"/>
      <c r="F770" s="1199"/>
      <c r="G770" s="1200"/>
      <c r="H770" s="1199"/>
      <c r="I770" s="1200"/>
      <c r="J770" s="1199"/>
      <c r="K770" s="1200"/>
      <c r="L770" s="1199"/>
      <c r="M770" s="1200"/>
      <c r="N770" s="1199"/>
      <c r="O770" s="1200"/>
      <c r="P770" s="503"/>
      <c r="Q770" s="503"/>
      <c r="R770" s="503"/>
      <c r="S770" s="503"/>
      <c r="T770" s="503"/>
      <c r="U770" s="503"/>
      <c r="V770" s="503"/>
      <c r="W770" s="503"/>
    </row>
    <row r="771" spans="1:23" hidden="1" x14ac:dyDescent="0.35">
      <c r="A771" s="543"/>
      <c r="B771" s="540" t="str">
        <f>B770&amp;"KW"</f>
        <v>KW</v>
      </c>
      <c r="C771" s="524" t="s">
        <v>170</v>
      </c>
      <c r="D771" s="526"/>
      <c r="E771" s="526"/>
      <c r="F771" s="1199"/>
      <c r="G771" s="1200"/>
      <c r="H771" s="1199"/>
      <c r="I771" s="1200"/>
      <c r="J771" s="1199"/>
      <c r="K771" s="1200"/>
      <c r="L771" s="1199"/>
      <c r="M771" s="1200"/>
      <c r="N771" s="1199"/>
      <c r="O771" s="1200"/>
      <c r="P771" s="503"/>
      <c r="Q771" s="503"/>
      <c r="R771" s="503"/>
      <c r="S771" s="503"/>
      <c r="T771" s="503"/>
      <c r="U771" s="503"/>
      <c r="V771" s="503"/>
      <c r="W771" s="503"/>
    </row>
    <row r="772" spans="1:23" hidden="1" x14ac:dyDescent="0.35">
      <c r="A772" s="543" t="s">
        <v>619</v>
      </c>
      <c r="B772" s="539"/>
      <c r="C772" s="524" t="s">
        <v>139</v>
      </c>
      <c r="D772" s="526"/>
      <c r="E772" s="526"/>
      <c r="F772" s="1199"/>
      <c r="G772" s="1200"/>
      <c r="H772" s="1199"/>
      <c r="I772" s="1200"/>
      <c r="J772" s="1199"/>
      <c r="K772" s="1200"/>
      <c r="L772" s="1199"/>
      <c r="M772" s="1200"/>
      <c r="N772" s="1199"/>
      <c r="O772" s="1200"/>
      <c r="P772" s="503"/>
      <c r="Q772" s="503"/>
      <c r="R772" s="503"/>
      <c r="S772" s="503"/>
      <c r="T772" s="503"/>
      <c r="U772" s="503"/>
      <c r="V772" s="503"/>
      <c r="W772" s="503"/>
    </row>
    <row r="773" spans="1:23" hidden="1" x14ac:dyDescent="0.35">
      <c r="A773" s="543"/>
      <c r="B773" s="631" t="str">
        <f>B772&amp;"KW"</f>
        <v>KW</v>
      </c>
      <c r="C773" s="524" t="s">
        <v>170</v>
      </c>
      <c r="D773" s="526"/>
      <c r="E773" s="526"/>
      <c r="F773" s="1199"/>
      <c r="G773" s="1200"/>
      <c r="H773" s="1199"/>
      <c r="I773" s="1200"/>
      <c r="J773" s="1199"/>
      <c r="K773" s="1200"/>
      <c r="L773" s="1199"/>
      <c r="M773" s="1200"/>
      <c r="N773" s="1199"/>
      <c r="O773" s="1200"/>
      <c r="P773" s="503"/>
      <c r="Q773" s="503"/>
      <c r="R773" s="503"/>
      <c r="S773" s="503"/>
      <c r="T773" s="503"/>
      <c r="U773" s="503"/>
      <c r="V773" s="503"/>
      <c r="W773" s="503"/>
    </row>
    <row r="774" spans="1:23" hidden="1" x14ac:dyDescent="0.35">
      <c r="A774" s="543" t="s">
        <v>620</v>
      </c>
      <c r="B774" s="539"/>
      <c r="C774" s="524" t="s">
        <v>139</v>
      </c>
      <c r="D774" s="526"/>
      <c r="E774" s="526"/>
      <c r="F774" s="1199"/>
      <c r="G774" s="1200"/>
      <c r="H774" s="1199"/>
      <c r="I774" s="1200"/>
      <c r="J774" s="1199"/>
      <c r="K774" s="1200"/>
      <c r="L774" s="1199"/>
      <c r="M774" s="1200"/>
      <c r="N774" s="1199"/>
      <c r="O774" s="1200"/>
      <c r="P774" s="503"/>
      <c r="Q774" s="503"/>
      <c r="R774" s="503"/>
      <c r="S774" s="503"/>
      <c r="T774" s="503"/>
      <c r="U774" s="503"/>
      <c r="V774" s="503"/>
      <c r="W774" s="503"/>
    </row>
    <row r="775" spans="1:23" hidden="1" x14ac:dyDescent="0.35">
      <c r="A775" s="543"/>
      <c r="B775" s="631" t="str">
        <f>B774&amp;"KW"</f>
        <v>KW</v>
      </c>
      <c r="C775" s="524" t="s">
        <v>170</v>
      </c>
      <c r="D775" s="526"/>
      <c r="E775" s="526"/>
      <c r="F775" s="1199"/>
      <c r="G775" s="1200"/>
      <c r="H775" s="1199"/>
      <c r="I775" s="1200"/>
      <c r="J775" s="1199"/>
      <c r="K775" s="1200"/>
      <c r="L775" s="1199"/>
      <c r="M775" s="1200"/>
      <c r="N775" s="1199"/>
      <c r="O775" s="1200"/>
      <c r="P775" s="503"/>
      <c r="Q775" s="503"/>
      <c r="R775" s="503"/>
      <c r="S775" s="503"/>
      <c r="T775" s="503"/>
      <c r="U775" s="503"/>
      <c r="V775" s="503"/>
      <c r="W775" s="503"/>
    </row>
    <row r="776" spans="1:23" hidden="1" x14ac:dyDescent="0.35">
      <c r="A776" s="543" t="s">
        <v>621</v>
      </c>
      <c r="B776" s="539"/>
      <c r="C776" s="524" t="s">
        <v>139</v>
      </c>
      <c r="D776" s="526"/>
      <c r="E776" s="526"/>
      <c r="F776" s="1199"/>
      <c r="G776" s="1200"/>
      <c r="H776" s="1199"/>
      <c r="I776" s="1200"/>
      <c r="J776" s="1199"/>
      <c r="K776" s="1200"/>
      <c r="L776" s="1199"/>
      <c r="M776" s="1200"/>
      <c r="N776" s="1199"/>
      <c r="O776" s="1200"/>
      <c r="P776" s="503"/>
      <c r="Q776" s="503"/>
      <c r="R776" s="503"/>
      <c r="S776" s="503"/>
      <c r="T776" s="503"/>
      <c r="U776" s="503"/>
      <c r="V776" s="503"/>
      <c r="W776" s="503"/>
    </row>
    <row r="777" spans="1:23" hidden="1" x14ac:dyDescent="0.35">
      <c r="A777" s="543"/>
      <c r="B777" s="540" t="str">
        <f>B776&amp;"KW"</f>
        <v>KW</v>
      </c>
      <c r="C777" s="524" t="s">
        <v>170</v>
      </c>
      <c r="D777" s="526"/>
      <c r="E777" s="526"/>
      <c r="F777" s="1199"/>
      <c r="G777" s="1200"/>
      <c r="H777" s="1199"/>
      <c r="I777" s="1200"/>
      <c r="J777" s="1199"/>
      <c r="K777" s="1200"/>
      <c r="L777" s="1199"/>
      <c r="M777" s="1200"/>
      <c r="N777" s="1199"/>
      <c r="O777" s="1200"/>
      <c r="P777" s="503"/>
      <c r="Q777" s="503"/>
      <c r="R777" s="503"/>
      <c r="S777" s="503"/>
      <c r="T777" s="503"/>
      <c r="U777" s="503"/>
      <c r="V777" s="503"/>
      <c r="W777" s="503"/>
    </row>
    <row r="778" spans="1:23" hidden="1" x14ac:dyDescent="0.35">
      <c r="A778" s="543" t="s">
        <v>622</v>
      </c>
      <c r="B778" s="539"/>
      <c r="C778" s="524" t="s">
        <v>139</v>
      </c>
      <c r="D778" s="526"/>
      <c r="E778" s="526"/>
      <c r="F778" s="1199"/>
      <c r="G778" s="1200"/>
      <c r="H778" s="1199"/>
      <c r="I778" s="1200"/>
      <c r="J778" s="1199"/>
      <c r="K778" s="1200"/>
      <c r="L778" s="1199"/>
      <c r="M778" s="1200"/>
      <c r="N778" s="1199"/>
      <c r="O778" s="1200"/>
      <c r="P778" s="503"/>
      <c r="Q778" s="503"/>
      <c r="R778" s="503"/>
      <c r="S778" s="503"/>
      <c r="T778" s="503"/>
      <c r="U778" s="503"/>
      <c r="V778" s="503"/>
      <c r="W778" s="503"/>
    </row>
    <row r="779" spans="1:23" hidden="1" x14ac:dyDescent="0.35">
      <c r="A779" s="543"/>
      <c r="B779" s="540" t="str">
        <f>B778&amp;"KW"</f>
        <v>KW</v>
      </c>
      <c r="C779" s="524" t="s">
        <v>170</v>
      </c>
      <c r="D779" s="526"/>
      <c r="E779" s="526"/>
      <c r="F779" s="1199"/>
      <c r="G779" s="1200"/>
      <c r="H779" s="1199"/>
      <c r="I779" s="1200"/>
      <c r="J779" s="1199"/>
      <c r="K779" s="1200"/>
      <c r="L779" s="1199"/>
      <c r="M779" s="1200"/>
      <c r="N779" s="1199"/>
      <c r="O779" s="1200"/>
      <c r="P779" s="503"/>
      <c r="Q779" s="503"/>
      <c r="R779" s="503"/>
      <c r="S779" s="503"/>
      <c r="T779" s="503"/>
      <c r="U779" s="503"/>
      <c r="V779" s="503"/>
      <c r="W779" s="503"/>
    </row>
    <row r="780" spans="1:23" hidden="1" x14ac:dyDescent="0.35">
      <c r="A780" s="543" t="s">
        <v>623</v>
      </c>
      <c r="B780" s="539"/>
      <c r="C780" s="524" t="s">
        <v>139</v>
      </c>
      <c r="D780" s="526"/>
      <c r="E780" s="526"/>
      <c r="F780" s="1199"/>
      <c r="G780" s="1200"/>
      <c r="H780" s="1199"/>
      <c r="I780" s="1200"/>
      <c r="J780" s="1199"/>
      <c r="K780" s="1200"/>
      <c r="L780" s="1199"/>
      <c r="M780" s="1200"/>
      <c r="N780" s="1199"/>
      <c r="O780" s="1200"/>
      <c r="P780" s="503"/>
      <c r="Q780" s="503"/>
      <c r="R780" s="503"/>
      <c r="S780" s="503"/>
      <c r="T780" s="503"/>
      <c r="U780" s="503"/>
      <c r="V780" s="503"/>
      <c r="W780" s="503"/>
    </row>
    <row r="781" spans="1:23" hidden="1" x14ac:dyDescent="0.35">
      <c r="A781" s="543"/>
      <c r="B781" s="540" t="str">
        <f>B780&amp;"KW"</f>
        <v>KW</v>
      </c>
      <c r="C781" s="524" t="s">
        <v>170</v>
      </c>
      <c r="D781" s="526"/>
      <c r="E781" s="526"/>
      <c r="F781" s="1199"/>
      <c r="G781" s="1200"/>
      <c r="H781" s="1199"/>
      <c r="I781" s="1200"/>
      <c r="J781" s="1199"/>
      <c r="K781" s="1200"/>
      <c r="L781" s="1199"/>
      <c r="M781" s="1200"/>
      <c r="N781" s="1199"/>
      <c r="O781" s="1200"/>
      <c r="P781" s="503"/>
      <c r="Q781" s="503"/>
      <c r="R781" s="503"/>
      <c r="S781" s="503"/>
      <c r="T781" s="503"/>
      <c r="U781" s="503"/>
      <c r="V781" s="503"/>
      <c r="W781" s="503"/>
    </row>
    <row r="782" spans="1:23" hidden="1" x14ac:dyDescent="0.35">
      <c r="A782" s="543" t="s">
        <v>624</v>
      </c>
      <c r="B782" s="539"/>
      <c r="C782" s="524" t="s">
        <v>139</v>
      </c>
      <c r="D782" s="526"/>
      <c r="E782" s="526"/>
      <c r="F782" s="1199"/>
      <c r="G782" s="1200"/>
      <c r="H782" s="1199"/>
      <c r="I782" s="1200"/>
      <c r="J782" s="1199"/>
      <c r="K782" s="1200"/>
      <c r="L782" s="1199"/>
      <c r="M782" s="1200"/>
      <c r="N782" s="1199"/>
      <c r="O782" s="1200"/>
      <c r="P782" s="503"/>
      <c r="Q782" s="503"/>
      <c r="R782" s="503"/>
      <c r="S782" s="503"/>
      <c r="T782" s="503"/>
      <c r="U782" s="503"/>
      <c r="V782" s="503"/>
      <c r="W782" s="503"/>
    </row>
    <row r="783" spans="1:23" hidden="1" x14ac:dyDescent="0.35">
      <c r="A783" s="543"/>
      <c r="B783" s="540" t="str">
        <f>B782&amp;"KW"</f>
        <v>KW</v>
      </c>
      <c r="C783" s="524" t="s">
        <v>170</v>
      </c>
      <c r="D783" s="526"/>
      <c r="E783" s="526"/>
      <c r="F783" s="1199"/>
      <c r="G783" s="1200"/>
      <c r="H783" s="1199"/>
      <c r="I783" s="1200"/>
      <c r="J783" s="1199"/>
      <c r="K783" s="1200"/>
      <c r="L783" s="1199"/>
      <c r="M783" s="1200"/>
      <c r="N783" s="1199"/>
      <c r="O783" s="1200"/>
      <c r="P783" s="503"/>
      <c r="Q783" s="503"/>
      <c r="R783" s="503"/>
      <c r="S783" s="503"/>
      <c r="T783" s="503"/>
      <c r="U783" s="503"/>
      <c r="V783" s="503"/>
      <c r="W783" s="503"/>
    </row>
    <row r="784" spans="1:23" hidden="1" x14ac:dyDescent="0.35">
      <c r="A784" s="543" t="s">
        <v>625</v>
      </c>
      <c r="B784" s="539"/>
      <c r="C784" s="524" t="s">
        <v>139</v>
      </c>
      <c r="D784" s="526"/>
      <c r="E784" s="526"/>
      <c r="F784" s="1199"/>
      <c r="G784" s="1200"/>
      <c r="H784" s="1199"/>
      <c r="I784" s="1200"/>
      <c r="J784" s="1199"/>
      <c r="K784" s="1200"/>
      <c r="L784" s="1199"/>
      <c r="M784" s="1200"/>
      <c r="N784" s="1199"/>
      <c r="O784" s="1200"/>
      <c r="P784" s="503"/>
      <c r="Q784" s="503"/>
      <c r="R784" s="503"/>
      <c r="S784" s="503"/>
      <c r="T784" s="503"/>
      <c r="U784" s="503"/>
      <c r="V784" s="503"/>
      <c r="W784" s="503"/>
    </row>
    <row r="785" spans="1:23" hidden="1" x14ac:dyDescent="0.35">
      <c r="A785" s="543"/>
      <c r="B785" s="540" t="str">
        <f>B784&amp;"KW"</f>
        <v>KW</v>
      </c>
      <c r="C785" s="524" t="s">
        <v>170</v>
      </c>
      <c r="D785" s="526"/>
      <c r="E785" s="526"/>
      <c r="F785" s="1199"/>
      <c r="G785" s="1200"/>
      <c r="H785" s="1199"/>
      <c r="I785" s="1200"/>
      <c r="J785" s="1199"/>
      <c r="K785" s="1200"/>
      <c r="L785" s="1199"/>
      <c r="M785" s="1200"/>
      <c r="N785" s="1199"/>
      <c r="O785" s="1200"/>
      <c r="P785" s="503"/>
      <c r="Q785" s="503"/>
      <c r="R785" s="503"/>
      <c r="S785" s="503"/>
      <c r="T785" s="503"/>
      <c r="U785" s="503"/>
      <c r="V785" s="503"/>
      <c r="W785" s="503"/>
    </row>
    <row r="786" spans="1:23" hidden="1" x14ac:dyDescent="0.35">
      <c r="A786" s="543" t="s">
        <v>626</v>
      </c>
      <c r="B786" s="539"/>
      <c r="C786" s="524" t="s">
        <v>139</v>
      </c>
      <c r="D786" s="526"/>
      <c r="E786" s="526"/>
      <c r="F786" s="1199"/>
      <c r="G786" s="1200"/>
      <c r="H786" s="1199"/>
      <c r="I786" s="1200"/>
      <c r="J786" s="1199"/>
      <c r="K786" s="1200"/>
      <c r="L786" s="1199"/>
      <c r="M786" s="1200"/>
      <c r="N786" s="1199"/>
      <c r="O786" s="1200"/>
      <c r="P786" s="503"/>
      <c r="Q786" s="503"/>
      <c r="R786" s="503"/>
      <c r="S786" s="503"/>
      <c r="T786" s="503"/>
      <c r="U786" s="503"/>
      <c r="V786" s="503"/>
      <c r="W786" s="503"/>
    </row>
    <row r="787" spans="1:23" hidden="1" x14ac:dyDescent="0.35">
      <c r="A787" s="543"/>
      <c r="B787" s="540" t="str">
        <f>B786&amp;"KW"</f>
        <v>KW</v>
      </c>
      <c r="C787" s="524" t="s">
        <v>170</v>
      </c>
      <c r="D787" s="526"/>
      <c r="E787" s="526"/>
      <c r="F787" s="1199"/>
      <c r="G787" s="1200"/>
      <c r="H787" s="1199"/>
      <c r="I787" s="1200"/>
      <c r="J787" s="1199"/>
      <c r="K787" s="1200"/>
      <c r="L787" s="1199"/>
      <c r="M787" s="1200"/>
      <c r="N787" s="1199"/>
      <c r="O787" s="1200"/>
      <c r="P787" s="503"/>
      <c r="Q787" s="503"/>
      <c r="R787" s="503"/>
      <c r="S787" s="503"/>
      <c r="T787" s="503"/>
      <c r="U787" s="503"/>
      <c r="V787" s="503"/>
      <c r="W787" s="503"/>
    </row>
    <row r="788" spans="1:23" hidden="1" x14ac:dyDescent="0.35">
      <c r="A788" s="543" t="s">
        <v>627</v>
      </c>
      <c r="B788" s="539"/>
      <c r="C788" s="524" t="s">
        <v>139</v>
      </c>
      <c r="D788" s="526"/>
      <c r="E788" s="526"/>
      <c r="F788" s="1199"/>
      <c r="G788" s="1200"/>
      <c r="H788" s="1199"/>
      <c r="I788" s="1200"/>
      <c r="J788" s="1199"/>
      <c r="K788" s="1200"/>
      <c r="L788" s="1199"/>
      <c r="M788" s="1200"/>
      <c r="N788" s="1199"/>
      <c r="O788" s="1200"/>
      <c r="P788" s="503"/>
      <c r="Q788" s="503"/>
      <c r="R788" s="503"/>
      <c r="S788" s="503"/>
      <c r="T788" s="503"/>
      <c r="U788" s="503"/>
      <c r="V788" s="503"/>
      <c r="W788" s="503"/>
    </row>
    <row r="789" spans="1:23" hidden="1" x14ac:dyDescent="0.35">
      <c r="A789" s="543"/>
      <c r="B789" s="540" t="str">
        <f>B788&amp;"KW"</f>
        <v>KW</v>
      </c>
      <c r="C789" s="524" t="s">
        <v>170</v>
      </c>
      <c r="D789" s="526"/>
      <c r="E789" s="526"/>
      <c r="F789" s="1199"/>
      <c r="G789" s="1200"/>
      <c r="H789" s="1199"/>
      <c r="I789" s="1200"/>
      <c r="J789" s="1199"/>
      <c r="K789" s="1200"/>
      <c r="L789" s="1199"/>
      <c r="M789" s="1200"/>
      <c r="N789" s="1199"/>
      <c r="O789" s="1200"/>
      <c r="P789" s="503"/>
      <c r="Q789" s="503"/>
      <c r="R789" s="503"/>
      <c r="S789" s="503"/>
      <c r="T789" s="503"/>
      <c r="U789" s="503"/>
      <c r="V789" s="503"/>
      <c r="W789" s="503"/>
    </row>
    <row r="790" spans="1:23" hidden="1" x14ac:dyDescent="0.35">
      <c r="A790" s="543" t="s">
        <v>628</v>
      </c>
      <c r="B790" s="539"/>
      <c r="C790" s="524" t="s">
        <v>139</v>
      </c>
      <c r="D790" s="526"/>
      <c r="E790" s="526"/>
      <c r="F790" s="1199"/>
      <c r="G790" s="1200"/>
      <c r="H790" s="1199"/>
      <c r="I790" s="1200"/>
      <c r="J790" s="1199"/>
      <c r="K790" s="1200"/>
      <c r="L790" s="1199"/>
      <c r="M790" s="1200"/>
      <c r="N790" s="1199"/>
      <c r="O790" s="1200"/>
      <c r="P790" s="503"/>
      <c r="Q790" s="503"/>
      <c r="R790" s="503"/>
      <c r="S790" s="503"/>
      <c r="T790" s="503"/>
      <c r="U790" s="503"/>
      <c r="V790" s="503"/>
      <c r="W790" s="503"/>
    </row>
    <row r="791" spans="1:23" hidden="1" x14ac:dyDescent="0.35">
      <c r="A791" s="543"/>
      <c r="B791" s="540" t="str">
        <f>B790&amp;"KW"</f>
        <v>KW</v>
      </c>
      <c r="C791" s="524" t="s">
        <v>170</v>
      </c>
      <c r="D791" s="526"/>
      <c r="E791" s="526"/>
      <c r="F791" s="1199"/>
      <c r="G791" s="1200"/>
      <c r="H791" s="1199"/>
      <c r="I791" s="1200"/>
      <c r="J791" s="1199"/>
      <c r="K791" s="1200"/>
      <c r="L791" s="1199"/>
      <c r="M791" s="1200"/>
      <c r="N791" s="1199"/>
      <c r="O791" s="1200"/>
      <c r="P791" s="503"/>
      <c r="Q791" s="503"/>
      <c r="R791" s="503"/>
      <c r="S791" s="503"/>
      <c r="T791" s="503"/>
      <c r="U791" s="503"/>
      <c r="V791" s="503"/>
      <c r="W791" s="503"/>
    </row>
  </sheetData>
  <sheetProtection algorithmName="SHA-512" hashValue="qZomXoVJ32K7xCDIdTVUVk/oP07eKk/JshwKtf2gURQGXCmn0mV/Mw/os4qMt8XnZqupZo2OhqCv9WHgRAUQFQ==" saltValue="K9K8SqCeUlWJW90uwDaMcQ==" spinCount="100000" sheet="1" objects="1" scenarios="1"/>
  <mergeCells count="1520">
    <mergeCell ref="N16:O16"/>
    <mergeCell ref="C28:C29"/>
    <mergeCell ref="D28:D29"/>
    <mergeCell ref="F28:G28"/>
    <mergeCell ref="H28:I28"/>
    <mergeCell ref="J28:K28"/>
    <mergeCell ref="L28:M28"/>
    <mergeCell ref="N28:O28"/>
    <mergeCell ref="D14:K14"/>
    <mergeCell ref="C16:E16"/>
    <mergeCell ref="F16:G16"/>
    <mergeCell ref="H16:I16"/>
    <mergeCell ref="J16:K16"/>
    <mergeCell ref="L16:M16"/>
    <mergeCell ref="F493:G493"/>
    <mergeCell ref="H493:I493"/>
    <mergeCell ref="J493:K493"/>
    <mergeCell ref="L493:M493"/>
    <mergeCell ref="N493:O493"/>
    <mergeCell ref="E490:O490"/>
    <mergeCell ref="F494:G494"/>
    <mergeCell ref="H494:I494"/>
    <mergeCell ref="J494:K494"/>
    <mergeCell ref="L494:M494"/>
    <mergeCell ref="N494:O494"/>
    <mergeCell ref="F491:G491"/>
    <mergeCell ref="H491:I491"/>
    <mergeCell ref="J491:K491"/>
    <mergeCell ref="L491:M491"/>
    <mergeCell ref="N491:O491"/>
    <mergeCell ref="F492:G492"/>
    <mergeCell ref="H492:I492"/>
    <mergeCell ref="J492:K492"/>
    <mergeCell ref="L492:M492"/>
    <mergeCell ref="N492:O492"/>
    <mergeCell ref="F497:G497"/>
    <mergeCell ref="H497:I497"/>
    <mergeCell ref="J497:K497"/>
    <mergeCell ref="L497:M497"/>
    <mergeCell ref="N497:O497"/>
    <mergeCell ref="F498:G498"/>
    <mergeCell ref="H498:I498"/>
    <mergeCell ref="J498:K498"/>
    <mergeCell ref="L498:M498"/>
    <mergeCell ref="N498:O498"/>
    <mergeCell ref="F495:G495"/>
    <mergeCell ref="H495:I495"/>
    <mergeCell ref="J495:K495"/>
    <mergeCell ref="L495:M495"/>
    <mergeCell ref="N495:O495"/>
    <mergeCell ref="F496:G496"/>
    <mergeCell ref="H496:I496"/>
    <mergeCell ref="J496:K496"/>
    <mergeCell ref="L496:M496"/>
    <mergeCell ref="N496:O496"/>
    <mergeCell ref="F501:G501"/>
    <mergeCell ref="H501:I501"/>
    <mergeCell ref="J501:K501"/>
    <mergeCell ref="L501:M501"/>
    <mergeCell ref="N501:O501"/>
    <mergeCell ref="F502:G502"/>
    <mergeCell ref="H502:I502"/>
    <mergeCell ref="J502:K502"/>
    <mergeCell ref="L502:M502"/>
    <mergeCell ref="N502:O502"/>
    <mergeCell ref="F499:G499"/>
    <mergeCell ref="H499:I499"/>
    <mergeCell ref="J499:K499"/>
    <mergeCell ref="L499:M499"/>
    <mergeCell ref="N499:O499"/>
    <mergeCell ref="F500:G500"/>
    <mergeCell ref="H500:I500"/>
    <mergeCell ref="J500:K500"/>
    <mergeCell ref="L500:M500"/>
    <mergeCell ref="N500:O500"/>
    <mergeCell ref="F505:G505"/>
    <mergeCell ref="H505:I505"/>
    <mergeCell ref="J505:K505"/>
    <mergeCell ref="L505:M505"/>
    <mergeCell ref="N505:O505"/>
    <mergeCell ref="F506:G506"/>
    <mergeCell ref="H506:I506"/>
    <mergeCell ref="J506:K506"/>
    <mergeCell ref="L506:M506"/>
    <mergeCell ref="N506:O506"/>
    <mergeCell ref="F503:G503"/>
    <mergeCell ref="H503:I503"/>
    <mergeCell ref="J503:K503"/>
    <mergeCell ref="L503:M503"/>
    <mergeCell ref="N503:O503"/>
    <mergeCell ref="F504:G504"/>
    <mergeCell ref="H504:I504"/>
    <mergeCell ref="J504:K504"/>
    <mergeCell ref="L504:M504"/>
    <mergeCell ref="N504:O504"/>
    <mergeCell ref="F509:G509"/>
    <mergeCell ref="H509:I509"/>
    <mergeCell ref="J509:K509"/>
    <mergeCell ref="L509:M509"/>
    <mergeCell ref="N509:O509"/>
    <mergeCell ref="F510:G510"/>
    <mergeCell ref="H510:I510"/>
    <mergeCell ref="J510:K510"/>
    <mergeCell ref="L510:M510"/>
    <mergeCell ref="N510:O510"/>
    <mergeCell ref="F507:G507"/>
    <mergeCell ref="H507:I507"/>
    <mergeCell ref="J507:K507"/>
    <mergeCell ref="L507:M507"/>
    <mergeCell ref="N507:O507"/>
    <mergeCell ref="F508:G508"/>
    <mergeCell ref="H508:I508"/>
    <mergeCell ref="J508:K508"/>
    <mergeCell ref="L508:M508"/>
    <mergeCell ref="N508:O508"/>
    <mergeCell ref="F513:G513"/>
    <mergeCell ref="H513:I513"/>
    <mergeCell ref="J513:K513"/>
    <mergeCell ref="L513:M513"/>
    <mergeCell ref="N513:O513"/>
    <mergeCell ref="F514:G514"/>
    <mergeCell ref="H514:I514"/>
    <mergeCell ref="J514:K514"/>
    <mergeCell ref="L514:M514"/>
    <mergeCell ref="N514:O514"/>
    <mergeCell ref="F511:G511"/>
    <mergeCell ref="H511:I511"/>
    <mergeCell ref="J511:K511"/>
    <mergeCell ref="L511:M511"/>
    <mergeCell ref="N511:O511"/>
    <mergeCell ref="F512:G512"/>
    <mergeCell ref="H512:I512"/>
    <mergeCell ref="J512:K512"/>
    <mergeCell ref="L512:M512"/>
    <mergeCell ref="N512:O512"/>
    <mergeCell ref="F517:G517"/>
    <mergeCell ref="H517:I517"/>
    <mergeCell ref="J517:K517"/>
    <mergeCell ref="L517:M517"/>
    <mergeCell ref="N517:O517"/>
    <mergeCell ref="F518:G518"/>
    <mergeCell ref="H518:I518"/>
    <mergeCell ref="J518:K518"/>
    <mergeCell ref="L518:M518"/>
    <mergeCell ref="N518:O518"/>
    <mergeCell ref="F515:G515"/>
    <mergeCell ref="H515:I515"/>
    <mergeCell ref="J515:K515"/>
    <mergeCell ref="L515:M515"/>
    <mergeCell ref="N515:O515"/>
    <mergeCell ref="F516:G516"/>
    <mergeCell ref="H516:I516"/>
    <mergeCell ref="J516:K516"/>
    <mergeCell ref="L516:M516"/>
    <mergeCell ref="N516:O516"/>
    <mergeCell ref="F521:G521"/>
    <mergeCell ref="H521:I521"/>
    <mergeCell ref="J521:K521"/>
    <mergeCell ref="L521:M521"/>
    <mergeCell ref="N521:O521"/>
    <mergeCell ref="F522:G522"/>
    <mergeCell ref="H522:I522"/>
    <mergeCell ref="J522:K522"/>
    <mergeCell ref="L522:M522"/>
    <mergeCell ref="N522:O522"/>
    <mergeCell ref="F519:G519"/>
    <mergeCell ref="H519:I519"/>
    <mergeCell ref="J519:K519"/>
    <mergeCell ref="L519:M519"/>
    <mergeCell ref="N519:O519"/>
    <mergeCell ref="F520:G520"/>
    <mergeCell ref="H520:I520"/>
    <mergeCell ref="J520:K520"/>
    <mergeCell ref="L520:M520"/>
    <mergeCell ref="N520:O520"/>
    <mergeCell ref="F525:G525"/>
    <mergeCell ref="H525:I525"/>
    <mergeCell ref="J525:K525"/>
    <mergeCell ref="L525:M525"/>
    <mergeCell ref="N525:O525"/>
    <mergeCell ref="F526:G526"/>
    <mergeCell ref="H526:I526"/>
    <mergeCell ref="J526:K526"/>
    <mergeCell ref="L526:M526"/>
    <mergeCell ref="N526:O526"/>
    <mergeCell ref="F523:G523"/>
    <mergeCell ref="H523:I523"/>
    <mergeCell ref="J523:K523"/>
    <mergeCell ref="L523:M523"/>
    <mergeCell ref="N523:O523"/>
    <mergeCell ref="F524:G524"/>
    <mergeCell ref="H524:I524"/>
    <mergeCell ref="J524:K524"/>
    <mergeCell ref="L524:M524"/>
    <mergeCell ref="N524:O524"/>
    <mergeCell ref="F529:G529"/>
    <mergeCell ref="H529:I529"/>
    <mergeCell ref="J529:K529"/>
    <mergeCell ref="L529:M529"/>
    <mergeCell ref="N529:O529"/>
    <mergeCell ref="F530:G530"/>
    <mergeCell ref="H530:I530"/>
    <mergeCell ref="J530:K530"/>
    <mergeCell ref="L530:M530"/>
    <mergeCell ref="N530:O530"/>
    <mergeCell ref="F527:G527"/>
    <mergeCell ref="H527:I527"/>
    <mergeCell ref="J527:K527"/>
    <mergeCell ref="L527:M527"/>
    <mergeCell ref="N527:O527"/>
    <mergeCell ref="F528:G528"/>
    <mergeCell ref="H528:I528"/>
    <mergeCell ref="J528:K528"/>
    <mergeCell ref="L528:M528"/>
    <mergeCell ref="N528:O528"/>
    <mergeCell ref="F533:G533"/>
    <mergeCell ref="H533:I533"/>
    <mergeCell ref="J533:K533"/>
    <mergeCell ref="L533:M533"/>
    <mergeCell ref="N533:O533"/>
    <mergeCell ref="F534:G534"/>
    <mergeCell ref="H534:I534"/>
    <mergeCell ref="J534:K534"/>
    <mergeCell ref="L534:M534"/>
    <mergeCell ref="N534:O534"/>
    <mergeCell ref="F531:G531"/>
    <mergeCell ref="H531:I531"/>
    <mergeCell ref="J531:K531"/>
    <mergeCell ref="L531:M531"/>
    <mergeCell ref="N531:O531"/>
    <mergeCell ref="F532:G532"/>
    <mergeCell ref="H532:I532"/>
    <mergeCell ref="J532:K532"/>
    <mergeCell ref="L532:M532"/>
    <mergeCell ref="N532:O532"/>
    <mergeCell ref="F537:G537"/>
    <mergeCell ref="H537:I537"/>
    <mergeCell ref="J537:K537"/>
    <mergeCell ref="L537:M537"/>
    <mergeCell ref="N537:O537"/>
    <mergeCell ref="F538:G538"/>
    <mergeCell ref="H538:I538"/>
    <mergeCell ref="J538:K538"/>
    <mergeCell ref="L538:M538"/>
    <mergeCell ref="N538:O538"/>
    <mergeCell ref="F535:G535"/>
    <mergeCell ref="H535:I535"/>
    <mergeCell ref="J535:K535"/>
    <mergeCell ref="L535:M535"/>
    <mergeCell ref="N535:O535"/>
    <mergeCell ref="F536:G536"/>
    <mergeCell ref="H536:I536"/>
    <mergeCell ref="J536:K536"/>
    <mergeCell ref="L536:M536"/>
    <mergeCell ref="N536:O536"/>
    <mergeCell ref="F541:G541"/>
    <mergeCell ref="H541:I541"/>
    <mergeCell ref="J541:K541"/>
    <mergeCell ref="L541:M541"/>
    <mergeCell ref="N541:O541"/>
    <mergeCell ref="F542:G542"/>
    <mergeCell ref="H542:I542"/>
    <mergeCell ref="J542:K542"/>
    <mergeCell ref="L542:M542"/>
    <mergeCell ref="N542:O542"/>
    <mergeCell ref="F539:G539"/>
    <mergeCell ref="H539:I539"/>
    <mergeCell ref="J539:K539"/>
    <mergeCell ref="L539:M539"/>
    <mergeCell ref="N539:O539"/>
    <mergeCell ref="F540:G540"/>
    <mergeCell ref="H540:I540"/>
    <mergeCell ref="J540:K540"/>
    <mergeCell ref="L540:M540"/>
    <mergeCell ref="N540:O540"/>
    <mergeCell ref="F545:G545"/>
    <mergeCell ref="H545:I545"/>
    <mergeCell ref="J545:K545"/>
    <mergeCell ref="L545:M545"/>
    <mergeCell ref="N545:O545"/>
    <mergeCell ref="F546:G546"/>
    <mergeCell ref="H546:I546"/>
    <mergeCell ref="J546:K546"/>
    <mergeCell ref="L546:M546"/>
    <mergeCell ref="N546:O546"/>
    <mergeCell ref="F543:G543"/>
    <mergeCell ref="H543:I543"/>
    <mergeCell ref="J543:K543"/>
    <mergeCell ref="L543:M543"/>
    <mergeCell ref="N543:O543"/>
    <mergeCell ref="F544:G544"/>
    <mergeCell ref="H544:I544"/>
    <mergeCell ref="J544:K544"/>
    <mergeCell ref="L544:M544"/>
    <mergeCell ref="N544:O544"/>
    <mergeCell ref="F549:G549"/>
    <mergeCell ref="H549:I549"/>
    <mergeCell ref="J549:K549"/>
    <mergeCell ref="L549:M549"/>
    <mergeCell ref="N549:O549"/>
    <mergeCell ref="F550:G550"/>
    <mergeCell ref="H550:I550"/>
    <mergeCell ref="J550:K550"/>
    <mergeCell ref="L550:M550"/>
    <mergeCell ref="N550:O550"/>
    <mergeCell ref="F547:G547"/>
    <mergeCell ref="H547:I547"/>
    <mergeCell ref="J547:K547"/>
    <mergeCell ref="L547:M547"/>
    <mergeCell ref="N547:O547"/>
    <mergeCell ref="F548:G548"/>
    <mergeCell ref="H548:I548"/>
    <mergeCell ref="J548:K548"/>
    <mergeCell ref="L548:M548"/>
    <mergeCell ref="N548:O548"/>
    <mergeCell ref="F553:G553"/>
    <mergeCell ref="H553:I553"/>
    <mergeCell ref="J553:K553"/>
    <mergeCell ref="L553:M553"/>
    <mergeCell ref="N553:O553"/>
    <mergeCell ref="F554:G554"/>
    <mergeCell ref="H554:I554"/>
    <mergeCell ref="J554:K554"/>
    <mergeCell ref="L554:M554"/>
    <mergeCell ref="N554:O554"/>
    <mergeCell ref="F551:G551"/>
    <mergeCell ref="H551:I551"/>
    <mergeCell ref="J551:K551"/>
    <mergeCell ref="L551:M551"/>
    <mergeCell ref="N551:O551"/>
    <mergeCell ref="F552:G552"/>
    <mergeCell ref="H552:I552"/>
    <mergeCell ref="J552:K552"/>
    <mergeCell ref="L552:M552"/>
    <mergeCell ref="N552:O552"/>
    <mergeCell ref="F557:G557"/>
    <mergeCell ref="H557:I557"/>
    <mergeCell ref="J557:K557"/>
    <mergeCell ref="L557:M557"/>
    <mergeCell ref="N557:O557"/>
    <mergeCell ref="F558:G558"/>
    <mergeCell ref="H558:I558"/>
    <mergeCell ref="J558:K558"/>
    <mergeCell ref="L558:M558"/>
    <mergeCell ref="N558:O558"/>
    <mergeCell ref="F555:G555"/>
    <mergeCell ref="H555:I555"/>
    <mergeCell ref="J555:K555"/>
    <mergeCell ref="L555:M555"/>
    <mergeCell ref="N555:O555"/>
    <mergeCell ref="F556:G556"/>
    <mergeCell ref="H556:I556"/>
    <mergeCell ref="J556:K556"/>
    <mergeCell ref="L556:M556"/>
    <mergeCell ref="N556:O556"/>
    <mergeCell ref="F561:G561"/>
    <mergeCell ref="H561:I561"/>
    <mergeCell ref="J561:K561"/>
    <mergeCell ref="L561:M561"/>
    <mergeCell ref="N561:O561"/>
    <mergeCell ref="F562:G562"/>
    <mergeCell ref="H562:I562"/>
    <mergeCell ref="J562:K562"/>
    <mergeCell ref="L562:M562"/>
    <mergeCell ref="N562:O562"/>
    <mergeCell ref="F559:G559"/>
    <mergeCell ref="H559:I559"/>
    <mergeCell ref="J559:K559"/>
    <mergeCell ref="L559:M559"/>
    <mergeCell ref="N559:O559"/>
    <mergeCell ref="F560:G560"/>
    <mergeCell ref="H560:I560"/>
    <mergeCell ref="J560:K560"/>
    <mergeCell ref="L560:M560"/>
    <mergeCell ref="N560:O560"/>
    <mergeCell ref="F565:G565"/>
    <mergeCell ref="H565:I565"/>
    <mergeCell ref="J565:K565"/>
    <mergeCell ref="L565:M565"/>
    <mergeCell ref="N565:O565"/>
    <mergeCell ref="F566:G566"/>
    <mergeCell ref="H566:I566"/>
    <mergeCell ref="J566:K566"/>
    <mergeCell ref="L566:M566"/>
    <mergeCell ref="N566:O566"/>
    <mergeCell ref="F563:G563"/>
    <mergeCell ref="H563:I563"/>
    <mergeCell ref="J563:K563"/>
    <mergeCell ref="L563:M563"/>
    <mergeCell ref="N563:O563"/>
    <mergeCell ref="F564:G564"/>
    <mergeCell ref="H564:I564"/>
    <mergeCell ref="J564:K564"/>
    <mergeCell ref="L564:M564"/>
    <mergeCell ref="N564:O564"/>
    <mergeCell ref="F569:G569"/>
    <mergeCell ref="H569:I569"/>
    <mergeCell ref="J569:K569"/>
    <mergeCell ref="L569:M569"/>
    <mergeCell ref="N569:O569"/>
    <mergeCell ref="F570:G570"/>
    <mergeCell ref="H570:I570"/>
    <mergeCell ref="J570:K570"/>
    <mergeCell ref="L570:M570"/>
    <mergeCell ref="N570:O570"/>
    <mergeCell ref="F567:G567"/>
    <mergeCell ref="H567:I567"/>
    <mergeCell ref="J567:K567"/>
    <mergeCell ref="L567:M567"/>
    <mergeCell ref="N567:O567"/>
    <mergeCell ref="F568:G568"/>
    <mergeCell ref="H568:I568"/>
    <mergeCell ref="J568:K568"/>
    <mergeCell ref="L568:M568"/>
    <mergeCell ref="N568:O568"/>
    <mergeCell ref="F573:G573"/>
    <mergeCell ref="H573:I573"/>
    <mergeCell ref="J573:K573"/>
    <mergeCell ref="L573:M573"/>
    <mergeCell ref="N573:O573"/>
    <mergeCell ref="F574:G574"/>
    <mergeCell ref="H574:I574"/>
    <mergeCell ref="J574:K574"/>
    <mergeCell ref="L574:M574"/>
    <mergeCell ref="N574:O574"/>
    <mergeCell ref="F571:G571"/>
    <mergeCell ref="H571:I571"/>
    <mergeCell ref="J571:K571"/>
    <mergeCell ref="L571:M571"/>
    <mergeCell ref="N571:O571"/>
    <mergeCell ref="F572:G572"/>
    <mergeCell ref="H572:I572"/>
    <mergeCell ref="J572:K572"/>
    <mergeCell ref="L572:M572"/>
    <mergeCell ref="N572:O572"/>
    <mergeCell ref="F577:G577"/>
    <mergeCell ref="H577:I577"/>
    <mergeCell ref="J577:K577"/>
    <mergeCell ref="L577:M577"/>
    <mergeCell ref="N577:O577"/>
    <mergeCell ref="F578:G578"/>
    <mergeCell ref="H578:I578"/>
    <mergeCell ref="J578:K578"/>
    <mergeCell ref="L578:M578"/>
    <mergeCell ref="N578:O578"/>
    <mergeCell ref="F575:G575"/>
    <mergeCell ref="H575:I575"/>
    <mergeCell ref="J575:K575"/>
    <mergeCell ref="L575:M575"/>
    <mergeCell ref="N575:O575"/>
    <mergeCell ref="F576:G576"/>
    <mergeCell ref="H576:I576"/>
    <mergeCell ref="J576:K576"/>
    <mergeCell ref="L576:M576"/>
    <mergeCell ref="N576:O576"/>
    <mergeCell ref="F581:G581"/>
    <mergeCell ref="H581:I581"/>
    <mergeCell ref="J581:K581"/>
    <mergeCell ref="L581:M581"/>
    <mergeCell ref="N581:O581"/>
    <mergeCell ref="F582:G582"/>
    <mergeCell ref="H582:I582"/>
    <mergeCell ref="J582:K582"/>
    <mergeCell ref="L582:M582"/>
    <mergeCell ref="N582:O582"/>
    <mergeCell ref="F579:G579"/>
    <mergeCell ref="H579:I579"/>
    <mergeCell ref="J579:K579"/>
    <mergeCell ref="L579:M579"/>
    <mergeCell ref="N579:O579"/>
    <mergeCell ref="F580:G580"/>
    <mergeCell ref="H580:I580"/>
    <mergeCell ref="J580:K580"/>
    <mergeCell ref="L580:M580"/>
    <mergeCell ref="N580:O580"/>
    <mergeCell ref="F585:G585"/>
    <mergeCell ref="H585:I585"/>
    <mergeCell ref="J585:K585"/>
    <mergeCell ref="L585:M585"/>
    <mergeCell ref="N585:O585"/>
    <mergeCell ref="F586:G586"/>
    <mergeCell ref="H586:I586"/>
    <mergeCell ref="J586:K586"/>
    <mergeCell ref="L586:M586"/>
    <mergeCell ref="N586:O586"/>
    <mergeCell ref="F583:G583"/>
    <mergeCell ref="H583:I583"/>
    <mergeCell ref="J583:K583"/>
    <mergeCell ref="L583:M583"/>
    <mergeCell ref="N583:O583"/>
    <mergeCell ref="F584:G584"/>
    <mergeCell ref="H584:I584"/>
    <mergeCell ref="J584:K584"/>
    <mergeCell ref="L584:M584"/>
    <mergeCell ref="N584:O584"/>
    <mergeCell ref="F589:G589"/>
    <mergeCell ref="H589:I589"/>
    <mergeCell ref="J589:K589"/>
    <mergeCell ref="L589:M589"/>
    <mergeCell ref="N589:O589"/>
    <mergeCell ref="F590:G590"/>
    <mergeCell ref="H590:I590"/>
    <mergeCell ref="J590:K590"/>
    <mergeCell ref="L590:M590"/>
    <mergeCell ref="N590:O590"/>
    <mergeCell ref="F587:G587"/>
    <mergeCell ref="H587:I587"/>
    <mergeCell ref="J587:K587"/>
    <mergeCell ref="L587:M587"/>
    <mergeCell ref="N587:O587"/>
    <mergeCell ref="F588:G588"/>
    <mergeCell ref="H588:I588"/>
    <mergeCell ref="J588:K588"/>
    <mergeCell ref="L588:M588"/>
    <mergeCell ref="N588:O588"/>
    <mergeCell ref="F593:G593"/>
    <mergeCell ref="H593:I593"/>
    <mergeCell ref="J593:K593"/>
    <mergeCell ref="L593:M593"/>
    <mergeCell ref="N593:O593"/>
    <mergeCell ref="F594:G594"/>
    <mergeCell ref="H594:I594"/>
    <mergeCell ref="J594:K594"/>
    <mergeCell ref="L594:M594"/>
    <mergeCell ref="N594:O594"/>
    <mergeCell ref="F591:G591"/>
    <mergeCell ref="H591:I591"/>
    <mergeCell ref="J591:K591"/>
    <mergeCell ref="L591:M591"/>
    <mergeCell ref="N591:O591"/>
    <mergeCell ref="F592:G592"/>
    <mergeCell ref="H592:I592"/>
    <mergeCell ref="J592:K592"/>
    <mergeCell ref="L592:M592"/>
    <mergeCell ref="N592:O592"/>
    <mergeCell ref="F597:G597"/>
    <mergeCell ref="H597:I597"/>
    <mergeCell ref="J597:K597"/>
    <mergeCell ref="L597:M597"/>
    <mergeCell ref="N597:O597"/>
    <mergeCell ref="F598:G598"/>
    <mergeCell ref="H598:I598"/>
    <mergeCell ref="J598:K598"/>
    <mergeCell ref="L598:M598"/>
    <mergeCell ref="N598:O598"/>
    <mergeCell ref="F595:G595"/>
    <mergeCell ref="H595:I595"/>
    <mergeCell ref="J595:K595"/>
    <mergeCell ref="L595:M595"/>
    <mergeCell ref="N595:O595"/>
    <mergeCell ref="F596:G596"/>
    <mergeCell ref="H596:I596"/>
    <mergeCell ref="J596:K596"/>
    <mergeCell ref="L596:M596"/>
    <mergeCell ref="N596:O596"/>
    <mergeCell ref="F601:G601"/>
    <mergeCell ref="H601:I601"/>
    <mergeCell ref="J601:K601"/>
    <mergeCell ref="L601:M601"/>
    <mergeCell ref="N601:O601"/>
    <mergeCell ref="F602:G602"/>
    <mergeCell ref="H602:I602"/>
    <mergeCell ref="J602:K602"/>
    <mergeCell ref="L602:M602"/>
    <mergeCell ref="N602:O602"/>
    <mergeCell ref="F599:G599"/>
    <mergeCell ref="H599:I599"/>
    <mergeCell ref="J599:K599"/>
    <mergeCell ref="L599:M599"/>
    <mergeCell ref="N599:O599"/>
    <mergeCell ref="F600:G600"/>
    <mergeCell ref="H600:I600"/>
    <mergeCell ref="J600:K600"/>
    <mergeCell ref="L600:M600"/>
    <mergeCell ref="N600:O600"/>
    <mergeCell ref="F605:G605"/>
    <mergeCell ref="H605:I605"/>
    <mergeCell ref="J605:K605"/>
    <mergeCell ref="L605:M605"/>
    <mergeCell ref="N605:O605"/>
    <mergeCell ref="F606:G606"/>
    <mergeCell ref="H606:I606"/>
    <mergeCell ref="J606:K606"/>
    <mergeCell ref="L606:M606"/>
    <mergeCell ref="N606:O606"/>
    <mergeCell ref="F603:G603"/>
    <mergeCell ref="H603:I603"/>
    <mergeCell ref="J603:K603"/>
    <mergeCell ref="L603:M603"/>
    <mergeCell ref="N603:O603"/>
    <mergeCell ref="F604:G604"/>
    <mergeCell ref="H604:I604"/>
    <mergeCell ref="J604:K604"/>
    <mergeCell ref="L604:M604"/>
    <mergeCell ref="N604:O604"/>
    <mergeCell ref="F609:G609"/>
    <mergeCell ref="H609:I609"/>
    <mergeCell ref="J609:K609"/>
    <mergeCell ref="L609:M609"/>
    <mergeCell ref="N609:O609"/>
    <mergeCell ref="F610:G610"/>
    <mergeCell ref="H610:I610"/>
    <mergeCell ref="J610:K610"/>
    <mergeCell ref="L610:M610"/>
    <mergeCell ref="N610:O610"/>
    <mergeCell ref="F607:G607"/>
    <mergeCell ref="H607:I607"/>
    <mergeCell ref="J607:K607"/>
    <mergeCell ref="L607:M607"/>
    <mergeCell ref="N607:O607"/>
    <mergeCell ref="F608:G608"/>
    <mergeCell ref="H608:I608"/>
    <mergeCell ref="J608:K608"/>
    <mergeCell ref="L608:M608"/>
    <mergeCell ref="N608:O608"/>
    <mergeCell ref="F613:G613"/>
    <mergeCell ref="H613:I613"/>
    <mergeCell ref="J613:K613"/>
    <mergeCell ref="L613:M613"/>
    <mergeCell ref="N613:O613"/>
    <mergeCell ref="F614:G614"/>
    <mergeCell ref="H614:I614"/>
    <mergeCell ref="J614:K614"/>
    <mergeCell ref="L614:M614"/>
    <mergeCell ref="N614:O614"/>
    <mergeCell ref="F611:G611"/>
    <mergeCell ref="H611:I611"/>
    <mergeCell ref="J611:K611"/>
    <mergeCell ref="L611:M611"/>
    <mergeCell ref="N611:O611"/>
    <mergeCell ref="F612:G612"/>
    <mergeCell ref="H612:I612"/>
    <mergeCell ref="J612:K612"/>
    <mergeCell ref="L612:M612"/>
    <mergeCell ref="N612:O612"/>
    <mergeCell ref="F617:G617"/>
    <mergeCell ref="H617:I617"/>
    <mergeCell ref="J617:K617"/>
    <mergeCell ref="L617:M617"/>
    <mergeCell ref="N617:O617"/>
    <mergeCell ref="F618:G618"/>
    <mergeCell ref="H618:I618"/>
    <mergeCell ref="J618:K618"/>
    <mergeCell ref="L618:M618"/>
    <mergeCell ref="N618:O618"/>
    <mergeCell ref="F615:G615"/>
    <mergeCell ref="H615:I615"/>
    <mergeCell ref="J615:K615"/>
    <mergeCell ref="L615:M615"/>
    <mergeCell ref="N615:O615"/>
    <mergeCell ref="F616:G616"/>
    <mergeCell ref="H616:I616"/>
    <mergeCell ref="J616:K616"/>
    <mergeCell ref="L616:M616"/>
    <mergeCell ref="N616:O616"/>
    <mergeCell ref="F621:G621"/>
    <mergeCell ref="H621:I621"/>
    <mergeCell ref="J621:K621"/>
    <mergeCell ref="L621:M621"/>
    <mergeCell ref="N621:O621"/>
    <mergeCell ref="F622:G622"/>
    <mergeCell ref="H622:I622"/>
    <mergeCell ref="J622:K622"/>
    <mergeCell ref="L622:M622"/>
    <mergeCell ref="N622:O622"/>
    <mergeCell ref="F619:G619"/>
    <mergeCell ref="H619:I619"/>
    <mergeCell ref="J619:K619"/>
    <mergeCell ref="L619:M619"/>
    <mergeCell ref="N619:O619"/>
    <mergeCell ref="F620:G620"/>
    <mergeCell ref="H620:I620"/>
    <mergeCell ref="J620:K620"/>
    <mergeCell ref="L620:M620"/>
    <mergeCell ref="N620:O620"/>
    <mergeCell ref="F625:G625"/>
    <mergeCell ref="H625:I625"/>
    <mergeCell ref="J625:K625"/>
    <mergeCell ref="L625:M625"/>
    <mergeCell ref="N625:O625"/>
    <mergeCell ref="F626:G626"/>
    <mergeCell ref="H626:I626"/>
    <mergeCell ref="J626:K626"/>
    <mergeCell ref="L626:M626"/>
    <mergeCell ref="N626:O626"/>
    <mergeCell ref="F623:G623"/>
    <mergeCell ref="H623:I623"/>
    <mergeCell ref="J623:K623"/>
    <mergeCell ref="L623:M623"/>
    <mergeCell ref="N623:O623"/>
    <mergeCell ref="F624:G624"/>
    <mergeCell ref="H624:I624"/>
    <mergeCell ref="J624:K624"/>
    <mergeCell ref="L624:M624"/>
    <mergeCell ref="N624:O624"/>
    <mergeCell ref="F629:G629"/>
    <mergeCell ref="H629:I629"/>
    <mergeCell ref="J629:K629"/>
    <mergeCell ref="L629:M629"/>
    <mergeCell ref="N629:O629"/>
    <mergeCell ref="F630:G630"/>
    <mergeCell ref="H630:I630"/>
    <mergeCell ref="J630:K630"/>
    <mergeCell ref="L630:M630"/>
    <mergeCell ref="N630:O630"/>
    <mergeCell ref="F627:G627"/>
    <mergeCell ref="H627:I627"/>
    <mergeCell ref="J627:K627"/>
    <mergeCell ref="L627:M627"/>
    <mergeCell ref="N627:O627"/>
    <mergeCell ref="F628:G628"/>
    <mergeCell ref="H628:I628"/>
    <mergeCell ref="J628:K628"/>
    <mergeCell ref="L628:M628"/>
    <mergeCell ref="N628:O628"/>
    <mergeCell ref="F633:G633"/>
    <mergeCell ref="H633:I633"/>
    <mergeCell ref="J633:K633"/>
    <mergeCell ref="L633:M633"/>
    <mergeCell ref="N633:O633"/>
    <mergeCell ref="F634:G634"/>
    <mergeCell ref="H634:I634"/>
    <mergeCell ref="J634:K634"/>
    <mergeCell ref="L634:M634"/>
    <mergeCell ref="N634:O634"/>
    <mergeCell ref="F631:G631"/>
    <mergeCell ref="H631:I631"/>
    <mergeCell ref="J631:K631"/>
    <mergeCell ref="L631:M631"/>
    <mergeCell ref="N631:O631"/>
    <mergeCell ref="F632:G632"/>
    <mergeCell ref="H632:I632"/>
    <mergeCell ref="J632:K632"/>
    <mergeCell ref="L632:M632"/>
    <mergeCell ref="N632:O632"/>
    <mergeCell ref="F637:G637"/>
    <mergeCell ref="H637:I637"/>
    <mergeCell ref="J637:K637"/>
    <mergeCell ref="L637:M637"/>
    <mergeCell ref="N637:O637"/>
    <mergeCell ref="F638:G638"/>
    <mergeCell ref="H638:I638"/>
    <mergeCell ref="J638:K638"/>
    <mergeCell ref="L638:M638"/>
    <mergeCell ref="N638:O638"/>
    <mergeCell ref="F635:G635"/>
    <mergeCell ref="H635:I635"/>
    <mergeCell ref="J635:K635"/>
    <mergeCell ref="L635:M635"/>
    <mergeCell ref="N635:O635"/>
    <mergeCell ref="F636:G636"/>
    <mergeCell ref="H636:I636"/>
    <mergeCell ref="J636:K636"/>
    <mergeCell ref="L636:M636"/>
    <mergeCell ref="N636:O636"/>
    <mergeCell ref="F641:G641"/>
    <mergeCell ref="H641:I641"/>
    <mergeCell ref="J641:K641"/>
    <mergeCell ref="L641:M641"/>
    <mergeCell ref="N641:O641"/>
    <mergeCell ref="F642:G642"/>
    <mergeCell ref="H642:I642"/>
    <mergeCell ref="J642:K642"/>
    <mergeCell ref="L642:M642"/>
    <mergeCell ref="N642:O642"/>
    <mergeCell ref="F639:G639"/>
    <mergeCell ref="H639:I639"/>
    <mergeCell ref="J639:K639"/>
    <mergeCell ref="L639:M639"/>
    <mergeCell ref="N639:O639"/>
    <mergeCell ref="F640:G640"/>
    <mergeCell ref="H640:I640"/>
    <mergeCell ref="J640:K640"/>
    <mergeCell ref="L640:M640"/>
    <mergeCell ref="N640:O640"/>
    <mergeCell ref="F645:G645"/>
    <mergeCell ref="H645:I645"/>
    <mergeCell ref="J645:K645"/>
    <mergeCell ref="L645:M645"/>
    <mergeCell ref="N645:O645"/>
    <mergeCell ref="F646:G646"/>
    <mergeCell ref="H646:I646"/>
    <mergeCell ref="J646:K646"/>
    <mergeCell ref="L646:M646"/>
    <mergeCell ref="N646:O646"/>
    <mergeCell ref="F643:G643"/>
    <mergeCell ref="H643:I643"/>
    <mergeCell ref="J643:K643"/>
    <mergeCell ref="L643:M643"/>
    <mergeCell ref="N643:O643"/>
    <mergeCell ref="F644:G644"/>
    <mergeCell ref="H644:I644"/>
    <mergeCell ref="J644:K644"/>
    <mergeCell ref="L644:M644"/>
    <mergeCell ref="N644:O644"/>
    <mergeCell ref="F649:G649"/>
    <mergeCell ref="H649:I649"/>
    <mergeCell ref="J649:K649"/>
    <mergeCell ref="L649:M649"/>
    <mergeCell ref="N649:O649"/>
    <mergeCell ref="F650:G650"/>
    <mergeCell ref="H650:I650"/>
    <mergeCell ref="J650:K650"/>
    <mergeCell ref="L650:M650"/>
    <mergeCell ref="N650:O650"/>
    <mergeCell ref="F647:G647"/>
    <mergeCell ref="H647:I647"/>
    <mergeCell ref="J647:K647"/>
    <mergeCell ref="L647:M647"/>
    <mergeCell ref="N647:O647"/>
    <mergeCell ref="F648:G648"/>
    <mergeCell ref="H648:I648"/>
    <mergeCell ref="J648:K648"/>
    <mergeCell ref="L648:M648"/>
    <mergeCell ref="N648:O648"/>
    <mergeCell ref="F653:G653"/>
    <mergeCell ref="H653:I653"/>
    <mergeCell ref="J653:K653"/>
    <mergeCell ref="L653:M653"/>
    <mergeCell ref="N653:O653"/>
    <mergeCell ref="F654:G654"/>
    <mergeCell ref="H654:I654"/>
    <mergeCell ref="J654:K654"/>
    <mergeCell ref="L654:M654"/>
    <mergeCell ref="N654:O654"/>
    <mergeCell ref="F651:G651"/>
    <mergeCell ref="H651:I651"/>
    <mergeCell ref="J651:K651"/>
    <mergeCell ref="L651:M651"/>
    <mergeCell ref="N651:O651"/>
    <mergeCell ref="F652:G652"/>
    <mergeCell ref="H652:I652"/>
    <mergeCell ref="J652:K652"/>
    <mergeCell ref="L652:M652"/>
    <mergeCell ref="N652:O652"/>
    <mergeCell ref="F657:G657"/>
    <mergeCell ref="H657:I657"/>
    <mergeCell ref="J657:K657"/>
    <mergeCell ref="L657:M657"/>
    <mergeCell ref="N657:O657"/>
    <mergeCell ref="F658:G658"/>
    <mergeCell ref="H658:I658"/>
    <mergeCell ref="J658:K658"/>
    <mergeCell ref="L658:M658"/>
    <mergeCell ref="N658:O658"/>
    <mergeCell ref="F655:G655"/>
    <mergeCell ref="H655:I655"/>
    <mergeCell ref="J655:K655"/>
    <mergeCell ref="L655:M655"/>
    <mergeCell ref="N655:O655"/>
    <mergeCell ref="F656:G656"/>
    <mergeCell ref="H656:I656"/>
    <mergeCell ref="J656:K656"/>
    <mergeCell ref="L656:M656"/>
    <mergeCell ref="N656:O656"/>
    <mergeCell ref="F661:G661"/>
    <mergeCell ref="H661:I661"/>
    <mergeCell ref="J661:K661"/>
    <mergeCell ref="L661:M661"/>
    <mergeCell ref="N661:O661"/>
    <mergeCell ref="F662:G662"/>
    <mergeCell ref="H662:I662"/>
    <mergeCell ref="J662:K662"/>
    <mergeCell ref="L662:M662"/>
    <mergeCell ref="N662:O662"/>
    <mergeCell ref="F659:G659"/>
    <mergeCell ref="H659:I659"/>
    <mergeCell ref="J659:K659"/>
    <mergeCell ref="L659:M659"/>
    <mergeCell ref="N659:O659"/>
    <mergeCell ref="F660:G660"/>
    <mergeCell ref="H660:I660"/>
    <mergeCell ref="J660:K660"/>
    <mergeCell ref="L660:M660"/>
    <mergeCell ref="N660:O660"/>
    <mergeCell ref="F665:G665"/>
    <mergeCell ref="H665:I665"/>
    <mergeCell ref="J665:K665"/>
    <mergeCell ref="L665:M665"/>
    <mergeCell ref="N665:O665"/>
    <mergeCell ref="F666:G666"/>
    <mergeCell ref="H666:I666"/>
    <mergeCell ref="J666:K666"/>
    <mergeCell ref="L666:M666"/>
    <mergeCell ref="N666:O666"/>
    <mergeCell ref="F663:G663"/>
    <mergeCell ref="H663:I663"/>
    <mergeCell ref="J663:K663"/>
    <mergeCell ref="L663:M663"/>
    <mergeCell ref="N663:O663"/>
    <mergeCell ref="F664:G664"/>
    <mergeCell ref="H664:I664"/>
    <mergeCell ref="J664:K664"/>
    <mergeCell ref="L664:M664"/>
    <mergeCell ref="N664:O664"/>
    <mergeCell ref="F669:G669"/>
    <mergeCell ref="H669:I669"/>
    <mergeCell ref="J669:K669"/>
    <mergeCell ref="L669:M669"/>
    <mergeCell ref="N669:O669"/>
    <mergeCell ref="F670:G670"/>
    <mergeCell ref="H670:I670"/>
    <mergeCell ref="J670:K670"/>
    <mergeCell ref="L670:M670"/>
    <mergeCell ref="N670:O670"/>
    <mergeCell ref="F667:G667"/>
    <mergeCell ref="H667:I667"/>
    <mergeCell ref="J667:K667"/>
    <mergeCell ref="L667:M667"/>
    <mergeCell ref="N667:O667"/>
    <mergeCell ref="F668:G668"/>
    <mergeCell ref="H668:I668"/>
    <mergeCell ref="J668:K668"/>
    <mergeCell ref="L668:M668"/>
    <mergeCell ref="N668:O668"/>
    <mergeCell ref="F673:G673"/>
    <mergeCell ref="H673:I673"/>
    <mergeCell ref="J673:K673"/>
    <mergeCell ref="L673:M673"/>
    <mergeCell ref="N673:O673"/>
    <mergeCell ref="F674:G674"/>
    <mergeCell ref="H674:I674"/>
    <mergeCell ref="J674:K674"/>
    <mergeCell ref="L674:M674"/>
    <mergeCell ref="N674:O674"/>
    <mergeCell ref="F671:G671"/>
    <mergeCell ref="H671:I671"/>
    <mergeCell ref="J671:K671"/>
    <mergeCell ref="L671:M671"/>
    <mergeCell ref="N671:O671"/>
    <mergeCell ref="F672:G672"/>
    <mergeCell ref="H672:I672"/>
    <mergeCell ref="J672:K672"/>
    <mergeCell ref="L672:M672"/>
    <mergeCell ref="N672:O672"/>
    <mergeCell ref="F677:G677"/>
    <mergeCell ref="H677:I677"/>
    <mergeCell ref="J677:K677"/>
    <mergeCell ref="L677:M677"/>
    <mergeCell ref="N677:O677"/>
    <mergeCell ref="F678:G678"/>
    <mergeCell ref="H678:I678"/>
    <mergeCell ref="J678:K678"/>
    <mergeCell ref="L678:M678"/>
    <mergeCell ref="N678:O678"/>
    <mergeCell ref="F675:G675"/>
    <mergeCell ref="H675:I675"/>
    <mergeCell ref="J675:K675"/>
    <mergeCell ref="L675:M675"/>
    <mergeCell ref="N675:O675"/>
    <mergeCell ref="F676:G676"/>
    <mergeCell ref="H676:I676"/>
    <mergeCell ref="J676:K676"/>
    <mergeCell ref="L676:M676"/>
    <mergeCell ref="N676:O676"/>
    <mergeCell ref="F681:G681"/>
    <mergeCell ref="H681:I681"/>
    <mergeCell ref="J681:K681"/>
    <mergeCell ref="L681:M681"/>
    <mergeCell ref="N681:O681"/>
    <mergeCell ref="F682:G682"/>
    <mergeCell ref="H682:I682"/>
    <mergeCell ref="J682:K682"/>
    <mergeCell ref="L682:M682"/>
    <mergeCell ref="N682:O682"/>
    <mergeCell ref="F679:G679"/>
    <mergeCell ref="H679:I679"/>
    <mergeCell ref="J679:K679"/>
    <mergeCell ref="L679:M679"/>
    <mergeCell ref="N679:O679"/>
    <mergeCell ref="F680:G680"/>
    <mergeCell ref="H680:I680"/>
    <mergeCell ref="J680:K680"/>
    <mergeCell ref="L680:M680"/>
    <mergeCell ref="N680:O680"/>
    <mergeCell ref="F685:G685"/>
    <mergeCell ref="H685:I685"/>
    <mergeCell ref="J685:K685"/>
    <mergeCell ref="L685:M685"/>
    <mergeCell ref="N685:O685"/>
    <mergeCell ref="F686:G686"/>
    <mergeCell ref="H686:I686"/>
    <mergeCell ref="J686:K686"/>
    <mergeCell ref="L686:M686"/>
    <mergeCell ref="N686:O686"/>
    <mergeCell ref="F683:G683"/>
    <mergeCell ref="H683:I683"/>
    <mergeCell ref="J683:K683"/>
    <mergeCell ref="L683:M683"/>
    <mergeCell ref="N683:O683"/>
    <mergeCell ref="F684:G684"/>
    <mergeCell ref="H684:I684"/>
    <mergeCell ref="J684:K684"/>
    <mergeCell ref="L684:M684"/>
    <mergeCell ref="N684:O684"/>
    <mergeCell ref="F689:G689"/>
    <mergeCell ref="H689:I689"/>
    <mergeCell ref="J689:K689"/>
    <mergeCell ref="L689:M689"/>
    <mergeCell ref="N689:O689"/>
    <mergeCell ref="F690:G690"/>
    <mergeCell ref="H690:I690"/>
    <mergeCell ref="J690:K690"/>
    <mergeCell ref="L690:M690"/>
    <mergeCell ref="N690:O690"/>
    <mergeCell ref="F687:G687"/>
    <mergeCell ref="H687:I687"/>
    <mergeCell ref="J687:K687"/>
    <mergeCell ref="L687:M687"/>
    <mergeCell ref="N687:O687"/>
    <mergeCell ref="F688:G688"/>
    <mergeCell ref="H688:I688"/>
    <mergeCell ref="J688:K688"/>
    <mergeCell ref="L688:M688"/>
    <mergeCell ref="N688:O688"/>
    <mergeCell ref="F693:G693"/>
    <mergeCell ref="H693:I693"/>
    <mergeCell ref="J693:K693"/>
    <mergeCell ref="L693:M693"/>
    <mergeCell ref="N693:O693"/>
    <mergeCell ref="F694:G694"/>
    <mergeCell ref="H694:I694"/>
    <mergeCell ref="J694:K694"/>
    <mergeCell ref="L694:M694"/>
    <mergeCell ref="N694:O694"/>
    <mergeCell ref="F691:G691"/>
    <mergeCell ref="H691:I691"/>
    <mergeCell ref="J691:K691"/>
    <mergeCell ref="L691:M691"/>
    <mergeCell ref="N691:O691"/>
    <mergeCell ref="F692:G692"/>
    <mergeCell ref="H692:I692"/>
    <mergeCell ref="J692:K692"/>
    <mergeCell ref="L692:M692"/>
    <mergeCell ref="N692:O692"/>
    <mergeCell ref="F697:G697"/>
    <mergeCell ref="H697:I697"/>
    <mergeCell ref="J697:K697"/>
    <mergeCell ref="L697:M697"/>
    <mergeCell ref="N697:O697"/>
    <mergeCell ref="F698:G698"/>
    <mergeCell ref="H698:I698"/>
    <mergeCell ref="J698:K698"/>
    <mergeCell ref="L698:M698"/>
    <mergeCell ref="N698:O698"/>
    <mergeCell ref="F695:G695"/>
    <mergeCell ref="H695:I695"/>
    <mergeCell ref="J695:K695"/>
    <mergeCell ref="L695:M695"/>
    <mergeCell ref="N695:O695"/>
    <mergeCell ref="F696:G696"/>
    <mergeCell ref="H696:I696"/>
    <mergeCell ref="J696:K696"/>
    <mergeCell ref="L696:M696"/>
    <mergeCell ref="N696:O696"/>
    <mergeCell ref="F701:G701"/>
    <mergeCell ref="H701:I701"/>
    <mergeCell ref="J701:K701"/>
    <mergeCell ref="L701:M701"/>
    <mergeCell ref="N701:O701"/>
    <mergeCell ref="F702:G702"/>
    <mergeCell ref="H702:I702"/>
    <mergeCell ref="J702:K702"/>
    <mergeCell ref="L702:M702"/>
    <mergeCell ref="N702:O702"/>
    <mergeCell ref="F699:G699"/>
    <mergeCell ref="H699:I699"/>
    <mergeCell ref="J699:K699"/>
    <mergeCell ref="L699:M699"/>
    <mergeCell ref="N699:O699"/>
    <mergeCell ref="F700:G700"/>
    <mergeCell ref="H700:I700"/>
    <mergeCell ref="J700:K700"/>
    <mergeCell ref="L700:M700"/>
    <mergeCell ref="N700:O700"/>
    <mergeCell ref="F705:G705"/>
    <mergeCell ref="H705:I705"/>
    <mergeCell ref="J705:K705"/>
    <mergeCell ref="L705:M705"/>
    <mergeCell ref="N705:O705"/>
    <mergeCell ref="F706:G706"/>
    <mergeCell ref="H706:I706"/>
    <mergeCell ref="J706:K706"/>
    <mergeCell ref="L706:M706"/>
    <mergeCell ref="N706:O706"/>
    <mergeCell ref="F703:G703"/>
    <mergeCell ref="H703:I703"/>
    <mergeCell ref="J703:K703"/>
    <mergeCell ref="L703:M703"/>
    <mergeCell ref="N703:O703"/>
    <mergeCell ref="F704:G704"/>
    <mergeCell ref="H704:I704"/>
    <mergeCell ref="J704:K704"/>
    <mergeCell ref="L704:M704"/>
    <mergeCell ref="N704:O704"/>
    <mergeCell ref="F709:G709"/>
    <mergeCell ref="H709:I709"/>
    <mergeCell ref="J709:K709"/>
    <mergeCell ref="L709:M709"/>
    <mergeCell ref="N709:O709"/>
    <mergeCell ref="F710:G710"/>
    <mergeCell ref="H710:I710"/>
    <mergeCell ref="J710:K710"/>
    <mergeCell ref="L710:M710"/>
    <mergeCell ref="N710:O710"/>
    <mergeCell ref="F707:G707"/>
    <mergeCell ref="H707:I707"/>
    <mergeCell ref="J707:K707"/>
    <mergeCell ref="L707:M707"/>
    <mergeCell ref="N707:O707"/>
    <mergeCell ref="F708:G708"/>
    <mergeCell ref="H708:I708"/>
    <mergeCell ref="J708:K708"/>
    <mergeCell ref="L708:M708"/>
    <mergeCell ref="N708:O708"/>
    <mergeCell ref="F713:G713"/>
    <mergeCell ref="H713:I713"/>
    <mergeCell ref="J713:K713"/>
    <mergeCell ref="L713:M713"/>
    <mergeCell ref="N713:O713"/>
    <mergeCell ref="F714:G714"/>
    <mergeCell ref="H714:I714"/>
    <mergeCell ref="J714:K714"/>
    <mergeCell ref="L714:M714"/>
    <mergeCell ref="N714:O714"/>
    <mergeCell ref="F711:G711"/>
    <mergeCell ref="H711:I711"/>
    <mergeCell ref="J711:K711"/>
    <mergeCell ref="L711:M711"/>
    <mergeCell ref="N711:O711"/>
    <mergeCell ref="F712:G712"/>
    <mergeCell ref="H712:I712"/>
    <mergeCell ref="J712:K712"/>
    <mergeCell ref="L712:M712"/>
    <mergeCell ref="N712:O712"/>
    <mergeCell ref="F717:G717"/>
    <mergeCell ref="H717:I717"/>
    <mergeCell ref="J717:K717"/>
    <mergeCell ref="L717:M717"/>
    <mergeCell ref="N717:O717"/>
    <mergeCell ref="F718:G718"/>
    <mergeCell ref="H718:I718"/>
    <mergeCell ref="J718:K718"/>
    <mergeCell ref="L718:M718"/>
    <mergeCell ref="N718:O718"/>
    <mergeCell ref="F715:G715"/>
    <mergeCell ref="H715:I715"/>
    <mergeCell ref="J715:K715"/>
    <mergeCell ref="L715:M715"/>
    <mergeCell ref="N715:O715"/>
    <mergeCell ref="F716:G716"/>
    <mergeCell ref="H716:I716"/>
    <mergeCell ref="J716:K716"/>
    <mergeCell ref="L716:M716"/>
    <mergeCell ref="N716:O716"/>
    <mergeCell ref="F721:G721"/>
    <mergeCell ref="H721:I721"/>
    <mergeCell ref="J721:K721"/>
    <mergeCell ref="L721:M721"/>
    <mergeCell ref="N721:O721"/>
    <mergeCell ref="F722:G722"/>
    <mergeCell ref="H722:I722"/>
    <mergeCell ref="J722:K722"/>
    <mergeCell ref="L722:M722"/>
    <mergeCell ref="N722:O722"/>
    <mergeCell ref="F719:G719"/>
    <mergeCell ref="H719:I719"/>
    <mergeCell ref="J719:K719"/>
    <mergeCell ref="L719:M719"/>
    <mergeCell ref="N719:O719"/>
    <mergeCell ref="F720:G720"/>
    <mergeCell ref="H720:I720"/>
    <mergeCell ref="J720:K720"/>
    <mergeCell ref="L720:M720"/>
    <mergeCell ref="N720:O720"/>
    <mergeCell ref="F725:G725"/>
    <mergeCell ref="H725:I725"/>
    <mergeCell ref="J725:K725"/>
    <mergeCell ref="L725:M725"/>
    <mergeCell ref="N725:O725"/>
    <mergeCell ref="F726:G726"/>
    <mergeCell ref="H726:I726"/>
    <mergeCell ref="J726:K726"/>
    <mergeCell ref="L726:M726"/>
    <mergeCell ref="N726:O726"/>
    <mergeCell ref="F723:G723"/>
    <mergeCell ref="H723:I723"/>
    <mergeCell ref="J723:K723"/>
    <mergeCell ref="L723:M723"/>
    <mergeCell ref="N723:O723"/>
    <mergeCell ref="F724:G724"/>
    <mergeCell ref="H724:I724"/>
    <mergeCell ref="J724:K724"/>
    <mergeCell ref="L724:M724"/>
    <mergeCell ref="N724:O724"/>
    <mergeCell ref="F729:G729"/>
    <mergeCell ref="H729:I729"/>
    <mergeCell ref="J729:K729"/>
    <mergeCell ref="L729:M729"/>
    <mergeCell ref="N729:O729"/>
    <mergeCell ref="F730:G730"/>
    <mergeCell ref="H730:I730"/>
    <mergeCell ref="J730:K730"/>
    <mergeCell ref="L730:M730"/>
    <mergeCell ref="N730:O730"/>
    <mergeCell ref="F727:G727"/>
    <mergeCell ref="H727:I727"/>
    <mergeCell ref="J727:K727"/>
    <mergeCell ref="L727:M727"/>
    <mergeCell ref="N727:O727"/>
    <mergeCell ref="F728:G728"/>
    <mergeCell ref="H728:I728"/>
    <mergeCell ref="J728:K728"/>
    <mergeCell ref="L728:M728"/>
    <mergeCell ref="N728:O728"/>
    <mergeCell ref="F733:G733"/>
    <mergeCell ref="H733:I733"/>
    <mergeCell ref="J733:K733"/>
    <mergeCell ref="L733:M733"/>
    <mergeCell ref="N733:O733"/>
    <mergeCell ref="F734:G734"/>
    <mergeCell ref="H734:I734"/>
    <mergeCell ref="J734:K734"/>
    <mergeCell ref="L734:M734"/>
    <mergeCell ref="N734:O734"/>
    <mergeCell ref="F731:G731"/>
    <mergeCell ref="H731:I731"/>
    <mergeCell ref="J731:K731"/>
    <mergeCell ref="L731:M731"/>
    <mergeCell ref="N731:O731"/>
    <mergeCell ref="F732:G732"/>
    <mergeCell ref="H732:I732"/>
    <mergeCell ref="J732:K732"/>
    <mergeCell ref="L732:M732"/>
    <mergeCell ref="N732:O732"/>
    <mergeCell ref="F737:G737"/>
    <mergeCell ref="H737:I737"/>
    <mergeCell ref="J737:K737"/>
    <mergeCell ref="L737:M737"/>
    <mergeCell ref="N737:O737"/>
    <mergeCell ref="F738:G738"/>
    <mergeCell ref="H738:I738"/>
    <mergeCell ref="J738:K738"/>
    <mergeCell ref="L738:M738"/>
    <mergeCell ref="N738:O738"/>
    <mergeCell ref="F735:G735"/>
    <mergeCell ref="H735:I735"/>
    <mergeCell ref="J735:K735"/>
    <mergeCell ref="L735:M735"/>
    <mergeCell ref="N735:O735"/>
    <mergeCell ref="F736:G736"/>
    <mergeCell ref="H736:I736"/>
    <mergeCell ref="J736:K736"/>
    <mergeCell ref="L736:M736"/>
    <mergeCell ref="N736:O736"/>
    <mergeCell ref="F741:G741"/>
    <mergeCell ref="H741:I741"/>
    <mergeCell ref="J741:K741"/>
    <mergeCell ref="L741:M741"/>
    <mergeCell ref="N741:O741"/>
    <mergeCell ref="F742:G742"/>
    <mergeCell ref="H742:I742"/>
    <mergeCell ref="J742:K742"/>
    <mergeCell ref="L742:M742"/>
    <mergeCell ref="N742:O742"/>
    <mergeCell ref="F739:G739"/>
    <mergeCell ref="H739:I739"/>
    <mergeCell ref="J739:K739"/>
    <mergeCell ref="L739:M739"/>
    <mergeCell ref="N739:O739"/>
    <mergeCell ref="F740:G740"/>
    <mergeCell ref="H740:I740"/>
    <mergeCell ref="J740:K740"/>
    <mergeCell ref="L740:M740"/>
    <mergeCell ref="N740:O740"/>
    <mergeCell ref="F745:G745"/>
    <mergeCell ref="H745:I745"/>
    <mergeCell ref="J745:K745"/>
    <mergeCell ref="L745:M745"/>
    <mergeCell ref="N745:O745"/>
    <mergeCell ref="F746:G746"/>
    <mergeCell ref="H746:I746"/>
    <mergeCell ref="J746:K746"/>
    <mergeCell ref="L746:M746"/>
    <mergeCell ref="N746:O746"/>
    <mergeCell ref="F743:G743"/>
    <mergeCell ref="H743:I743"/>
    <mergeCell ref="J743:K743"/>
    <mergeCell ref="L743:M743"/>
    <mergeCell ref="N743:O743"/>
    <mergeCell ref="F744:G744"/>
    <mergeCell ref="H744:I744"/>
    <mergeCell ref="J744:K744"/>
    <mergeCell ref="L744:M744"/>
    <mergeCell ref="N744:O744"/>
    <mergeCell ref="F749:G749"/>
    <mergeCell ref="H749:I749"/>
    <mergeCell ref="J749:K749"/>
    <mergeCell ref="L749:M749"/>
    <mergeCell ref="N749:O749"/>
    <mergeCell ref="F750:G750"/>
    <mergeCell ref="H750:I750"/>
    <mergeCell ref="J750:K750"/>
    <mergeCell ref="L750:M750"/>
    <mergeCell ref="N750:O750"/>
    <mergeCell ref="F747:G747"/>
    <mergeCell ref="H747:I747"/>
    <mergeCell ref="J747:K747"/>
    <mergeCell ref="L747:M747"/>
    <mergeCell ref="N747:O747"/>
    <mergeCell ref="F748:G748"/>
    <mergeCell ref="H748:I748"/>
    <mergeCell ref="J748:K748"/>
    <mergeCell ref="L748:M748"/>
    <mergeCell ref="N748:O748"/>
    <mergeCell ref="F753:G753"/>
    <mergeCell ref="H753:I753"/>
    <mergeCell ref="J753:K753"/>
    <mergeCell ref="L753:M753"/>
    <mergeCell ref="N753:O753"/>
    <mergeCell ref="F754:G754"/>
    <mergeCell ref="H754:I754"/>
    <mergeCell ref="J754:K754"/>
    <mergeCell ref="L754:M754"/>
    <mergeCell ref="N754:O754"/>
    <mergeCell ref="F751:G751"/>
    <mergeCell ref="H751:I751"/>
    <mergeCell ref="J751:K751"/>
    <mergeCell ref="L751:M751"/>
    <mergeCell ref="N751:O751"/>
    <mergeCell ref="F752:G752"/>
    <mergeCell ref="H752:I752"/>
    <mergeCell ref="J752:K752"/>
    <mergeCell ref="L752:M752"/>
    <mergeCell ref="N752:O752"/>
    <mergeCell ref="F757:G757"/>
    <mergeCell ref="H757:I757"/>
    <mergeCell ref="J757:K757"/>
    <mergeCell ref="L757:M757"/>
    <mergeCell ref="N757:O757"/>
    <mergeCell ref="F758:G758"/>
    <mergeCell ref="H758:I758"/>
    <mergeCell ref="J758:K758"/>
    <mergeCell ref="L758:M758"/>
    <mergeCell ref="N758:O758"/>
    <mergeCell ref="F755:G755"/>
    <mergeCell ref="H755:I755"/>
    <mergeCell ref="J755:K755"/>
    <mergeCell ref="L755:M755"/>
    <mergeCell ref="N755:O755"/>
    <mergeCell ref="F756:G756"/>
    <mergeCell ref="H756:I756"/>
    <mergeCell ref="J756:K756"/>
    <mergeCell ref="L756:M756"/>
    <mergeCell ref="N756:O756"/>
    <mergeCell ref="F761:G761"/>
    <mergeCell ref="H761:I761"/>
    <mergeCell ref="J761:K761"/>
    <mergeCell ref="L761:M761"/>
    <mergeCell ref="N761:O761"/>
    <mergeCell ref="F762:G762"/>
    <mergeCell ref="H762:I762"/>
    <mergeCell ref="J762:K762"/>
    <mergeCell ref="L762:M762"/>
    <mergeCell ref="N762:O762"/>
    <mergeCell ref="F759:G759"/>
    <mergeCell ref="H759:I759"/>
    <mergeCell ref="J759:K759"/>
    <mergeCell ref="L759:M759"/>
    <mergeCell ref="N759:O759"/>
    <mergeCell ref="F760:G760"/>
    <mergeCell ref="H760:I760"/>
    <mergeCell ref="J760:K760"/>
    <mergeCell ref="L760:M760"/>
    <mergeCell ref="N760:O760"/>
    <mergeCell ref="F765:G765"/>
    <mergeCell ref="H765:I765"/>
    <mergeCell ref="J765:K765"/>
    <mergeCell ref="L765:M765"/>
    <mergeCell ref="N765:O765"/>
    <mergeCell ref="F766:G766"/>
    <mergeCell ref="H766:I766"/>
    <mergeCell ref="J766:K766"/>
    <mergeCell ref="L766:M766"/>
    <mergeCell ref="N766:O766"/>
    <mergeCell ref="F763:G763"/>
    <mergeCell ref="H763:I763"/>
    <mergeCell ref="J763:K763"/>
    <mergeCell ref="L763:M763"/>
    <mergeCell ref="N763:O763"/>
    <mergeCell ref="F764:G764"/>
    <mergeCell ref="H764:I764"/>
    <mergeCell ref="J764:K764"/>
    <mergeCell ref="L764:M764"/>
    <mergeCell ref="N764:O764"/>
    <mergeCell ref="F769:G769"/>
    <mergeCell ref="H769:I769"/>
    <mergeCell ref="J769:K769"/>
    <mergeCell ref="L769:M769"/>
    <mergeCell ref="N769:O769"/>
    <mergeCell ref="F770:G770"/>
    <mergeCell ref="H770:I770"/>
    <mergeCell ref="J770:K770"/>
    <mergeCell ref="L770:M770"/>
    <mergeCell ref="N770:O770"/>
    <mergeCell ref="F767:G767"/>
    <mergeCell ref="H767:I767"/>
    <mergeCell ref="J767:K767"/>
    <mergeCell ref="L767:M767"/>
    <mergeCell ref="N767:O767"/>
    <mergeCell ref="F768:G768"/>
    <mergeCell ref="H768:I768"/>
    <mergeCell ref="J768:K768"/>
    <mergeCell ref="L768:M768"/>
    <mergeCell ref="N768:O768"/>
    <mergeCell ref="F773:G773"/>
    <mergeCell ref="H773:I773"/>
    <mergeCell ref="J773:K773"/>
    <mergeCell ref="L773:M773"/>
    <mergeCell ref="N773:O773"/>
    <mergeCell ref="F774:G774"/>
    <mergeCell ref="H774:I774"/>
    <mergeCell ref="J774:K774"/>
    <mergeCell ref="L774:M774"/>
    <mergeCell ref="N774:O774"/>
    <mergeCell ref="F771:G771"/>
    <mergeCell ref="H771:I771"/>
    <mergeCell ref="J771:K771"/>
    <mergeCell ref="L771:M771"/>
    <mergeCell ref="N771:O771"/>
    <mergeCell ref="F772:G772"/>
    <mergeCell ref="H772:I772"/>
    <mergeCell ref="J772:K772"/>
    <mergeCell ref="L772:M772"/>
    <mergeCell ref="N772:O772"/>
    <mergeCell ref="F777:G777"/>
    <mergeCell ref="H777:I777"/>
    <mergeCell ref="J777:K777"/>
    <mergeCell ref="L777:M777"/>
    <mergeCell ref="N777:O777"/>
    <mergeCell ref="F786:G786"/>
    <mergeCell ref="H786:I786"/>
    <mergeCell ref="J786:K786"/>
    <mergeCell ref="L786:M786"/>
    <mergeCell ref="N786:O786"/>
    <mergeCell ref="F783:G783"/>
    <mergeCell ref="H783:I783"/>
    <mergeCell ref="J783:K783"/>
    <mergeCell ref="F778:G778"/>
    <mergeCell ref="H778:I778"/>
    <mergeCell ref="J778:K778"/>
    <mergeCell ref="L778:M778"/>
    <mergeCell ref="N778:O778"/>
    <mergeCell ref="F775:G775"/>
    <mergeCell ref="H775:I775"/>
    <mergeCell ref="J775:K775"/>
    <mergeCell ref="L775:M775"/>
    <mergeCell ref="N775:O775"/>
    <mergeCell ref="F776:G776"/>
    <mergeCell ref="H776:I776"/>
    <mergeCell ref="J776:K776"/>
    <mergeCell ref="L776:M776"/>
    <mergeCell ref="N776:O776"/>
    <mergeCell ref="F781:G781"/>
    <mergeCell ref="H781:I781"/>
    <mergeCell ref="J781:K781"/>
    <mergeCell ref="L781:M781"/>
    <mergeCell ref="N781:O781"/>
    <mergeCell ref="F782:G782"/>
    <mergeCell ref="H782:I782"/>
    <mergeCell ref="J782:K782"/>
    <mergeCell ref="L782:M782"/>
    <mergeCell ref="N782:O782"/>
    <mergeCell ref="F779:G779"/>
    <mergeCell ref="H779:I779"/>
    <mergeCell ref="J779:K779"/>
    <mergeCell ref="L779:M779"/>
    <mergeCell ref="N779:O779"/>
    <mergeCell ref="F780:G780"/>
    <mergeCell ref="H780:I780"/>
    <mergeCell ref="J780:K780"/>
    <mergeCell ref="L780:M780"/>
    <mergeCell ref="N780:O780"/>
    <mergeCell ref="F785:G785"/>
    <mergeCell ref="H785:I785"/>
    <mergeCell ref="J785:K785"/>
    <mergeCell ref="L785:M785"/>
    <mergeCell ref="N785:O785"/>
    <mergeCell ref="L783:M783"/>
    <mergeCell ref="N783:O783"/>
    <mergeCell ref="F784:G784"/>
    <mergeCell ref="H784:I784"/>
    <mergeCell ref="J784:K784"/>
    <mergeCell ref="L784:M784"/>
    <mergeCell ref="N784:O784"/>
    <mergeCell ref="F791:G791"/>
    <mergeCell ref="H791:I791"/>
    <mergeCell ref="J791:K791"/>
    <mergeCell ref="L791:M791"/>
    <mergeCell ref="N791:O791"/>
    <mergeCell ref="F789:G789"/>
    <mergeCell ref="H789:I789"/>
    <mergeCell ref="J789:K789"/>
    <mergeCell ref="L789:M789"/>
    <mergeCell ref="N789:O789"/>
    <mergeCell ref="F790:G790"/>
    <mergeCell ref="H790:I790"/>
    <mergeCell ref="J790:K790"/>
    <mergeCell ref="L790:M790"/>
    <mergeCell ref="N790:O790"/>
    <mergeCell ref="F787:G787"/>
    <mergeCell ref="H787:I787"/>
    <mergeCell ref="J787:K787"/>
    <mergeCell ref="L787:M787"/>
    <mergeCell ref="N787:O787"/>
    <mergeCell ref="F788:G788"/>
    <mergeCell ref="H788:I788"/>
    <mergeCell ref="J788:K788"/>
    <mergeCell ref="L788:M788"/>
    <mergeCell ref="N788:O788"/>
  </mergeCells>
  <dataValidations count="3">
    <dataValidation type="list" allowBlank="1" showInputMessage="1" showErrorMessage="1" sqref="F473:O473 F479:O479 F476:O476 F38:O38 F32:O32 F41:O41 F44:O44 F47:O47 F50:O50 F53:O53 F56:O56 F59:O59 F62:O62 F65:O65 F68:O68 F71:O71 F74:O74 F77:O77 F80:O80 F83:O83 F86:O86 F89:O89 F92:O92 F95:O95 F98:O98 F101:O101 F104:O104 F107:O107 F110:O110 F113:O113 F116:O116 F119:O119 F122:O122 F125:O125 F128:O128 F131:O131 F134:O134 F137:O137 F140:O140 F143:O143 F146:O146 F149:O149 F152:O152 F155:O155 F158:O158 F161:O161 F164:O164 F167:O167 F170:O170 F173:O173 F176:O176 F179:O179 F182:O182 F185:O185 F188:O188 F191:O191 F194:O194 F197:O197 F200:O200 F203:O203 F206:O206 F209:O209 F212:O212 F215:O215 F218:O218 F221:O221 F224:O224 F227:O227 F230:O230 F233:O233 F236:O236 F239:O239 F242:O242 F245:O245 F248:O248 F251:O251 F254:O254 F257:O257 F260:O260 F263:O263 F266:O266 F269:O269 F272:O272 F275:O275 F278:O278 F281:O281 F284:O284 F287:O287 F290:O290 F293:O293 F296:O296 F299:O299 F302:O302 F305:O305 F308:O308 F311:O311 F314:O314 F317:O317 F320:O320 F323:O323 F326:O326 F329:O329 F332:O332 F335:O335 F338:O338 F341:O341 F344:O344 F347:O347 F350:O350 F353:O353 F356:O356 F359:O359 F362:O362 F365:O365 F368:O368 F371:O371 F374:O374 F377:O377 F380:O380 F383:O383 F386:O386 F389:O389 F392:O392 F395:O395 F398:O398 F401:O401 F404:O404 F407:O407 F410:O410 F413:O413 F416:O416 F419:O419 F422:O422 F425:O425 F428:O428 F431:O431 F434:O434 F437:O437 F440:O440 F443:O443 F446:O446 F449:O449 F452:O452 F455:O455 F458:O458 F461:O461 F464:O464 F467:O467 F470:O470 F35:O35" xr:uid="{00000000-0002-0000-0900-000000000000}">
      <formula1>"A,B"</formula1>
    </dataValidation>
    <dataValidation type="list" allowBlank="1" showInputMessage="1" showErrorMessage="1" sqref="C19 C21" xr:uid="{00000000-0002-0000-0900-000001000000}">
      <formula1>"Yes,No"</formula1>
    </dataValidation>
    <dataValidation type="list" allowBlank="1" showInputMessage="1" showErrorMessage="1" sqref="B788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B492 B494 B496 B498 B500 B502 B504 B506 B508 B510 B512 B514 B516 B518 B520 B522 B524 B526 B528 B530 B532 B534 B536 B538 B540 B542 B544 B546 B548 B550 B552 B554 B556 B558 B560 B562 B564 B566 B568 B570 B572 B574 B576 B578 B580 B582 B584 B586 B588 B590 B592 B594 B596 B598 B600 B602 B604 B606 B608 B610 B612 B614 B616 B618 B620 B622 B624 B626 B628 B630 B632 B634 B636 B638 B640 B642 B644 B646 B648 B650 B652 B654 B656 B658 B660 B662 B664 B666 B668 B670 B672 B674 B676 B678 B680 B682 B684 B686 B688 B690 B692 B694 B696 B698 B700 B702 B704 B706 B708 B710 B712 B714 B716 B718 B720 B722 B724 B726 B728 B730 B732 B734 B736 B738 B740 B742 B744 B746 B748 B750 B752 B754 B756 B758 B760 B762 B764 B766 B768 B770 B772 B774 B776 B778 B780 B782 B784 B786 B790" xr:uid="{5A725446-60AD-4F9A-A0BA-7AF305EC943E}">
      <formula1>listdata</formula1>
    </dataValidation>
  </dataValidations>
  <pageMargins left="0.7" right="0.7" top="0.75" bottom="0.75" header="0.3" footer="0.3"/>
  <pageSetup paperSize="17" scale="4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Button 1">
              <controlPr defaultSize="0" print="0" autoFill="0" autoPict="0" macro="[0]!ClrAll3a_Click">
                <anchor moveWithCells="1" sizeWithCells="1">
                  <from>
                    <xdr:col>3</xdr:col>
                    <xdr:colOff>508000</xdr:colOff>
                    <xdr:row>24</xdr:row>
                    <xdr:rowOff>31750</xdr:rowOff>
                  </from>
                  <to>
                    <xdr:col>3</xdr:col>
                    <xdr:colOff>2222500</xdr:colOff>
                    <xdr:row>25</xdr:row>
                    <xdr:rowOff>0</xdr:rowOff>
                  </to>
                </anchor>
              </controlPr>
            </control>
          </mc:Choice>
        </mc:AlternateContent>
        <mc:AlternateContent xmlns:mc="http://schemas.openxmlformats.org/markup-compatibility/2006">
          <mc:Choice Requires="x14">
            <control shapeId="34818" r:id="rId5" name="Button 2">
              <controlPr defaultSize="0" print="0" autoFill="0" autoPict="0" macro="[0]!ClrAll3b_Click">
                <anchor moveWithCells="1" sizeWithCells="1">
                  <from>
                    <xdr:col>3</xdr:col>
                    <xdr:colOff>476250</xdr:colOff>
                    <xdr:row>486</xdr:row>
                    <xdr:rowOff>184150</xdr:rowOff>
                  </from>
                  <to>
                    <xdr:col>3</xdr:col>
                    <xdr:colOff>2190750</xdr:colOff>
                    <xdr:row>486</xdr:row>
                    <xdr:rowOff>533400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dimension ref="A13:N184"/>
  <sheetViews>
    <sheetView showGridLines="0" topLeftCell="A16" zoomScale="90" zoomScaleNormal="90" workbookViewId="0">
      <selection activeCell="C29" sqref="C29"/>
    </sheetView>
  </sheetViews>
  <sheetFormatPr defaultColWidth="9" defaultRowHeight="14.5" x14ac:dyDescent="0.35"/>
  <cols>
    <col min="1" max="1" width="55.81640625" style="403" customWidth="1"/>
    <col min="2" max="2" width="9.81640625" style="403" customWidth="1"/>
    <col min="3" max="3" width="31" style="403" bestFit="1" customWidth="1"/>
    <col min="4" max="4" width="31" style="403" customWidth="1"/>
    <col min="5" max="5" width="27.26953125" style="403" customWidth="1"/>
    <col min="6" max="6" width="28.54296875" style="403" hidden="1" customWidth="1"/>
    <col min="7" max="8" width="28.26953125" style="403" hidden="1" customWidth="1"/>
    <col min="9" max="9" width="30.26953125" style="403" customWidth="1"/>
    <col min="10" max="10" width="24.81640625" style="403" customWidth="1"/>
    <col min="11" max="11" width="10" style="403" customWidth="1"/>
    <col min="12" max="13" width="9" style="403"/>
    <col min="14" max="14" width="32.26953125" style="403" customWidth="1"/>
    <col min="15" max="16384" width="9" style="403"/>
  </cols>
  <sheetData>
    <row r="13" spans="1:9" ht="19" customHeight="1" x14ac:dyDescent="0.35">
      <c r="A13" s="402"/>
      <c r="B13" s="402"/>
      <c r="C13" s="402"/>
      <c r="D13" s="402"/>
      <c r="E13" s="402"/>
      <c r="F13" s="402"/>
    </row>
    <row r="14" spans="1:9" ht="111" customHeight="1" x14ac:dyDescent="0.35">
      <c r="A14" s="1217" t="s">
        <v>454</v>
      </c>
      <c r="B14" s="1217"/>
      <c r="C14" s="1217"/>
      <c r="D14" s="1217"/>
      <c r="E14" s="1218"/>
      <c r="F14" s="1218"/>
    </row>
    <row r="15" spans="1:9" x14ac:dyDescent="0.35">
      <c r="A15" s="404"/>
      <c r="B15" s="404"/>
      <c r="C15" s="404"/>
      <c r="D15" s="404"/>
      <c r="E15" s="405"/>
      <c r="F15" s="405"/>
    </row>
    <row r="16" spans="1:9" ht="30" customHeight="1" x14ac:dyDescent="0.35">
      <c r="A16" s="406" t="s">
        <v>2869</v>
      </c>
      <c r="B16" s="407">
        <f>'1. Information Sheet'!L33</f>
        <v>2021</v>
      </c>
      <c r="C16" s="1219"/>
      <c r="D16" s="1220"/>
      <c r="E16" s="1220"/>
      <c r="F16" s="1220"/>
      <c r="G16" s="1220"/>
      <c r="H16" s="1220"/>
      <c r="I16" s="1220"/>
    </row>
    <row r="17" spans="1:14" ht="39.75" customHeight="1" x14ac:dyDescent="0.35">
      <c r="A17" s="1217" t="s">
        <v>360</v>
      </c>
      <c r="B17" s="1217"/>
      <c r="C17" s="1217"/>
      <c r="D17" s="1217"/>
      <c r="E17" s="1217"/>
      <c r="F17" s="1217"/>
    </row>
    <row r="18" spans="1:14" x14ac:dyDescent="0.35">
      <c r="B18" s="408"/>
      <c r="C18" s="409" t="s">
        <v>52</v>
      </c>
      <c r="D18" s="410">
        <v>2023</v>
      </c>
      <c r="E18" s="410">
        <v>2022</v>
      </c>
      <c r="F18" s="410">
        <v>2020</v>
      </c>
      <c r="G18" s="410">
        <v>2019</v>
      </c>
      <c r="H18" s="411">
        <v>2018</v>
      </c>
    </row>
    <row r="19" spans="1:14" ht="17.25" customHeight="1" x14ac:dyDescent="0.35">
      <c r="A19" s="412" t="s">
        <v>455</v>
      </c>
      <c r="B19" s="413" t="s">
        <v>186</v>
      </c>
      <c r="C19" s="414">
        <f>SUM(D19:E19)</f>
        <v>25514983242.305832</v>
      </c>
      <c r="D19" s="415">
        <v>12626985983.673824</v>
      </c>
      <c r="E19" s="415">
        <v>12887997258.632006</v>
      </c>
      <c r="F19" s="415"/>
      <c r="G19" s="415"/>
      <c r="H19" s="415"/>
    </row>
    <row r="20" spans="1:14" s="418" customFormat="1" ht="15" customHeight="1" x14ac:dyDescent="0.35">
      <c r="A20" s="416" t="s">
        <v>456</v>
      </c>
      <c r="B20" s="413" t="s">
        <v>187</v>
      </c>
      <c r="C20" s="414">
        <f>SUM(D20:E20)</f>
        <v>717288417</v>
      </c>
      <c r="D20" s="417">
        <v>252657020</v>
      </c>
      <c r="E20" s="417">
        <v>464631397</v>
      </c>
      <c r="F20" s="417">
        <v>0</v>
      </c>
      <c r="G20" s="417">
        <v>0</v>
      </c>
      <c r="H20" s="417">
        <v>0</v>
      </c>
    </row>
    <row r="21" spans="1:14" s="418" customFormat="1" x14ac:dyDescent="0.35">
      <c r="A21" s="416" t="s">
        <v>457</v>
      </c>
      <c r="B21" s="413" t="s">
        <v>192</v>
      </c>
      <c r="C21" s="414">
        <f>SUM(D21:E21)</f>
        <v>10546804141.160988</v>
      </c>
      <c r="D21" s="417">
        <f t="array" ref="D21">SUM(IF('6. Class A Consumption Data'!C492:C791="kWh",'6. Class A Consumption Data'!F492:F791))</f>
        <v>5377607998.8941364</v>
      </c>
      <c r="E21" s="417">
        <f t="array" ref="E21">SUM(IF('6. Class A Consumption Data'!C492:C791="kWh",'6. Class A Consumption Data'!H492:H791))</f>
        <v>5169196142.2668524</v>
      </c>
      <c r="F21" s="417">
        <f t="array" ref="F21">SUM(IF('6. Class A Consumption Data'!C492:C791="kWh",'6. Class A Consumption Data'!J492:J791))</f>
        <v>0</v>
      </c>
      <c r="G21" s="417">
        <f t="array" ref="G21">SUM(IF('6. Class A Consumption Data'!C492:C791="kWh",'6. Class A Consumption Data'!L492:L791))</f>
        <v>0</v>
      </c>
      <c r="H21" s="417">
        <f t="array" ref="H21">SUM(IF('6. Class A Consumption Data'!C492:C791="kWh",'6. Class A Consumption Data'!N492:N791))</f>
        <v>0</v>
      </c>
    </row>
    <row r="22" spans="1:14" s="418" customFormat="1" ht="26.5" x14ac:dyDescent="0.35">
      <c r="A22" s="419" t="s">
        <v>458</v>
      </c>
      <c r="B22" s="413" t="s">
        <v>459</v>
      </c>
      <c r="C22" s="414">
        <f>SUM(D22:E22)</f>
        <v>14250890684.14484</v>
      </c>
      <c r="D22" s="420">
        <f>D19-D20-D21</f>
        <v>6996720964.7796879</v>
      </c>
      <c r="E22" s="420">
        <f>E19-E20-E21</f>
        <v>7254169719.3651533</v>
      </c>
      <c r="F22" s="420">
        <f>F19-F20-F21</f>
        <v>0</v>
      </c>
      <c r="G22" s="420">
        <f>G19-G20-G21</f>
        <v>0</v>
      </c>
      <c r="H22" s="420">
        <f>H19-H20-H21</f>
        <v>0</v>
      </c>
    </row>
    <row r="23" spans="1:14" x14ac:dyDescent="0.35">
      <c r="A23" s="412" t="s">
        <v>460</v>
      </c>
      <c r="B23" s="413" t="s">
        <v>194</v>
      </c>
      <c r="C23" s="414">
        <f>SUM(D23:E23)</f>
        <v>676659324.91576004</v>
      </c>
      <c r="D23" s="421">
        <f>D184</f>
        <v>259718532.26953</v>
      </c>
      <c r="E23" s="421">
        <f>E184</f>
        <v>416940792.64623004</v>
      </c>
      <c r="F23" s="421">
        <f>F184</f>
        <v>0</v>
      </c>
      <c r="G23" s="421">
        <f>G184</f>
        <v>0</v>
      </c>
      <c r="H23" s="421">
        <f>H184</f>
        <v>0</v>
      </c>
    </row>
    <row r="24" spans="1:14" ht="15.75" customHeight="1" x14ac:dyDescent="0.35">
      <c r="A24" s="422" t="s">
        <v>361</v>
      </c>
      <c r="B24" s="413" t="s">
        <v>461</v>
      </c>
      <c r="C24" s="423">
        <f>IFERROR(+C23/C22,0)</f>
        <v>4.7481897090726623E-2</v>
      </c>
      <c r="D24" s="423"/>
      <c r="E24" s="423"/>
      <c r="F24" s="423"/>
      <c r="G24" s="424"/>
      <c r="H24" s="424"/>
    </row>
    <row r="25" spans="1:14" ht="39.75" customHeight="1" x14ac:dyDescent="0.35">
      <c r="A25" s="1221" t="s">
        <v>176</v>
      </c>
      <c r="B25" s="1221"/>
      <c r="C25" s="1221"/>
      <c r="D25" s="425"/>
      <c r="E25" s="402"/>
      <c r="F25" s="426"/>
    </row>
    <row r="26" spans="1:14" ht="15" hidden="1" thickBot="1" x14ac:dyDescent="0.4">
      <c r="A26" s="427"/>
      <c r="B26" s="427"/>
      <c r="C26" s="428"/>
      <c r="D26" s="428"/>
      <c r="E26" s="402"/>
      <c r="F26" s="402"/>
      <c r="N26" s="429"/>
    </row>
    <row r="27" spans="1:14" x14ac:dyDescent="0.35">
      <c r="A27" s="430" t="s">
        <v>177</v>
      </c>
      <c r="B27" s="568" t="s">
        <v>2903</v>
      </c>
      <c r="C27" s="569">
        <v>8494876.5904920567</v>
      </c>
      <c r="D27" s="431"/>
      <c r="E27" s="402"/>
      <c r="F27" s="402"/>
    </row>
    <row r="28" spans="1:14" x14ac:dyDescent="0.35">
      <c r="A28" s="432" t="s">
        <v>362</v>
      </c>
      <c r="B28" s="549" t="s">
        <v>2904</v>
      </c>
      <c r="C28" s="570">
        <f>+C24*C27</f>
        <v>403352.8560681665</v>
      </c>
      <c r="D28" s="433"/>
      <c r="E28" s="434"/>
      <c r="F28" s="402"/>
    </row>
    <row r="29" spans="1:14" ht="32.25" customHeight="1" x14ac:dyDescent="0.35">
      <c r="A29" s="432" t="s">
        <v>363</v>
      </c>
      <c r="B29" s="549" t="s">
        <v>2905</v>
      </c>
      <c r="C29" s="569">
        <f>+C27-C28</f>
        <v>8091523.7344238898</v>
      </c>
      <c r="D29" s="431"/>
      <c r="E29" s="402"/>
      <c r="F29" s="402"/>
    </row>
    <row r="30" spans="1:14" x14ac:dyDescent="0.35">
      <c r="A30" s="402"/>
      <c r="B30" s="402"/>
      <c r="C30" s="402"/>
      <c r="D30" s="402"/>
      <c r="E30" s="402"/>
      <c r="F30" s="402"/>
    </row>
    <row r="31" spans="1:14" x14ac:dyDescent="0.35">
      <c r="A31" s="1222" t="s">
        <v>364</v>
      </c>
      <c r="B31" s="1222"/>
      <c r="C31" s="1223"/>
      <c r="D31" s="1223"/>
      <c r="E31" s="1223"/>
      <c r="F31" s="402"/>
    </row>
    <row r="32" spans="1:14" x14ac:dyDescent="0.35">
      <c r="A32" s="435" t="s">
        <v>365</v>
      </c>
      <c r="B32" s="435"/>
      <c r="C32" s="436">
        <f>COUNTIF(C34:C183,"&lt;&gt;0")</f>
        <v>8</v>
      </c>
      <c r="D32" s="437"/>
      <c r="E32" s="437"/>
      <c r="F32" s="437"/>
      <c r="G32" s="437"/>
      <c r="H32" s="437"/>
      <c r="I32" s="438"/>
      <c r="J32" s="438"/>
      <c r="K32" s="439"/>
    </row>
    <row r="33" spans="1:11" ht="65.25" customHeight="1" x14ac:dyDescent="0.35">
      <c r="A33" s="776" t="s">
        <v>188</v>
      </c>
      <c r="B33" s="776"/>
      <c r="C33" s="777" t="s">
        <v>462</v>
      </c>
      <c r="D33" s="777" t="s">
        <v>3949</v>
      </c>
      <c r="E33" s="777" t="s">
        <v>3684</v>
      </c>
      <c r="F33" s="777" t="s">
        <v>3048</v>
      </c>
      <c r="G33" s="777" t="s">
        <v>3018</v>
      </c>
      <c r="H33" s="777" t="s">
        <v>463</v>
      </c>
      <c r="I33" s="409" t="s">
        <v>189</v>
      </c>
      <c r="J33" s="778" t="s">
        <v>464</v>
      </c>
      <c r="K33" s="440" t="s">
        <v>190</v>
      </c>
    </row>
    <row r="34" spans="1:11" s="446" customFormat="1" x14ac:dyDescent="0.35">
      <c r="A34" s="441" t="s">
        <v>195</v>
      </c>
      <c r="B34" s="441"/>
      <c r="C34" s="442">
        <f t="shared" ref="C34:C65" si="0">SUM(D34:E34)</f>
        <v>36566270.89514</v>
      </c>
      <c r="D34" s="442">
        <f t="array" ref="D34">SUM(IF('6. Class A Consumption Data'!F32:G32="B",'6. Class A Consumption Data'!F30:G30))</f>
        <v>10155106.828859</v>
      </c>
      <c r="E34" s="442">
        <f t="array" ref="E34">SUM(IF('6. Class A Consumption Data'!H32:I32="B",'6. Class A Consumption Data'!H30:I30))</f>
        <v>26411164.066281002</v>
      </c>
      <c r="F34" s="442">
        <f t="array" ref="F34">SUM(IF('6. Class A Consumption Data'!J32:K32="B",'6. Class A Consumption Data'!J30:K30))</f>
        <v>0</v>
      </c>
      <c r="G34" s="442">
        <f t="array" ref="G34">SUM(IF('6. Class A Consumption Data'!L32:M32="B",'6. Class A Consumption Data'!L30:M30))</f>
        <v>0</v>
      </c>
      <c r="H34" s="442">
        <f t="array" ref="H34">SUM(IF('6. Class A Consumption Data'!N32:O32="B",'6. Class A Consumption Data'!N30:O30))</f>
        <v>0</v>
      </c>
      <c r="I34" s="443">
        <f>IFERROR(+C34/$C$184,0)</f>
        <v>5.4039410303984618E-2</v>
      </c>
      <c r="J34" s="444">
        <f>+I34*$C$28</f>
        <v>21796.9504863517</v>
      </c>
      <c r="K34" s="445">
        <f>+J34/12</f>
        <v>1816.4125405293082</v>
      </c>
    </row>
    <row r="35" spans="1:11" s="446" customFormat="1" x14ac:dyDescent="0.35">
      <c r="A35" s="441" t="s">
        <v>196</v>
      </c>
      <c r="B35" s="441"/>
      <c r="C35" s="442">
        <f t="shared" si="0"/>
        <v>186987158.82024699</v>
      </c>
      <c r="D35" s="442">
        <f t="array" ref="D35">SUM(IF('6. Class A Consumption Data'!F35:G35="B",'6. Class A Consumption Data'!F33:G33))</f>
        <v>94350526.001494989</v>
      </c>
      <c r="E35" s="442">
        <f t="array" ref="E35">SUM(IF('6. Class A Consumption Data'!H35:I35="B",'6. Class A Consumption Data'!H33:I33))</f>
        <v>92636632.818752006</v>
      </c>
      <c r="F35" s="442">
        <f t="array" ref="F35">SUM(IF('6. Class A Consumption Data'!J35:K35="B",'6. Class A Consumption Data'!J33:K33))</f>
        <v>0</v>
      </c>
      <c r="G35" s="442">
        <f t="array" ref="G35">SUM(IF('6. Class A Consumption Data'!L35:M35="B",'6. Class A Consumption Data'!L33:M33))</f>
        <v>0</v>
      </c>
      <c r="H35" s="442">
        <f t="array" ref="H35">SUM(IF('6. Class A Consumption Data'!N35:O35="B",'6. Class A Consumption Data'!N33:O33))</f>
        <v>0</v>
      </c>
      <c r="I35" s="443">
        <f t="shared" ref="I35:I98" si="1">IFERROR(+C35/$C$184,0)</f>
        <v>0.27633870093126367</v>
      </c>
      <c r="J35" s="444">
        <f>+I35*$C$28</f>
        <v>111462.00426279211</v>
      </c>
      <c r="K35" s="445">
        <f>+J35/12</f>
        <v>9288.5003552326762</v>
      </c>
    </row>
    <row r="36" spans="1:11" s="446" customFormat="1" x14ac:dyDescent="0.35">
      <c r="A36" s="447" t="s">
        <v>211</v>
      </c>
      <c r="B36" s="447"/>
      <c r="C36" s="448">
        <f t="shared" si="0"/>
        <v>196716120.40780401</v>
      </c>
      <c r="D36" s="448">
        <f t="array" ref="D36">SUM(IF('6. Class A Consumption Data'!F38:G38="B",'6. Class A Consumption Data'!F36:G36))</f>
        <v>37429524.167085007</v>
      </c>
      <c r="E36" s="448">
        <f t="array" ref="E36">SUM(IF('6. Class A Consumption Data'!H38:I38="B",'6. Class A Consumption Data'!H36:I36))</f>
        <v>159286596.24071902</v>
      </c>
      <c r="F36" s="448">
        <f t="array" ref="F36">SUM(IF('6. Class A Consumption Data'!J38:K38="B",'6. Class A Consumption Data'!J36:K36))</f>
        <v>0</v>
      </c>
      <c r="G36" s="448">
        <f t="array" ref="G36">SUM(IF('6. Class A Consumption Data'!L38:M38="B",'6. Class A Consumption Data'!L36:M36))</f>
        <v>0</v>
      </c>
      <c r="H36" s="448">
        <f t="array" ref="H36">SUM(IF('6. Class A Consumption Data'!N38:O38="B",'6. Class A Consumption Data'!N36:O36))</f>
        <v>0</v>
      </c>
      <c r="I36" s="449">
        <f t="shared" si="1"/>
        <v>0.29071663267522985</v>
      </c>
      <c r="J36" s="450">
        <f>+I36*$C$28</f>
        <v>117261.38409607402</v>
      </c>
      <c r="K36" s="451">
        <f>+J36/12</f>
        <v>9771.7820080061683</v>
      </c>
    </row>
    <row r="37" spans="1:11" s="446" customFormat="1" x14ac:dyDescent="0.35">
      <c r="A37" s="452" t="s">
        <v>212</v>
      </c>
      <c r="B37" s="452"/>
      <c r="C37" s="457">
        <f t="shared" si="0"/>
        <v>124105821.96272102</v>
      </c>
      <c r="D37" s="453">
        <f t="array" ref="D37">SUM(IF('6. Class A Consumption Data'!F41:G41="B",'6. Class A Consumption Data'!F39:G39))</f>
        <v>61201943.651158012</v>
      </c>
      <c r="E37" s="453">
        <f t="array" ref="E37">SUM(IF('6. Class A Consumption Data'!H41:I41="B",'6. Class A Consumption Data'!H39:I39))</f>
        <v>62903878.311563008</v>
      </c>
      <c r="F37" s="453">
        <f t="array" ref="F37">SUM(IF('6. Class A Consumption Data'!J41:K41="B",'6. Class A Consumption Data'!J39:K39))</f>
        <v>0</v>
      </c>
      <c r="G37" s="453">
        <f t="array" ref="G37">SUM(IF('6. Class A Consumption Data'!L41:M41="B",'6. Class A Consumption Data'!L39:M39))</f>
        <v>0</v>
      </c>
      <c r="H37" s="453">
        <f t="array" ref="H37">SUM(IF('6. Class A Consumption Data'!N41:O41="B",'6. Class A Consumption Data'!N39:O39))</f>
        <v>0</v>
      </c>
      <c r="I37" s="454">
        <f t="shared" si="1"/>
        <v>0.18340960863603178</v>
      </c>
      <c r="J37" s="455">
        <f>+I37*$C$28</f>
        <v>73978.78947368807</v>
      </c>
      <c r="K37" s="451">
        <f>+J37/12</f>
        <v>6164.8991228073392</v>
      </c>
    </row>
    <row r="38" spans="1:11" s="446" customFormat="1" x14ac:dyDescent="0.35">
      <c r="A38" s="456" t="s">
        <v>213</v>
      </c>
      <c r="B38" s="456"/>
      <c r="C38" s="442">
        <f t="shared" si="0"/>
        <v>80736451.007037997</v>
      </c>
      <c r="D38" s="457">
        <f t="array" ref="D38">SUM(IF('6. Class A Consumption Data'!F44:G44="B",'6. Class A Consumption Data'!F42:G42))</f>
        <v>44040062.093667001</v>
      </c>
      <c r="E38" s="457">
        <f t="array" ref="E38">SUM(IF('6. Class A Consumption Data'!H44:I44="B",'6. Class A Consumption Data'!H42:I42))</f>
        <v>36696388.913371004</v>
      </c>
      <c r="F38" s="457">
        <f t="array" ref="F38">SUM(IF('6. Class A Consumption Data'!J44:K44="B",'6. Class A Consumption Data'!J42:K42))</f>
        <v>0</v>
      </c>
      <c r="G38" s="457">
        <f t="array" ref="G38">SUM(IF('6. Class A Consumption Data'!L44:M44="B",'6. Class A Consumption Data'!L42:M42))</f>
        <v>0</v>
      </c>
      <c r="H38" s="457">
        <f t="array" ref="H38">SUM(IF('6. Class A Consumption Data'!N44:O44="B",'6. Class A Consumption Data'!N42:O42))</f>
        <v>0</v>
      </c>
      <c r="I38" s="458">
        <f t="shared" si="1"/>
        <v>0.11931624679389322</v>
      </c>
      <c r="J38" s="459">
        <f t="shared" ref="J38:J101" si="2">+I38*$C$28</f>
        <v>48126.548919651039</v>
      </c>
      <c r="K38" s="451">
        <f t="shared" ref="K38:K101" si="3">+J38/12</f>
        <v>4010.5457433042534</v>
      </c>
    </row>
    <row r="39" spans="1:11" s="446" customFormat="1" x14ac:dyDescent="0.35">
      <c r="A39" s="447" t="s">
        <v>214</v>
      </c>
      <c r="B39" s="447"/>
      <c r="C39" s="442">
        <f t="shared" si="0"/>
        <v>50495880.179591</v>
      </c>
      <c r="D39" s="448">
        <f t="array" ref="D39">SUM(IF('6. Class A Consumption Data'!F47:G47="B",'6. Class A Consumption Data'!F45:G45))</f>
        <v>12469144.884064</v>
      </c>
      <c r="E39" s="448">
        <f t="array" ref="E39">SUM(IF('6. Class A Consumption Data'!H47:I47="B",'6. Class A Consumption Data'!H45:I45))</f>
        <v>38026735.295527004</v>
      </c>
      <c r="F39" s="448">
        <f t="array" ref="F39">SUM(IF('6. Class A Consumption Data'!J47:K47="B",'6. Class A Consumption Data'!J45:K45))</f>
        <v>0</v>
      </c>
      <c r="G39" s="448">
        <f t="array" ref="G39">SUM(IF('6. Class A Consumption Data'!L47:M47="B",'6. Class A Consumption Data'!L45:M45))</f>
        <v>0</v>
      </c>
      <c r="H39" s="448">
        <f t="array" ref="H39">SUM(IF('6. Class A Consumption Data'!N47:O47="B",'6. Class A Consumption Data'!N45:O45))</f>
        <v>0</v>
      </c>
      <c r="I39" s="449">
        <f t="shared" si="1"/>
        <v>7.4625263142390638E-2</v>
      </c>
      <c r="J39" s="450">
        <f t="shared" si="2"/>
        <v>30100.313023321742</v>
      </c>
      <c r="K39" s="451">
        <f t="shared" si="3"/>
        <v>2508.359418610145</v>
      </c>
    </row>
    <row r="40" spans="1:11" s="446" customFormat="1" x14ac:dyDescent="0.35">
      <c r="A40" s="452" t="s">
        <v>215</v>
      </c>
      <c r="B40" s="452"/>
      <c r="C40" s="442">
        <f t="shared" si="0"/>
        <v>979397.00001700001</v>
      </c>
      <c r="D40" s="453">
        <f t="array" ref="D40">SUM(IF('6. Class A Consumption Data'!F50:G50="B",'6. Class A Consumption Data'!F48:G48))</f>
        <v>0</v>
      </c>
      <c r="E40" s="453">
        <f t="array" ref="E40">SUM(IF('6. Class A Consumption Data'!H50:I50="B",'6. Class A Consumption Data'!H48:I48))</f>
        <v>979397.00001700001</v>
      </c>
      <c r="F40" s="453">
        <f t="array" ref="F40">SUM(IF('6. Class A Consumption Data'!J50:K50="B",'6. Class A Consumption Data'!J48:K48))</f>
        <v>0</v>
      </c>
      <c r="G40" s="453">
        <f t="array" ref="G40">SUM(IF('6. Class A Consumption Data'!L50:M50="B",'6. Class A Consumption Data'!L48:M48))</f>
        <v>0</v>
      </c>
      <c r="H40" s="453">
        <f t="array" ref="H40">SUM(IF('6. Class A Consumption Data'!N50:O50="B",'6. Class A Consumption Data'!N48:O48))</f>
        <v>0</v>
      </c>
      <c r="I40" s="454">
        <f t="shared" si="1"/>
        <v>1.4474004332075509E-3</v>
      </c>
      <c r="J40" s="455">
        <f t="shared" si="2"/>
        <v>583.81309860856709</v>
      </c>
      <c r="K40" s="451">
        <f t="shared" si="3"/>
        <v>48.651091550713922</v>
      </c>
    </row>
    <row r="41" spans="1:11" s="446" customFormat="1" x14ac:dyDescent="0.35">
      <c r="A41" s="441" t="s">
        <v>216</v>
      </c>
      <c r="B41" s="441"/>
      <c r="C41" s="442">
        <f t="shared" si="0"/>
        <v>72224.643202000007</v>
      </c>
      <c r="D41" s="442">
        <f t="array" ref="D41">SUM(IF('6. Class A Consumption Data'!F53:G53="B",'6. Class A Consumption Data'!F51:G51))</f>
        <v>72224.643202000007</v>
      </c>
      <c r="E41" s="442">
        <f t="array" ref="E41">SUM(IF('6. Class A Consumption Data'!H53:I53="B",'6. Class A Consumption Data'!H51:I51))</f>
        <v>0</v>
      </c>
      <c r="F41" s="442">
        <f t="array" ref="F41">SUM(IF('6. Class A Consumption Data'!J53:K53="B",'6. Class A Consumption Data'!J51:K51))</f>
        <v>0</v>
      </c>
      <c r="G41" s="442">
        <f t="array" ref="G41">SUM(IF('6. Class A Consumption Data'!L53:M53="B",'6. Class A Consumption Data'!L51:M51))</f>
        <v>0</v>
      </c>
      <c r="H41" s="442">
        <f t="array" ref="H41">SUM(IF('6. Class A Consumption Data'!N53:O53="B",'6. Class A Consumption Data'!N51:O51))</f>
        <v>0</v>
      </c>
      <c r="I41" s="443">
        <f t="shared" si="1"/>
        <v>1.0673708399864516E-4</v>
      </c>
      <c r="J41" s="444">
        <f t="shared" si="2"/>
        <v>43.052707679241323</v>
      </c>
      <c r="K41" s="445">
        <f t="shared" si="3"/>
        <v>3.5877256399367767</v>
      </c>
    </row>
    <row r="42" spans="1:11" s="446" customFormat="1" hidden="1" x14ac:dyDescent="0.35">
      <c r="A42" s="447" t="s">
        <v>217</v>
      </c>
      <c r="B42" s="447"/>
      <c r="C42" s="448">
        <f t="shared" si="0"/>
        <v>0</v>
      </c>
      <c r="D42" s="448">
        <v>0</v>
      </c>
      <c r="E42" s="448">
        <v>0</v>
      </c>
      <c r="F42" s="448">
        <f t="array" ref="F42">SUM(IF('6. Class A Consumption Data'!J56:K56="B",'6. Class A Consumption Data'!J54:K54))</f>
        <v>0</v>
      </c>
      <c r="G42" s="448">
        <f t="array" ref="G42">SUM(IF('6. Class A Consumption Data'!L56:M56="B",'6. Class A Consumption Data'!L54:M54))</f>
        <v>0</v>
      </c>
      <c r="H42" s="448">
        <f t="array" ref="H42">SUM(IF('6. Class A Consumption Data'!N56:O56="B",'6. Class A Consumption Data'!N54:O54))</f>
        <v>0</v>
      </c>
      <c r="I42" s="449">
        <f t="shared" si="1"/>
        <v>0</v>
      </c>
      <c r="J42" s="445">
        <f t="shared" si="2"/>
        <v>0</v>
      </c>
      <c r="K42" s="460">
        <f t="shared" si="3"/>
        <v>0</v>
      </c>
    </row>
    <row r="43" spans="1:11" hidden="1" x14ac:dyDescent="0.35">
      <c r="A43" s="452" t="s">
        <v>218</v>
      </c>
      <c r="B43" s="452"/>
      <c r="C43" s="457">
        <f t="shared" si="0"/>
        <v>0</v>
      </c>
      <c r="D43" s="453">
        <v>0</v>
      </c>
      <c r="E43" s="453">
        <v>0</v>
      </c>
      <c r="F43" s="453">
        <f t="array" ref="F43">SUM(IF('6. Class A Consumption Data'!J59:K59="B",'6. Class A Consumption Data'!J57:K57))</f>
        <v>0</v>
      </c>
      <c r="G43" s="453">
        <f t="array" ref="G43">SUM(IF('6. Class A Consumption Data'!L59:M59="B",'6. Class A Consumption Data'!L57:M57))</f>
        <v>0</v>
      </c>
      <c r="H43" s="453">
        <f t="array" ref="H43">SUM(IF('6. Class A Consumption Data'!N59:O59="B",'6. Class A Consumption Data'!N57:O57))</f>
        <v>0</v>
      </c>
      <c r="I43" s="454">
        <f t="shared" si="1"/>
        <v>0</v>
      </c>
      <c r="J43" s="455">
        <f t="shared" si="2"/>
        <v>0</v>
      </c>
      <c r="K43" s="451">
        <f t="shared" si="3"/>
        <v>0</v>
      </c>
    </row>
    <row r="44" spans="1:11" hidden="1" x14ac:dyDescent="0.35">
      <c r="A44" s="447" t="s">
        <v>219</v>
      </c>
      <c r="B44" s="447"/>
      <c r="C44" s="442">
        <f t="shared" si="0"/>
        <v>0</v>
      </c>
      <c r="D44" s="448">
        <v>0</v>
      </c>
      <c r="E44" s="448">
        <v>0</v>
      </c>
      <c r="F44" s="448">
        <f t="array" ref="F44">SUM(IF('6. Class A Consumption Data'!J62:K62="B",'6. Class A Consumption Data'!J60:K60))</f>
        <v>0</v>
      </c>
      <c r="G44" s="448">
        <f t="array" ref="G44">SUM(IF('6. Class A Consumption Data'!L62:M62="B",'6. Class A Consumption Data'!L60:M60))</f>
        <v>0</v>
      </c>
      <c r="H44" s="448">
        <f t="array" ref="H44">SUM(IF('6. Class A Consumption Data'!N62:O62="B",'6. Class A Consumption Data'!N60:O60))</f>
        <v>0</v>
      </c>
      <c r="I44" s="449">
        <f t="shared" si="1"/>
        <v>0</v>
      </c>
      <c r="J44" s="450">
        <f t="shared" si="2"/>
        <v>0</v>
      </c>
      <c r="K44" s="445">
        <f t="shared" si="3"/>
        <v>0</v>
      </c>
    </row>
    <row r="45" spans="1:11" hidden="1" x14ac:dyDescent="0.35">
      <c r="A45" s="447" t="s">
        <v>220</v>
      </c>
      <c r="B45" s="447"/>
      <c r="C45" s="442">
        <f t="shared" si="0"/>
        <v>0</v>
      </c>
      <c r="D45" s="448">
        <v>0</v>
      </c>
      <c r="E45" s="448">
        <v>0</v>
      </c>
      <c r="F45" s="448">
        <f t="array" ref="F45">SUM(IF('6. Class A Consumption Data'!J65:K65="B",'6. Class A Consumption Data'!J63:K63))</f>
        <v>0</v>
      </c>
      <c r="G45" s="448">
        <f t="array" ref="G45">SUM(IF('6. Class A Consumption Data'!L65:M65="B",'6. Class A Consumption Data'!L63:M63))</f>
        <v>0</v>
      </c>
      <c r="H45" s="448">
        <f t="array" ref="H45">SUM(IF('6. Class A Consumption Data'!N65:O65="B",'6. Class A Consumption Data'!N63:O63))</f>
        <v>0</v>
      </c>
      <c r="I45" s="449">
        <f t="shared" si="1"/>
        <v>0</v>
      </c>
      <c r="J45" s="450">
        <f t="shared" si="2"/>
        <v>0</v>
      </c>
      <c r="K45" s="445">
        <f t="shared" si="3"/>
        <v>0</v>
      </c>
    </row>
    <row r="46" spans="1:11" hidden="1" x14ac:dyDescent="0.35">
      <c r="A46" s="447" t="s">
        <v>221</v>
      </c>
      <c r="B46" s="447"/>
      <c r="C46" s="442">
        <f t="shared" si="0"/>
        <v>0</v>
      </c>
      <c r="D46" s="448">
        <v>0</v>
      </c>
      <c r="E46" s="448">
        <v>0</v>
      </c>
      <c r="F46" s="448">
        <f t="array" ref="F46">SUM(IF('6. Class A Consumption Data'!J68:K68="B",'6. Class A Consumption Data'!J66:K66))</f>
        <v>0</v>
      </c>
      <c r="G46" s="448">
        <f t="array" ref="G46">SUM(IF('6. Class A Consumption Data'!L68:M68="B",'6. Class A Consumption Data'!L66:M66))</f>
        <v>0</v>
      </c>
      <c r="H46" s="448">
        <f t="array" ref="H46">SUM(IF('6. Class A Consumption Data'!N68:O68="B",'6. Class A Consumption Data'!N66:O66))</f>
        <v>0</v>
      </c>
      <c r="I46" s="449">
        <f t="shared" si="1"/>
        <v>0</v>
      </c>
      <c r="J46" s="450">
        <f t="shared" si="2"/>
        <v>0</v>
      </c>
      <c r="K46" s="445">
        <f t="shared" si="3"/>
        <v>0</v>
      </c>
    </row>
    <row r="47" spans="1:11" hidden="1" x14ac:dyDescent="0.35">
      <c r="A47" s="447" t="s">
        <v>222</v>
      </c>
      <c r="B47" s="447"/>
      <c r="C47" s="442">
        <f t="shared" si="0"/>
        <v>0</v>
      </c>
      <c r="D47" s="448">
        <v>0</v>
      </c>
      <c r="E47" s="448">
        <v>0</v>
      </c>
      <c r="F47" s="448">
        <f t="array" ref="F47">SUM(IF('6. Class A Consumption Data'!J71:K71="B",'6. Class A Consumption Data'!J69:K69))</f>
        <v>0</v>
      </c>
      <c r="G47" s="448">
        <f t="array" ref="G47">SUM(IF('6. Class A Consumption Data'!L71:M71="B",'6. Class A Consumption Data'!L69:M69))</f>
        <v>0</v>
      </c>
      <c r="H47" s="448">
        <f t="array" ref="H47">SUM(IF('6. Class A Consumption Data'!N71:O71="B",'6. Class A Consumption Data'!N69:O69))</f>
        <v>0</v>
      </c>
      <c r="I47" s="449">
        <f t="shared" si="1"/>
        <v>0</v>
      </c>
      <c r="J47" s="450">
        <f t="shared" si="2"/>
        <v>0</v>
      </c>
      <c r="K47" s="445">
        <f t="shared" si="3"/>
        <v>0</v>
      </c>
    </row>
    <row r="48" spans="1:11" hidden="1" x14ac:dyDescent="0.35">
      <c r="A48" s="447" t="s">
        <v>223</v>
      </c>
      <c r="B48" s="447"/>
      <c r="C48" s="442">
        <f t="shared" si="0"/>
        <v>0</v>
      </c>
      <c r="D48" s="448">
        <v>0</v>
      </c>
      <c r="E48" s="448">
        <v>0</v>
      </c>
      <c r="F48" s="448">
        <f t="array" ref="F48">SUM(IF('6. Class A Consumption Data'!J74:K74="B",'6. Class A Consumption Data'!J72:K72))</f>
        <v>0</v>
      </c>
      <c r="G48" s="448">
        <f t="array" ref="G48">SUM(IF('6. Class A Consumption Data'!L74:M74="B",'6. Class A Consumption Data'!L72:M72))</f>
        <v>0</v>
      </c>
      <c r="H48" s="448">
        <f t="array" ref="H48">SUM(IF('6. Class A Consumption Data'!N74:O74="B",'6. Class A Consumption Data'!N72:O72))</f>
        <v>0</v>
      </c>
      <c r="I48" s="449">
        <f t="shared" si="1"/>
        <v>0</v>
      </c>
      <c r="J48" s="450">
        <f t="shared" si="2"/>
        <v>0</v>
      </c>
      <c r="K48" s="445">
        <f t="shared" si="3"/>
        <v>0</v>
      </c>
    </row>
    <row r="49" spans="1:11" hidden="1" x14ac:dyDescent="0.35">
      <c r="A49" s="447" t="s">
        <v>224</v>
      </c>
      <c r="B49" s="447"/>
      <c r="C49" s="442">
        <f t="shared" si="0"/>
        <v>0</v>
      </c>
      <c r="D49" s="448">
        <v>0</v>
      </c>
      <c r="E49" s="448">
        <v>0</v>
      </c>
      <c r="F49" s="448">
        <f t="array" ref="F49">SUM(IF('6. Class A Consumption Data'!J77:K77="B",'6. Class A Consumption Data'!J75:K75))</f>
        <v>0</v>
      </c>
      <c r="G49" s="448">
        <f t="array" ref="G49">SUM(IF('6. Class A Consumption Data'!L77:M77="B",'6. Class A Consumption Data'!L75:M75))</f>
        <v>0</v>
      </c>
      <c r="H49" s="448">
        <f t="array" ref="H49">SUM(IF('6. Class A Consumption Data'!N77:O77="B",'6. Class A Consumption Data'!N75:O75))</f>
        <v>0</v>
      </c>
      <c r="I49" s="449">
        <f t="shared" si="1"/>
        <v>0</v>
      </c>
      <c r="J49" s="450">
        <f t="shared" si="2"/>
        <v>0</v>
      </c>
      <c r="K49" s="445">
        <f t="shared" si="3"/>
        <v>0</v>
      </c>
    </row>
    <row r="50" spans="1:11" hidden="1" x14ac:dyDescent="0.35">
      <c r="A50" s="447" t="s">
        <v>225</v>
      </c>
      <c r="B50" s="447"/>
      <c r="C50" s="442">
        <f t="shared" si="0"/>
        <v>0</v>
      </c>
      <c r="D50" s="448">
        <v>0</v>
      </c>
      <c r="E50" s="448">
        <v>0</v>
      </c>
      <c r="F50" s="448">
        <f t="array" ref="F50">SUM(IF('6. Class A Consumption Data'!J80:K80="B",'6. Class A Consumption Data'!J78:K78))</f>
        <v>0</v>
      </c>
      <c r="G50" s="448">
        <f t="array" ref="G50">SUM(IF('6. Class A Consumption Data'!L80:M80="B",'6. Class A Consumption Data'!L78:M78))</f>
        <v>0</v>
      </c>
      <c r="H50" s="448">
        <f t="array" ref="H50">SUM(IF('6. Class A Consumption Data'!N80:O80="B",'6. Class A Consumption Data'!N78:O78))</f>
        <v>0</v>
      </c>
      <c r="I50" s="449">
        <f t="shared" si="1"/>
        <v>0</v>
      </c>
      <c r="J50" s="450">
        <f t="shared" si="2"/>
        <v>0</v>
      </c>
      <c r="K50" s="445">
        <f t="shared" si="3"/>
        <v>0</v>
      </c>
    </row>
    <row r="51" spans="1:11" hidden="1" x14ac:dyDescent="0.35">
      <c r="A51" s="447" t="s">
        <v>226</v>
      </c>
      <c r="B51" s="447"/>
      <c r="C51" s="442">
        <f t="shared" si="0"/>
        <v>0</v>
      </c>
      <c r="D51" s="448">
        <v>0</v>
      </c>
      <c r="E51" s="448">
        <v>0</v>
      </c>
      <c r="F51" s="448">
        <f t="array" ref="F51">SUM(IF('6. Class A Consumption Data'!J83:K83="B",'6. Class A Consumption Data'!J81:K81))</f>
        <v>0</v>
      </c>
      <c r="G51" s="448">
        <f t="array" ref="G51">SUM(IF('6. Class A Consumption Data'!L83:M83="B",'6. Class A Consumption Data'!L81:M81))</f>
        <v>0</v>
      </c>
      <c r="H51" s="448">
        <f t="array" ref="H51">SUM(IF('6. Class A Consumption Data'!N83:O83="B",'6. Class A Consumption Data'!N81:O81))</f>
        <v>0</v>
      </c>
      <c r="I51" s="449">
        <f t="shared" si="1"/>
        <v>0</v>
      </c>
      <c r="J51" s="450">
        <f t="shared" si="2"/>
        <v>0</v>
      </c>
      <c r="K51" s="445">
        <f t="shared" si="3"/>
        <v>0</v>
      </c>
    </row>
    <row r="52" spans="1:11" hidden="1" x14ac:dyDescent="0.35">
      <c r="A52" s="447" t="s">
        <v>227</v>
      </c>
      <c r="B52" s="447"/>
      <c r="C52" s="442">
        <f t="shared" si="0"/>
        <v>0</v>
      </c>
      <c r="D52" s="448">
        <v>0</v>
      </c>
      <c r="E52" s="448">
        <v>0</v>
      </c>
      <c r="F52" s="448">
        <f t="array" ref="F52">SUM(IF('6. Class A Consumption Data'!J86:K86="B",'6. Class A Consumption Data'!J84:K84))</f>
        <v>0</v>
      </c>
      <c r="G52" s="448">
        <f t="array" ref="G52">SUM(IF('6. Class A Consumption Data'!L86:M86="B",'6. Class A Consumption Data'!L84:M84))</f>
        <v>0</v>
      </c>
      <c r="H52" s="448">
        <f t="array" ref="H52">SUM(IF('6. Class A Consumption Data'!N86:O86="B",'6. Class A Consumption Data'!N84:O84))</f>
        <v>0</v>
      </c>
      <c r="I52" s="449">
        <f t="shared" si="1"/>
        <v>0</v>
      </c>
      <c r="J52" s="450">
        <f t="shared" si="2"/>
        <v>0</v>
      </c>
      <c r="K52" s="445">
        <f t="shared" si="3"/>
        <v>0</v>
      </c>
    </row>
    <row r="53" spans="1:11" hidden="1" x14ac:dyDescent="0.35">
      <c r="A53" s="447" t="s">
        <v>228</v>
      </c>
      <c r="B53" s="447"/>
      <c r="C53" s="442">
        <f t="shared" si="0"/>
        <v>0</v>
      </c>
      <c r="D53" s="448">
        <v>0</v>
      </c>
      <c r="E53" s="448">
        <v>0</v>
      </c>
      <c r="F53" s="448">
        <f t="array" ref="F53">SUM(IF('6. Class A Consumption Data'!J89:K89="B",'6. Class A Consumption Data'!J87:K87))</f>
        <v>0</v>
      </c>
      <c r="G53" s="448">
        <f t="array" ref="G53">SUM(IF('6. Class A Consumption Data'!L89:M89="B",'6. Class A Consumption Data'!L87:M87))</f>
        <v>0</v>
      </c>
      <c r="H53" s="448">
        <f t="array" ref="H53">SUM(IF('6. Class A Consumption Data'!N89:O89="B",'6. Class A Consumption Data'!N87:O87))</f>
        <v>0</v>
      </c>
      <c r="I53" s="449">
        <f t="shared" si="1"/>
        <v>0</v>
      </c>
      <c r="J53" s="450">
        <f t="shared" si="2"/>
        <v>0</v>
      </c>
      <c r="K53" s="445">
        <f t="shared" si="3"/>
        <v>0</v>
      </c>
    </row>
    <row r="54" spans="1:11" hidden="1" x14ac:dyDescent="0.35">
      <c r="A54" s="447" t="s">
        <v>229</v>
      </c>
      <c r="B54" s="447"/>
      <c r="C54" s="442">
        <f t="shared" si="0"/>
        <v>0</v>
      </c>
      <c r="D54" s="448">
        <v>0</v>
      </c>
      <c r="E54" s="448">
        <v>0</v>
      </c>
      <c r="F54" s="448">
        <f t="array" ref="F54">SUM(IF('6. Class A Consumption Data'!J92:K92="B",'6. Class A Consumption Data'!J90:K90))</f>
        <v>0</v>
      </c>
      <c r="G54" s="448">
        <f t="array" ref="G54">SUM(IF('6. Class A Consumption Data'!L92:M92="B",'6. Class A Consumption Data'!L90:M90))</f>
        <v>0</v>
      </c>
      <c r="H54" s="448">
        <f t="array" ref="H54">SUM(IF('6. Class A Consumption Data'!N92:O92="B",'6. Class A Consumption Data'!N90:O90))</f>
        <v>0</v>
      </c>
      <c r="I54" s="449">
        <f t="shared" si="1"/>
        <v>0</v>
      </c>
      <c r="J54" s="450">
        <f t="shared" si="2"/>
        <v>0</v>
      </c>
      <c r="K54" s="445">
        <f t="shared" si="3"/>
        <v>0</v>
      </c>
    </row>
    <row r="55" spans="1:11" hidden="1" x14ac:dyDescent="0.35">
      <c r="A55" s="447" t="s">
        <v>230</v>
      </c>
      <c r="B55" s="447"/>
      <c r="C55" s="442">
        <f t="shared" si="0"/>
        <v>0</v>
      </c>
      <c r="D55" s="448">
        <v>0</v>
      </c>
      <c r="E55" s="448">
        <v>0</v>
      </c>
      <c r="F55" s="448">
        <f t="array" ref="F55">SUM(IF('6. Class A Consumption Data'!J95:K95="B",'6. Class A Consumption Data'!J93:K93))</f>
        <v>0</v>
      </c>
      <c r="G55" s="448">
        <f t="array" ref="G55">SUM(IF('6. Class A Consumption Data'!L95:M95="B",'6. Class A Consumption Data'!L93:M93))</f>
        <v>0</v>
      </c>
      <c r="H55" s="448">
        <f t="array" ref="H55">SUM(IF('6. Class A Consumption Data'!N95:O95="B",'6. Class A Consumption Data'!N93:O93))</f>
        <v>0</v>
      </c>
      <c r="I55" s="449">
        <f t="shared" si="1"/>
        <v>0</v>
      </c>
      <c r="J55" s="450">
        <f t="shared" si="2"/>
        <v>0</v>
      </c>
      <c r="K55" s="445">
        <f t="shared" si="3"/>
        <v>0</v>
      </c>
    </row>
    <row r="56" spans="1:11" hidden="1" x14ac:dyDescent="0.35">
      <c r="A56" s="447" t="s">
        <v>231</v>
      </c>
      <c r="B56" s="447"/>
      <c r="C56" s="442">
        <f t="shared" si="0"/>
        <v>0</v>
      </c>
      <c r="D56" s="448">
        <v>0</v>
      </c>
      <c r="E56" s="448">
        <v>0</v>
      </c>
      <c r="F56" s="448">
        <f t="array" ref="F56">SUM(IF('6. Class A Consumption Data'!J98:K98="B",'6. Class A Consumption Data'!J96:K96))</f>
        <v>0</v>
      </c>
      <c r="G56" s="448">
        <f t="array" ref="G56">SUM(IF('6. Class A Consumption Data'!L98:M98="B",'6. Class A Consumption Data'!L96:M96))</f>
        <v>0</v>
      </c>
      <c r="H56" s="448">
        <f t="array" ref="H56">SUM(IF('6. Class A Consumption Data'!N98:O98="B",'6. Class A Consumption Data'!N96:O96))</f>
        <v>0</v>
      </c>
      <c r="I56" s="449">
        <f t="shared" si="1"/>
        <v>0</v>
      </c>
      <c r="J56" s="450">
        <f t="shared" si="2"/>
        <v>0</v>
      </c>
      <c r="K56" s="445">
        <f t="shared" si="3"/>
        <v>0</v>
      </c>
    </row>
    <row r="57" spans="1:11" hidden="1" x14ac:dyDescent="0.35">
      <c r="A57" s="447" t="s">
        <v>232</v>
      </c>
      <c r="B57" s="447"/>
      <c r="C57" s="442">
        <f t="shared" si="0"/>
        <v>0</v>
      </c>
      <c r="D57" s="448">
        <v>0</v>
      </c>
      <c r="E57" s="448">
        <v>0</v>
      </c>
      <c r="F57" s="448">
        <f t="array" ref="F57">SUM(IF('6. Class A Consumption Data'!J101:K101="B",'6. Class A Consumption Data'!J99:K99))</f>
        <v>0</v>
      </c>
      <c r="G57" s="448">
        <f t="array" ref="G57">SUM(IF('6. Class A Consumption Data'!L101:M101="B",'6. Class A Consumption Data'!L99:M99))</f>
        <v>0</v>
      </c>
      <c r="H57" s="448">
        <f t="array" ref="H57">SUM(IF('6. Class A Consumption Data'!N101:O101="B",'6. Class A Consumption Data'!N99:O99))</f>
        <v>0</v>
      </c>
      <c r="I57" s="449">
        <f t="shared" si="1"/>
        <v>0</v>
      </c>
      <c r="J57" s="450">
        <f t="shared" si="2"/>
        <v>0</v>
      </c>
      <c r="K57" s="445">
        <f t="shared" si="3"/>
        <v>0</v>
      </c>
    </row>
    <row r="58" spans="1:11" hidden="1" x14ac:dyDescent="0.35">
      <c r="A58" s="447" t="s">
        <v>233</v>
      </c>
      <c r="B58" s="447"/>
      <c r="C58" s="442">
        <f t="shared" si="0"/>
        <v>0</v>
      </c>
      <c r="D58" s="448">
        <v>0</v>
      </c>
      <c r="E58" s="448">
        <v>0</v>
      </c>
      <c r="F58" s="448">
        <f t="array" ref="F58">SUM(IF('6. Class A Consumption Data'!J104:K104="B",'6. Class A Consumption Data'!J102:K102))</f>
        <v>0</v>
      </c>
      <c r="G58" s="448">
        <f t="array" ref="G58">SUM(IF('6. Class A Consumption Data'!L104:M104="B",'6. Class A Consumption Data'!L102:M102))</f>
        <v>0</v>
      </c>
      <c r="H58" s="448">
        <f t="array" ref="H58">SUM(IF('6. Class A Consumption Data'!N104:O104="B",'6. Class A Consumption Data'!N102:O102))</f>
        <v>0</v>
      </c>
      <c r="I58" s="449">
        <f t="shared" si="1"/>
        <v>0</v>
      </c>
      <c r="J58" s="450">
        <f t="shared" si="2"/>
        <v>0</v>
      </c>
      <c r="K58" s="445">
        <f t="shared" si="3"/>
        <v>0</v>
      </c>
    </row>
    <row r="59" spans="1:11" hidden="1" x14ac:dyDescent="0.35">
      <c r="A59" s="447" t="s">
        <v>234</v>
      </c>
      <c r="B59" s="447"/>
      <c r="C59" s="442">
        <f t="shared" si="0"/>
        <v>0</v>
      </c>
      <c r="D59" s="448">
        <v>0</v>
      </c>
      <c r="E59" s="448">
        <v>0</v>
      </c>
      <c r="F59" s="448">
        <f t="array" ref="F59">SUM(IF('6. Class A Consumption Data'!J107:K107="B",'6. Class A Consumption Data'!J105:K105))</f>
        <v>0</v>
      </c>
      <c r="G59" s="448">
        <f t="array" ref="G59">SUM(IF('6. Class A Consumption Data'!L107:M107="B",'6. Class A Consumption Data'!L105:M105))</f>
        <v>0</v>
      </c>
      <c r="H59" s="448">
        <f t="array" ref="H59">SUM(IF('6. Class A Consumption Data'!N107:O107="B",'6. Class A Consumption Data'!N105:O105))</f>
        <v>0</v>
      </c>
      <c r="I59" s="449">
        <f t="shared" si="1"/>
        <v>0</v>
      </c>
      <c r="J59" s="450">
        <f t="shared" si="2"/>
        <v>0</v>
      </c>
      <c r="K59" s="445">
        <f t="shared" si="3"/>
        <v>0</v>
      </c>
    </row>
    <row r="60" spans="1:11" hidden="1" x14ac:dyDescent="0.35">
      <c r="A60" s="447" t="s">
        <v>235</v>
      </c>
      <c r="B60" s="447"/>
      <c r="C60" s="442">
        <f t="shared" si="0"/>
        <v>0</v>
      </c>
      <c r="D60" s="448">
        <v>0</v>
      </c>
      <c r="E60" s="448">
        <v>0</v>
      </c>
      <c r="F60" s="448">
        <f t="array" ref="F60">SUM(IF('6. Class A Consumption Data'!J110:K110="B",'6. Class A Consumption Data'!J108:K108))</f>
        <v>0</v>
      </c>
      <c r="G60" s="448">
        <f t="array" ref="G60">SUM(IF('6. Class A Consumption Data'!L110:M110="B",'6. Class A Consumption Data'!L108:M108))</f>
        <v>0</v>
      </c>
      <c r="H60" s="448">
        <f t="array" ref="H60">SUM(IF('6. Class A Consumption Data'!N110:O110="B",'6. Class A Consumption Data'!N108:O108))</f>
        <v>0</v>
      </c>
      <c r="I60" s="449">
        <f t="shared" si="1"/>
        <v>0</v>
      </c>
      <c r="J60" s="450">
        <f t="shared" si="2"/>
        <v>0</v>
      </c>
      <c r="K60" s="445">
        <f t="shared" si="3"/>
        <v>0</v>
      </c>
    </row>
    <row r="61" spans="1:11" hidden="1" x14ac:dyDescent="0.35">
      <c r="A61" s="447" t="s">
        <v>236</v>
      </c>
      <c r="B61" s="447"/>
      <c r="C61" s="442">
        <f t="shared" si="0"/>
        <v>0</v>
      </c>
      <c r="D61" s="448">
        <v>0</v>
      </c>
      <c r="E61" s="448">
        <v>0</v>
      </c>
      <c r="F61" s="448">
        <f t="array" ref="F61">SUM(IF('6. Class A Consumption Data'!J113:K113="B",'6. Class A Consumption Data'!J111:K111))</f>
        <v>0</v>
      </c>
      <c r="G61" s="448">
        <f t="array" ref="G61">SUM(IF('6. Class A Consumption Data'!L113:M113="B",'6. Class A Consumption Data'!L111:M111))</f>
        <v>0</v>
      </c>
      <c r="H61" s="448">
        <f t="array" ref="H61">SUM(IF('6. Class A Consumption Data'!N113:O113="B",'6. Class A Consumption Data'!N111:O111))</f>
        <v>0</v>
      </c>
      <c r="I61" s="449">
        <f t="shared" si="1"/>
        <v>0</v>
      </c>
      <c r="J61" s="450">
        <f t="shared" si="2"/>
        <v>0</v>
      </c>
      <c r="K61" s="445">
        <f t="shared" si="3"/>
        <v>0</v>
      </c>
    </row>
    <row r="62" spans="1:11" hidden="1" x14ac:dyDescent="0.35">
      <c r="A62" s="447" t="s">
        <v>237</v>
      </c>
      <c r="B62" s="447"/>
      <c r="C62" s="442">
        <f t="shared" si="0"/>
        <v>0</v>
      </c>
      <c r="D62" s="448">
        <v>0</v>
      </c>
      <c r="E62" s="448">
        <v>0</v>
      </c>
      <c r="F62" s="448">
        <f t="array" ref="F62">SUM(IF('6. Class A Consumption Data'!J116:K116="B",'6. Class A Consumption Data'!J114:K114))</f>
        <v>0</v>
      </c>
      <c r="G62" s="448">
        <f t="array" ref="G62">SUM(IF('6. Class A Consumption Data'!L116:M116="B",'6. Class A Consumption Data'!L114:M114))</f>
        <v>0</v>
      </c>
      <c r="H62" s="448">
        <f t="array" ref="H62">SUM(IF('6. Class A Consumption Data'!N116:O116="B",'6. Class A Consumption Data'!N114:O114))</f>
        <v>0</v>
      </c>
      <c r="I62" s="449">
        <f t="shared" si="1"/>
        <v>0</v>
      </c>
      <c r="J62" s="450">
        <f t="shared" si="2"/>
        <v>0</v>
      </c>
      <c r="K62" s="445">
        <f t="shared" si="3"/>
        <v>0</v>
      </c>
    </row>
    <row r="63" spans="1:11" hidden="1" x14ac:dyDescent="0.35">
      <c r="A63" s="447" t="s">
        <v>238</v>
      </c>
      <c r="B63" s="447"/>
      <c r="C63" s="442">
        <f t="shared" si="0"/>
        <v>0</v>
      </c>
      <c r="D63" s="448">
        <v>0</v>
      </c>
      <c r="E63" s="448">
        <v>0</v>
      </c>
      <c r="F63" s="448">
        <f t="array" ref="F63">SUM(IF('6. Class A Consumption Data'!J119:K119="B",'6. Class A Consumption Data'!J117:K117))</f>
        <v>0</v>
      </c>
      <c r="G63" s="448">
        <f t="array" ref="G63">SUM(IF('6. Class A Consumption Data'!L119:M119="B",'6. Class A Consumption Data'!L117:M117))</f>
        <v>0</v>
      </c>
      <c r="H63" s="448">
        <f t="array" ref="H63">SUM(IF('6. Class A Consumption Data'!N119:O119="B",'6. Class A Consumption Data'!N117:O117))</f>
        <v>0</v>
      </c>
      <c r="I63" s="449">
        <f t="shared" si="1"/>
        <v>0</v>
      </c>
      <c r="J63" s="450">
        <f t="shared" si="2"/>
        <v>0</v>
      </c>
      <c r="K63" s="445">
        <f t="shared" si="3"/>
        <v>0</v>
      </c>
    </row>
    <row r="64" spans="1:11" hidden="1" x14ac:dyDescent="0.35">
      <c r="A64" s="447" t="s">
        <v>239</v>
      </c>
      <c r="B64" s="447"/>
      <c r="C64" s="442">
        <f t="shared" si="0"/>
        <v>0</v>
      </c>
      <c r="D64" s="448">
        <v>0</v>
      </c>
      <c r="E64" s="448">
        <v>0</v>
      </c>
      <c r="F64" s="448">
        <f t="array" ref="F64">SUM(IF('6. Class A Consumption Data'!J122:K122="B",'6. Class A Consumption Data'!J120:K120))</f>
        <v>0</v>
      </c>
      <c r="G64" s="448">
        <f t="array" ref="G64">SUM(IF('6. Class A Consumption Data'!L122:M122="B",'6. Class A Consumption Data'!L120:M120))</f>
        <v>0</v>
      </c>
      <c r="H64" s="448">
        <f t="array" ref="H64">SUM(IF('6. Class A Consumption Data'!N122:O122="B",'6. Class A Consumption Data'!N120:O120))</f>
        <v>0</v>
      </c>
      <c r="I64" s="449">
        <f t="shared" si="1"/>
        <v>0</v>
      </c>
      <c r="J64" s="450">
        <f t="shared" si="2"/>
        <v>0</v>
      </c>
      <c r="K64" s="445">
        <f t="shared" si="3"/>
        <v>0</v>
      </c>
    </row>
    <row r="65" spans="1:11" hidden="1" x14ac:dyDescent="0.35">
      <c r="A65" s="447" t="s">
        <v>240</v>
      </c>
      <c r="B65" s="447"/>
      <c r="C65" s="442">
        <f t="shared" si="0"/>
        <v>0</v>
      </c>
      <c r="D65" s="448">
        <v>0</v>
      </c>
      <c r="E65" s="448">
        <v>0</v>
      </c>
      <c r="F65" s="448">
        <f t="array" ref="F65">SUM(IF('6. Class A Consumption Data'!J125:K125="B",'6. Class A Consumption Data'!J123:K123))</f>
        <v>0</v>
      </c>
      <c r="G65" s="448">
        <f t="array" ref="G65">SUM(IF('6. Class A Consumption Data'!L125:M125="B",'6. Class A Consumption Data'!L123:M123))</f>
        <v>0</v>
      </c>
      <c r="H65" s="448">
        <f t="array" ref="H65">SUM(IF('6. Class A Consumption Data'!N125:O125="B",'6. Class A Consumption Data'!N123:O123))</f>
        <v>0</v>
      </c>
      <c r="I65" s="449">
        <f t="shared" si="1"/>
        <v>0</v>
      </c>
      <c r="J65" s="450">
        <f t="shared" si="2"/>
        <v>0</v>
      </c>
      <c r="K65" s="445">
        <f t="shared" si="3"/>
        <v>0</v>
      </c>
    </row>
    <row r="66" spans="1:11" hidden="1" x14ac:dyDescent="0.35">
      <c r="A66" s="447" t="s">
        <v>241</v>
      </c>
      <c r="B66" s="447"/>
      <c r="C66" s="442">
        <f t="shared" ref="C66:C97" si="4">SUM(D66:E66)</f>
        <v>0</v>
      </c>
      <c r="D66" s="448">
        <v>0</v>
      </c>
      <c r="E66" s="448">
        <v>0</v>
      </c>
      <c r="F66" s="448">
        <f t="array" ref="F66">SUM(IF('6. Class A Consumption Data'!J128:K128="B",'6. Class A Consumption Data'!J126:K126))</f>
        <v>0</v>
      </c>
      <c r="G66" s="448">
        <f t="array" ref="G66">SUM(IF('6. Class A Consumption Data'!L128:M128="B",'6. Class A Consumption Data'!L126:M126))</f>
        <v>0</v>
      </c>
      <c r="H66" s="448">
        <f t="array" ref="H66">SUM(IF('6. Class A Consumption Data'!N128:O128="B",'6. Class A Consumption Data'!N126:O126))</f>
        <v>0</v>
      </c>
      <c r="I66" s="449">
        <f t="shared" si="1"/>
        <v>0</v>
      </c>
      <c r="J66" s="450">
        <f t="shared" si="2"/>
        <v>0</v>
      </c>
      <c r="K66" s="445">
        <f t="shared" si="3"/>
        <v>0</v>
      </c>
    </row>
    <row r="67" spans="1:11" hidden="1" x14ac:dyDescent="0.35">
      <c r="A67" s="447" t="s">
        <v>242</v>
      </c>
      <c r="B67" s="447"/>
      <c r="C67" s="442">
        <f t="shared" si="4"/>
        <v>0</v>
      </c>
      <c r="D67" s="448">
        <v>0</v>
      </c>
      <c r="E67" s="448">
        <v>0</v>
      </c>
      <c r="F67" s="448">
        <f t="array" ref="F67">SUM(IF('6. Class A Consumption Data'!J131:K131="B",'6. Class A Consumption Data'!J129:K129))</f>
        <v>0</v>
      </c>
      <c r="G67" s="448">
        <f t="array" ref="G67">SUM(IF('6. Class A Consumption Data'!L131:M131="B",'6. Class A Consumption Data'!L129:M129))</f>
        <v>0</v>
      </c>
      <c r="H67" s="448">
        <f t="array" ref="H67">SUM(IF('6. Class A Consumption Data'!N131:O131="B",'6. Class A Consumption Data'!N129:O129))</f>
        <v>0</v>
      </c>
      <c r="I67" s="449">
        <f t="shared" si="1"/>
        <v>0</v>
      </c>
      <c r="J67" s="450">
        <f t="shared" si="2"/>
        <v>0</v>
      </c>
      <c r="K67" s="445">
        <f t="shared" si="3"/>
        <v>0</v>
      </c>
    </row>
    <row r="68" spans="1:11" hidden="1" x14ac:dyDescent="0.35">
      <c r="A68" s="447" t="s">
        <v>243</v>
      </c>
      <c r="B68" s="447"/>
      <c r="C68" s="442">
        <f t="shared" si="4"/>
        <v>0</v>
      </c>
      <c r="D68" s="448">
        <v>0</v>
      </c>
      <c r="E68" s="448">
        <v>0</v>
      </c>
      <c r="F68" s="448">
        <f t="array" ref="F68">SUM(IF('6. Class A Consumption Data'!J134:K134="B",'6. Class A Consumption Data'!J132:K132))</f>
        <v>0</v>
      </c>
      <c r="G68" s="448">
        <f t="array" ref="G68">SUM(IF('6. Class A Consumption Data'!L134:M134="B",'6. Class A Consumption Data'!L132:M132))</f>
        <v>0</v>
      </c>
      <c r="H68" s="448">
        <f t="array" ref="H68">SUM(IF('6. Class A Consumption Data'!N134:O134="B",'6. Class A Consumption Data'!N132:O132))</f>
        <v>0</v>
      </c>
      <c r="I68" s="449">
        <f t="shared" si="1"/>
        <v>0</v>
      </c>
      <c r="J68" s="450">
        <f t="shared" si="2"/>
        <v>0</v>
      </c>
      <c r="K68" s="445">
        <f t="shared" si="3"/>
        <v>0</v>
      </c>
    </row>
    <row r="69" spans="1:11" hidden="1" x14ac:dyDescent="0.35">
      <c r="A69" s="447" t="s">
        <v>244</v>
      </c>
      <c r="B69" s="447"/>
      <c r="C69" s="442">
        <f t="shared" si="4"/>
        <v>0</v>
      </c>
      <c r="D69" s="448">
        <v>0</v>
      </c>
      <c r="E69" s="448">
        <v>0</v>
      </c>
      <c r="F69" s="448">
        <f t="array" ref="F69">SUM(IF('6. Class A Consumption Data'!J137:K137="B",'6. Class A Consumption Data'!J135:K135))</f>
        <v>0</v>
      </c>
      <c r="G69" s="448">
        <f t="array" ref="G69">SUM(IF('6. Class A Consumption Data'!L137:M137="B",'6. Class A Consumption Data'!L135:M135))</f>
        <v>0</v>
      </c>
      <c r="H69" s="448">
        <f t="array" ref="H69">SUM(IF('6. Class A Consumption Data'!N137:O137="B",'6. Class A Consumption Data'!N135:O135))</f>
        <v>0</v>
      </c>
      <c r="I69" s="449">
        <f t="shared" si="1"/>
        <v>0</v>
      </c>
      <c r="J69" s="450">
        <f t="shared" si="2"/>
        <v>0</v>
      </c>
      <c r="K69" s="445">
        <f t="shared" si="3"/>
        <v>0</v>
      </c>
    </row>
    <row r="70" spans="1:11" hidden="1" x14ac:dyDescent="0.35">
      <c r="A70" s="447" t="s">
        <v>245</v>
      </c>
      <c r="B70" s="447"/>
      <c r="C70" s="442">
        <f t="shared" si="4"/>
        <v>0</v>
      </c>
      <c r="D70" s="448">
        <v>0</v>
      </c>
      <c r="E70" s="448">
        <v>0</v>
      </c>
      <c r="F70" s="448">
        <f t="array" ref="F70">SUM(IF('6. Class A Consumption Data'!J140:K140="B",'6. Class A Consumption Data'!J138:K138))</f>
        <v>0</v>
      </c>
      <c r="G70" s="448">
        <f t="array" ref="G70">SUM(IF('6. Class A Consumption Data'!L140:M140="B",'6. Class A Consumption Data'!L138:M138))</f>
        <v>0</v>
      </c>
      <c r="H70" s="448">
        <f t="array" ref="H70">SUM(IF('6. Class A Consumption Data'!N140:O140="B",'6. Class A Consumption Data'!N138:O138))</f>
        <v>0</v>
      </c>
      <c r="I70" s="449">
        <f t="shared" si="1"/>
        <v>0</v>
      </c>
      <c r="J70" s="450">
        <f t="shared" si="2"/>
        <v>0</v>
      </c>
      <c r="K70" s="445">
        <f t="shared" si="3"/>
        <v>0</v>
      </c>
    </row>
    <row r="71" spans="1:11" hidden="1" x14ac:dyDescent="0.35">
      <c r="A71" s="447" t="s">
        <v>246</v>
      </c>
      <c r="B71" s="447"/>
      <c r="C71" s="442">
        <f t="shared" si="4"/>
        <v>0</v>
      </c>
      <c r="D71" s="448">
        <v>0</v>
      </c>
      <c r="E71" s="448">
        <v>0</v>
      </c>
      <c r="F71" s="448">
        <f t="array" ref="F71">SUM(IF('6. Class A Consumption Data'!J143:K143="B",'6. Class A Consumption Data'!J141:K141))</f>
        <v>0</v>
      </c>
      <c r="G71" s="448">
        <f t="array" ref="G71">SUM(IF('6. Class A Consumption Data'!L143:M143="B",'6. Class A Consumption Data'!L141:M141))</f>
        <v>0</v>
      </c>
      <c r="H71" s="448">
        <f t="array" ref="H71">SUM(IF('6. Class A Consumption Data'!N143:O143="B",'6. Class A Consumption Data'!N141:O141))</f>
        <v>0</v>
      </c>
      <c r="I71" s="449">
        <f t="shared" si="1"/>
        <v>0</v>
      </c>
      <c r="J71" s="450">
        <f t="shared" si="2"/>
        <v>0</v>
      </c>
      <c r="K71" s="445">
        <f t="shared" si="3"/>
        <v>0</v>
      </c>
    </row>
    <row r="72" spans="1:11" hidden="1" x14ac:dyDescent="0.35">
      <c r="A72" s="447" t="s">
        <v>247</v>
      </c>
      <c r="B72" s="447"/>
      <c r="C72" s="442">
        <f t="shared" si="4"/>
        <v>0</v>
      </c>
      <c r="D72" s="448">
        <v>0</v>
      </c>
      <c r="E72" s="448">
        <v>0</v>
      </c>
      <c r="F72" s="448">
        <f t="array" ref="F72">SUM(IF('6. Class A Consumption Data'!J146:K146="B",'6. Class A Consumption Data'!J144:K144))</f>
        <v>0</v>
      </c>
      <c r="G72" s="448">
        <f t="array" ref="G72">SUM(IF('6. Class A Consumption Data'!L146:M146="B",'6. Class A Consumption Data'!L144:M144))</f>
        <v>0</v>
      </c>
      <c r="H72" s="448">
        <f t="array" ref="H72">SUM(IF('6. Class A Consumption Data'!N146:O146="B",'6. Class A Consumption Data'!N144:O144))</f>
        <v>0</v>
      </c>
      <c r="I72" s="449">
        <f t="shared" si="1"/>
        <v>0</v>
      </c>
      <c r="J72" s="450">
        <f t="shared" si="2"/>
        <v>0</v>
      </c>
      <c r="K72" s="445">
        <f t="shared" si="3"/>
        <v>0</v>
      </c>
    </row>
    <row r="73" spans="1:11" hidden="1" x14ac:dyDescent="0.35">
      <c r="A73" s="447" t="s">
        <v>248</v>
      </c>
      <c r="B73" s="447"/>
      <c r="C73" s="442">
        <f t="shared" si="4"/>
        <v>0</v>
      </c>
      <c r="D73" s="448">
        <v>0</v>
      </c>
      <c r="E73" s="448">
        <v>0</v>
      </c>
      <c r="F73" s="448">
        <f t="array" ref="F73">SUM(IF('6. Class A Consumption Data'!J149:K149="B",'6. Class A Consumption Data'!J147:K147))</f>
        <v>0</v>
      </c>
      <c r="G73" s="448">
        <f t="array" ref="G73">SUM(IF('6. Class A Consumption Data'!L149:M149="B",'6. Class A Consumption Data'!L147:M147))</f>
        <v>0</v>
      </c>
      <c r="H73" s="448">
        <f t="array" ref="H73">SUM(IF('6. Class A Consumption Data'!N149:O149="B",'6. Class A Consumption Data'!N147:O147))</f>
        <v>0</v>
      </c>
      <c r="I73" s="449">
        <f t="shared" si="1"/>
        <v>0</v>
      </c>
      <c r="J73" s="450">
        <f t="shared" si="2"/>
        <v>0</v>
      </c>
      <c r="K73" s="445">
        <f t="shared" si="3"/>
        <v>0</v>
      </c>
    </row>
    <row r="74" spans="1:11" hidden="1" x14ac:dyDescent="0.35">
      <c r="A74" s="447" t="s">
        <v>249</v>
      </c>
      <c r="B74" s="447"/>
      <c r="C74" s="442">
        <f t="shared" si="4"/>
        <v>0</v>
      </c>
      <c r="D74" s="448">
        <v>0</v>
      </c>
      <c r="E74" s="448">
        <v>0</v>
      </c>
      <c r="F74" s="448">
        <f t="array" ref="F74">SUM(IF('6. Class A Consumption Data'!J152:K152="B",'6. Class A Consumption Data'!J150:K150))</f>
        <v>0</v>
      </c>
      <c r="G74" s="448">
        <f t="array" ref="G74">SUM(IF('6. Class A Consumption Data'!L152:M152="B",'6. Class A Consumption Data'!L150:M150))</f>
        <v>0</v>
      </c>
      <c r="H74" s="448">
        <f t="array" ref="H74">SUM(IF('6. Class A Consumption Data'!N152:O152="B",'6. Class A Consumption Data'!N150:O150))</f>
        <v>0</v>
      </c>
      <c r="I74" s="449">
        <f t="shared" si="1"/>
        <v>0</v>
      </c>
      <c r="J74" s="450">
        <f t="shared" si="2"/>
        <v>0</v>
      </c>
      <c r="K74" s="445">
        <f t="shared" si="3"/>
        <v>0</v>
      </c>
    </row>
    <row r="75" spans="1:11" hidden="1" x14ac:dyDescent="0.35">
      <c r="A75" s="447" t="s">
        <v>250</v>
      </c>
      <c r="B75" s="447"/>
      <c r="C75" s="442">
        <f t="shared" si="4"/>
        <v>0</v>
      </c>
      <c r="D75" s="448">
        <v>0</v>
      </c>
      <c r="E75" s="448">
        <v>0</v>
      </c>
      <c r="F75" s="448">
        <f t="array" ref="F75">SUM(IF('6. Class A Consumption Data'!J155:K155="B",'6. Class A Consumption Data'!J153:K153))</f>
        <v>0</v>
      </c>
      <c r="G75" s="448">
        <f t="array" ref="G75">SUM(IF('6. Class A Consumption Data'!L155:M155="B",'6. Class A Consumption Data'!L153:M153))</f>
        <v>0</v>
      </c>
      <c r="H75" s="448">
        <f t="array" ref="H75">SUM(IF('6. Class A Consumption Data'!N155:O155="B",'6. Class A Consumption Data'!N153:O153))</f>
        <v>0</v>
      </c>
      <c r="I75" s="449">
        <f t="shared" si="1"/>
        <v>0</v>
      </c>
      <c r="J75" s="450">
        <f t="shared" si="2"/>
        <v>0</v>
      </c>
      <c r="K75" s="445">
        <f t="shared" si="3"/>
        <v>0</v>
      </c>
    </row>
    <row r="76" spans="1:11" hidden="1" x14ac:dyDescent="0.35">
      <c r="A76" s="447" t="s">
        <v>251</v>
      </c>
      <c r="B76" s="447"/>
      <c r="C76" s="442">
        <f t="shared" si="4"/>
        <v>0</v>
      </c>
      <c r="D76" s="448">
        <v>0</v>
      </c>
      <c r="E76" s="448">
        <v>0</v>
      </c>
      <c r="F76" s="448">
        <f t="array" ref="F76">SUM(IF('6. Class A Consumption Data'!J158:K158="B",'6. Class A Consumption Data'!J156:K156))</f>
        <v>0</v>
      </c>
      <c r="G76" s="448">
        <f t="array" ref="G76">SUM(IF('6. Class A Consumption Data'!L158:M158="B",'6. Class A Consumption Data'!L156:M156))</f>
        <v>0</v>
      </c>
      <c r="H76" s="448">
        <f t="array" ref="H76">SUM(IF('6. Class A Consumption Data'!N158:O158="B",'6. Class A Consumption Data'!N156:O156))</f>
        <v>0</v>
      </c>
      <c r="I76" s="449">
        <f t="shared" si="1"/>
        <v>0</v>
      </c>
      <c r="J76" s="450">
        <f t="shared" si="2"/>
        <v>0</v>
      </c>
      <c r="K76" s="445">
        <f t="shared" si="3"/>
        <v>0</v>
      </c>
    </row>
    <row r="77" spans="1:11" hidden="1" x14ac:dyDescent="0.35">
      <c r="A77" s="447" t="s">
        <v>252</v>
      </c>
      <c r="B77" s="447"/>
      <c r="C77" s="442">
        <f t="shared" si="4"/>
        <v>0</v>
      </c>
      <c r="D77" s="448">
        <v>0</v>
      </c>
      <c r="E77" s="448">
        <v>0</v>
      </c>
      <c r="F77" s="448">
        <f t="array" ref="F77">SUM(IF('6. Class A Consumption Data'!J161:K161="B",'6. Class A Consumption Data'!J159:K159))</f>
        <v>0</v>
      </c>
      <c r="G77" s="448">
        <f t="array" ref="G77">SUM(IF('6. Class A Consumption Data'!L161:M161="B",'6. Class A Consumption Data'!L159:M159))</f>
        <v>0</v>
      </c>
      <c r="H77" s="448">
        <f t="array" ref="H77">SUM(IF('6. Class A Consumption Data'!N161:O161="B",'6. Class A Consumption Data'!N159:O159))</f>
        <v>0</v>
      </c>
      <c r="I77" s="449">
        <f t="shared" si="1"/>
        <v>0</v>
      </c>
      <c r="J77" s="450">
        <f t="shared" si="2"/>
        <v>0</v>
      </c>
      <c r="K77" s="445">
        <f t="shared" si="3"/>
        <v>0</v>
      </c>
    </row>
    <row r="78" spans="1:11" hidden="1" x14ac:dyDescent="0.35">
      <c r="A78" s="447" t="s">
        <v>253</v>
      </c>
      <c r="B78" s="447"/>
      <c r="C78" s="442">
        <f t="shared" si="4"/>
        <v>0</v>
      </c>
      <c r="D78" s="448">
        <v>0</v>
      </c>
      <c r="E78" s="448">
        <v>0</v>
      </c>
      <c r="F78" s="448">
        <f t="array" ref="F78">SUM(IF('6. Class A Consumption Data'!J164:K164="B",'6. Class A Consumption Data'!J162:K162))</f>
        <v>0</v>
      </c>
      <c r="G78" s="448">
        <f t="array" ref="G78">SUM(IF('6. Class A Consumption Data'!L164:M164="B",'6. Class A Consumption Data'!L162:M162))</f>
        <v>0</v>
      </c>
      <c r="H78" s="448">
        <f t="array" ref="H78">SUM(IF('6. Class A Consumption Data'!N164:O164="B",'6. Class A Consumption Data'!N162:O162))</f>
        <v>0</v>
      </c>
      <c r="I78" s="449">
        <f t="shared" si="1"/>
        <v>0</v>
      </c>
      <c r="J78" s="450">
        <f t="shared" si="2"/>
        <v>0</v>
      </c>
      <c r="K78" s="445">
        <f t="shared" si="3"/>
        <v>0</v>
      </c>
    </row>
    <row r="79" spans="1:11" hidden="1" x14ac:dyDescent="0.35">
      <c r="A79" s="447" t="s">
        <v>254</v>
      </c>
      <c r="B79" s="447"/>
      <c r="C79" s="442">
        <f t="shared" si="4"/>
        <v>0</v>
      </c>
      <c r="D79" s="448">
        <v>0</v>
      </c>
      <c r="E79" s="448">
        <v>0</v>
      </c>
      <c r="F79" s="448">
        <f t="array" ref="F79">SUM(IF('6. Class A Consumption Data'!J167:K167="B",'6. Class A Consumption Data'!J165:K165))</f>
        <v>0</v>
      </c>
      <c r="G79" s="448">
        <f t="array" ref="G79">SUM(IF('6. Class A Consumption Data'!L167:M167="B",'6. Class A Consumption Data'!L165:M165))</f>
        <v>0</v>
      </c>
      <c r="H79" s="448">
        <f t="array" ref="H79">SUM(IF('6. Class A Consumption Data'!N167:O167="B",'6. Class A Consumption Data'!N165:O165))</f>
        <v>0</v>
      </c>
      <c r="I79" s="449">
        <f t="shared" si="1"/>
        <v>0</v>
      </c>
      <c r="J79" s="450">
        <f t="shared" si="2"/>
        <v>0</v>
      </c>
      <c r="K79" s="445">
        <f t="shared" si="3"/>
        <v>0</v>
      </c>
    </row>
    <row r="80" spans="1:11" hidden="1" x14ac:dyDescent="0.35">
      <c r="A80" s="447" t="s">
        <v>255</v>
      </c>
      <c r="B80" s="447"/>
      <c r="C80" s="442">
        <f t="shared" si="4"/>
        <v>0</v>
      </c>
      <c r="D80" s="448">
        <v>0</v>
      </c>
      <c r="E80" s="448">
        <v>0</v>
      </c>
      <c r="F80" s="448">
        <f t="array" ref="F80">SUM(IF('6. Class A Consumption Data'!J170:K170="B",'6. Class A Consumption Data'!J168:K168))</f>
        <v>0</v>
      </c>
      <c r="G80" s="448">
        <f t="array" ref="G80">SUM(IF('6. Class A Consumption Data'!L170:M170="B",'6. Class A Consumption Data'!L168:M168))</f>
        <v>0</v>
      </c>
      <c r="H80" s="448">
        <f t="array" ref="H80">SUM(IF('6. Class A Consumption Data'!N170:O170="B",'6. Class A Consumption Data'!N168:O168))</f>
        <v>0</v>
      </c>
      <c r="I80" s="449">
        <f t="shared" si="1"/>
        <v>0</v>
      </c>
      <c r="J80" s="450">
        <f t="shared" si="2"/>
        <v>0</v>
      </c>
      <c r="K80" s="445">
        <f t="shared" si="3"/>
        <v>0</v>
      </c>
    </row>
    <row r="81" spans="1:11" hidden="1" x14ac:dyDescent="0.35">
      <c r="A81" s="447" t="s">
        <v>256</v>
      </c>
      <c r="B81" s="447"/>
      <c r="C81" s="442">
        <f t="shared" si="4"/>
        <v>0</v>
      </c>
      <c r="D81" s="448">
        <v>0</v>
      </c>
      <c r="E81" s="448">
        <v>0</v>
      </c>
      <c r="F81" s="448">
        <f t="array" ref="F81">SUM(IF('6. Class A Consumption Data'!J173:K173="B",'6. Class A Consumption Data'!J171:K171))</f>
        <v>0</v>
      </c>
      <c r="G81" s="448">
        <f t="array" ref="G81">SUM(IF('6. Class A Consumption Data'!L173:M173="B",'6. Class A Consumption Data'!L171:M171))</f>
        <v>0</v>
      </c>
      <c r="H81" s="448">
        <f t="array" ref="H81">SUM(IF('6. Class A Consumption Data'!N173:O173="B",'6. Class A Consumption Data'!N171:O171))</f>
        <v>0</v>
      </c>
      <c r="I81" s="449">
        <f t="shared" si="1"/>
        <v>0</v>
      </c>
      <c r="J81" s="450">
        <f t="shared" si="2"/>
        <v>0</v>
      </c>
      <c r="K81" s="445">
        <f t="shared" si="3"/>
        <v>0</v>
      </c>
    </row>
    <row r="82" spans="1:11" hidden="1" x14ac:dyDescent="0.35">
      <c r="A82" s="447" t="s">
        <v>257</v>
      </c>
      <c r="B82" s="447"/>
      <c r="C82" s="442">
        <f t="shared" si="4"/>
        <v>0</v>
      </c>
      <c r="D82" s="448">
        <v>0</v>
      </c>
      <c r="E82" s="448">
        <v>0</v>
      </c>
      <c r="F82" s="448">
        <f t="array" ref="F82">SUM(IF('6. Class A Consumption Data'!J176:K176="B",'6. Class A Consumption Data'!J174:K174))</f>
        <v>0</v>
      </c>
      <c r="G82" s="448">
        <f t="array" ref="G82">SUM(IF('6. Class A Consumption Data'!L176:M176="B",'6. Class A Consumption Data'!L174:M174))</f>
        <v>0</v>
      </c>
      <c r="H82" s="448">
        <f t="array" ref="H82">SUM(IF('6. Class A Consumption Data'!N176:O176="B",'6. Class A Consumption Data'!N174:O174))</f>
        <v>0</v>
      </c>
      <c r="I82" s="449">
        <f t="shared" si="1"/>
        <v>0</v>
      </c>
      <c r="J82" s="450">
        <f t="shared" si="2"/>
        <v>0</v>
      </c>
      <c r="K82" s="445">
        <f t="shared" si="3"/>
        <v>0</v>
      </c>
    </row>
    <row r="83" spans="1:11" hidden="1" x14ac:dyDescent="0.35">
      <c r="A83" s="447" t="s">
        <v>258</v>
      </c>
      <c r="B83" s="447"/>
      <c r="C83" s="442">
        <f t="shared" si="4"/>
        <v>0</v>
      </c>
      <c r="D83" s="448">
        <v>0</v>
      </c>
      <c r="E83" s="448">
        <v>0</v>
      </c>
      <c r="F83" s="448">
        <f t="array" ref="F83">SUM(IF('6. Class A Consumption Data'!J179:K179="B",'6. Class A Consumption Data'!J177:K177))</f>
        <v>0</v>
      </c>
      <c r="G83" s="448">
        <f t="array" ref="G83">SUM(IF('6. Class A Consumption Data'!L179:M179="B",'6. Class A Consumption Data'!L177:M177))</f>
        <v>0</v>
      </c>
      <c r="H83" s="448">
        <f t="array" ref="H83">SUM(IF('6. Class A Consumption Data'!N179:O179="B",'6. Class A Consumption Data'!N177:O177))</f>
        <v>0</v>
      </c>
      <c r="I83" s="449">
        <f t="shared" si="1"/>
        <v>0</v>
      </c>
      <c r="J83" s="450">
        <f t="shared" si="2"/>
        <v>0</v>
      </c>
      <c r="K83" s="445">
        <f t="shared" si="3"/>
        <v>0</v>
      </c>
    </row>
    <row r="84" spans="1:11" hidden="1" x14ac:dyDescent="0.35">
      <c r="A84" s="447" t="s">
        <v>259</v>
      </c>
      <c r="B84" s="447"/>
      <c r="C84" s="442">
        <f t="shared" si="4"/>
        <v>0</v>
      </c>
      <c r="D84" s="448">
        <v>0</v>
      </c>
      <c r="E84" s="448">
        <v>0</v>
      </c>
      <c r="F84" s="448">
        <f t="array" ref="F84">SUM(IF('6. Class A Consumption Data'!J182:K182="B",'6. Class A Consumption Data'!J180:K180))</f>
        <v>0</v>
      </c>
      <c r="G84" s="448">
        <f t="array" ref="G84">SUM(IF('6. Class A Consumption Data'!L182:M182="B",'6. Class A Consumption Data'!L180:M180))</f>
        <v>0</v>
      </c>
      <c r="H84" s="448">
        <f t="array" ref="H84">SUM(IF('6. Class A Consumption Data'!N182:O182="B",'6. Class A Consumption Data'!N180:O180))</f>
        <v>0</v>
      </c>
      <c r="I84" s="449">
        <f t="shared" si="1"/>
        <v>0</v>
      </c>
      <c r="J84" s="450">
        <f t="shared" si="2"/>
        <v>0</v>
      </c>
      <c r="K84" s="445">
        <f t="shared" si="3"/>
        <v>0</v>
      </c>
    </row>
    <row r="85" spans="1:11" hidden="1" x14ac:dyDescent="0.35">
      <c r="A85" s="447" t="s">
        <v>260</v>
      </c>
      <c r="B85" s="447"/>
      <c r="C85" s="442">
        <f t="shared" si="4"/>
        <v>0</v>
      </c>
      <c r="D85" s="448">
        <v>0</v>
      </c>
      <c r="E85" s="448">
        <v>0</v>
      </c>
      <c r="F85" s="448">
        <f t="array" ref="F85">SUM(IF('6. Class A Consumption Data'!J185:K185="B",'6. Class A Consumption Data'!J183:K183))</f>
        <v>0</v>
      </c>
      <c r="G85" s="448">
        <f t="array" ref="G85">SUM(IF('6. Class A Consumption Data'!L185:M185="B",'6. Class A Consumption Data'!L183:M183))</f>
        <v>0</v>
      </c>
      <c r="H85" s="448">
        <f t="array" ref="H85">SUM(IF('6. Class A Consumption Data'!N185:O185="B",'6. Class A Consumption Data'!N183:O183))</f>
        <v>0</v>
      </c>
      <c r="I85" s="449">
        <f t="shared" si="1"/>
        <v>0</v>
      </c>
      <c r="J85" s="450">
        <f t="shared" si="2"/>
        <v>0</v>
      </c>
      <c r="K85" s="445">
        <f t="shared" si="3"/>
        <v>0</v>
      </c>
    </row>
    <row r="86" spans="1:11" hidden="1" x14ac:dyDescent="0.35">
      <c r="A86" s="447" t="s">
        <v>261</v>
      </c>
      <c r="B86" s="447"/>
      <c r="C86" s="442">
        <f t="shared" si="4"/>
        <v>0</v>
      </c>
      <c r="D86" s="448">
        <v>0</v>
      </c>
      <c r="E86" s="448">
        <v>0</v>
      </c>
      <c r="F86" s="448">
        <f t="array" ref="F86">SUM(IF('6. Class A Consumption Data'!J188:K188="B",'6. Class A Consumption Data'!J186:K186))</f>
        <v>0</v>
      </c>
      <c r="G86" s="448">
        <f t="array" ref="G86">SUM(IF('6. Class A Consumption Data'!L188:M188="B",'6. Class A Consumption Data'!L186:M186))</f>
        <v>0</v>
      </c>
      <c r="H86" s="448">
        <f t="array" ref="H86">SUM(IF('6. Class A Consumption Data'!N188:O188="B",'6. Class A Consumption Data'!N186:O186))</f>
        <v>0</v>
      </c>
      <c r="I86" s="449">
        <f t="shared" si="1"/>
        <v>0</v>
      </c>
      <c r="J86" s="450">
        <f t="shared" si="2"/>
        <v>0</v>
      </c>
      <c r="K86" s="445">
        <f t="shared" si="3"/>
        <v>0</v>
      </c>
    </row>
    <row r="87" spans="1:11" hidden="1" x14ac:dyDescent="0.35">
      <c r="A87" s="447" t="s">
        <v>262</v>
      </c>
      <c r="B87" s="447"/>
      <c r="C87" s="442">
        <f t="shared" si="4"/>
        <v>0</v>
      </c>
      <c r="D87" s="448">
        <v>0</v>
      </c>
      <c r="E87" s="448">
        <v>0</v>
      </c>
      <c r="F87" s="448">
        <f t="array" ref="F87">SUM(IF('6. Class A Consumption Data'!J191:K191="B",'6. Class A Consumption Data'!J189:K189))</f>
        <v>0</v>
      </c>
      <c r="G87" s="448">
        <f t="array" ref="G87">SUM(IF('6. Class A Consumption Data'!L191:M191="B",'6. Class A Consumption Data'!L189:M189))</f>
        <v>0</v>
      </c>
      <c r="H87" s="448">
        <f t="array" ref="H87">SUM(IF('6. Class A Consumption Data'!N191:O191="B",'6. Class A Consumption Data'!N189:O189))</f>
        <v>0</v>
      </c>
      <c r="I87" s="449">
        <f t="shared" si="1"/>
        <v>0</v>
      </c>
      <c r="J87" s="450">
        <f t="shared" si="2"/>
        <v>0</v>
      </c>
      <c r="K87" s="445">
        <f t="shared" si="3"/>
        <v>0</v>
      </c>
    </row>
    <row r="88" spans="1:11" hidden="1" x14ac:dyDescent="0.35">
      <c r="A88" s="447" t="s">
        <v>263</v>
      </c>
      <c r="B88" s="447"/>
      <c r="C88" s="442">
        <f t="shared" si="4"/>
        <v>0</v>
      </c>
      <c r="D88" s="448">
        <v>0</v>
      </c>
      <c r="E88" s="448">
        <v>0</v>
      </c>
      <c r="F88" s="448">
        <f t="array" ref="F88">SUM(IF('6. Class A Consumption Data'!J194:K194="B",'6. Class A Consumption Data'!J192:K192))</f>
        <v>0</v>
      </c>
      <c r="G88" s="448">
        <f t="array" ref="G88">SUM(IF('6. Class A Consumption Data'!L194:M194="B",'6. Class A Consumption Data'!L192:M192))</f>
        <v>0</v>
      </c>
      <c r="H88" s="448">
        <f t="array" ref="H88">SUM(IF('6. Class A Consumption Data'!N194:O194="B",'6. Class A Consumption Data'!N192:O192))</f>
        <v>0</v>
      </c>
      <c r="I88" s="449">
        <f t="shared" si="1"/>
        <v>0</v>
      </c>
      <c r="J88" s="450">
        <f t="shared" si="2"/>
        <v>0</v>
      </c>
      <c r="K88" s="445">
        <f t="shared" si="3"/>
        <v>0</v>
      </c>
    </row>
    <row r="89" spans="1:11" hidden="1" x14ac:dyDescent="0.35">
      <c r="A89" s="447" t="s">
        <v>264</v>
      </c>
      <c r="B89" s="447"/>
      <c r="C89" s="442">
        <f t="shared" si="4"/>
        <v>0</v>
      </c>
      <c r="D89" s="448">
        <v>0</v>
      </c>
      <c r="E89" s="448">
        <v>0</v>
      </c>
      <c r="F89" s="448">
        <f t="array" ref="F89">SUM(IF('6. Class A Consumption Data'!J197:K197="B",'6. Class A Consumption Data'!J195:K195))</f>
        <v>0</v>
      </c>
      <c r="G89" s="448">
        <f t="array" ref="G89">SUM(IF('6. Class A Consumption Data'!L197:M197="B",'6. Class A Consumption Data'!L195:M195))</f>
        <v>0</v>
      </c>
      <c r="H89" s="448">
        <f t="array" ref="H89">SUM(IF('6. Class A Consumption Data'!N197:O197="B",'6. Class A Consumption Data'!N195:O195))</f>
        <v>0</v>
      </c>
      <c r="I89" s="449">
        <f t="shared" si="1"/>
        <v>0</v>
      </c>
      <c r="J89" s="450">
        <f t="shared" si="2"/>
        <v>0</v>
      </c>
      <c r="K89" s="445">
        <f t="shared" si="3"/>
        <v>0</v>
      </c>
    </row>
    <row r="90" spans="1:11" hidden="1" x14ac:dyDescent="0.35">
      <c r="A90" s="447" t="s">
        <v>265</v>
      </c>
      <c r="B90" s="447"/>
      <c r="C90" s="442">
        <f t="shared" si="4"/>
        <v>0</v>
      </c>
      <c r="D90" s="448">
        <v>0</v>
      </c>
      <c r="E90" s="448">
        <v>0</v>
      </c>
      <c r="F90" s="448">
        <f t="array" ref="F90">SUM(IF('6. Class A Consumption Data'!J200:K200="B",'6. Class A Consumption Data'!J198:K198))</f>
        <v>0</v>
      </c>
      <c r="G90" s="448">
        <f t="array" ref="G90">SUM(IF('6. Class A Consumption Data'!L200:M200="B",'6. Class A Consumption Data'!L198:M198))</f>
        <v>0</v>
      </c>
      <c r="H90" s="448">
        <f t="array" ref="H90">SUM(IF('6. Class A Consumption Data'!N200:O200="B",'6. Class A Consumption Data'!N198:O198))</f>
        <v>0</v>
      </c>
      <c r="I90" s="449">
        <f t="shared" si="1"/>
        <v>0</v>
      </c>
      <c r="J90" s="450">
        <f t="shared" si="2"/>
        <v>0</v>
      </c>
      <c r="K90" s="445">
        <f t="shared" si="3"/>
        <v>0</v>
      </c>
    </row>
    <row r="91" spans="1:11" hidden="1" x14ac:dyDescent="0.35">
      <c r="A91" s="447" t="s">
        <v>266</v>
      </c>
      <c r="B91" s="447"/>
      <c r="C91" s="442">
        <f t="shared" si="4"/>
        <v>0</v>
      </c>
      <c r="D91" s="448">
        <v>0</v>
      </c>
      <c r="E91" s="448">
        <v>0</v>
      </c>
      <c r="F91" s="448">
        <f t="array" ref="F91">SUM(IF('6. Class A Consumption Data'!J203:K203="B",'6. Class A Consumption Data'!J201:K201))</f>
        <v>0</v>
      </c>
      <c r="G91" s="448">
        <f t="array" ref="G91">SUM(IF('6. Class A Consumption Data'!L203:M203="B",'6. Class A Consumption Data'!L201:M201))</f>
        <v>0</v>
      </c>
      <c r="H91" s="448">
        <f t="array" ref="H91">SUM(IF('6. Class A Consumption Data'!N203:O203="B",'6. Class A Consumption Data'!N201:O201))</f>
        <v>0</v>
      </c>
      <c r="I91" s="449">
        <f t="shared" si="1"/>
        <v>0</v>
      </c>
      <c r="J91" s="450">
        <f t="shared" si="2"/>
        <v>0</v>
      </c>
      <c r="K91" s="445">
        <f t="shared" si="3"/>
        <v>0</v>
      </c>
    </row>
    <row r="92" spans="1:11" hidden="1" x14ac:dyDescent="0.35">
      <c r="A92" s="447" t="s">
        <v>267</v>
      </c>
      <c r="B92" s="447"/>
      <c r="C92" s="442">
        <f t="shared" si="4"/>
        <v>0</v>
      </c>
      <c r="D92" s="448">
        <v>0</v>
      </c>
      <c r="E92" s="448">
        <v>0</v>
      </c>
      <c r="F92" s="448">
        <f t="array" ref="F92">SUM(IF('6. Class A Consumption Data'!J206:K206="B",'6. Class A Consumption Data'!J204:K204))</f>
        <v>0</v>
      </c>
      <c r="G92" s="448">
        <f t="array" ref="G92">SUM(IF('6. Class A Consumption Data'!L206:M206="B",'6. Class A Consumption Data'!L204:M204))</f>
        <v>0</v>
      </c>
      <c r="H92" s="448">
        <f t="array" ref="H92">SUM(IF('6. Class A Consumption Data'!N206:O206="B",'6. Class A Consumption Data'!N204:O204))</f>
        <v>0</v>
      </c>
      <c r="I92" s="449">
        <f t="shared" si="1"/>
        <v>0</v>
      </c>
      <c r="J92" s="450">
        <f t="shared" si="2"/>
        <v>0</v>
      </c>
      <c r="K92" s="445">
        <f t="shared" si="3"/>
        <v>0</v>
      </c>
    </row>
    <row r="93" spans="1:11" hidden="1" x14ac:dyDescent="0.35">
      <c r="A93" s="447" t="s">
        <v>268</v>
      </c>
      <c r="B93" s="447"/>
      <c r="C93" s="442">
        <f t="shared" si="4"/>
        <v>0</v>
      </c>
      <c r="D93" s="448">
        <v>0</v>
      </c>
      <c r="E93" s="448">
        <v>0</v>
      </c>
      <c r="F93" s="448">
        <f t="array" ref="F93">SUM(IF('6. Class A Consumption Data'!J209:K209="B",'6. Class A Consumption Data'!J207:K207))</f>
        <v>0</v>
      </c>
      <c r="G93" s="448">
        <f t="array" ref="G93">SUM(IF('6. Class A Consumption Data'!L209:M209="B",'6. Class A Consumption Data'!L207:M207))</f>
        <v>0</v>
      </c>
      <c r="H93" s="448">
        <f t="array" ref="H93">SUM(IF('6. Class A Consumption Data'!N209:O209="B",'6. Class A Consumption Data'!N207:O207))</f>
        <v>0</v>
      </c>
      <c r="I93" s="449">
        <f t="shared" si="1"/>
        <v>0</v>
      </c>
      <c r="J93" s="450">
        <f t="shared" si="2"/>
        <v>0</v>
      </c>
      <c r="K93" s="445">
        <f t="shared" si="3"/>
        <v>0</v>
      </c>
    </row>
    <row r="94" spans="1:11" hidden="1" x14ac:dyDescent="0.35">
      <c r="A94" s="447" t="s">
        <v>269</v>
      </c>
      <c r="B94" s="447"/>
      <c r="C94" s="442">
        <f t="shared" si="4"/>
        <v>0</v>
      </c>
      <c r="D94" s="448">
        <v>0</v>
      </c>
      <c r="E94" s="448">
        <v>0</v>
      </c>
      <c r="F94" s="448">
        <f t="array" ref="F94">SUM(IF('6. Class A Consumption Data'!J212:K212="B",'6. Class A Consumption Data'!J210:K210))</f>
        <v>0</v>
      </c>
      <c r="G94" s="448">
        <f t="array" ref="G94">SUM(IF('6. Class A Consumption Data'!L212:M212="B",'6. Class A Consumption Data'!L210:M210))</f>
        <v>0</v>
      </c>
      <c r="H94" s="448">
        <f t="array" ref="H94">SUM(IF('6. Class A Consumption Data'!N212:O212="B",'6. Class A Consumption Data'!N210:O210))</f>
        <v>0</v>
      </c>
      <c r="I94" s="449">
        <f t="shared" si="1"/>
        <v>0</v>
      </c>
      <c r="J94" s="450">
        <f t="shared" si="2"/>
        <v>0</v>
      </c>
      <c r="K94" s="445">
        <f t="shared" si="3"/>
        <v>0</v>
      </c>
    </row>
    <row r="95" spans="1:11" hidden="1" x14ac:dyDescent="0.35">
      <c r="A95" s="447" t="s">
        <v>270</v>
      </c>
      <c r="B95" s="447"/>
      <c r="C95" s="442">
        <f t="shared" si="4"/>
        <v>0</v>
      </c>
      <c r="D95" s="448">
        <v>0</v>
      </c>
      <c r="E95" s="448">
        <v>0</v>
      </c>
      <c r="F95" s="448">
        <f t="array" ref="F95">SUM(IF('6. Class A Consumption Data'!J215:K215="B",'6. Class A Consumption Data'!J213:K213))</f>
        <v>0</v>
      </c>
      <c r="G95" s="448">
        <f t="array" ref="G95">SUM(IF('6. Class A Consumption Data'!L215:M215="B",'6. Class A Consumption Data'!L213:M213))</f>
        <v>0</v>
      </c>
      <c r="H95" s="448">
        <f t="array" ref="H95">SUM(IF('6. Class A Consumption Data'!N215:O215="B",'6. Class A Consumption Data'!N213:O213))</f>
        <v>0</v>
      </c>
      <c r="I95" s="449">
        <f t="shared" si="1"/>
        <v>0</v>
      </c>
      <c r="J95" s="450">
        <f t="shared" si="2"/>
        <v>0</v>
      </c>
      <c r="K95" s="445">
        <f t="shared" si="3"/>
        <v>0</v>
      </c>
    </row>
    <row r="96" spans="1:11" hidden="1" x14ac:dyDescent="0.35">
      <c r="A96" s="447" t="s">
        <v>271</v>
      </c>
      <c r="B96" s="447"/>
      <c r="C96" s="442">
        <f t="shared" si="4"/>
        <v>0</v>
      </c>
      <c r="D96" s="448">
        <v>0</v>
      </c>
      <c r="E96" s="448">
        <v>0</v>
      </c>
      <c r="F96" s="448">
        <f t="array" ref="F96">SUM(IF('6. Class A Consumption Data'!J218:K218="B",'6. Class A Consumption Data'!J216:K216))</f>
        <v>0</v>
      </c>
      <c r="G96" s="448">
        <f t="array" ref="G96">SUM(IF('6. Class A Consumption Data'!L218:M218="B",'6. Class A Consumption Data'!L216:M216))</f>
        <v>0</v>
      </c>
      <c r="H96" s="448">
        <f t="array" ref="H96">SUM(IF('6. Class A Consumption Data'!N218:O218="B",'6. Class A Consumption Data'!N216:O216))</f>
        <v>0</v>
      </c>
      <c r="I96" s="449">
        <f t="shared" si="1"/>
        <v>0</v>
      </c>
      <c r="J96" s="450">
        <f t="shared" si="2"/>
        <v>0</v>
      </c>
      <c r="K96" s="445">
        <f t="shared" si="3"/>
        <v>0</v>
      </c>
    </row>
    <row r="97" spans="1:11" hidden="1" x14ac:dyDescent="0.35">
      <c r="A97" s="447" t="s">
        <v>272</v>
      </c>
      <c r="B97" s="447"/>
      <c r="C97" s="442">
        <f t="shared" si="4"/>
        <v>0</v>
      </c>
      <c r="D97" s="448">
        <v>0</v>
      </c>
      <c r="E97" s="448">
        <v>0</v>
      </c>
      <c r="F97" s="448">
        <f t="array" ref="F97">SUM(IF('6. Class A Consumption Data'!J221:K221="B",'6. Class A Consumption Data'!J219:K219))</f>
        <v>0</v>
      </c>
      <c r="G97" s="448">
        <f t="array" ref="G97">SUM(IF('6. Class A Consumption Data'!L221:M221="B",'6. Class A Consumption Data'!L219:M219))</f>
        <v>0</v>
      </c>
      <c r="H97" s="448">
        <f t="array" ref="H97">SUM(IF('6. Class A Consumption Data'!N221:O221="B",'6. Class A Consumption Data'!N219:O219))</f>
        <v>0</v>
      </c>
      <c r="I97" s="449">
        <f t="shared" si="1"/>
        <v>0</v>
      </c>
      <c r="J97" s="450">
        <f t="shared" si="2"/>
        <v>0</v>
      </c>
      <c r="K97" s="445">
        <f t="shared" si="3"/>
        <v>0</v>
      </c>
    </row>
    <row r="98" spans="1:11" hidden="1" x14ac:dyDescent="0.35">
      <c r="A98" s="447" t="s">
        <v>273</v>
      </c>
      <c r="B98" s="447"/>
      <c r="C98" s="442">
        <f t="shared" ref="C98:C129" si="5">SUM(D98:E98)</f>
        <v>0</v>
      </c>
      <c r="D98" s="448">
        <v>0</v>
      </c>
      <c r="E98" s="448">
        <v>0</v>
      </c>
      <c r="F98" s="448">
        <f t="array" ref="F98">SUM(IF('6. Class A Consumption Data'!J224:K224="B",'6. Class A Consumption Data'!J222:K222))</f>
        <v>0</v>
      </c>
      <c r="G98" s="448">
        <f t="array" ref="G98">SUM(IF('6. Class A Consumption Data'!L224:M224="B",'6. Class A Consumption Data'!L222:M222))</f>
        <v>0</v>
      </c>
      <c r="H98" s="448">
        <f t="array" ref="H98">SUM(IF('6. Class A Consumption Data'!N224:O224="B",'6. Class A Consumption Data'!N222:O222))</f>
        <v>0</v>
      </c>
      <c r="I98" s="449">
        <f t="shared" si="1"/>
        <v>0</v>
      </c>
      <c r="J98" s="450">
        <f t="shared" si="2"/>
        <v>0</v>
      </c>
      <c r="K98" s="445">
        <f t="shared" si="3"/>
        <v>0</v>
      </c>
    </row>
    <row r="99" spans="1:11" hidden="1" x14ac:dyDescent="0.35">
      <c r="A99" s="447" t="s">
        <v>274</v>
      </c>
      <c r="B99" s="447"/>
      <c r="C99" s="442">
        <f t="shared" si="5"/>
        <v>0</v>
      </c>
      <c r="D99" s="448">
        <v>0</v>
      </c>
      <c r="E99" s="448">
        <v>0</v>
      </c>
      <c r="F99" s="448">
        <f t="array" ref="F99">SUM(IF('6. Class A Consumption Data'!J227:K227="B",'6. Class A Consumption Data'!J225:K225))</f>
        <v>0</v>
      </c>
      <c r="G99" s="448">
        <f t="array" ref="G99">SUM(IF('6. Class A Consumption Data'!L227:M227="B",'6. Class A Consumption Data'!L225:M225))</f>
        <v>0</v>
      </c>
      <c r="H99" s="448">
        <f t="array" ref="H99">SUM(IF('6. Class A Consumption Data'!N227:O227="B",'6. Class A Consumption Data'!N225:O225))</f>
        <v>0</v>
      </c>
      <c r="I99" s="449">
        <f t="shared" ref="I99:I162" si="6">IFERROR(+C99/$C$184,0)</f>
        <v>0</v>
      </c>
      <c r="J99" s="450">
        <f t="shared" si="2"/>
        <v>0</v>
      </c>
      <c r="K99" s="445">
        <f t="shared" si="3"/>
        <v>0</v>
      </c>
    </row>
    <row r="100" spans="1:11" hidden="1" x14ac:dyDescent="0.35">
      <c r="A100" s="447" t="s">
        <v>275</v>
      </c>
      <c r="B100" s="447"/>
      <c r="C100" s="442">
        <f t="shared" si="5"/>
        <v>0</v>
      </c>
      <c r="D100" s="448">
        <v>0</v>
      </c>
      <c r="E100" s="448">
        <v>0</v>
      </c>
      <c r="F100" s="448">
        <f t="array" ref="F100">SUM(IF('6. Class A Consumption Data'!J230:K230="B",'6. Class A Consumption Data'!J228:K228))</f>
        <v>0</v>
      </c>
      <c r="G100" s="448">
        <f t="array" ref="G100">SUM(IF('6. Class A Consumption Data'!L230:M230="B",'6. Class A Consumption Data'!L228:M228))</f>
        <v>0</v>
      </c>
      <c r="H100" s="448">
        <f t="array" ref="H100">SUM(IF('6. Class A Consumption Data'!N230:O230="B",'6. Class A Consumption Data'!N228:O228))</f>
        <v>0</v>
      </c>
      <c r="I100" s="449">
        <f t="shared" si="6"/>
        <v>0</v>
      </c>
      <c r="J100" s="450">
        <f t="shared" si="2"/>
        <v>0</v>
      </c>
      <c r="K100" s="445">
        <f t="shared" si="3"/>
        <v>0</v>
      </c>
    </row>
    <row r="101" spans="1:11" hidden="1" x14ac:dyDescent="0.35">
      <c r="A101" s="447" t="s">
        <v>276</v>
      </c>
      <c r="B101" s="447"/>
      <c r="C101" s="442">
        <f t="shared" si="5"/>
        <v>0</v>
      </c>
      <c r="D101" s="448">
        <v>0</v>
      </c>
      <c r="E101" s="448">
        <v>0</v>
      </c>
      <c r="F101" s="448">
        <f t="array" ref="F101">SUM(IF('6. Class A Consumption Data'!J233:K233="B",'6. Class A Consumption Data'!J231:K231))</f>
        <v>0</v>
      </c>
      <c r="G101" s="448">
        <f t="array" ref="G101">SUM(IF('6. Class A Consumption Data'!L233:M233="B",'6. Class A Consumption Data'!L231:M231))</f>
        <v>0</v>
      </c>
      <c r="H101" s="448">
        <f t="array" ref="H101">SUM(IF('6. Class A Consumption Data'!N233:O233="B",'6. Class A Consumption Data'!N231:O231))</f>
        <v>0</v>
      </c>
      <c r="I101" s="449">
        <f t="shared" si="6"/>
        <v>0</v>
      </c>
      <c r="J101" s="450">
        <f t="shared" si="2"/>
        <v>0</v>
      </c>
      <c r="K101" s="445">
        <f t="shared" si="3"/>
        <v>0</v>
      </c>
    </row>
    <row r="102" spans="1:11" hidden="1" x14ac:dyDescent="0.35">
      <c r="A102" s="447" t="s">
        <v>277</v>
      </c>
      <c r="B102" s="447"/>
      <c r="C102" s="442">
        <f t="shared" si="5"/>
        <v>0</v>
      </c>
      <c r="D102" s="448">
        <v>0</v>
      </c>
      <c r="E102" s="448">
        <v>0</v>
      </c>
      <c r="F102" s="448">
        <f t="array" ref="F102">SUM(IF('6. Class A Consumption Data'!J236:K236="B",'6. Class A Consumption Data'!J234:K234))</f>
        <v>0</v>
      </c>
      <c r="G102" s="448">
        <f t="array" ref="G102">SUM(IF('6. Class A Consumption Data'!L236:M236="B",'6. Class A Consumption Data'!L234:M234))</f>
        <v>0</v>
      </c>
      <c r="H102" s="448">
        <f t="array" ref="H102">SUM(IF('6. Class A Consumption Data'!N236:O236="B",'6. Class A Consumption Data'!N234:O234))</f>
        <v>0</v>
      </c>
      <c r="I102" s="449">
        <f t="shared" si="6"/>
        <v>0</v>
      </c>
      <c r="J102" s="450">
        <f t="shared" ref="J102:J165" si="7">+I102*$C$28</f>
        <v>0</v>
      </c>
      <c r="K102" s="445">
        <f t="shared" ref="K102:K165" si="8">+J102/12</f>
        <v>0</v>
      </c>
    </row>
    <row r="103" spans="1:11" hidden="1" x14ac:dyDescent="0.35">
      <c r="A103" s="447" t="s">
        <v>278</v>
      </c>
      <c r="B103" s="447"/>
      <c r="C103" s="442">
        <f t="shared" si="5"/>
        <v>0</v>
      </c>
      <c r="D103" s="448">
        <v>0</v>
      </c>
      <c r="E103" s="448">
        <v>0</v>
      </c>
      <c r="F103" s="448">
        <f t="array" ref="F103">SUM(IF('6. Class A Consumption Data'!J239:K239="B",'6. Class A Consumption Data'!J237:K237))</f>
        <v>0</v>
      </c>
      <c r="G103" s="448">
        <f t="array" ref="G103">SUM(IF('6. Class A Consumption Data'!L239:M239="B",'6. Class A Consumption Data'!L237:M237))</f>
        <v>0</v>
      </c>
      <c r="H103" s="448">
        <f t="array" ref="H103">SUM(IF('6. Class A Consumption Data'!N239:O239="B",'6. Class A Consumption Data'!N237:O237))</f>
        <v>0</v>
      </c>
      <c r="I103" s="449">
        <f t="shared" si="6"/>
        <v>0</v>
      </c>
      <c r="J103" s="450">
        <f t="shared" si="7"/>
        <v>0</v>
      </c>
      <c r="K103" s="445">
        <f t="shared" si="8"/>
        <v>0</v>
      </c>
    </row>
    <row r="104" spans="1:11" hidden="1" x14ac:dyDescent="0.35">
      <c r="A104" s="447" t="s">
        <v>279</v>
      </c>
      <c r="B104" s="447"/>
      <c r="C104" s="442">
        <f t="shared" si="5"/>
        <v>0</v>
      </c>
      <c r="D104" s="448">
        <v>0</v>
      </c>
      <c r="E104" s="448">
        <v>0</v>
      </c>
      <c r="F104" s="448">
        <f t="array" ref="F104">SUM(IF('6. Class A Consumption Data'!J242:K242="B",'6. Class A Consumption Data'!J240:K240))</f>
        <v>0</v>
      </c>
      <c r="G104" s="448">
        <f t="array" ref="G104">SUM(IF('6. Class A Consumption Data'!L242:M242="B",'6. Class A Consumption Data'!L240:M240))</f>
        <v>0</v>
      </c>
      <c r="H104" s="448">
        <f t="array" ref="H104">SUM(IF('6. Class A Consumption Data'!N242:O242="B",'6. Class A Consumption Data'!N240:O240))</f>
        <v>0</v>
      </c>
      <c r="I104" s="449">
        <f t="shared" si="6"/>
        <v>0</v>
      </c>
      <c r="J104" s="450">
        <f t="shared" si="7"/>
        <v>0</v>
      </c>
      <c r="K104" s="445">
        <f t="shared" si="8"/>
        <v>0</v>
      </c>
    </row>
    <row r="105" spans="1:11" hidden="1" x14ac:dyDescent="0.35">
      <c r="A105" s="447" t="s">
        <v>280</v>
      </c>
      <c r="B105" s="447"/>
      <c r="C105" s="442">
        <f t="shared" si="5"/>
        <v>0</v>
      </c>
      <c r="D105" s="448">
        <v>0</v>
      </c>
      <c r="E105" s="448">
        <v>0</v>
      </c>
      <c r="F105" s="448">
        <f t="array" ref="F105">SUM(IF('6. Class A Consumption Data'!J245:K245="B",'6. Class A Consumption Data'!J243:K243))</f>
        <v>0</v>
      </c>
      <c r="G105" s="448">
        <f t="array" ref="G105">SUM(IF('6. Class A Consumption Data'!L245:M245="B",'6. Class A Consumption Data'!L243:M243))</f>
        <v>0</v>
      </c>
      <c r="H105" s="448">
        <f t="array" ref="H105">SUM(IF('6. Class A Consumption Data'!N245:O245="B",'6. Class A Consumption Data'!N243:O243))</f>
        <v>0</v>
      </c>
      <c r="I105" s="449">
        <f t="shared" si="6"/>
        <v>0</v>
      </c>
      <c r="J105" s="450">
        <f t="shared" si="7"/>
        <v>0</v>
      </c>
      <c r="K105" s="445">
        <f t="shared" si="8"/>
        <v>0</v>
      </c>
    </row>
    <row r="106" spans="1:11" hidden="1" x14ac:dyDescent="0.35">
      <c r="A106" s="447" t="s">
        <v>281</v>
      </c>
      <c r="B106" s="447"/>
      <c r="C106" s="442">
        <f t="shared" si="5"/>
        <v>0</v>
      </c>
      <c r="D106" s="448">
        <v>0</v>
      </c>
      <c r="E106" s="448">
        <v>0</v>
      </c>
      <c r="F106" s="448">
        <f t="array" ref="F106">SUM(IF('6. Class A Consumption Data'!J248:K248="B",'6. Class A Consumption Data'!J246:K246))</f>
        <v>0</v>
      </c>
      <c r="G106" s="448">
        <f t="array" ref="G106">SUM(IF('6. Class A Consumption Data'!L248:M248="B",'6. Class A Consumption Data'!L246:M246))</f>
        <v>0</v>
      </c>
      <c r="H106" s="448">
        <f t="array" ref="H106">SUM(IF('6. Class A Consumption Data'!N248:O248="B",'6. Class A Consumption Data'!N246:O246))</f>
        <v>0</v>
      </c>
      <c r="I106" s="449">
        <f t="shared" si="6"/>
        <v>0</v>
      </c>
      <c r="J106" s="450">
        <f t="shared" si="7"/>
        <v>0</v>
      </c>
      <c r="K106" s="445">
        <f t="shared" si="8"/>
        <v>0</v>
      </c>
    </row>
    <row r="107" spans="1:11" hidden="1" x14ac:dyDescent="0.35">
      <c r="A107" s="447" t="s">
        <v>282</v>
      </c>
      <c r="B107" s="447"/>
      <c r="C107" s="442">
        <f t="shared" si="5"/>
        <v>0</v>
      </c>
      <c r="D107" s="448">
        <v>0</v>
      </c>
      <c r="E107" s="448">
        <v>0</v>
      </c>
      <c r="F107" s="448">
        <f t="array" ref="F107">SUM(IF('6. Class A Consumption Data'!J251:K251="B",'6. Class A Consumption Data'!J249:K249))</f>
        <v>0</v>
      </c>
      <c r="G107" s="448">
        <f t="array" ref="G107">SUM(IF('6. Class A Consumption Data'!L251:M251="B",'6. Class A Consumption Data'!L249:M249))</f>
        <v>0</v>
      </c>
      <c r="H107" s="448">
        <f t="array" ref="H107">SUM(IF('6. Class A Consumption Data'!N251:O251="B",'6. Class A Consumption Data'!N249:O249))</f>
        <v>0</v>
      </c>
      <c r="I107" s="449">
        <f t="shared" si="6"/>
        <v>0</v>
      </c>
      <c r="J107" s="450">
        <f t="shared" si="7"/>
        <v>0</v>
      </c>
      <c r="K107" s="445">
        <f t="shared" si="8"/>
        <v>0</v>
      </c>
    </row>
    <row r="108" spans="1:11" hidden="1" x14ac:dyDescent="0.35">
      <c r="A108" s="447" t="s">
        <v>283</v>
      </c>
      <c r="B108" s="447"/>
      <c r="C108" s="442">
        <f t="shared" si="5"/>
        <v>0</v>
      </c>
      <c r="D108" s="448">
        <v>0</v>
      </c>
      <c r="E108" s="448">
        <v>0</v>
      </c>
      <c r="F108" s="448">
        <f t="array" ref="F108">SUM(IF('6. Class A Consumption Data'!J254:K254="B",'6. Class A Consumption Data'!J252:K252))</f>
        <v>0</v>
      </c>
      <c r="G108" s="448">
        <f t="array" ref="G108">SUM(IF('6. Class A Consumption Data'!L254:M254="B",'6. Class A Consumption Data'!L252:M252))</f>
        <v>0</v>
      </c>
      <c r="H108" s="448">
        <f t="array" ref="H108">SUM(IF('6. Class A Consumption Data'!N254:O254="B",'6. Class A Consumption Data'!N252:O252))</f>
        <v>0</v>
      </c>
      <c r="I108" s="449">
        <f t="shared" si="6"/>
        <v>0</v>
      </c>
      <c r="J108" s="450">
        <f t="shared" si="7"/>
        <v>0</v>
      </c>
      <c r="K108" s="445">
        <f t="shared" si="8"/>
        <v>0</v>
      </c>
    </row>
    <row r="109" spans="1:11" hidden="1" x14ac:dyDescent="0.35">
      <c r="A109" s="447" t="s">
        <v>284</v>
      </c>
      <c r="B109" s="447"/>
      <c r="C109" s="442">
        <f t="shared" si="5"/>
        <v>0</v>
      </c>
      <c r="D109" s="448">
        <v>0</v>
      </c>
      <c r="E109" s="448">
        <v>0</v>
      </c>
      <c r="F109" s="448">
        <f t="array" ref="F109">SUM(IF('6. Class A Consumption Data'!J257:K257="B",'6. Class A Consumption Data'!J255:K255))</f>
        <v>0</v>
      </c>
      <c r="G109" s="448">
        <f t="array" ref="G109">SUM(IF('6. Class A Consumption Data'!L257:M257="B",'6. Class A Consumption Data'!L255:M255))</f>
        <v>0</v>
      </c>
      <c r="H109" s="448">
        <f t="array" ref="H109">SUM(IF('6. Class A Consumption Data'!N257:O257="B",'6. Class A Consumption Data'!N255:O255))</f>
        <v>0</v>
      </c>
      <c r="I109" s="449">
        <f t="shared" si="6"/>
        <v>0</v>
      </c>
      <c r="J109" s="450">
        <f t="shared" si="7"/>
        <v>0</v>
      </c>
      <c r="K109" s="445">
        <f t="shared" si="8"/>
        <v>0</v>
      </c>
    </row>
    <row r="110" spans="1:11" hidden="1" x14ac:dyDescent="0.35">
      <c r="A110" s="447" t="s">
        <v>285</v>
      </c>
      <c r="B110" s="447"/>
      <c r="C110" s="442">
        <f t="shared" si="5"/>
        <v>0</v>
      </c>
      <c r="D110" s="448">
        <v>0</v>
      </c>
      <c r="E110" s="448">
        <v>0</v>
      </c>
      <c r="F110" s="448">
        <f t="array" ref="F110">SUM(IF('6. Class A Consumption Data'!J260:K260="B",'6. Class A Consumption Data'!J258:K258))</f>
        <v>0</v>
      </c>
      <c r="G110" s="448">
        <f t="array" ref="G110">SUM(IF('6. Class A Consumption Data'!L260:M260="B",'6. Class A Consumption Data'!L258:M258))</f>
        <v>0</v>
      </c>
      <c r="H110" s="448">
        <f t="array" ref="H110">SUM(IF('6. Class A Consumption Data'!N260:O260="B",'6. Class A Consumption Data'!N258:O258))</f>
        <v>0</v>
      </c>
      <c r="I110" s="449">
        <f t="shared" si="6"/>
        <v>0</v>
      </c>
      <c r="J110" s="450">
        <f t="shared" si="7"/>
        <v>0</v>
      </c>
      <c r="K110" s="445">
        <f t="shared" si="8"/>
        <v>0</v>
      </c>
    </row>
    <row r="111" spans="1:11" hidden="1" x14ac:dyDescent="0.35">
      <c r="A111" s="447" t="s">
        <v>286</v>
      </c>
      <c r="B111" s="447"/>
      <c r="C111" s="442">
        <f t="shared" si="5"/>
        <v>0</v>
      </c>
      <c r="D111" s="448">
        <v>0</v>
      </c>
      <c r="E111" s="448">
        <v>0</v>
      </c>
      <c r="F111" s="448">
        <f t="array" ref="F111">SUM(IF('6. Class A Consumption Data'!J263:K263="B",'6. Class A Consumption Data'!J261:K261))</f>
        <v>0</v>
      </c>
      <c r="G111" s="448">
        <f t="array" ref="G111">SUM(IF('6. Class A Consumption Data'!L263:M263="B",'6. Class A Consumption Data'!L261:M261))</f>
        <v>0</v>
      </c>
      <c r="H111" s="448">
        <f t="array" ref="H111">SUM(IF('6. Class A Consumption Data'!N263:O263="B",'6. Class A Consumption Data'!N261:O261))</f>
        <v>0</v>
      </c>
      <c r="I111" s="449">
        <f t="shared" si="6"/>
        <v>0</v>
      </c>
      <c r="J111" s="450">
        <f t="shared" si="7"/>
        <v>0</v>
      </c>
      <c r="K111" s="445">
        <f t="shared" si="8"/>
        <v>0</v>
      </c>
    </row>
    <row r="112" spans="1:11" hidden="1" x14ac:dyDescent="0.35">
      <c r="A112" s="447" t="s">
        <v>287</v>
      </c>
      <c r="B112" s="447"/>
      <c r="C112" s="442">
        <f t="shared" si="5"/>
        <v>0</v>
      </c>
      <c r="D112" s="448">
        <v>0</v>
      </c>
      <c r="E112" s="448">
        <v>0</v>
      </c>
      <c r="F112" s="448">
        <f t="array" ref="F112">SUM(IF('6. Class A Consumption Data'!J266:K266="B",'6. Class A Consumption Data'!J264:K264))</f>
        <v>0</v>
      </c>
      <c r="G112" s="448">
        <f t="array" ref="G112">SUM(IF('6. Class A Consumption Data'!L266:M266="B",'6. Class A Consumption Data'!L264:M264))</f>
        <v>0</v>
      </c>
      <c r="H112" s="448">
        <f t="array" ref="H112">SUM(IF('6. Class A Consumption Data'!N266:O266="B",'6. Class A Consumption Data'!N264:O264))</f>
        <v>0</v>
      </c>
      <c r="I112" s="449">
        <f t="shared" si="6"/>
        <v>0</v>
      </c>
      <c r="J112" s="450">
        <f t="shared" si="7"/>
        <v>0</v>
      </c>
      <c r="K112" s="445">
        <f t="shared" si="8"/>
        <v>0</v>
      </c>
    </row>
    <row r="113" spans="1:11" hidden="1" x14ac:dyDescent="0.35">
      <c r="A113" s="447" t="s">
        <v>288</v>
      </c>
      <c r="B113" s="447"/>
      <c r="C113" s="442">
        <f t="shared" si="5"/>
        <v>0</v>
      </c>
      <c r="D113" s="448">
        <v>0</v>
      </c>
      <c r="E113" s="448">
        <v>0</v>
      </c>
      <c r="F113" s="448">
        <f t="array" ref="F113">SUM(IF('6. Class A Consumption Data'!J269:K269="B",'6. Class A Consumption Data'!J267:K267))</f>
        <v>0</v>
      </c>
      <c r="G113" s="448">
        <f t="array" ref="G113">SUM(IF('6. Class A Consumption Data'!L269:M269="B",'6. Class A Consumption Data'!L267:M267))</f>
        <v>0</v>
      </c>
      <c r="H113" s="448">
        <f t="array" ref="H113">SUM(IF('6. Class A Consumption Data'!N269:O269="B",'6. Class A Consumption Data'!N267:O267))</f>
        <v>0</v>
      </c>
      <c r="I113" s="449">
        <f t="shared" si="6"/>
        <v>0</v>
      </c>
      <c r="J113" s="450">
        <f t="shared" si="7"/>
        <v>0</v>
      </c>
      <c r="K113" s="445">
        <f t="shared" si="8"/>
        <v>0</v>
      </c>
    </row>
    <row r="114" spans="1:11" hidden="1" x14ac:dyDescent="0.35">
      <c r="A114" s="447" t="s">
        <v>289</v>
      </c>
      <c r="B114" s="447"/>
      <c r="C114" s="442">
        <f t="shared" si="5"/>
        <v>0</v>
      </c>
      <c r="D114" s="448">
        <v>0</v>
      </c>
      <c r="E114" s="448">
        <v>0</v>
      </c>
      <c r="F114" s="448">
        <f t="array" ref="F114">SUM(IF('6. Class A Consumption Data'!J272:K272="B",'6. Class A Consumption Data'!J270:K270))</f>
        <v>0</v>
      </c>
      <c r="G114" s="448">
        <f t="array" ref="G114">SUM(IF('6. Class A Consumption Data'!L272:M272="B",'6. Class A Consumption Data'!L270:M270))</f>
        <v>0</v>
      </c>
      <c r="H114" s="448">
        <f t="array" ref="H114">SUM(IF('6. Class A Consumption Data'!N272:O272="B",'6. Class A Consumption Data'!N270:O270))</f>
        <v>0</v>
      </c>
      <c r="I114" s="449">
        <f t="shared" si="6"/>
        <v>0</v>
      </c>
      <c r="J114" s="450">
        <f t="shared" si="7"/>
        <v>0</v>
      </c>
      <c r="K114" s="445">
        <f t="shared" si="8"/>
        <v>0</v>
      </c>
    </row>
    <row r="115" spans="1:11" hidden="1" x14ac:dyDescent="0.35">
      <c r="A115" s="447" t="s">
        <v>290</v>
      </c>
      <c r="B115" s="447"/>
      <c r="C115" s="442">
        <f t="shared" si="5"/>
        <v>0</v>
      </c>
      <c r="D115" s="448">
        <v>0</v>
      </c>
      <c r="E115" s="448">
        <v>0</v>
      </c>
      <c r="F115" s="448">
        <f t="array" ref="F115">SUM(IF('6. Class A Consumption Data'!J275:K275="B",'6. Class A Consumption Data'!J273:K273))</f>
        <v>0</v>
      </c>
      <c r="G115" s="448">
        <f t="array" ref="G115">SUM(IF('6. Class A Consumption Data'!L275:M275="B",'6. Class A Consumption Data'!L273:M273))</f>
        <v>0</v>
      </c>
      <c r="H115" s="448">
        <f t="array" ref="H115">SUM(IF('6. Class A Consumption Data'!N275:O275="B",'6. Class A Consumption Data'!N273:O273))</f>
        <v>0</v>
      </c>
      <c r="I115" s="449">
        <f t="shared" si="6"/>
        <v>0</v>
      </c>
      <c r="J115" s="450">
        <f t="shared" si="7"/>
        <v>0</v>
      </c>
      <c r="K115" s="445">
        <f t="shared" si="8"/>
        <v>0</v>
      </c>
    </row>
    <row r="116" spans="1:11" hidden="1" x14ac:dyDescent="0.35">
      <c r="A116" s="447" t="s">
        <v>291</v>
      </c>
      <c r="B116" s="447"/>
      <c r="C116" s="442">
        <f t="shared" si="5"/>
        <v>0</v>
      </c>
      <c r="D116" s="448">
        <v>0</v>
      </c>
      <c r="E116" s="448">
        <v>0</v>
      </c>
      <c r="F116" s="448">
        <f t="array" ref="F116">SUM(IF('6. Class A Consumption Data'!J278:K278="B",'6. Class A Consumption Data'!J276:K276))</f>
        <v>0</v>
      </c>
      <c r="G116" s="448">
        <f t="array" ref="G116">SUM(IF('6. Class A Consumption Data'!L278:M278="B",'6. Class A Consumption Data'!L276:M276))</f>
        <v>0</v>
      </c>
      <c r="H116" s="448">
        <f t="array" ref="H116">SUM(IF('6. Class A Consumption Data'!N278:O278="B",'6. Class A Consumption Data'!N276:O276))</f>
        <v>0</v>
      </c>
      <c r="I116" s="449">
        <f t="shared" si="6"/>
        <v>0</v>
      </c>
      <c r="J116" s="450">
        <f t="shared" si="7"/>
        <v>0</v>
      </c>
      <c r="K116" s="445">
        <f t="shared" si="8"/>
        <v>0</v>
      </c>
    </row>
    <row r="117" spans="1:11" hidden="1" x14ac:dyDescent="0.35">
      <c r="A117" s="447" t="s">
        <v>292</v>
      </c>
      <c r="B117" s="447"/>
      <c r="C117" s="442">
        <f t="shared" si="5"/>
        <v>0</v>
      </c>
      <c r="D117" s="448">
        <v>0</v>
      </c>
      <c r="E117" s="448">
        <v>0</v>
      </c>
      <c r="F117" s="448">
        <f t="array" ref="F117">SUM(IF('6. Class A Consumption Data'!J281:K281="B",'6. Class A Consumption Data'!J279:K279))</f>
        <v>0</v>
      </c>
      <c r="G117" s="448">
        <f t="array" ref="G117">SUM(IF('6. Class A Consumption Data'!L281:M281="B",'6. Class A Consumption Data'!L279:M279))</f>
        <v>0</v>
      </c>
      <c r="H117" s="448">
        <f t="array" ref="H117">SUM(IF('6. Class A Consumption Data'!N281:O281="B",'6. Class A Consumption Data'!N279:O279))</f>
        <v>0</v>
      </c>
      <c r="I117" s="449">
        <f t="shared" si="6"/>
        <v>0</v>
      </c>
      <c r="J117" s="450">
        <f t="shared" si="7"/>
        <v>0</v>
      </c>
      <c r="K117" s="445">
        <f t="shared" si="8"/>
        <v>0</v>
      </c>
    </row>
    <row r="118" spans="1:11" hidden="1" x14ac:dyDescent="0.35">
      <c r="A118" s="447" t="s">
        <v>293</v>
      </c>
      <c r="B118" s="447"/>
      <c r="C118" s="442">
        <f t="shared" si="5"/>
        <v>0</v>
      </c>
      <c r="D118" s="448">
        <v>0</v>
      </c>
      <c r="E118" s="448">
        <v>0</v>
      </c>
      <c r="F118" s="448">
        <f t="array" ref="F118">SUM(IF('6. Class A Consumption Data'!J284:K284="B",'6. Class A Consumption Data'!J282:K282))</f>
        <v>0</v>
      </c>
      <c r="G118" s="448">
        <f t="array" ref="G118">SUM(IF('6. Class A Consumption Data'!L284:M284="B",'6. Class A Consumption Data'!L282:M282))</f>
        <v>0</v>
      </c>
      <c r="H118" s="448">
        <f t="array" ref="H118">SUM(IF('6. Class A Consumption Data'!N284:O284="B",'6. Class A Consumption Data'!N282:O282))</f>
        <v>0</v>
      </c>
      <c r="I118" s="449">
        <f t="shared" si="6"/>
        <v>0</v>
      </c>
      <c r="J118" s="450">
        <f t="shared" si="7"/>
        <v>0</v>
      </c>
      <c r="K118" s="445">
        <f t="shared" si="8"/>
        <v>0</v>
      </c>
    </row>
    <row r="119" spans="1:11" hidden="1" x14ac:dyDescent="0.35">
      <c r="A119" s="447" t="s">
        <v>294</v>
      </c>
      <c r="B119" s="447"/>
      <c r="C119" s="442">
        <f t="shared" si="5"/>
        <v>0</v>
      </c>
      <c r="D119" s="448">
        <v>0</v>
      </c>
      <c r="E119" s="448">
        <v>0</v>
      </c>
      <c r="F119" s="448">
        <f t="array" ref="F119">SUM(IF('6. Class A Consumption Data'!J287:K287="B",'6. Class A Consumption Data'!J285:K285))</f>
        <v>0</v>
      </c>
      <c r="G119" s="448">
        <f t="array" ref="G119">SUM(IF('6. Class A Consumption Data'!L287:M287="B",'6. Class A Consumption Data'!L285:M285))</f>
        <v>0</v>
      </c>
      <c r="H119" s="448">
        <f t="array" ref="H119">SUM(IF('6. Class A Consumption Data'!N287:O287="B",'6. Class A Consumption Data'!N285:O285))</f>
        <v>0</v>
      </c>
      <c r="I119" s="449">
        <f t="shared" si="6"/>
        <v>0</v>
      </c>
      <c r="J119" s="450">
        <f t="shared" si="7"/>
        <v>0</v>
      </c>
      <c r="K119" s="445">
        <f t="shared" si="8"/>
        <v>0</v>
      </c>
    </row>
    <row r="120" spans="1:11" hidden="1" x14ac:dyDescent="0.35">
      <c r="A120" s="447" t="s">
        <v>295</v>
      </c>
      <c r="B120" s="447"/>
      <c r="C120" s="442">
        <f t="shared" si="5"/>
        <v>0</v>
      </c>
      <c r="D120" s="448">
        <v>0</v>
      </c>
      <c r="E120" s="448">
        <v>0</v>
      </c>
      <c r="F120" s="448">
        <f t="array" ref="F120">SUM(IF('6. Class A Consumption Data'!J290:K290="B",'6. Class A Consumption Data'!J288:K288))</f>
        <v>0</v>
      </c>
      <c r="G120" s="448">
        <f t="array" ref="G120">SUM(IF('6. Class A Consumption Data'!L290:M290="B",'6. Class A Consumption Data'!L288:M288))</f>
        <v>0</v>
      </c>
      <c r="H120" s="448">
        <f t="array" ref="H120">SUM(IF('6. Class A Consumption Data'!N290:O290="B",'6. Class A Consumption Data'!N288:O288))</f>
        <v>0</v>
      </c>
      <c r="I120" s="449">
        <f t="shared" si="6"/>
        <v>0</v>
      </c>
      <c r="J120" s="450">
        <f t="shared" si="7"/>
        <v>0</v>
      </c>
      <c r="K120" s="445">
        <f t="shared" si="8"/>
        <v>0</v>
      </c>
    </row>
    <row r="121" spans="1:11" hidden="1" x14ac:dyDescent="0.35">
      <c r="A121" s="447" t="s">
        <v>296</v>
      </c>
      <c r="B121" s="447"/>
      <c r="C121" s="442">
        <f t="shared" si="5"/>
        <v>0</v>
      </c>
      <c r="D121" s="448">
        <v>0</v>
      </c>
      <c r="E121" s="448">
        <v>0</v>
      </c>
      <c r="F121" s="448">
        <f t="array" ref="F121">SUM(IF('6. Class A Consumption Data'!J293:K293="B",'6. Class A Consumption Data'!J291:K291))</f>
        <v>0</v>
      </c>
      <c r="G121" s="448">
        <f t="array" ref="G121">SUM(IF('6. Class A Consumption Data'!L293:M293="B",'6. Class A Consumption Data'!L291:M291))</f>
        <v>0</v>
      </c>
      <c r="H121" s="448">
        <f t="array" ref="H121">SUM(IF('6. Class A Consumption Data'!N293:O293="B",'6. Class A Consumption Data'!N291:O291))</f>
        <v>0</v>
      </c>
      <c r="I121" s="449">
        <f t="shared" si="6"/>
        <v>0</v>
      </c>
      <c r="J121" s="450">
        <f t="shared" si="7"/>
        <v>0</v>
      </c>
      <c r="K121" s="445">
        <f t="shared" si="8"/>
        <v>0</v>
      </c>
    </row>
    <row r="122" spans="1:11" hidden="1" x14ac:dyDescent="0.35">
      <c r="A122" s="447" t="s">
        <v>297</v>
      </c>
      <c r="B122" s="447"/>
      <c r="C122" s="442">
        <f t="shared" si="5"/>
        <v>0</v>
      </c>
      <c r="D122" s="448">
        <v>0</v>
      </c>
      <c r="E122" s="448">
        <v>0</v>
      </c>
      <c r="F122" s="448">
        <f t="array" ref="F122">SUM(IF('6. Class A Consumption Data'!J296:K296="B",'6. Class A Consumption Data'!J294:K294))</f>
        <v>0</v>
      </c>
      <c r="G122" s="448">
        <f t="array" ref="G122">SUM(IF('6. Class A Consumption Data'!L296:M296="B",'6. Class A Consumption Data'!L294:M294))</f>
        <v>0</v>
      </c>
      <c r="H122" s="448">
        <f t="array" ref="H122">SUM(IF('6. Class A Consumption Data'!N296:O296="B",'6. Class A Consumption Data'!N294:O294))</f>
        <v>0</v>
      </c>
      <c r="I122" s="449">
        <f t="shared" si="6"/>
        <v>0</v>
      </c>
      <c r="J122" s="450">
        <f t="shared" si="7"/>
        <v>0</v>
      </c>
      <c r="K122" s="445">
        <f t="shared" si="8"/>
        <v>0</v>
      </c>
    </row>
    <row r="123" spans="1:11" hidden="1" x14ac:dyDescent="0.35">
      <c r="A123" s="447" t="s">
        <v>298</v>
      </c>
      <c r="B123" s="447"/>
      <c r="C123" s="442">
        <f t="shared" si="5"/>
        <v>0</v>
      </c>
      <c r="D123" s="448">
        <v>0</v>
      </c>
      <c r="E123" s="448">
        <v>0</v>
      </c>
      <c r="F123" s="448">
        <f t="array" ref="F123">SUM(IF('6. Class A Consumption Data'!J299:K299="B",'6. Class A Consumption Data'!J297:K297))</f>
        <v>0</v>
      </c>
      <c r="G123" s="448">
        <f t="array" ref="G123">SUM(IF('6. Class A Consumption Data'!L299:M299="B",'6. Class A Consumption Data'!L297:M297))</f>
        <v>0</v>
      </c>
      <c r="H123" s="448">
        <f t="array" ref="H123">SUM(IF('6. Class A Consumption Data'!N299:O299="B",'6. Class A Consumption Data'!N297:O297))</f>
        <v>0</v>
      </c>
      <c r="I123" s="449">
        <f t="shared" si="6"/>
        <v>0</v>
      </c>
      <c r="J123" s="450">
        <f t="shared" si="7"/>
        <v>0</v>
      </c>
      <c r="K123" s="445">
        <f t="shared" si="8"/>
        <v>0</v>
      </c>
    </row>
    <row r="124" spans="1:11" hidden="1" x14ac:dyDescent="0.35">
      <c r="A124" s="447" t="s">
        <v>299</v>
      </c>
      <c r="B124" s="447"/>
      <c r="C124" s="442">
        <f t="shared" si="5"/>
        <v>0</v>
      </c>
      <c r="D124" s="448">
        <v>0</v>
      </c>
      <c r="E124" s="448">
        <v>0</v>
      </c>
      <c r="F124" s="448">
        <f t="array" ref="F124">SUM(IF('6. Class A Consumption Data'!J302:K302="B",'6. Class A Consumption Data'!J300:K300))</f>
        <v>0</v>
      </c>
      <c r="G124" s="448">
        <f t="array" ref="G124">SUM(IF('6. Class A Consumption Data'!L302:M302="B",'6. Class A Consumption Data'!L300:M300))</f>
        <v>0</v>
      </c>
      <c r="H124" s="448">
        <f t="array" ref="H124">SUM(IF('6. Class A Consumption Data'!N302:O302="B",'6. Class A Consumption Data'!N300:O300))</f>
        <v>0</v>
      </c>
      <c r="I124" s="449">
        <f t="shared" si="6"/>
        <v>0</v>
      </c>
      <c r="J124" s="450">
        <f t="shared" si="7"/>
        <v>0</v>
      </c>
      <c r="K124" s="445">
        <f t="shared" si="8"/>
        <v>0</v>
      </c>
    </row>
    <row r="125" spans="1:11" hidden="1" x14ac:dyDescent="0.35">
      <c r="A125" s="447" t="s">
        <v>300</v>
      </c>
      <c r="B125" s="447"/>
      <c r="C125" s="442">
        <f t="shared" si="5"/>
        <v>0</v>
      </c>
      <c r="D125" s="448">
        <v>0</v>
      </c>
      <c r="E125" s="448">
        <v>0</v>
      </c>
      <c r="F125" s="448">
        <f t="array" ref="F125">SUM(IF('6. Class A Consumption Data'!J305:K305="B",'6. Class A Consumption Data'!J303:K303))</f>
        <v>0</v>
      </c>
      <c r="G125" s="448">
        <f t="array" ref="G125">SUM(IF('6. Class A Consumption Data'!L305:M305="B",'6. Class A Consumption Data'!L303:M303))</f>
        <v>0</v>
      </c>
      <c r="H125" s="448">
        <f t="array" ref="H125">SUM(IF('6. Class A Consumption Data'!N305:O305="B",'6. Class A Consumption Data'!N303:O303))</f>
        <v>0</v>
      </c>
      <c r="I125" s="449">
        <f t="shared" si="6"/>
        <v>0</v>
      </c>
      <c r="J125" s="450">
        <f t="shared" si="7"/>
        <v>0</v>
      </c>
      <c r="K125" s="445">
        <f t="shared" si="8"/>
        <v>0</v>
      </c>
    </row>
    <row r="126" spans="1:11" hidden="1" x14ac:dyDescent="0.35">
      <c r="A126" s="447" t="s">
        <v>301</v>
      </c>
      <c r="B126" s="447"/>
      <c r="C126" s="442">
        <f t="shared" si="5"/>
        <v>0</v>
      </c>
      <c r="D126" s="448">
        <v>0</v>
      </c>
      <c r="E126" s="448">
        <v>0</v>
      </c>
      <c r="F126" s="448">
        <f t="array" ref="F126">SUM(IF('6. Class A Consumption Data'!J308:K308="B",'6. Class A Consumption Data'!J306:K306))</f>
        <v>0</v>
      </c>
      <c r="G126" s="448">
        <f t="array" ref="G126">SUM(IF('6. Class A Consumption Data'!L308:M308="B",'6. Class A Consumption Data'!L306:M306))</f>
        <v>0</v>
      </c>
      <c r="H126" s="448">
        <f t="array" ref="H126">SUM(IF('6. Class A Consumption Data'!N308:O308="B",'6. Class A Consumption Data'!N306:O306))</f>
        <v>0</v>
      </c>
      <c r="I126" s="449">
        <f t="shared" si="6"/>
        <v>0</v>
      </c>
      <c r="J126" s="450">
        <f t="shared" si="7"/>
        <v>0</v>
      </c>
      <c r="K126" s="445">
        <f t="shared" si="8"/>
        <v>0</v>
      </c>
    </row>
    <row r="127" spans="1:11" hidden="1" x14ac:dyDescent="0.35">
      <c r="A127" s="447" t="s">
        <v>302</v>
      </c>
      <c r="B127" s="447"/>
      <c r="C127" s="442">
        <f t="shared" si="5"/>
        <v>0</v>
      </c>
      <c r="D127" s="448">
        <v>0</v>
      </c>
      <c r="E127" s="448">
        <v>0</v>
      </c>
      <c r="F127" s="448">
        <f t="array" ref="F127">SUM(IF('6. Class A Consumption Data'!J311:K311="B",'6. Class A Consumption Data'!J309:K309))</f>
        <v>0</v>
      </c>
      <c r="G127" s="448">
        <f t="array" ref="G127">SUM(IF('6. Class A Consumption Data'!L311:M311="B",'6. Class A Consumption Data'!L309:M309))</f>
        <v>0</v>
      </c>
      <c r="H127" s="448">
        <f t="array" ref="H127">SUM(IF('6. Class A Consumption Data'!N311:O311="B",'6. Class A Consumption Data'!N309:O309))</f>
        <v>0</v>
      </c>
      <c r="I127" s="449">
        <f t="shared" si="6"/>
        <v>0</v>
      </c>
      <c r="J127" s="450">
        <f t="shared" si="7"/>
        <v>0</v>
      </c>
      <c r="K127" s="445">
        <f t="shared" si="8"/>
        <v>0</v>
      </c>
    </row>
    <row r="128" spans="1:11" hidden="1" x14ac:dyDescent="0.35">
      <c r="A128" s="447" t="s">
        <v>303</v>
      </c>
      <c r="B128" s="447"/>
      <c r="C128" s="442">
        <f t="shared" si="5"/>
        <v>0</v>
      </c>
      <c r="D128" s="448">
        <v>0</v>
      </c>
      <c r="E128" s="448">
        <v>0</v>
      </c>
      <c r="F128" s="448">
        <f t="array" ref="F128">SUM(IF('6. Class A Consumption Data'!J314:K314="B",'6. Class A Consumption Data'!J312:K312))</f>
        <v>0</v>
      </c>
      <c r="G128" s="448">
        <f t="array" ref="G128">SUM(IF('6. Class A Consumption Data'!L314:M314="B",'6. Class A Consumption Data'!L312:M312))</f>
        <v>0</v>
      </c>
      <c r="H128" s="448">
        <f t="array" ref="H128">SUM(IF('6. Class A Consumption Data'!N314:O314="B",'6. Class A Consumption Data'!N312:O312))</f>
        <v>0</v>
      </c>
      <c r="I128" s="449">
        <f t="shared" si="6"/>
        <v>0</v>
      </c>
      <c r="J128" s="450">
        <f t="shared" si="7"/>
        <v>0</v>
      </c>
      <c r="K128" s="445">
        <f t="shared" si="8"/>
        <v>0</v>
      </c>
    </row>
    <row r="129" spans="1:11" hidden="1" x14ac:dyDescent="0.35">
      <c r="A129" s="447" t="s">
        <v>304</v>
      </c>
      <c r="B129" s="447"/>
      <c r="C129" s="442">
        <f t="shared" si="5"/>
        <v>0</v>
      </c>
      <c r="D129" s="448">
        <v>0</v>
      </c>
      <c r="E129" s="448">
        <v>0</v>
      </c>
      <c r="F129" s="448">
        <f t="array" ref="F129">SUM(IF('6. Class A Consumption Data'!J317:K317="B",'6. Class A Consumption Data'!J315:K315))</f>
        <v>0</v>
      </c>
      <c r="G129" s="448">
        <f t="array" ref="G129">SUM(IF('6. Class A Consumption Data'!L317:M317="B",'6. Class A Consumption Data'!L315:M315))</f>
        <v>0</v>
      </c>
      <c r="H129" s="448">
        <f t="array" ref="H129">SUM(IF('6. Class A Consumption Data'!N317:O317="B",'6. Class A Consumption Data'!N315:O315))</f>
        <v>0</v>
      </c>
      <c r="I129" s="449">
        <f t="shared" si="6"/>
        <v>0</v>
      </c>
      <c r="J129" s="450">
        <f t="shared" si="7"/>
        <v>0</v>
      </c>
      <c r="K129" s="445">
        <f t="shared" si="8"/>
        <v>0</v>
      </c>
    </row>
    <row r="130" spans="1:11" hidden="1" x14ac:dyDescent="0.35">
      <c r="A130" s="447" t="s">
        <v>305</v>
      </c>
      <c r="B130" s="447"/>
      <c r="C130" s="442">
        <f t="shared" ref="C130:C161" si="9">SUM(D130:E130)</f>
        <v>0</v>
      </c>
      <c r="D130" s="448">
        <v>0</v>
      </c>
      <c r="E130" s="448">
        <v>0</v>
      </c>
      <c r="F130" s="448">
        <f t="array" ref="F130">SUM(IF('6. Class A Consumption Data'!J320:K320="B",'6. Class A Consumption Data'!J318:K318))</f>
        <v>0</v>
      </c>
      <c r="G130" s="448">
        <f t="array" ref="G130">SUM(IF('6. Class A Consumption Data'!L320:M320="B",'6. Class A Consumption Data'!L318:M318))</f>
        <v>0</v>
      </c>
      <c r="H130" s="448">
        <f t="array" ref="H130">SUM(IF('6. Class A Consumption Data'!N320:O320="B",'6. Class A Consumption Data'!N318:O318))</f>
        <v>0</v>
      </c>
      <c r="I130" s="449">
        <f t="shared" si="6"/>
        <v>0</v>
      </c>
      <c r="J130" s="450">
        <f t="shared" si="7"/>
        <v>0</v>
      </c>
      <c r="K130" s="445">
        <f t="shared" si="8"/>
        <v>0</v>
      </c>
    </row>
    <row r="131" spans="1:11" hidden="1" x14ac:dyDescent="0.35">
      <c r="A131" s="447" t="s">
        <v>306</v>
      </c>
      <c r="B131" s="447"/>
      <c r="C131" s="442">
        <f t="shared" si="9"/>
        <v>0</v>
      </c>
      <c r="D131" s="448">
        <v>0</v>
      </c>
      <c r="E131" s="448">
        <v>0</v>
      </c>
      <c r="F131" s="448">
        <f t="array" ref="F131">SUM(IF('6. Class A Consumption Data'!J323:K323="B",'6. Class A Consumption Data'!J321:K321))</f>
        <v>0</v>
      </c>
      <c r="G131" s="448">
        <f t="array" ref="G131">SUM(IF('6. Class A Consumption Data'!L323:M323="B",'6. Class A Consumption Data'!L321:M321))</f>
        <v>0</v>
      </c>
      <c r="H131" s="448">
        <f t="array" ref="H131">SUM(IF('6. Class A Consumption Data'!N323:O323="B",'6. Class A Consumption Data'!N321:O321))</f>
        <v>0</v>
      </c>
      <c r="I131" s="449">
        <f t="shared" si="6"/>
        <v>0</v>
      </c>
      <c r="J131" s="450">
        <f t="shared" si="7"/>
        <v>0</v>
      </c>
      <c r="K131" s="445">
        <f t="shared" si="8"/>
        <v>0</v>
      </c>
    </row>
    <row r="132" spans="1:11" hidden="1" x14ac:dyDescent="0.35">
      <c r="A132" s="447" t="s">
        <v>307</v>
      </c>
      <c r="B132" s="447"/>
      <c r="C132" s="442">
        <f t="shared" si="9"/>
        <v>0</v>
      </c>
      <c r="D132" s="448">
        <v>0</v>
      </c>
      <c r="E132" s="448">
        <v>0</v>
      </c>
      <c r="F132" s="448">
        <f t="array" ref="F132">SUM(IF('6. Class A Consumption Data'!J326:K326="B",'6. Class A Consumption Data'!J324:K324))</f>
        <v>0</v>
      </c>
      <c r="G132" s="448">
        <f t="array" ref="G132">SUM(IF('6. Class A Consumption Data'!L326:M326="B",'6. Class A Consumption Data'!L324:M324))</f>
        <v>0</v>
      </c>
      <c r="H132" s="448">
        <f t="array" ref="H132">SUM(IF('6. Class A Consumption Data'!N326:O326="B",'6. Class A Consumption Data'!N324:O324))</f>
        <v>0</v>
      </c>
      <c r="I132" s="449">
        <f t="shared" si="6"/>
        <v>0</v>
      </c>
      <c r="J132" s="450">
        <f t="shared" si="7"/>
        <v>0</v>
      </c>
      <c r="K132" s="445">
        <f t="shared" si="8"/>
        <v>0</v>
      </c>
    </row>
    <row r="133" spans="1:11" hidden="1" x14ac:dyDescent="0.35">
      <c r="A133" s="447" t="s">
        <v>308</v>
      </c>
      <c r="B133" s="447"/>
      <c r="C133" s="442">
        <f t="shared" si="9"/>
        <v>0</v>
      </c>
      <c r="D133" s="448">
        <v>0</v>
      </c>
      <c r="E133" s="448">
        <v>0</v>
      </c>
      <c r="F133" s="448">
        <f t="array" ref="F133">SUM(IF('6. Class A Consumption Data'!J329:K329="B",'6. Class A Consumption Data'!J327:K327))</f>
        <v>0</v>
      </c>
      <c r="G133" s="448">
        <f t="array" ref="G133">SUM(IF('6. Class A Consumption Data'!L329:M329="B",'6. Class A Consumption Data'!L327:M327))</f>
        <v>0</v>
      </c>
      <c r="H133" s="448">
        <f t="array" ref="H133">SUM(IF('6. Class A Consumption Data'!N329:O329="B",'6. Class A Consumption Data'!N327:O327))</f>
        <v>0</v>
      </c>
      <c r="I133" s="449">
        <f t="shared" si="6"/>
        <v>0</v>
      </c>
      <c r="J133" s="450">
        <f t="shared" si="7"/>
        <v>0</v>
      </c>
      <c r="K133" s="445">
        <f t="shared" si="8"/>
        <v>0</v>
      </c>
    </row>
    <row r="134" spans="1:11" hidden="1" x14ac:dyDescent="0.35">
      <c r="A134" s="447" t="s">
        <v>309</v>
      </c>
      <c r="B134" s="447"/>
      <c r="C134" s="442">
        <f t="shared" si="9"/>
        <v>0</v>
      </c>
      <c r="D134" s="448">
        <v>0</v>
      </c>
      <c r="E134" s="448">
        <v>0</v>
      </c>
      <c r="F134" s="448">
        <f t="array" ref="F134">SUM(IF('6. Class A Consumption Data'!J332:K332="B",'6. Class A Consumption Data'!J330:K330))</f>
        <v>0</v>
      </c>
      <c r="G134" s="448">
        <f t="array" ref="G134">SUM(IF('6. Class A Consumption Data'!L332:M332="B",'6. Class A Consumption Data'!L330:M330))</f>
        <v>0</v>
      </c>
      <c r="H134" s="448">
        <f t="array" ref="H134">SUM(IF('6. Class A Consumption Data'!N332:O332="B",'6. Class A Consumption Data'!N330:O330))</f>
        <v>0</v>
      </c>
      <c r="I134" s="449">
        <f t="shared" si="6"/>
        <v>0</v>
      </c>
      <c r="J134" s="450">
        <f t="shared" si="7"/>
        <v>0</v>
      </c>
      <c r="K134" s="445">
        <f t="shared" si="8"/>
        <v>0</v>
      </c>
    </row>
    <row r="135" spans="1:11" hidden="1" x14ac:dyDescent="0.35">
      <c r="A135" s="447" t="s">
        <v>310</v>
      </c>
      <c r="B135" s="447"/>
      <c r="C135" s="442">
        <f t="shared" si="9"/>
        <v>0</v>
      </c>
      <c r="D135" s="448">
        <v>0</v>
      </c>
      <c r="E135" s="448">
        <v>0</v>
      </c>
      <c r="F135" s="448">
        <f t="array" ref="F135">SUM(IF('6. Class A Consumption Data'!J335:K335="B",'6. Class A Consumption Data'!J333:K333))</f>
        <v>0</v>
      </c>
      <c r="G135" s="448">
        <f t="array" ref="G135">SUM(IF('6. Class A Consumption Data'!L335:M335="B",'6. Class A Consumption Data'!L333:M333))</f>
        <v>0</v>
      </c>
      <c r="H135" s="448">
        <f t="array" ref="H135">SUM(IF('6. Class A Consumption Data'!N335:O335="B",'6. Class A Consumption Data'!N333:O333))</f>
        <v>0</v>
      </c>
      <c r="I135" s="449">
        <f t="shared" si="6"/>
        <v>0</v>
      </c>
      <c r="J135" s="450">
        <f t="shared" si="7"/>
        <v>0</v>
      </c>
      <c r="K135" s="445">
        <f t="shared" si="8"/>
        <v>0</v>
      </c>
    </row>
    <row r="136" spans="1:11" hidden="1" x14ac:dyDescent="0.35">
      <c r="A136" s="447" t="s">
        <v>311</v>
      </c>
      <c r="B136" s="447"/>
      <c r="C136" s="442">
        <f t="shared" si="9"/>
        <v>0</v>
      </c>
      <c r="D136" s="448">
        <v>0</v>
      </c>
      <c r="E136" s="448">
        <v>0</v>
      </c>
      <c r="F136" s="448">
        <f t="array" ref="F136">SUM(IF('6. Class A Consumption Data'!J338:K338="B",'6. Class A Consumption Data'!J336:K336))</f>
        <v>0</v>
      </c>
      <c r="G136" s="448">
        <f t="array" ref="G136">SUM(IF('6. Class A Consumption Data'!L338:M338="B",'6. Class A Consumption Data'!L336:M336))</f>
        <v>0</v>
      </c>
      <c r="H136" s="448">
        <f t="array" ref="H136">SUM(IF('6. Class A Consumption Data'!N338:O338="B",'6. Class A Consumption Data'!N336:O336))</f>
        <v>0</v>
      </c>
      <c r="I136" s="449">
        <f t="shared" si="6"/>
        <v>0</v>
      </c>
      <c r="J136" s="450">
        <f t="shared" si="7"/>
        <v>0</v>
      </c>
      <c r="K136" s="445">
        <f t="shared" si="8"/>
        <v>0</v>
      </c>
    </row>
    <row r="137" spans="1:11" hidden="1" x14ac:dyDescent="0.35">
      <c r="A137" s="447" t="s">
        <v>312</v>
      </c>
      <c r="B137" s="447"/>
      <c r="C137" s="442">
        <f t="shared" si="9"/>
        <v>0</v>
      </c>
      <c r="D137" s="448">
        <v>0</v>
      </c>
      <c r="E137" s="448">
        <v>0</v>
      </c>
      <c r="F137" s="448">
        <f t="array" ref="F137">SUM(IF('6. Class A Consumption Data'!J341:K341="B",'6. Class A Consumption Data'!J339:K339))</f>
        <v>0</v>
      </c>
      <c r="G137" s="448">
        <f t="array" ref="G137">SUM(IF('6. Class A Consumption Data'!L341:M341="B",'6. Class A Consumption Data'!L339:M339))</f>
        <v>0</v>
      </c>
      <c r="H137" s="448">
        <f t="array" ref="H137">SUM(IF('6. Class A Consumption Data'!N341:O341="B",'6. Class A Consumption Data'!N339:O339))</f>
        <v>0</v>
      </c>
      <c r="I137" s="449">
        <f t="shared" si="6"/>
        <v>0</v>
      </c>
      <c r="J137" s="450">
        <f t="shared" si="7"/>
        <v>0</v>
      </c>
      <c r="K137" s="445">
        <f t="shared" si="8"/>
        <v>0</v>
      </c>
    </row>
    <row r="138" spans="1:11" hidden="1" x14ac:dyDescent="0.35">
      <c r="A138" s="447" t="s">
        <v>313</v>
      </c>
      <c r="B138" s="447"/>
      <c r="C138" s="442">
        <f t="shared" si="9"/>
        <v>0</v>
      </c>
      <c r="D138" s="448">
        <v>0</v>
      </c>
      <c r="E138" s="448">
        <v>0</v>
      </c>
      <c r="F138" s="448">
        <f t="array" ref="F138">SUM(IF('6. Class A Consumption Data'!J344:K344="B",'6. Class A Consumption Data'!J342:K342))</f>
        <v>0</v>
      </c>
      <c r="G138" s="448">
        <f t="array" ref="G138">SUM(IF('6. Class A Consumption Data'!L344:M344="B",'6. Class A Consumption Data'!L342:M342))</f>
        <v>0</v>
      </c>
      <c r="H138" s="448">
        <f t="array" ref="H138">SUM(IF('6. Class A Consumption Data'!N344:O344="B",'6. Class A Consumption Data'!N342:O342))</f>
        <v>0</v>
      </c>
      <c r="I138" s="449">
        <f t="shared" si="6"/>
        <v>0</v>
      </c>
      <c r="J138" s="450">
        <f t="shared" si="7"/>
        <v>0</v>
      </c>
      <c r="K138" s="445">
        <f t="shared" si="8"/>
        <v>0</v>
      </c>
    </row>
    <row r="139" spans="1:11" hidden="1" x14ac:dyDescent="0.35">
      <c r="A139" s="447" t="s">
        <v>314</v>
      </c>
      <c r="B139" s="447"/>
      <c r="C139" s="442">
        <f t="shared" si="9"/>
        <v>0</v>
      </c>
      <c r="D139" s="448">
        <v>0</v>
      </c>
      <c r="E139" s="448">
        <v>0</v>
      </c>
      <c r="F139" s="448">
        <f t="array" ref="F139">SUM(IF('6. Class A Consumption Data'!J347:K347="B",'6. Class A Consumption Data'!J345:K345))</f>
        <v>0</v>
      </c>
      <c r="G139" s="448">
        <f t="array" ref="G139">SUM(IF('6. Class A Consumption Data'!L347:M347="B",'6. Class A Consumption Data'!L345:M345))</f>
        <v>0</v>
      </c>
      <c r="H139" s="448">
        <f t="array" ref="H139">SUM(IF('6. Class A Consumption Data'!N347:O347="B",'6. Class A Consumption Data'!N345:O345))</f>
        <v>0</v>
      </c>
      <c r="I139" s="449">
        <f t="shared" si="6"/>
        <v>0</v>
      </c>
      <c r="J139" s="450">
        <f t="shared" si="7"/>
        <v>0</v>
      </c>
      <c r="K139" s="445">
        <f t="shared" si="8"/>
        <v>0</v>
      </c>
    </row>
    <row r="140" spans="1:11" hidden="1" x14ac:dyDescent="0.35">
      <c r="A140" s="447" t="s">
        <v>315</v>
      </c>
      <c r="B140" s="447"/>
      <c r="C140" s="442">
        <f t="shared" si="9"/>
        <v>0</v>
      </c>
      <c r="D140" s="448">
        <v>0</v>
      </c>
      <c r="E140" s="448">
        <v>0</v>
      </c>
      <c r="F140" s="448">
        <f t="array" ref="F140">SUM(IF('6. Class A Consumption Data'!J350:K350="B",'6. Class A Consumption Data'!J348:K348))</f>
        <v>0</v>
      </c>
      <c r="G140" s="448">
        <f t="array" ref="G140">SUM(IF('6. Class A Consumption Data'!L350:M350="B",'6. Class A Consumption Data'!L348:M348))</f>
        <v>0</v>
      </c>
      <c r="H140" s="448">
        <f t="array" ref="H140">SUM(IF('6. Class A Consumption Data'!N350:O350="B",'6. Class A Consumption Data'!N348:O348))</f>
        <v>0</v>
      </c>
      <c r="I140" s="449">
        <f t="shared" si="6"/>
        <v>0</v>
      </c>
      <c r="J140" s="450">
        <f t="shared" si="7"/>
        <v>0</v>
      </c>
      <c r="K140" s="445">
        <f t="shared" si="8"/>
        <v>0</v>
      </c>
    </row>
    <row r="141" spans="1:11" hidden="1" x14ac:dyDescent="0.35">
      <c r="A141" s="447" t="s">
        <v>316</v>
      </c>
      <c r="B141" s="447"/>
      <c r="C141" s="442">
        <f t="shared" si="9"/>
        <v>0</v>
      </c>
      <c r="D141" s="448">
        <v>0</v>
      </c>
      <c r="E141" s="448">
        <v>0</v>
      </c>
      <c r="F141" s="448">
        <f t="array" ref="F141">SUM(IF('6. Class A Consumption Data'!J353:K353="B",'6. Class A Consumption Data'!J351:K351))</f>
        <v>0</v>
      </c>
      <c r="G141" s="448">
        <f t="array" ref="G141">SUM(IF('6. Class A Consumption Data'!L353:M353="B",'6. Class A Consumption Data'!L351:M351))</f>
        <v>0</v>
      </c>
      <c r="H141" s="448">
        <f t="array" ref="H141">SUM(IF('6. Class A Consumption Data'!N353:O353="B",'6. Class A Consumption Data'!N351:O351))</f>
        <v>0</v>
      </c>
      <c r="I141" s="449">
        <f t="shared" si="6"/>
        <v>0</v>
      </c>
      <c r="J141" s="450">
        <f t="shared" si="7"/>
        <v>0</v>
      </c>
      <c r="K141" s="445">
        <f t="shared" si="8"/>
        <v>0</v>
      </c>
    </row>
    <row r="142" spans="1:11" hidden="1" x14ac:dyDescent="0.35">
      <c r="A142" s="447" t="s">
        <v>317</v>
      </c>
      <c r="B142" s="447"/>
      <c r="C142" s="442">
        <f t="shared" si="9"/>
        <v>0</v>
      </c>
      <c r="D142" s="448">
        <v>0</v>
      </c>
      <c r="E142" s="448">
        <v>0</v>
      </c>
      <c r="F142" s="448">
        <f t="array" ref="F142">SUM(IF('6. Class A Consumption Data'!J356:K356="B",'6. Class A Consumption Data'!J354:K354))</f>
        <v>0</v>
      </c>
      <c r="G142" s="448">
        <f t="array" ref="G142">SUM(IF('6. Class A Consumption Data'!L356:M356="B",'6. Class A Consumption Data'!L354:M354))</f>
        <v>0</v>
      </c>
      <c r="H142" s="448">
        <f t="array" ref="H142">SUM(IF('6. Class A Consumption Data'!N356:O356="B",'6. Class A Consumption Data'!N354:O354))</f>
        <v>0</v>
      </c>
      <c r="I142" s="449">
        <f t="shared" si="6"/>
        <v>0</v>
      </c>
      <c r="J142" s="450">
        <f t="shared" si="7"/>
        <v>0</v>
      </c>
      <c r="K142" s="445">
        <f t="shared" si="8"/>
        <v>0</v>
      </c>
    </row>
    <row r="143" spans="1:11" hidden="1" x14ac:dyDescent="0.35">
      <c r="A143" s="447" t="s">
        <v>318</v>
      </c>
      <c r="B143" s="447"/>
      <c r="C143" s="442">
        <f t="shared" si="9"/>
        <v>0</v>
      </c>
      <c r="D143" s="448">
        <v>0</v>
      </c>
      <c r="E143" s="448">
        <v>0</v>
      </c>
      <c r="F143" s="448">
        <f t="array" ref="F143">SUM(IF('6. Class A Consumption Data'!J359:K359="B",'6. Class A Consumption Data'!J357:K357))</f>
        <v>0</v>
      </c>
      <c r="G143" s="448">
        <f t="array" ref="G143">SUM(IF('6. Class A Consumption Data'!L359:M359="B",'6. Class A Consumption Data'!L357:M357))</f>
        <v>0</v>
      </c>
      <c r="H143" s="448">
        <f t="array" ref="H143">SUM(IF('6. Class A Consumption Data'!N359:O359="B",'6. Class A Consumption Data'!N357:O357))</f>
        <v>0</v>
      </c>
      <c r="I143" s="449">
        <f t="shared" si="6"/>
        <v>0</v>
      </c>
      <c r="J143" s="450">
        <f t="shared" si="7"/>
        <v>0</v>
      </c>
      <c r="K143" s="445">
        <f t="shared" si="8"/>
        <v>0</v>
      </c>
    </row>
    <row r="144" spans="1:11" hidden="1" x14ac:dyDescent="0.35">
      <c r="A144" s="447" t="s">
        <v>319</v>
      </c>
      <c r="B144" s="447"/>
      <c r="C144" s="442">
        <f t="shared" si="9"/>
        <v>0</v>
      </c>
      <c r="D144" s="448">
        <v>0</v>
      </c>
      <c r="E144" s="448">
        <v>0</v>
      </c>
      <c r="F144" s="448">
        <f t="array" ref="F144">SUM(IF('6. Class A Consumption Data'!J362:K362="B",'6. Class A Consumption Data'!J360:K360))</f>
        <v>0</v>
      </c>
      <c r="G144" s="448">
        <f t="array" ref="G144">SUM(IF('6. Class A Consumption Data'!L362:M362="B",'6. Class A Consumption Data'!L360:M360))</f>
        <v>0</v>
      </c>
      <c r="H144" s="448">
        <f t="array" ref="H144">SUM(IF('6. Class A Consumption Data'!N362:O362="B",'6. Class A Consumption Data'!N360:O360))</f>
        <v>0</v>
      </c>
      <c r="I144" s="449">
        <f t="shared" si="6"/>
        <v>0</v>
      </c>
      <c r="J144" s="450">
        <f t="shared" si="7"/>
        <v>0</v>
      </c>
      <c r="K144" s="445">
        <f t="shared" si="8"/>
        <v>0</v>
      </c>
    </row>
    <row r="145" spans="1:11" hidden="1" x14ac:dyDescent="0.35">
      <c r="A145" s="447" t="s">
        <v>320</v>
      </c>
      <c r="B145" s="447"/>
      <c r="C145" s="442">
        <f t="shared" si="9"/>
        <v>0</v>
      </c>
      <c r="D145" s="448">
        <v>0</v>
      </c>
      <c r="E145" s="448">
        <v>0</v>
      </c>
      <c r="F145" s="448">
        <f t="array" ref="F145">SUM(IF('6. Class A Consumption Data'!J365:K365="B",'6. Class A Consumption Data'!J363:K363))</f>
        <v>0</v>
      </c>
      <c r="G145" s="448">
        <f t="array" ref="G145">SUM(IF('6. Class A Consumption Data'!L365:M365="B",'6. Class A Consumption Data'!L363:M363))</f>
        <v>0</v>
      </c>
      <c r="H145" s="448">
        <f t="array" ref="H145">SUM(IF('6. Class A Consumption Data'!N365:O365="B",'6. Class A Consumption Data'!N363:O363))</f>
        <v>0</v>
      </c>
      <c r="I145" s="449">
        <f t="shared" si="6"/>
        <v>0</v>
      </c>
      <c r="J145" s="450">
        <f t="shared" si="7"/>
        <v>0</v>
      </c>
      <c r="K145" s="445">
        <f t="shared" si="8"/>
        <v>0</v>
      </c>
    </row>
    <row r="146" spans="1:11" hidden="1" x14ac:dyDescent="0.35">
      <c r="A146" s="447" t="s">
        <v>321</v>
      </c>
      <c r="B146" s="447"/>
      <c r="C146" s="442">
        <f t="shared" si="9"/>
        <v>0</v>
      </c>
      <c r="D146" s="448">
        <v>0</v>
      </c>
      <c r="E146" s="448">
        <v>0</v>
      </c>
      <c r="F146" s="448">
        <f t="array" ref="F146">SUM(IF('6. Class A Consumption Data'!J368:K368="B",'6. Class A Consumption Data'!J366:K366))</f>
        <v>0</v>
      </c>
      <c r="G146" s="448">
        <f t="array" ref="G146">SUM(IF('6. Class A Consumption Data'!L368:M368="B",'6. Class A Consumption Data'!L366:M366))</f>
        <v>0</v>
      </c>
      <c r="H146" s="448">
        <f t="array" ref="H146">SUM(IF('6. Class A Consumption Data'!N368:O368="B",'6. Class A Consumption Data'!N366:O366))</f>
        <v>0</v>
      </c>
      <c r="I146" s="449">
        <f t="shared" si="6"/>
        <v>0</v>
      </c>
      <c r="J146" s="450">
        <f t="shared" si="7"/>
        <v>0</v>
      </c>
      <c r="K146" s="445">
        <f t="shared" si="8"/>
        <v>0</v>
      </c>
    </row>
    <row r="147" spans="1:11" hidden="1" x14ac:dyDescent="0.35">
      <c r="A147" s="447" t="s">
        <v>322</v>
      </c>
      <c r="B147" s="447"/>
      <c r="C147" s="442">
        <f t="shared" si="9"/>
        <v>0</v>
      </c>
      <c r="D147" s="448">
        <v>0</v>
      </c>
      <c r="E147" s="448">
        <v>0</v>
      </c>
      <c r="F147" s="448">
        <f t="array" ref="F147">SUM(IF('6. Class A Consumption Data'!J371:K371="B",'6. Class A Consumption Data'!J369:K369))</f>
        <v>0</v>
      </c>
      <c r="G147" s="448">
        <f t="array" ref="G147">SUM(IF('6. Class A Consumption Data'!L371:M371="B",'6. Class A Consumption Data'!L369:M369))</f>
        <v>0</v>
      </c>
      <c r="H147" s="448">
        <f t="array" ref="H147">SUM(IF('6. Class A Consumption Data'!N371:O371="B",'6. Class A Consumption Data'!N369:O369))</f>
        <v>0</v>
      </c>
      <c r="I147" s="449">
        <f t="shared" si="6"/>
        <v>0</v>
      </c>
      <c r="J147" s="450">
        <f t="shared" si="7"/>
        <v>0</v>
      </c>
      <c r="K147" s="445">
        <f t="shared" si="8"/>
        <v>0</v>
      </c>
    </row>
    <row r="148" spans="1:11" hidden="1" x14ac:dyDescent="0.35">
      <c r="A148" s="447" t="s">
        <v>323</v>
      </c>
      <c r="B148" s="447"/>
      <c r="C148" s="442">
        <f t="shared" si="9"/>
        <v>0</v>
      </c>
      <c r="D148" s="448">
        <v>0</v>
      </c>
      <c r="E148" s="448">
        <v>0</v>
      </c>
      <c r="F148" s="448">
        <f t="array" ref="F148">SUM(IF('6. Class A Consumption Data'!J374:K374="B",'6. Class A Consumption Data'!J372:K372))</f>
        <v>0</v>
      </c>
      <c r="G148" s="448">
        <f t="array" ref="G148">SUM(IF('6. Class A Consumption Data'!L374:M374="B",'6. Class A Consumption Data'!L372:M372))</f>
        <v>0</v>
      </c>
      <c r="H148" s="448">
        <f t="array" ref="H148">SUM(IF('6. Class A Consumption Data'!N374:O374="B",'6. Class A Consumption Data'!N372:O372))</f>
        <v>0</v>
      </c>
      <c r="I148" s="449">
        <f t="shared" si="6"/>
        <v>0</v>
      </c>
      <c r="J148" s="450">
        <f t="shared" si="7"/>
        <v>0</v>
      </c>
      <c r="K148" s="445">
        <f t="shared" si="8"/>
        <v>0</v>
      </c>
    </row>
    <row r="149" spans="1:11" hidden="1" x14ac:dyDescent="0.35">
      <c r="A149" s="447" t="s">
        <v>324</v>
      </c>
      <c r="B149" s="447"/>
      <c r="C149" s="442">
        <f t="shared" si="9"/>
        <v>0</v>
      </c>
      <c r="D149" s="448">
        <v>0</v>
      </c>
      <c r="E149" s="448">
        <v>0</v>
      </c>
      <c r="F149" s="448">
        <f t="array" ref="F149">SUM(IF('6. Class A Consumption Data'!J377:K377="B",'6. Class A Consumption Data'!J375:K375))</f>
        <v>0</v>
      </c>
      <c r="G149" s="448">
        <f t="array" ref="G149">SUM(IF('6. Class A Consumption Data'!L377:M377="B",'6. Class A Consumption Data'!L375:M375))</f>
        <v>0</v>
      </c>
      <c r="H149" s="448">
        <f t="array" ref="H149">SUM(IF('6. Class A Consumption Data'!N377:O377="B",'6. Class A Consumption Data'!N375:O375))</f>
        <v>0</v>
      </c>
      <c r="I149" s="449">
        <f t="shared" si="6"/>
        <v>0</v>
      </c>
      <c r="J149" s="450">
        <f t="shared" si="7"/>
        <v>0</v>
      </c>
      <c r="K149" s="445">
        <f t="shared" si="8"/>
        <v>0</v>
      </c>
    </row>
    <row r="150" spans="1:11" hidden="1" x14ac:dyDescent="0.35">
      <c r="A150" s="447" t="s">
        <v>325</v>
      </c>
      <c r="B150" s="447"/>
      <c r="C150" s="442">
        <f t="shared" si="9"/>
        <v>0</v>
      </c>
      <c r="D150" s="448">
        <v>0</v>
      </c>
      <c r="E150" s="448">
        <v>0</v>
      </c>
      <c r="F150" s="448">
        <f t="array" ref="F150">SUM(IF('6. Class A Consumption Data'!J380:K380="B",'6. Class A Consumption Data'!J378:K378))</f>
        <v>0</v>
      </c>
      <c r="G150" s="448">
        <f t="array" ref="G150">SUM(IF('6. Class A Consumption Data'!L380:M380="B",'6. Class A Consumption Data'!L378:M378))</f>
        <v>0</v>
      </c>
      <c r="H150" s="448">
        <f t="array" ref="H150">SUM(IF('6. Class A Consumption Data'!N380:O380="B",'6. Class A Consumption Data'!N378:O378))</f>
        <v>0</v>
      </c>
      <c r="I150" s="449">
        <f t="shared" si="6"/>
        <v>0</v>
      </c>
      <c r="J150" s="450">
        <f t="shared" si="7"/>
        <v>0</v>
      </c>
      <c r="K150" s="445">
        <f t="shared" si="8"/>
        <v>0</v>
      </c>
    </row>
    <row r="151" spans="1:11" hidden="1" x14ac:dyDescent="0.35">
      <c r="A151" s="447" t="s">
        <v>326</v>
      </c>
      <c r="B151" s="447"/>
      <c r="C151" s="442">
        <f t="shared" si="9"/>
        <v>0</v>
      </c>
      <c r="D151" s="448">
        <v>0</v>
      </c>
      <c r="E151" s="448">
        <v>0</v>
      </c>
      <c r="F151" s="448">
        <f t="array" ref="F151">SUM(IF('6. Class A Consumption Data'!J383:K383="B",'6. Class A Consumption Data'!J381:K381))</f>
        <v>0</v>
      </c>
      <c r="G151" s="448">
        <f t="array" ref="G151">SUM(IF('6. Class A Consumption Data'!L383:M383="B",'6. Class A Consumption Data'!L381:M381))</f>
        <v>0</v>
      </c>
      <c r="H151" s="448">
        <f t="array" ref="H151">SUM(IF('6. Class A Consumption Data'!N383:O383="B",'6. Class A Consumption Data'!N381:O381))</f>
        <v>0</v>
      </c>
      <c r="I151" s="449">
        <f t="shared" si="6"/>
        <v>0</v>
      </c>
      <c r="J151" s="450">
        <f t="shared" si="7"/>
        <v>0</v>
      </c>
      <c r="K151" s="445">
        <f t="shared" si="8"/>
        <v>0</v>
      </c>
    </row>
    <row r="152" spans="1:11" hidden="1" x14ac:dyDescent="0.35">
      <c r="A152" s="447" t="s">
        <v>327</v>
      </c>
      <c r="B152" s="447"/>
      <c r="C152" s="442">
        <f t="shared" si="9"/>
        <v>0</v>
      </c>
      <c r="D152" s="448">
        <v>0</v>
      </c>
      <c r="E152" s="448">
        <v>0</v>
      </c>
      <c r="F152" s="448">
        <f t="array" ref="F152">SUM(IF('6. Class A Consumption Data'!J386:K386="B",'6. Class A Consumption Data'!J384:K384))</f>
        <v>0</v>
      </c>
      <c r="G152" s="448">
        <f t="array" ref="G152">SUM(IF('6. Class A Consumption Data'!L386:M386="B",'6. Class A Consumption Data'!L384:M384))</f>
        <v>0</v>
      </c>
      <c r="H152" s="448">
        <f t="array" ref="H152">SUM(IF('6. Class A Consumption Data'!N386:O386="B",'6. Class A Consumption Data'!N384:O384))</f>
        <v>0</v>
      </c>
      <c r="I152" s="449">
        <f t="shared" si="6"/>
        <v>0</v>
      </c>
      <c r="J152" s="450">
        <f t="shared" si="7"/>
        <v>0</v>
      </c>
      <c r="K152" s="445">
        <f t="shared" si="8"/>
        <v>0</v>
      </c>
    </row>
    <row r="153" spans="1:11" hidden="1" x14ac:dyDescent="0.35">
      <c r="A153" s="447" t="s">
        <v>328</v>
      </c>
      <c r="B153" s="447"/>
      <c r="C153" s="442">
        <f t="shared" si="9"/>
        <v>0</v>
      </c>
      <c r="D153" s="448">
        <v>0</v>
      </c>
      <c r="E153" s="448">
        <v>0</v>
      </c>
      <c r="F153" s="448">
        <f t="array" ref="F153">SUM(IF('6. Class A Consumption Data'!J389:K389="B",'6. Class A Consumption Data'!J387:K387))</f>
        <v>0</v>
      </c>
      <c r="G153" s="448">
        <f t="array" ref="G153">SUM(IF('6. Class A Consumption Data'!L389:M389="B",'6. Class A Consumption Data'!L387:M387))</f>
        <v>0</v>
      </c>
      <c r="H153" s="448">
        <f t="array" ref="H153">SUM(IF('6. Class A Consumption Data'!N389:O389="B",'6. Class A Consumption Data'!N387:O387))</f>
        <v>0</v>
      </c>
      <c r="I153" s="449">
        <f t="shared" si="6"/>
        <v>0</v>
      </c>
      <c r="J153" s="450">
        <f t="shared" si="7"/>
        <v>0</v>
      </c>
      <c r="K153" s="445">
        <f t="shared" si="8"/>
        <v>0</v>
      </c>
    </row>
    <row r="154" spans="1:11" hidden="1" x14ac:dyDescent="0.35">
      <c r="A154" s="447" t="s">
        <v>329</v>
      </c>
      <c r="B154" s="447"/>
      <c r="C154" s="442">
        <f t="shared" si="9"/>
        <v>0</v>
      </c>
      <c r="D154" s="448">
        <v>0</v>
      </c>
      <c r="E154" s="448">
        <v>0</v>
      </c>
      <c r="F154" s="448">
        <f t="array" ref="F154">SUM(IF('6. Class A Consumption Data'!J392:K392="B",'6. Class A Consumption Data'!J390:K390))</f>
        <v>0</v>
      </c>
      <c r="G154" s="448">
        <f t="array" ref="G154">SUM(IF('6. Class A Consumption Data'!L392:M392="B",'6. Class A Consumption Data'!L390:M390))</f>
        <v>0</v>
      </c>
      <c r="H154" s="448">
        <f t="array" ref="H154">SUM(IF('6. Class A Consumption Data'!N392:O392="B",'6. Class A Consumption Data'!N390:O390))</f>
        <v>0</v>
      </c>
      <c r="I154" s="449">
        <f t="shared" si="6"/>
        <v>0</v>
      </c>
      <c r="J154" s="450">
        <f t="shared" si="7"/>
        <v>0</v>
      </c>
      <c r="K154" s="445">
        <f t="shared" si="8"/>
        <v>0</v>
      </c>
    </row>
    <row r="155" spans="1:11" hidden="1" x14ac:dyDescent="0.35">
      <c r="A155" s="447" t="s">
        <v>330</v>
      </c>
      <c r="B155" s="447"/>
      <c r="C155" s="442">
        <f t="shared" si="9"/>
        <v>0</v>
      </c>
      <c r="D155" s="448">
        <v>0</v>
      </c>
      <c r="E155" s="448">
        <v>0</v>
      </c>
      <c r="F155" s="448">
        <f t="array" ref="F155">SUM(IF('6. Class A Consumption Data'!J395:K395="B",'6. Class A Consumption Data'!J393:K393))</f>
        <v>0</v>
      </c>
      <c r="G155" s="448">
        <f t="array" ref="G155">SUM(IF('6. Class A Consumption Data'!L395:M395="B",'6. Class A Consumption Data'!L393:M393))</f>
        <v>0</v>
      </c>
      <c r="H155" s="448">
        <f t="array" ref="H155">SUM(IF('6. Class A Consumption Data'!N395:O395="B",'6. Class A Consumption Data'!N393:O393))</f>
        <v>0</v>
      </c>
      <c r="I155" s="449">
        <f t="shared" si="6"/>
        <v>0</v>
      </c>
      <c r="J155" s="450">
        <f t="shared" si="7"/>
        <v>0</v>
      </c>
      <c r="K155" s="445">
        <f t="shared" si="8"/>
        <v>0</v>
      </c>
    </row>
    <row r="156" spans="1:11" hidden="1" x14ac:dyDescent="0.35">
      <c r="A156" s="447" t="s">
        <v>331</v>
      </c>
      <c r="B156" s="447"/>
      <c r="C156" s="442">
        <f t="shared" si="9"/>
        <v>0</v>
      </c>
      <c r="D156" s="448">
        <v>0</v>
      </c>
      <c r="E156" s="448">
        <v>0</v>
      </c>
      <c r="F156" s="448">
        <f t="array" ref="F156">SUM(IF('6. Class A Consumption Data'!J398:K398="B",'6. Class A Consumption Data'!J396:K396))</f>
        <v>0</v>
      </c>
      <c r="G156" s="448">
        <f t="array" ref="G156">SUM(IF('6. Class A Consumption Data'!L398:M398="B",'6. Class A Consumption Data'!L396:M396))</f>
        <v>0</v>
      </c>
      <c r="H156" s="448">
        <f t="array" ref="H156">SUM(IF('6. Class A Consumption Data'!N398:O398="B",'6. Class A Consumption Data'!N396:O396))</f>
        <v>0</v>
      </c>
      <c r="I156" s="449">
        <f t="shared" si="6"/>
        <v>0</v>
      </c>
      <c r="J156" s="450">
        <f t="shared" si="7"/>
        <v>0</v>
      </c>
      <c r="K156" s="445">
        <f t="shared" si="8"/>
        <v>0</v>
      </c>
    </row>
    <row r="157" spans="1:11" hidden="1" x14ac:dyDescent="0.35">
      <c r="A157" s="447" t="s">
        <v>332</v>
      </c>
      <c r="B157" s="447"/>
      <c r="C157" s="442">
        <f t="shared" si="9"/>
        <v>0</v>
      </c>
      <c r="D157" s="448">
        <v>0</v>
      </c>
      <c r="E157" s="448">
        <v>0</v>
      </c>
      <c r="F157" s="448">
        <f t="array" ref="F157">SUM(IF('6. Class A Consumption Data'!J401:K401="B",'6. Class A Consumption Data'!J399:K399))</f>
        <v>0</v>
      </c>
      <c r="G157" s="448">
        <f t="array" ref="G157">SUM(IF('6. Class A Consumption Data'!L401:M401="B",'6. Class A Consumption Data'!L399:M399))</f>
        <v>0</v>
      </c>
      <c r="H157" s="448">
        <f t="array" ref="H157">SUM(IF('6. Class A Consumption Data'!N401:O401="B",'6. Class A Consumption Data'!N399:O399))</f>
        <v>0</v>
      </c>
      <c r="I157" s="449">
        <f t="shared" si="6"/>
        <v>0</v>
      </c>
      <c r="J157" s="450">
        <f t="shared" si="7"/>
        <v>0</v>
      </c>
      <c r="K157" s="445">
        <f t="shared" si="8"/>
        <v>0</v>
      </c>
    </row>
    <row r="158" spans="1:11" hidden="1" x14ac:dyDescent="0.35">
      <c r="A158" s="447" t="s">
        <v>333</v>
      </c>
      <c r="B158" s="447"/>
      <c r="C158" s="442">
        <f t="shared" si="9"/>
        <v>0</v>
      </c>
      <c r="D158" s="448">
        <v>0</v>
      </c>
      <c r="E158" s="448">
        <v>0</v>
      </c>
      <c r="F158" s="448">
        <f t="array" ref="F158">SUM(IF('6. Class A Consumption Data'!J404:K404="B",'6. Class A Consumption Data'!J402:K402))</f>
        <v>0</v>
      </c>
      <c r="G158" s="448">
        <f t="array" ref="G158">SUM(IF('6. Class A Consumption Data'!L404:M404="B",'6. Class A Consumption Data'!L402:M402))</f>
        <v>0</v>
      </c>
      <c r="H158" s="448">
        <f t="array" ref="H158">SUM(IF('6. Class A Consumption Data'!N404:O404="B",'6. Class A Consumption Data'!N402:O402))</f>
        <v>0</v>
      </c>
      <c r="I158" s="449">
        <f t="shared" si="6"/>
        <v>0</v>
      </c>
      <c r="J158" s="450">
        <f t="shared" si="7"/>
        <v>0</v>
      </c>
      <c r="K158" s="445">
        <f t="shared" si="8"/>
        <v>0</v>
      </c>
    </row>
    <row r="159" spans="1:11" hidden="1" x14ac:dyDescent="0.35">
      <c r="A159" s="447" t="s">
        <v>334</v>
      </c>
      <c r="B159" s="447"/>
      <c r="C159" s="442">
        <f t="shared" si="9"/>
        <v>0</v>
      </c>
      <c r="D159" s="448">
        <v>0</v>
      </c>
      <c r="E159" s="448">
        <v>0</v>
      </c>
      <c r="F159" s="448">
        <f t="array" ref="F159">SUM(IF('6. Class A Consumption Data'!J407:K407="B",'6. Class A Consumption Data'!J405:K405))</f>
        <v>0</v>
      </c>
      <c r="G159" s="448">
        <f t="array" ref="G159">SUM(IF('6. Class A Consumption Data'!L407:M407="B",'6. Class A Consumption Data'!L405:M405))</f>
        <v>0</v>
      </c>
      <c r="H159" s="448">
        <f t="array" ref="H159">SUM(IF('6. Class A Consumption Data'!N407:O407="B",'6. Class A Consumption Data'!N405:O405))</f>
        <v>0</v>
      </c>
      <c r="I159" s="449">
        <f t="shared" si="6"/>
        <v>0</v>
      </c>
      <c r="J159" s="450">
        <f t="shared" si="7"/>
        <v>0</v>
      </c>
      <c r="K159" s="445">
        <f t="shared" si="8"/>
        <v>0</v>
      </c>
    </row>
    <row r="160" spans="1:11" hidden="1" x14ac:dyDescent="0.35">
      <c r="A160" s="447" t="s">
        <v>335</v>
      </c>
      <c r="B160" s="447"/>
      <c r="C160" s="442">
        <f t="shared" si="9"/>
        <v>0</v>
      </c>
      <c r="D160" s="448">
        <v>0</v>
      </c>
      <c r="E160" s="448">
        <v>0</v>
      </c>
      <c r="F160" s="448">
        <f t="array" ref="F160">SUM(IF('6. Class A Consumption Data'!J410:K410="B",'6. Class A Consumption Data'!J408:K408))</f>
        <v>0</v>
      </c>
      <c r="G160" s="448">
        <f t="array" ref="G160">SUM(IF('6. Class A Consumption Data'!L410:M410="B",'6. Class A Consumption Data'!L408:M408))</f>
        <v>0</v>
      </c>
      <c r="H160" s="448">
        <f t="array" ref="H160">SUM(IF('6. Class A Consumption Data'!N410:O410="B",'6. Class A Consumption Data'!N408:O408))</f>
        <v>0</v>
      </c>
      <c r="I160" s="449">
        <f t="shared" si="6"/>
        <v>0</v>
      </c>
      <c r="J160" s="450">
        <f t="shared" si="7"/>
        <v>0</v>
      </c>
      <c r="K160" s="445">
        <f t="shared" si="8"/>
        <v>0</v>
      </c>
    </row>
    <row r="161" spans="1:11" hidden="1" x14ac:dyDescent="0.35">
      <c r="A161" s="447" t="s">
        <v>336</v>
      </c>
      <c r="B161" s="447"/>
      <c r="C161" s="442">
        <f t="shared" si="9"/>
        <v>0</v>
      </c>
      <c r="D161" s="448">
        <v>0</v>
      </c>
      <c r="E161" s="448">
        <v>0</v>
      </c>
      <c r="F161" s="448">
        <f t="array" ref="F161">SUM(IF('6. Class A Consumption Data'!J413:K413="B",'6. Class A Consumption Data'!J411:K411))</f>
        <v>0</v>
      </c>
      <c r="G161" s="448">
        <f t="array" ref="G161">SUM(IF('6. Class A Consumption Data'!L413:M413="B",'6. Class A Consumption Data'!L411:M411))</f>
        <v>0</v>
      </c>
      <c r="H161" s="448">
        <f t="array" ref="H161">SUM(IF('6. Class A Consumption Data'!N413:O413="B",'6. Class A Consumption Data'!N411:O411))</f>
        <v>0</v>
      </c>
      <c r="I161" s="449">
        <f t="shared" si="6"/>
        <v>0</v>
      </c>
      <c r="J161" s="450">
        <f t="shared" si="7"/>
        <v>0</v>
      </c>
      <c r="K161" s="445">
        <f t="shared" si="8"/>
        <v>0</v>
      </c>
    </row>
    <row r="162" spans="1:11" hidden="1" x14ac:dyDescent="0.35">
      <c r="A162" s="447" t="s">
        <v>337</v>
      </c>
      <c r="B162" s="447"/>
      <c r="C162" s="442">
        <f t="shared" ref="C162:C183" si="10">SUM(D162:E162)</f>
        <v>0</v>
      </c>
      <c r="D162" s="448">
        <v>0</v>
      </c>
      <c r="E162" s="448">
        <v>0</v>
      </c>
      <c r="F162" s="448">
        <f t="array" ref="F162">SUM(IF('6. Class A Consumption Data'!J416:K416="B",'6. Class A Consumption Data'!J414:K414))</f>
        <v>0</v>
      </c>
      <c r="G162" s="448">
        <f t="array" ref="G162">SUM(IF('6. Class A Consumption Data'!L416:M416="B",'6. Class A Consumption Data'!L414:M414))</f>
        <v>0</v>
      </c>
      <c r="H162" s="448">
        <f t="array" ref="H162">SUM(IF('6. Class A Consumption Data'!N416:O416="B",'6. Class A Consumption Data'!N414:O414))</f>
        <v>0</v>
      </c>
      <c r="I162" s="449">
        <f t="shared" si="6"/>
        <v>0</v>
      </c>
      <c r="J162" s="450">
        <f t="shared" si="7"/>
        <v>0</v>
      </c>
      <c r="K162" s="445">
        <f t="shared" si="8"/>
        <v>0</v>
      </c>
    </row>
    <row r="163" spans="1:11" hidden="1" x14ac:dyDescent="0.35">
      <c r="A163" s="447" t="s">
        <v>338</v>
      </c>
      <c r="B163" s="447"/>
      <c r="C163" s="442">
        <f t="shared" si="10"/>
        <v>0</v>
      </c>
      <c r="D163" s="448">
        <v>0</v>
      </c>
      <c r="E163" s="448">
        <v>0</v>
      </c>
      <c r="F163" s="448">
        <f t="array" ref="F163">SUM(IF('6. Class A Consumption Data'!J419:K419="B",'6. Class A Consumption Data'!J417:K417))</f>
        <v>0</v>
      </c>
      <c r="G163" s="448">
        <f t="array" ref="G163">SUM(IF('6. Class A Consumption Data'!L419:M419="B",'6. Class A Consumption Data'!L417:M417))</f>
        <v>0</v>
      </c>
      <c r="H163" s="448">
        <f t="array" ref="H163">SUM(IF('6. Class A Consumption Data'!N419:O419="B",'6. Class A Consumption Data'!N417:O417))</f>
        <v>0</v>
      </c>
      <c r="I163" s="449">
        <f t="shared" ref="I163:I183" si="11">IFERROR(+C163/$C$184,0)</f>
        <v>0</v>
      </c>
      <c r="J163" s="450">
        <f t="shared" si="7"/>
        <v>0</v>
      </c>
      <c r="K163" s="445">
        <f t="shared" si="8"/>
        <v>0</v>
      </c>
    </row>
    <row r="164" spans="1:11" hidden="1" x14ac:dyDescent="0.35">
      <c r="A164" s="447" t="s">
        <v>339</v>
      </c>
      <c r="B164" s="447"/>
      <c r="C164" s="442">
        <f t="shared" si="10"/>
        <v>0</v>
      </c>
      <c r="D164" s="448">
        <v>0</v>
      </c>
      <c r="E164" s="448">
        <v>0</v>
      </c>
      <c r="F164" s="448">
        <f t="array" ref="F164">SUM(IF('6. Class A Consumption Data'!J422:K422="B",'6. Class A Consumption Data'!J420:K420))</f>
        <v>0</v>
      </c>
      <c r="G164" s="448">
        <f t="array" ref="G164">SUM(IF('6. Class A Consumption Data'!L422:M422="B",'6. Class A Consumption Data'!L420:M420))</f>
        <v>0</v>
      </c>
      <c r="H164" s="448">
        <f t="array" ref="H164">SUM(IF('6. Class A Consumption Data'!N422:O422="B",'6. Class A Consumption Data'!N420:O420))</f>
        <v>0</v>
      </c>
      <c r="I164" s="449">
        <f t="shared" si="11"/>
        <v>0</v>
      </c>
      <c r="J164" s="450">
        <f t="shared" si="7"/>
        <v>0</v>
      </c>
      <c r="K164" s="445">
        <f t="shared" si="8"/>
        <v>0</v>
      </c>
    </row>
    <row r="165" spans="1:11" hidden="1" x14ac:dyDescent="0.35">
      <c r="A165" s="447" t="s">
        <v>340</v>
      </c>
      <c r="B165" s="447"/>
      <c r="C165" s="442">
        <f t="shared" si="10"/>
        <v>0</v>
      </c>
      <c r="D165" s="448">
        <v>0</v>
      </c>
      <c r="E165" s="448">
        <v>0</v>
      </c>
      <c r="F165" s="448">
        <f t="array" ref="F165">SUM(IF('6. Class A Consumption Data'!J425:K425="B",'6. Class A Consumption Data'!J423:K423))</f>
        <v>0</v>
      </c>
      <c r="G165" s="448">
        <f t="array" ref="G165">SUM(IF('6. Class A Consumption Data'!L425:M425="B",'6. Class A Consumption Data'!L423:M423))</f>
        <v>0</v>
      </c>
      <c r="H165" s="448">
        <f t="array" ref="H165">SUM(IF('6. Class A Consumption Data'!N425:O425="B",'6. Class A Consumption Data'!N423:O423))</f>
        <v>0</v>
      </c>
      <c r="I165" s="449">
        <f t="shared" si="11"/>
        <v>0</v>
      </c>
      <c r="J165" s="450">
        <f t="shared" si="7"/>
        <v>0</v>
      </c>
      <c r="K165" s="445">
        <f t="shared" si="8"/>
        <v>0</v>
      </c>
    </row>
    <row r="166" spans="1:11" hidden="1" x14ac:dyDescent="0.35">
      <c r="A166" s="447" t="s">
        <v>341</v>
      </c>
      <c r="B166" s="447"/>
      <c r="C166" s="442">
        <f t="shared" si="10"/>
        <v>0</v>
      </c>
      <c r="D166" s="448">
        <v>0</v>
      </c>
      <c r="E166" s="448">
        <v>0</v>
      </c>
      <c r="F166" s="448">
        <f t="array" ref="F166">SUM(IF('6. Class A Consumption Data'!J428:K428="B",'6. Class A Consumption Data'!J426:K426))</f>
        <v>0</v>
      </c>
      <c r="G166" s="448">
        <f t="array" ref="G166">SUM(IF('6. Class A Consumption Data'!L428:M428="B",'6. Class A Consumption Data'!L426:M426))</f>
        <v>0</v>
      </c>
      <c r="H166" s="448">
        <f t="array" ref="H166">SUM(IF('6. Class A Consumption Data'!N428:O428="B",'6. Class A Consumption Data'!N426:O426))</f>
        <v>0</v>
      </c>
      <c r="I166" s="449">
        <f t="shared" si="11"/>
        <v>0</v>
      </c>
      <c r="J166" s="450">
        <f t="shared" ref="J166:J183" si="12">+I166*$C$28</f>
        <v>0</v>
      </c>
      <c r="K166" s="445">
        <f t="shared" ref="K166:K183" si="13">+J166/12</f>
        <v>0</v>
      </c>
    </row>
    <row r="167" spans="1:11" hidden="1" x14ac:dyDescent="0.35">
      <c r="A167" s="447" t="s">
        <v>342</v>
      </c>
      <c r="B167" s="447"/>
      <c r="C167" s="442">
        <f t="shared" si="10"/>
        <v>0</v>
      </c>
      <c r="D167" s="448">
        <v>0</v>
      </c>
      <c r="E167" s="448">
        <v>0</v>
      </c>
      <c r="F167" s="448">
        <f t="array" ref="F167">SUM(IF('6. Class A Consumption Data'!J431:K431="B",'6. Class A Consumption Data'!J429:K429))</f>
        <v>0</v>
      </c>
      <c r="G167" s="448">
        <f t="array" ref="G167">SUM(IF('6. Class A Consumption Data'!L431:M431="B",'6. Class A Consumption Data'!L429:M429))</f>
        <v>0</v>
      </c>
      <c r="H167" s="448">
        <f t="array" ref="H167">SUM(IF('6. Class A Consumption Data'!N431:O431="B",'6. Class A Consumption Data'!N429:O429))</f>
        <v>0</v>
      </c>
      <c r="I167" s="449">
        <f t="shared" si="11"/>
        <v>0</v>
      </c>
      <c r="J167" s="450">
        <f t="shared" si="12"/>
        <v>0</v>
      </c>
      <c r="K167" s="445">
        <f t="shared" si="13"/>
        <v>0</v>
      </c>
    </row>
    <row r="168" spans="1:11" hidden="1" x14ac:dyDescent="0.35">
      <c r="A168" s="447" t="s">
        <v>343</v>
      </c>
      <c r="B168" s="447"/>
      <c r="C168" s="442">
        <f t="shared" si="10"/>
        <v>0</v>
      </c>
      <c r="D168" s="448">
        <v>0</v>
      </c>
      <c r="E168" s="448">
        <v>0</v>
      </c>
      <c r="F168" s="448">
        <f t="array" ref="F168">SUM(IF('6. Class A Consumption Data'!J434:K434="B",'6. Class A Consumption Data'!J432:K432))</f>
        <v>0</v>
      </c>
      <c r="G168" s="448">
        <f t="array" ref="G168">SUM(IF('6. Class A Consumption Data'!L434:M434="B",'6. Class A Consumption Data'!L432:M432))</f>
        <v>0</v>
      </c>
      <c r="H168" s="448">
        <f t="array" ref="H168">SUM(IF('6. Class A Consumption Data'!N434:O434="B",'6. Class A Consumption Data'!N432:O432))</f>
        <v>0</v>
      </c>
      <c r="I168" s="449">
        <f t="shared" si="11"/>
        <v>0</v>
      </c>
      <c r="J168" s="450">
        <f t="shared" si="12"/>
        <v>0</v>
      </c>
      <c r="K168" s="445">
        <f t="shared" si="13"/>
        <v>0</v>
      </c>
    </row>
    <row r="169" spans="1:11" hidden="1" x14ac:dyDescent="0.35">
      <c r="A169" s="447" t="s">
        <v>344</v>
      </c>
      <c r="B169" s="447"/>
      <c r="C169" s="442">
        <f t="shared" si="10"/>
        <v>0</v>
      </c>
      <c r="D169" s="448">
        <v>0</v>
      </c>
      <c r="E169" s="448">
        <v>0</v>
      </c>
      <c r="F169" s="448">
        <f t="array" ref="F169">SUM(IF('6. Class A Consumption Data'!J437:K437="B",'6. Class A Consumption Data'!J435:K435))</f>
        <v>0</v>
      </c>
      <c r="G169" s="448">
        <f t="array" ref="G169">SUM(IF('6. Class A Consumption Data'!L437:M437="B",'6. Class A Consumption Data'!L435:M435))</f>
        <v>0</v>
      </c>
      <c r="H169" s="448">
        <f t="array" ref="H169">SUM(IF('6. Class A Consumption Data'!N437:O437="B",'6. Class A Consumption Data'!N435:O435))</f>
        <v>0</v>
      </c>
      <c r="I169" s="449">
        <f t="shared" si="11"/>
        <v>0</v>
      </c>
      <c r="J169" s="450">
        <f t="shared" si="12"/>
        <v>0</v>
      </c>
      <c r="K169" s="445">
        <f t="shared" si="13"/>
        <v>0</v>
      </c>
    </row>
    <row r="170" spans="1:11" hidden="1" x14ac:dyDescent="0.35">
      <c r="A170" s="447" t="s">
        <v>345</v>
      </c>
      <c r="B170" s="447"/>
      <c r="C170" s="442">
        <f t="shared" si="10"/>
        <v>0</v>
      </c>
      <c r="D170" s="448">
        <v>0</v>
      </c>
      <c r="E170" s="448">
        <v>0</v>
      </c>
      <c r="F170" s="448">
        <f t="array" ref="F170">SUM(IF('6. Class A Consumption Data'!J440:K440="B",'6. Class A Consumption Data'!J438:K438))</f>
        <v>0</v>
      </c>
      <c r="G170" s="448">
        <f t="array" ref="G170">SUM(IF('6. Class A Consumption Data'!L440:M440="B",'6. Class A Consumption Data'!L438:M438))</f>
        <v>0</v>
      </c>
      <c r="H170" s="448">
        <f t="array" ref="H170">SUM(IF('6. Class A Consumption Data'!N440:O440="B",'6. Class A Consumption Data'!N438:O438))</f>
        <v>0</v>
      </c>
      <c r="I170" s="449">
        <f t="shared" si="11"/>
        <v>0</v>
      </c>
      <c r="J170" s="450">
        <f t="shared" si="12"/>
        <v>0</v>
      </c>
      <c r="K170" s="445">
        <f t="shared" si="13"/>
        <v>0</v>
      </c>
    </row>
    <row r="171" spans="1:11" hidden="1" x14ac:dyDescent="0.35">
      <c r="A171" s="447" t="s">
        <v>346</v>
      </c>
      <c r="B171" s="447"/>
      <c r="C171" s="442">
        <f t="shared" si="10"/>
        <v>0</v>
      </c>
      <c r="D171" s="448">
        <v>0</v>
      </c>
      <c r="E171" s="448">
        <v>0</v>
      </c>
      <c r="F171" s="448">
        <f t="array" ref="F171">SUM(IF('6. Class A Consumption Data'!J443:K443="B",'6. Class A Consumption Data'!J441:K441))</f>
        <v>0</v>
      </c>
      <c r="G171" s="448">
        <f t="array" ref="G171">SUM(IF('6. Class A Consumption Data'!L443:M443="B",'6. Class A Consumption Data'!L441:M441))</f>
        <v>0</v>
      </c>
      <c r="H171" s="448">
        <f t="array" ref="H171">SUM(IF('6. Class A Consumption Data'!N443:O443="B",'6. Class A Consumption Data'!N441:O441))</f>
        <v>0</v>
      </c>
      <c r="I171" s="449">
        <f t="shared" si="11"/>
        <v>0</v>
      </c>
      <c r="J171" s="450">
        <f t="shared" si="12"/>
        <v>0</v>
      </c>
      <c r="K171" s="445">
        <f t="shared" si="13"/>
        <v>0</v>
      </c>
    </row>
    <row r="172" spans="1:11" hidden="1" x14ac:dyDescent="0.35">
      <c r="A172" s="447" t="s">
        <v>347</v>
      </c>
      <c r="B172" s="447"/>
      <c r="C172" s="442">
        <f t="shared" si="10"/>
        <v>0</v>
      </c>
      <c r="D172" s="448">
        <v>0</v>
      </c>
      <c r="E172" s="448">
        <v>0</v>
      </c>
      <c r="F172" s="448">
        <f t="array" ref="F172">SUM(IF('6. Class A Consumption Data'!J446:K446="B",'6. Class A Consumption Data'!J444:K444))</f>
        <v>0</v>
      </c>
      <c r="G172" s="448">
        <f t="array" ref="G172">SUM(IF('6. Class A Consumption Data'!L446:M446="B",'6. Class A Consumption Data'!L444:M444))</f>
        <v>0</v>
      </c>
      <c r="H172" s="448">
        <f t="array" ref="H172">SUM(IF('6. Class A Consumption Data'!N446:O446="B",'6. Class A Consumption Data'!N444:O444))</f>
        <v>0</v>
      </c>
      <c r="I172" s="449">
        <f t="shared" si="11"/>
        <v>0</v>
      </c>
      <c r="J172" s="450">
        <f t="shared" si="12"/>
        <v>0</v>
      </c>
      <c r="K172" s="445">
        <f t="shared" si="13"/>
        <v>0</v>
      </c>
    </row>
    <row r="173" spans="1:11" hidden="1" x14ac:dyDescent="0.35">
      <c r="A173" s="447" t="s">
        <v>348</v>
      </c>
      <c r="B173" s="447"/>
      <c r="C173" s="442">
        <f t="shared" si="10"/>
        <v>0</v>
      </c>
      <c r="D173" s="448">
        <v>0</v>
      </c>
      <c r="E173" s="448">
        <v>0</v>
      </c>
      <c r="F173" s="448">
        <f t="array" ref="F173">SUM(IF('6. Class A Consumption Data'!J449:K449="B",'6. Class A Consumption Data'!J447:K447))</f>
        <v>0</v>
      </c>
      <c r="G173" s="448">
        <f t="array" ref="G173">SUM(IF('6. Class A Consumption Data'!L449:M449="B",'6. Class A Consumption Data'!L447:M447))</f>
        <v>0</v>
      </c>
      <c r="H173" s="448">
        <f t="array" ref="H173">SUM(IF('6. Class A Consumption Data'!N449:O449="B",'6. Class A Consumption Data'!N447:O447))</f>
        <v>0</v>
      </c>
      <c r="I173" s="449">
        <f t="shared" si="11"/>
        <v>0</v>
      </c>
      <c r="J173" s="450">
        <f t="shared" si="12"/>
        <v>0</v>
      </c>
      <c r="K173" s="445">
        <f t="shared" si="13"/>
        <v>0</v>
      </c>
    </row>
    <row r="174" spans="1:11" hidden="1" x14ac:dyDescent="0.35">
      <c r="A174" s="447" t="s">
        <v>349</v>
      </c>
      <c r="B174" s="447"/>
      <c r="C174" s="442">
        <f t="shared" si="10"/>
        <v>0</v>
      </c>
      <c r="D174" s="448">
        <v>0</v>
      </c>
      <c r="E174" s="448">
        <v>0</v>
      </c>
      <c r="F174" s="448">
        <f t="array" ref="F174">SUM(IF('6. Class A Consumption Data'!J452:K452="B",'6. Class A Consumption Data'!J450:K450))</f>
        <v>0</v>
      </c>
      <c r="G174" s="448">
        <f t="array" ref="G174">SUM(IF('6. Class A Consumption Data'!L452:M452="B",'6. Class A Consumption Data'!L450:M450))</f>
        <v>0</v>
      </c>
      <c r="H174" s="448">
        <f t="array" ref="H174">SUM(IF('6. Class A Consumption Data'!N452:O452="B",'6. Class A Consumption Data'!N450:O450))</f>
        <v>0</v>
      </c>
      <c r="I174" s="449">
        <f t="shared" si="11"/>
        <v>0</v>
      </c>
      <c r="J174" s="450">
        <f t="shared" si="12"/>
        <v>0</v>
      </c>
      <c r="K174" s="445">
        <f t="shared" si="13"/>
        <v>0</v>
      </c>
    </row>
    <row r="175" spans="1:11" hidden="1" x14ac:dyDescent="0.35">
      <c r="A175" s="447" t="s">
        <v>350</v>
      </c>
      <c r="B175" s="447"/>
      <c r="C175" s="442">
        <f t="shared" si="10"/>
        <v>0</v>
      </c>
      <c r="D175" s="448">
        <v>0</v>
      </c>
      <c r="E175" s="448">
        <v>0</v>
      </c>
      <c r="F175" s="448">
        <f t="array" ref="F175">SUM(IF('6. Class A Consumption Data'!J455:K455="B",'6. Class A Consumption Data'!J453:K453))</f>
        <v>0</v>
      </c>
      <c r="G175" s="448">
        <f t="array" ref="G175">SUM(IF('6. Class A Consumption Data'!L455:M455="B",'6. Class A Consumption Data'!L453:M453))</f>
        <v>0</v>
      </c>
      <c r="H175" s="448">
        <f t="array" ref="H175">SUM(IF('6. Class A Consumption Data'!N455:O455="B",'6. Class A Consumption Data'!N453:O453))</f>
        <v>0</v>
      </c>
      <c r="I175" s="449">
        <f t="shared" si="11"/>
        <v>0</v>
      </c>
      <c r="J175" s="450">
        <f t="shared" si="12"/>
        <v>0</v>
      </c>
      <c r="K175" s="445">
        <f t="shared" si="13"/>
        <v>0</v>
      </c>
    </row>
    <row r="176" spans="1:11" hidden="1" x14ac:dyDescent="0.35">
      <c r="A176" s="447" t="s">
        <v>351</v>
      </c>
      <c r="B176" s="447"/>
      <c r="C176" s="442">
        <f t="shared" si="10"/>
        <v>0</v>
      </c>
      <c r="D176" s="448">
        <v>0</v>
      </c>
      <c r="E176" s="448">
        <v>0</v>
      </c>
      <c r="F176" s="448">
        <f t="array" ref="F176">SUM(IF('6. Class A Consumption Data'!J458:K458="B",'6. Class A Consumption Data'!J456:K456))</f>
        <v>0</v>
      </c>
      <c r="G176" s="448">
        <f t="array" ref="G176">SUM(IF('6. Class A Consumption Data'!L458:M458="B",'6. Class A Consumption Data'!L456:M456))</f>
        <v>0</v>
      </c>
      <c r="H176" s="448">
        <f t="array" ref="H176">SUM(IF('6. Class A Consumption Data'!N458:O458="B",'6. Class A Consumption Data'!N456:O456))</f>
        <v>0</v>
      </c>
      <c r="I176" s="449">
        <f t="shared" si="11"/>
        <v>0</v>
      </c>
      <c r="J176" s="450">
        <f t="shared" si="12"/>
        <v>0</v>
      </c>
      <c r="K176" s="445">
        <f t="shared" si="13"/>
        <v>0</v>
      </c>
    </row>
    <row r="177" spans="1:11" hidden="1" x14ac:dyDescent="0.35">
      <c r="A177" s="447" t="s">
        <v>352</v>
      </c>
      <c r="B177" s="447"/>
      <c r="C177" s="442">
        <f t="shared" si="10"/>
        <v>0</v>
      </c>
      <c r="D177" s="448">
        <v>0</v>
      </c>
      <c r="E177" s="448">
        <v>0</v>
      </c>
      <c r="F177" s="448">
        <f t="array" ref="F177">SUM(IF('6. Class A Consumption Data'!J461:K461="B",'6. Class A Consumption Data'!J459:K459))</f>
        <v>0</v>
      </c>
      <c r="G177" s="448">
        <f t="array" ref="G177">SUM(IF('6. Class A Consumption Data'!L461:M461="B",'6. Class A Consumption Data'!L459:M459))</f>
        <v>0</v>
      </c>
      <c r="H177" s="448">
        <f t="array" ref="H177">SUM(IF('6. Class A Consumption Data'!N461:O461="B",'6. Class A Consumption Data'!N459:O459))</f>
        <v>0</v>
      </c>
      <c r="I177" s="449">
        <f t="shared" si="11"/>
        <v>0</v>
      </c>
      <c r="J177" s="450">
        <f t="shared" si="12"/>
        <v>0</v>
      </c>
      <c r="K177" s="445">
        <f t="shared" si="13"/>
        <v>0</v>
      </c>
    </row>
    <row r="178" spans="1:11" hidden="1" x14ac:dyDescent="0.35">
      <c r="A178" s="447" t="s">
        <v>353</v>
      </c>
      <c r="B178" s="447"/>
      <c r="C178" s="442">
        <f t="shared" si="10"/>
        <v>0</v>
      </c>
      <c r="D178" s="448">
        <v>0</v>
      </c>
      <c r="E178" s="448">
        <v>0</v>
      </c>
      <c r="F178" s="448">
        <f t="array" ref="F178">SUM(IF('6. Class A Consumption Data'!J464:K464="B",'6. Class A Consumption Data'!J462:K462))</f>
        <v>0</v>
      </c>
      <c r="G178" s="448">
        <f t="array" ref="G178">SUM(IF('6. Class A Consumption Data'!L464:M464="B",'6. Class A Consumption Data'!L462:M462))</f>
        <v>0</v>
      </c>
      <c r="H178" s="448">
        <f t="array" ref="H178">SUM(IF('6. Class A Consumption Data'!N464:O464="B",'6. Class A Consumption Data'!N462:O462))</f>
        <v>0</v>
      </c>
      <c r="I178" s="449">
        <f t="shared" si="11"/>
        <v>0</v>
      </c>
      <c r="J178" s="450">
        <f t="shared" si="12"/>
        <v>0</v>
      </c>
      <c r="K178" s="445">
        <f t="shared" si="13"/>
        <v>0</v>
      </c>
    </row>
    <row r="179" spans="1:11" hidden="1" x14ac:dyDescent="0.35">
      <c r="A179" s="447" t="s">
        <v>354</v>
      </c>
      <c r="B179" s="447"/>
      <c r="C179" s="442">
        <f t="shared" si="10"/>
        <v>0</v>
      </c>
      <c r="D179" s="448">
        <v>0</v>
      </c>
      <c r="E179" s="448">
        <v>0</v>
      </c>
      <c r="F179" s="448">
        <f t="array" ref="F179">SUM(IF('6. Class A Consumption Data'!J467:K467="B",'6. Class A Consumption Data'!J465:K465))</f>
        <v>0</v>
      </c>
      <c r="G179" s="448">
        <f t="array" ref="G179">SUM(IF('6. Class A Consumption Data'!L467:M467="B",'6. Class A Consumption Data'!L465:M465))</f>
        <v>0</v>
      </c>
      <c r="H179" s="448">
        <f t="array" ref="H179">SUM(IF('6. Class A Consumption Data'!N467:O467="B",'6. Class A Consumption Data'!N465:O465))</f>
        <v>0</v>
      </c>
      <c r="I179" s="449">
        <f t="shared" si="11"/>
        <v>0</v>
      </c>
      <c r="J179" s="450">
        <f t="shared" si="12"/>
        <v>0</v>
      </c>
      <c r="K179" s="445">
        <f t="shared" si="13"/>
        <v>0</v>
      </c>
    </row>
    <row r="180" spans="1:11" hidden="1" x14ac:dyDescent="0.35">
      <c r="A180" s="447" t="s">
        <v>355</v>
      </c>
      <c r="B180" s="447"/>
      <c r="C180" s="442">
        <f t="shared" si="10"/>
        <v>0</v>
      </c>
      <c r="D180" s="448">
        <v>0</v>
      </c>
      <c r="E180" s="448">
        <v>0</v>
      </c>
      <c r="F180" s="448">
        <f t="array" ref="F180">SUM(IF('6. Class A Consumption Data'!J470:K470="B",'6. Class A Consumption Data'!J468:K468))</f>
        <v>0</v>
      </c>
      <c r="G180" s="448">
        <f t="array" ref="G180">SUM(IF('6. Class A Consumption Data'!L470:M470="B",'6. Class A Consumption Data'!L468:M468))</f>
        <v>0</v>
      </c>
      <c r="H180" s="448">
        <f t="array" ref="H180">SUM(IF('6. Class A Consumption Data'!N470:O470="B",'6. Class A Consumption Data'!N468:O468))</f>
        <v>0</v>
      </c>
      <c r="I180" s="449">
        <f t="shared" si="11"/>
        <v>0</v>
      </c>
      <c r="J180" s="450">
        <f t="shared" si="12"/>
        <v>0</v>
      </c>
      <c r="K180" s="445">
        <f t="shared" si="13"/>
        <v>0</v>
      </c>
    </row>
    <row r="181" spans="1:11" hidden="1" x14ac:dyDescent="0.35">
      <c r="A181" s="447" t="s">
        <v>356</v>
      </c>
      <c r="B181" s="447"/>
      <c r="C181" s="442">
        <f t="shared" si="10"/>
        <v>0</v>
      </c>
      <c r="D181" s="448">
        <v>0</v>
      </c>
      <c r="E181" s="448">
        <v>0</v>
      </c>
      <c r="F181" s="448">
        <f t="array" ref="F181">SUM(IF('6. Class A Consumption Data'!J473:K473="B",'6. Class A Consumption Data'!J471:K471))</f>
        <v>0</v>
      </c>
      <c r="G181" s="448">
        <f t="array" ref="G181">SUM(IF('6. Class A Consumption Data'!L473:M473="B",'6. Class A Consumption Data'!L471:M471))</f>
        <v>0</v>
      </c>
      <c r="H181" s="448">
        <f t="array" ref="H181">SUM(IF('6. Class A Consumption Data'!N473:O473="B",'6. Class A Consumption Data'!N471:O471))</f>
        <v>0</v>
      </c>
      <c r="I181" s="449">
        <f t="shared" si="11"/>
        <v>0</v>
      </c>
      <c r="J181" s="450">
        <f t="shared" si="12"/>
        <v>0</v>
      </c>
      <c r="K181" s="445">
        <f t="shared" si="13"/>
        <v>0</v>
      </c>
    </row>
    <row r="182" spans="1:11" hidden="1" x14ac:dyDescent="0.35">
      <c r="A182" s="447" t="s">
        <v>357</v>
      </c>
      <c r="B182" s="447"/>
      <c r="C182" s="442">
        <f t="shared" si="10"/>
        <v>0</v>
      </c>
      <c r="D182" s="448">
        <v>0</v>
      </c>
      <c r="E182" s="448">
        <v>0</v>
      </c>
      <c r="F182" s="448">
        <f t="array" ref="F182">SUM(IF('6. Class A Consumption Data'!J476:K476="B",'6. Class A Consumption Data'!J474:K474))</f>
        <v>0</v>
      </c>
      <c r="G182" s="448">
        <f t="array" ref="G182">SUM(IF('6. Class A Consumption Data'!L476:M476="B",'6. Class A Consumption Data'!L474:M474))</f>
        <v>0</v>
      </c>
      <c r="H182" s="448">
        <f t="array" ref="H182">SUM(IF('6. Class A Consumption Data'!N476:O476="B",'6. Class A Consumption Data'!N474:O474))</f>
        <v>0</v>
      </c>
      <c r="I182" s="449">
        <f t="shared" si="11"/>
        <v>0</v>
      </c>
      <c r="J182" s="450">
        <f t="shared" si="12"/>
        <v>0</v>
      </c>
      <c r="K182" s="445">
        <f t="shared" si="13"/>
        <v>0</v>
      </c>
    </row>
    <row r="183" spans="1:11" hidden="1" x14ac:dyDescent="0.35">
      <c r="A183" s="441" t="s">
        <v>358</v>
      </c>
      <c r="B183" s="441"/>
      <c r="C183" s="442">
        <f t="shared" si="10"/>
        <v>0</v>
      </c>
      <c r="D183" s="442">
        <v>0</v>
      </c>
      <c r="E183" s="442">
        <v>0</v>
      </c>
      <c r="F183" s="442">
        <f t="array" ref="F183">SUM(IF('6. Class A Consumption Data'!J479:K479="B",'6. Class A Consumption Data'!J477:K477))</f>
        <v>0</v>
      </c>
      <c r="G183" s="442">
        <f t="array" ref="G183">SUM(IF('6. Class A Consumption Data'!L479:M479="B",'6. Class A Consumption Data'!L477:M477))</f>
        <v>0</v>
      </c>
      <c r="H183" s="442">
        <f t="array" ref="H183">SUM(IF('6. Class A Consumption Data'!N479:O479="B",'6. Class A Consumption Data'!N477:O477))</f>
        <v>0</v>
      </c>
      <c r="I183" s="443">
        <f t="shared" si="11"/>
        <v>0</v>
      </c>
      <c r="J183" s="444">
        <f t="shared" si="12"/>
        <v>0</v>
      </c>
      <c r="K183" s="445">
        <f t="shared" si="13"/>
        <v>0</v>
      </c>
    </row>
    <row r="184" spans="1:11" x14ac:dyDescent="0.35">
      <c r="A184" s="447" t="s">
        <v>52</v>
      </c>
      <c r="B184" s="447"/>
      <c r="C184" s="448">
        <f t="shared" ref="C184:J184" si="14">SUM(C34:C183)</f>
        <v>676659324.91576004</v>
      </c>
      <c r="D184" s="448">
        <f t="shared" si="14"/>
        <v>259718532.26953</v>
      </c>
      <c r="E184" s="448">
        <f t="shared" si="14"/>
        <v>416940792.64623004</v>
      </c>
      <c r="F184" s="448">
        <f t="shared" si="14"/>
        <v>0</v>
      </c>
      <c r="G184" s="448">
        <f t="shared" si="14"/>
        <v>0</v>
      </c>
      <c r="H184" s="448">
        <f t="shared" si="14"/>
        <v>0</v>
      </c>
      <c r="I184" s="449">
        <f t="shared" si="14"/>
        <v>0.99999999999999989</v>
      </c>
      <c r="J184" s="445">
        <f t="shared" si="14"/>
        <v>403352.85606816644</v>
      </c>
      <c r="K184" s="460"/>
    </row>
  </sheetData>
  <sheetProtection algorithmName="SHA-512" hashValue="d9VlkP/RQiQUwWLJnpgzat8uLRl19iX5rPhFFdC5l4c+pn2Sq0qhpVNlQqhJtwOneLe7Ilw5ECONU+xkie/39g==" saltValue="RAWljuiSDW0vFxNejRoW6Q==" spinCount="100000" sheet="1" objects="1" scenarios="1"/>
  <mergeCells count="5">
    <mergeCell ref="A14:F14"/>
    <mergeCell ref="C16:I16"/>
    <mergeCell ref="A17:F17"/>
    <mergeCell ref="A25:C25"/>
    <mergeCell ref="A31:E31"/>
  </mergeCells>
  <pageMargins left="0.7" right="0.7" top="0.75" bottom="0.75" header="0.3" footer="0.3"/>
  <pageSetup orientation="portrait" verticalDpi="597"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71">
    <pageSetUpPr fitToPage="1"/>
  </sheetPr>
  <dimension ref="A13:T185"/>
  <sheetViews>
    <sheetView showGridLines="0" topLeftCell="A15" workbookViewId="0">
      <selection activeCell="J29" sqref="J29"/>
    </sheetView>
  </sheetViews>
  <sheetFormatPr defaultColWidth="9" defaultRowHeight="12.5" x14ac:dyDescent="0.25"/>
  <cols>
    <col min="1" max="1" width="55.81640625" customWidth="1"/>
    <col min="2" max="2" width="22.7265625" customWidth="1"/>
    <col min="3" max="3" width="31" bestFit="1" customWidth="1"/>
    <col min="4" max="4" width="27.26953125" customWidth="1"/>
    <col min="5" max="6" width="28.54296875" hidden="1" customWidth="1"/>
    <col min="7" max="7" width="30.26953125" hidden="1" customWidth="1"/>
    <col min="8" max="8" width="27.26953125" hidden="1" customWidth="1"/>
    <col min="9" max="9" width="14.26953125" customWidth="1"/>
    <col min="10" max="10" width="21.54296875" customWidth="1"/>
    <col min="11" max="11" width="10" customWidth="1"/>
    <col min="12" max="12" width="11.81640625" hidden="1" customWidth="1"/>
    <col min="13" max="20" width="9" hidden="1" customWidth="1"/>
    <col min="21" max="21" width="0" hidden="1" customWidth="1"/>
  </cols>
  <sheetData>
    <row r="13" spans="1:7" ht="14.5" x14ac:dyDescent="0.35">
      <c r="A13" s="461"/>
      <c r="B13" s="461"/>
      <c r="C13" s="461"/>
      <c r="D13" s="461"/>
      <c r="E13" s="461"/>
      <c r="F13" s="462"/>
      <c r="G13" s="462"/>
    </row>
    <row r="14" spans="1:7" s="463" customFormat="1" ht="99" customHeight="1" x14ac:dyDescent="0.35">
      <c r="A14" s="1227" t="s">
        <v>465</v>
      </c>
      <c r="B14" s="1227"/>
      <c r="C14" s="1227"/>
      <c r="D14" s="1228"/>
      <c r="E14" s="1228"/>
    </row>
    <row r="15" spans="1:7" ht="14.5" x14ac:dyDescent="0.35">
      <c r="A15" s="464"/>
      <c r="B15" s="464"/>
      <c r="C15" s="464"/>
      <c r="D15" s="465"/>
      <c r="E15" s="466"/>
      <c r="F15" s="462"/>
      <c r="G15" s="462"/>
    </row>
    <row r="16" spans="1:7" ht="14" x14ac:dyDescent="0.25">
      <c r="A16" s="467" t="s">
        <v>466</v>
      </c>
      <c r="B16" s="468">
        <f>'1. Information Sheet'!L43</f>
        <v>2022</v>
      </c>
      <c r="C16" s="1211"/>
      <c r="D16" s="1212"/>
      <c r="E16" s="1212"/>
      <c r="F16" s="1212"/>
      <c r="G16" s="1212"/>
    </row>
    <row r="17" spans="1:8" ht="39" customHeight="1" x14ac:dyDescent="0.35">
      <c r="A17" s="1229" t="s">
        <v>467</v>
      </c>
      <c r="B17" s="1229"/>
      <c r="C17" s="1229"/>
      <c r="D17" s="1229"/>
      <c r="E17" s="1229"/>
      <c r="F17" s="1229"/>
      <c r="G17" s="462"/>
      <c r="H17" s="462"/>
    </row>
    <row r="18" spans="1:8" ht="34.5" customHeight="1" x14ac:dyDescent="0.35">
      <c r="A18" s="462"/>
      <c r="B18" s="469"/>
      <c r="C18" s="470" t="s">
        <v>52</v>
      </c>
      <c r="D18" s="579">
        <v>2023</v>
      </c>
      <c r="E18" s="579">
        <v>2022</v>
      </c>
      <c r="F18" s="579">
        <v>2020</v>
      </c>
      <c r="G18" s="471">
        <v>2019</v>
      </c>
      <c r="H18" s="472">
        <v>2018</v>
      </c>
    </row>
    <row r="19" spans="1:8" s="463" customFormat="1" ht="17.25" customHeight="1" x14ac:dyDescent="0.35">
      <c r="A19" s="412" t="s">
        <v>468</v>
      </c>
      <c r="B19" s="413" t="s">
        <v>186</v>
      </c>
      <c r="C19" s="414">
        <f>D19</f>
        <v>23089678879.801685</v>
      </c>
      <c r="D19" s="415">
        <v>23089678879.801685</v>
      </c>
      <c r="E19" s="415">
        <v>23354468276.944122</v>
      </c>
      <c r="F19" s="415"/>
      <c r="G19" s="415"/>
      <c r="H19" s="415"/>
    </row>
    <row r="20" spans="1:8" s="473" customFormat="1" ht="15.75" customHeight="1" x14ac:dyDescent="0.35">
      <c r="A20" s="416" t="s">
        <v>456</v>
      </c>
      <c r="B20" s="413" t="s">
        <v>187</v>
      </c>
      <c r="C20" s="414">
        <f>D20</f>
        <v>252657020</v>
      </c>
      <c r="D20" s="417">
        <v>252657020</v>
      </c>
      <c r="E20" s="417">
        <v>464631397</v>
      </c>
      <c r="F20" s="417">
        <v>0</v>
      </c>
      <c r="G20" s="417">
        <v>0</v>
      </c>
      <c r="H20" s="417">
        <v>0</v>
      </c>
    </row>
    <row r="21" spans="1:8" s="473" customFormat="1" ht="14.5" x14ac:dyDescent="0.35">
      <c r="A21" s="416" t="s">
        <v>457</v>
      </c>
      <c r="B21" s="413" t="s">
        <v>192</v>
      </c>
      <c r="C21" s="414">
        <f>D21</f>
        <v>5377607998.8941364</v>
      </c>
      <c r="D21" s="417">
        <f t="array" ref="D21">SUM(IF('6. Class A Consumption Data'!C492:C791="kWh",'6. Class A Consumption Data'!F492:F791))</f>
        <v>5377607998.8941364</v>
      </c>
      <c r="E21" s="417">
        <f t="array" ref="E21">SUM(IF('6. Class A Consumption Data'!C492:C791="kWh",'6. Class A Consumption Data'!H492:H791))</f>
        <v>5169196142.2668524</v>
      </c>
      <c r="F21" s="417">
        <f t="array" ref="F21">SUM(IF('6. Class A Consumption Data'!C492:C791="kWh",'6. Class A Consumption Data'!J492:J791))</f>
        <v>0</v>
      </c>
      <c r="G21" s="417">
        <f t="array" ref="G21">SUM(IF('6. Class A Consumption Data'!C492:C791="kWh",'6. Class A Consumption Data'!L492:L791))</f>
        <v>0</v>
      </c>
      <c r="H21" s="417">
        <f t="array" ref="H21">SUM(IF('6. Class A Consumption Data'!C492:C791="kWh",'6. Class A Consumption Data'!N492:N791))</f>
        <v>0</v>
      </c>
    </row>
    <row r="22" spans="1:8" s="473" customFormat="1" ht="26.5" x14ac:dyDescent="0.35">
      <c r="A22" s="419" t="s">
        <v>458</v>
      </c>
      <c r="B22" s="413" t="s">
        <v>459</v>
      </c>
      <c r="C22" s="414">
        <f>D22</f>
        <v>17459413860.907547</v>
      </c>
      <c r="D22" s="420">
        <f>D19-D20-D21</f>
        <v>17459413860.907547</v>
      </c>
      <c r="E22" s="420">
        <f>E19-E20-E21</f>
        <v>17720640737.677269</v>
      </c>
      <c r="F22" s="420">
        <f>F19-F20-F21</f>
        <v>0</v>
      </c>
      <c r="G22" s="420">
        <f>G19-G20-G21</f>
        <v>0</v>
      </c>
      <c r="H22" s="420">
        <f>H19-H20-H21</f>
        <v>0</v>
      </c>
    </row>
    <row r="23" spans="1:8" s="463" customFormat="1" ht="14.5" x14ac:dyDescent="0.35">
      <c r="A23" s="412" t="s">
        <v>460</v>
      </c>
      <c r="B23" s="413" t="s">
        <v>194</v>
      </c>
      <c r="C23" s="414">
        <f>D23</f>
        <v>259718532.26953</v>
      </c>
      <c r="D23" s="421">
        <f>D184</f>
        <v>259718532.26953</v>
      </c>
      <c r="E23" s="421">
        <f>E184</f>
        <v>416940792.64623004</v>
      </c>
      <c r="F23" s="421">
        <f>F184</f>
        <v>0</v>
      </c>
      <c r="G23" s="421">
        <f>G184</f>
        <v>0</v>
      </c>
      <c r="H23" s="421">
        <f>H184</f>
        <v>0</v>
      </c>
    </row>
    <row r="24" spans="1:8" s="463" customFormat="1" ht="14.5" x14ac:dyDescent="0.35">
      <c r="A24" s="422" t="s">
        <v>361</v>
      </c>
      <c r="B24" s="413" t="s">
        <v>461</v>
      </c>
      <c r="C24" s="423">
        <f>IFERROR(+C23/C22,0)</f>
        <v>1.4875558500337291E-2</v>
      </c>
      <c r="D24" s="423"/>
      <c r="E24" s="423"/>
      <c r="F24" s="423"/>
      <c r="G24" s="424"/>
      <c r="H24" s="424"/>
    </row>
    <row r="25" spans="1:8" s="463" customFormat="1" ht="14.5" x14ac:dyDescent="0.35">
      <c r="D25" s="465"/>
      <c r="E25" s="474"/>
    </row>
    <row r="26" spans="1:8" s="463" customFormat="1" ht="14.5" x14ac:dyDescent="0.35">
      <c r="A26" s="1230" t="s">
        <v>379</v>
      </c>
      <c r="B26" s="1230"/>
      <c r="C26" s="1230"/>
      <c r="E26" s="474"/>
    </row>
    <row r="27" spans="1:8" s="463" customFormat="1" ht="14.5" x14ac:dyDescent="0.35">
      <c r="A27" s="475" t="s">
        <v>378</v>
      </c>
      <c r="B27" s="568" t="s">
        <v>2903</v>
      </c>
      <c r="C27" s="571">
        <v>3085833.2069963333</v>
      </c>
      <c r="D27" s="476"/>
      <c r="E27" s="465"/>
    </row>
    <row r="28" spans="1:8" s="463" customFormat="1" ht="14.5" x14ac:dyDescent="0.35">
      <c r="A28" s="477" t="s">
        <v>377</v>
      </c>
      <c r="B28" s="549" t="s">
        <v>2904</v>
      </c>
      <c r="C28" s="570">
        <f>+C24*C27</f>
        <v>45903.492392957392</v>
      </c>
      <c r="D28" s="478"/>
      <c r="E28" s="465"/>
    </row>
    <row r="29" spans="1:8" s="463" customFormat="1" ht="26" x14ac:dyDescent="0.35">
      <c r="A29" s="477" t="s">
        <v>376</v>
      </c>
      <c r="B29" s="549" t="s">
        <v>2905</v>
      </c>
      <c r="C29" s="571">
        <f>+C27-C28</f>
        <v>3039929.7146033761</v>
      </c>
      <c r="D29" s="465"/>
      <c r="E29" s="465"/>
    </row>
    <row r="30" spans="1:8" s="463" customFormat="1" ht="14.5" x14ac:dyDescent="0.35">
      <c r="A30" s="465"/>
      <c r="B30" s="465"/>
      <c r="C30" s="465"/>
      <c r="D30" s="465"/>
      <c r="E30" s="465"/>
    </row>
    <row r="31" spans="1:8" ht="14.9" customHeight="1" x14ac:dyDescent="0.35">
      <c r="A31" s="1231" t="s">
        <v>375</v>
      </c>
      <c r="B31" s="1231"/>
      <c r="C31" s="1232"/>
      <c r="D31" s="1232"/>
      <c r="E31" s="465"/>
      <c r="F31" s="462"/>
      <c r="G31" s="462"/>
      <c r="H31" s="462"/>
    </row>
    <row r="32" spans="1:8" ht="14.9" customHeight="1" thickBot="1" x14ac:dyDescent="0.4">
      <c r="A32" s="479" t="s">
        <v>365</v>
      </c>
      <c r="B32" s="480"/>
      <c r="C32" s="481">
        <f>COUNTIF(C34:C183,"&lt;&gt;0")</f>
        <v>7</v>
      </c>
      <c r="D32" s="482"/>
      <c r="E32" s="465"/>
      <c r="F32" s="462"/>
      <c r="G32" s="462"/>
      <c r="H32" s="462"/>
    </row>
    <row r="33" spans="1:20" ht="69" customHeight="1" thickBot="1" x14ac:dyDescent="0.4">
      <c r="A33" s="480" t="s">
        <v>374</v>
      </c>
      <c r="B33" s="483"/>
      <c r="C33" s="484" t="s">
        <v>469</v>
      </c>
      <c r="D33" s="484" t="s">
        <v>3948</v>
      </c>
      <c r="E33" s="484" t="s">
        <v>3685</v>
      </c>
      <c r="F33" s="484" t="s">
        <v>3049</v>
      </c>
      <c r="G33" s="484" t="s">
        <v>3019</v>
      </c>
      <c r="H33" s="484" t="s">
        <v>470</v>
      </c>
      <c r="I33" s="485" t="s">
        <v>189</v>
      </c>
      <c r="J33" s="479" t="s">
        <v>471</v>
      </c>
      <c r="K33" s="479" t="s">
        <v>190</v>
      </c>
      <c r="L33" s="562" t="s">
        <v>2907</v>
      </c>
      <c r="M33" s="563"/>
      <c r="N33" s="1224" t="s">
        <v>2949</v>
      </c>
      <c r="O33" s="1225"/>
      <c r="P33" s="1225"/>
      <c r="Q33" s="1225"/>
      <c r="R33" s="1225"/>
      <c r="S33" s="1225"/>
      <c r="T33" s="1226"/>
    </row>
    <row r="34" spans="1:20" s="492" customFormat="1" ht="14.9" customHeight="1" x14ac:dyDescent="0.35">
      <c r="A34" s="486" t="s">
        <v>195</v>
      </c>
      <c r="B34" s="486"/>
      <c r="C34" s="487">
        <v>10155106.828859</v>
      </c>
      <c r="D34" s="488">
        <f t="array" ref="D34">SUM(IF('6. Class A Consumption Data'!F32:G32="B",'6. Class A Consumption Data'!F30:G30))</f>
        <v>10155106.828859</v>
      </c>
      <c r="E34" s="489">
        <f t="array" ref="E34">SUM(IF('6. Class A Consumption Data'!H32:I32="B",'6. Class A Consumption Data'!H30:I30))</f>
        <v>26411164.066281002</v>
      </c>
      <c r="F34" s="489">
        <f t="array" ref="F34">SUM(IF('6. Class A Consumption Data'!J32:K32="B",'6. Class A Consumption Data'!J30:K30))</f>
        <v>0</v>
      </c>
      <c r="G34" s="489">
        <f t="array" ref="G34">SUM(IF('6. Class A Consumption Data'!L32:M32="B",'6. Class A Consumption Data'!L30:M30))</f>
        <v>0</v>
      </c>
      <c r="H34" s="489">
        <f t="array" ref="H34">SUM(IF('6. Class A Consumption Data'!N32:O32="B",'6. Class A Consumption Data'!N30:O30))</f>
        <v>0</v>
      </c>
      <c r="I34" s="490">
        <f t="shared" ref="I34:I97" si="0">IFERROR(+C34/($C$184),0)</f>
        <v>3.9100432072056608E-2</v>
      </c>
      <c r="J34" s="491">
        <f t="shared" ref="J34:J97" si="1">+I34*$C$28</f>
        <v>1794.8463861809978</v>
      </c>
      <c r="K34" s="491">
        <f t="shared" ref="K34:K97" si="2">+J34/12</f>
        <v>149.57053218174983</v>
      </c>
      <c r="L34" s="564">
        <v>0</v>
      </c>
      <c r="M34" s="565"/>
      <c r="N34" s="565"/>
      <c r="O34" s="565"/>
      <c r="P34" s="565"/>
      <c r="Q34" s="565"/>
      <c r="R34" s="565"/>
      <c r="S34" s="565"/>
      <c r="T34" s="565"/>
    </row>
    <row r="35" spans="1:20" s="492" customFormat="1" ht="14.9" customHeight="1" x14ac:dyDescent="0.35">
      <c r="A35" s="486" t="s">
        <v>196</v>
      </c>
      <c r="B35" s="486"/>
      <c r="C35" s="487">
        <v>94350526.001494989</v>
      </c>
      <c r="D35" s="488">
        <f t="array" ref="D35">SUM(IF('6. Class A Consumption Data'!F35:G35="B",'6. Class A Consumption Data'!F33:G33))</f>
        <v>94350526.001494989</v>
      </c>
      <c r="E35" s="488">
        <f t="array" ref="E35">SUM(IF('6. Class A Consumption Data'!H35:I35="B",'6. Class A Consumption Data'!H33:I33))</f>
        <v>92636632.818752006</v>
      </c>
      <c r="F35" s="488">
        <f t="array" ref="F35">SUM(IF('6. Class A Consumption Data'!J35:K35="B",'6. Class A Consumption Data'!J33:K33))</f>
        <v>0</v>
      </c>
      <c r="G35" s="488">
        <f t="array" ref="G35">SUM(IF('6. Class A Consumption Data'!L35:M35="B",'6. Class A Consumption Data'!L33:M33))</f>
        <v>0</v>
      </c>
      <c r="H35" s="488">
        <f t="array" ref="H35">SUM(IF('6. Class A Consumption Data'!N35:O35="B",'6. Class A Consumption Data'!N33:O33))</f>
        <v>0</v>
      </c>
      <c r="I35" s="490">
        <f t="shared" si="0"/>
        <v>0.36327991374747243</v>
      </c>
      <c r="J35" s="491">
        <f t="shared" si="1"/>
        <v>16675.816757221317</v>
      </c>
      <c r="K35" s="491">
        <f t="shared" si="2"/>
        <v>1389.6513964351097</v>
      </c>
      <c r="L35" s="564">
        <v>0</v>
      </c>
      <c r="M35" s="565"/>
      <c r="N35" s="565"/>
      <c r="O35" s="565"/>
      <c r="P35" s="565"/>
      <c r="Q35" s="565"/>
      <c r="R35" s="565"/>
      <c r="S35" s="565"/>
      <c r="T35" s="565"/>
    </row>
    <row r="36" spans="1:20" s="492" customFormat="1" ht="14.9" customHeight="1" x14ac:dyDescent="0.35">
      <c r="A36" s="486" t="s">
        <v>211</v>
      </c>
      <c r="B36" s="486"/>
      <c r="C36" s="487">
        <v>37429524.167085007</v>
      </c>
      <c r="D36" s="488">
        <f t="array" ref="D36">SUM(IF('6. Class A Consumption Data'!F38:G38="B",'6. Class A Consumption Data'!F36:G36))</f>
        <v>37429524.167085007</v>
      </c>
      <c r="E36" s="488">
        <f t="array" ref="E36">SUM(IF('6. Class A Consumption Data'!H38:I38="B",'6. Class A Consumption Data'!H36:I36))</f>
        <v>159286596.24071902</v>
      </c>
      <c r="F36" s="488">
        <f t="array" ref="F36">SUM(IF('6. Class A Consumption Data'!J38:K38="B",'6. Class A Consumption Data'!J36:K36))</f>
        <v>0</v>
      </c>
      <c r="G36" s="488">
        <f t="array" ref="G36">SUM(IF('6. Class A Consumption Data'!L38:M38="B",'6. Class A Consumption Data'!L36:M36))</f>
        <v>0</v>
      </c>
      <c r="H36" s="488">
        <f t="array" ref="H36">SUM(IF('6. Class A Consumption Data'!N38:O38="B",'6. Class A Consumption Data'!N36:O36))</f>
        <v>0</v>
      </c>
      <c r="I36" s="490">
        <f t="shared" si="0"/>
        <v>0.14411572343340326</v>
      </c>
      <c r="J36" s="491">
        <f t="shared" si="1"/>
        <v>6615.4150143307779</v>
      </c>
      <c r="K36" s="491">
        <f t="shared" si="2"/>
        <v>551.28458452756479</v>
      </c>
      <c r="L36" s="564">
        <v>0</v>
      </c>
      <c r="M36" s="565"/>
      <c r="N36" s="565"/>
      <c r="O36" s="565"/>
      <c r="P36" s="565"/>
      <c r="Q36" s="565"/>
      <c r="R36" s="565"/>
      <c r="S36" s="565"/>
      <c r="T36" s="565"/>
    </row>
    <row r="37" spans="1:20" s="492" customFormat="1" ht="14.9" customHeight="1" x14ac:dyDescent="0.35">
      <c r="A37" s="486" t="s">
        <v>212</v>
      </c>
      <c r="B37" s="486"/>
      <c r="C37" s="487">
        <v>61201943.651158012</v>
      </c>
      <c r="D37" s="488">
        <f t="array" ref="D37">SUM(IF('6. Class A Consumption Data'!F41:G41="B",'6. Class A Consumption Data'!F39:G39))</f>
        <v>61201943.651158012</v>
      </c>
      <c r="E37" s="488">
        <f t="array" ref="E37">SUM(IF('6. Class A Consumption Data'!H41:I41="B",'6. Class A Consumption Data'!H39:I39))</f>
        <v>62903878.311563008</v>
      </c>
      <c r="F37" s="488">
        <f t="array" ref="F37">SUM(IF('6. Class A Consumption Data'!J41:K41="B",'6. Class A Consumption Data'!J39:K39))</f>
        <v>0</v>
      </c>
      <c r="G37" s="488">
        <f t="array" ref="G37">SUM(IF('6. Class A Consumption Data'!L41:M41="B",'6. Class A Consumption Data'!L39:M39))</f>
        <v>0</v>
      </c>
      <c r="H37" s="488">
        <f t="array" ref="H37">SUM(IF('6. Class A Consumption Data'!N41:O41="B",'6. Class A Consumption Data'!N39:O39))</f>
        <v>0</v>
      </c>
      <c r="I37" s="490">
        <f t="shared" si="0"/>
        <v>0.23564719512446661</v>
      </c>
      <c r="J37" s="491">
        <f t="shared" si="1"/>
        <v>10817.029228817699</v>
      </c>
      <c r="K37" s="491">
        <f t="shared" si="2"/>
        <v>901.4191024014749</v>
      </c>
      <c r="L37" s="564">
        <v>0</v>
      </c>
      <c r="M37" s="565"/>
      <c r="N37" s="565"/>
      <c r="O37" s="565"/>
      <c r="P37" s="565"/>
      <c r="Q37" s="565"/>
      <c r="R37" s="565"/>
      <c r="S37" s="565"/>
      <c r="T37" s="565"/>
    </row>
    <row r="38" spans="1:20" s="492" customFormat="1" ht="14.9" customHeight="1" x14ac:dyDescent="0.35">
      <c r="A38" s="486" t="s">
        <v>213</v>
      </c>
      <c r="B38" s="486"/>
      <c r="C38" s="487">
        <v>44040062.093667001</v>
      </c>
      <c r="D38" s="488">
        <f t="array" ref="D38">SUM(IF('6. Class A Consumption Data'!F44:G44="B",'6. Class A Consumption Data'!F42:G42))</f>
        <v>44040062.093667001</v>
      </c>
      <c r="E38" s="488">
        <f t="array" ref="E38">SUM(IF('6. Class A Consumption Data'!H44:I44="B",'6. Class A Consumption Data'!H42:I42))</f>
        <v>36696388.913371004</v>
      </c>
      <c r="F38" s="488">
        <f t="array" ref="F38">SUM(IF('6. Class A Consumption Data'!J44:K44="B",'6. Class A Consumption Data'!J42:K42))</f>
        <v>0</v>
      </c>
      <c r="G38" s="488">
        <f t="array" ref="G38">SUM(IF('6. Class A Consumption Data'!L44:M44="B",'6. Class A Consumption Data'!L42:M42))</f>
        <v>0</v>
      </c>
      <c r="H38" s="488">
        <f t="array" ref="H38">SUM(IF('6. Class A Consumption Data'!N44:O44="B",'6. Class A Consumption Data'!N42:O42))</f>
        <v>0</v>
      </c>
      <c r="I38" s="490">
        <f t="shared" si="0"/>
        <v>0.16956842358851476</v>
      </c>
      <c r="J38" s="491">
        <f t="shared" si="1"/>
        <v>7783.7828422811644</v>
      </c>
      <c r="K38" s="491">
        <f t="shared" si="2"/>
        <v>648.64857019009708</v>
      </c>
      <c r="L38" s="564">
        <v>0</v>
      </c>
      <c r="M38" s="565"/>
      <c r="N38" s="565"/>
      <c r="O38" s="565"/>
      <c r="P38" s="565"/>
      <c r="Q38" s="565"/>
      <c r="R38" s="565"/>
      <c r="S38" s="565"/>
      <c r="T38" s="565"/>
    </row>
    <row r="39" spans="1:20" s="492" customFormat="1" ht="14.9" customHeight="1" x14ac:dyDescent="0.35">
      <c r="A39" s="486" t="s">
        <v>214</v>
      </c>
      <c r="B39" s="486"/>
      <c r="C39" s="487">
        <v>12469144.884064</v>
      </c>
      <c r="D39" s="488">
        <f t="array" ref="D39">SUM(IF('6. Class A Consumption Data'!F47:G47="B",'6. Class A Consumption Data'!F45:G45))</f>
        <v>12469144.884064</v>
      </c>
      <c r="E39" s="488">
        <f t="array" ref="E39">SUM(IF('6. Class A Consumption Data'!H47:I47="B",'6. Class A Consumption Data'!H45:I45))</f>
        <v>38026735.295527004</v>
      </c>
      <c r="F39" s="488">
        <f t="array" ref="F39">SUM(IF('6. Class A Consumption Data'!J47:K47="B",'6. Class A Consumption Data'!J45:K45))</f>
        <v>0</v>
      </c>
      <c r="G39" s="488">
        <f t="array" ref="G39">SUM(IF('6. Class A Consumption Data'!L47:M47="B",'6. Class A Consumption Data'!L45:M45))</f>
        <v>0</v>
      </c>
      <c r="H39" s="488">
        <f t="array" ref="H39">SUM(IF('6. Class A Consumption Data'!N47:O47="B",'6. Class A Consumption Data'!N45:O45))</f>
        <v>0</v>
      </c>
      <c r="I39" s="490">
        <f t="shared" si="0"/>
        <v>4.8010223895473908E-2</v>
      </c>
      <c r="J39" s="491">
        <f t="shared" si="1"/>
        <v>2203.8369473700677</v>
      </c>
      <c r="K39" s="491">
        <f t="shared" si="2"/>
        <v>183.65307894750563</v>
      </c>
      <c r="L39" s="564">
        <v>0</v>
      </c>
      <c r="M39" s="565"/>
      <c r="N39" s="565"/>
      <c r="O39" s="565"/>
      <c r="P39" s="565"/>
      <c r="Q39" s="565"/>
      <c r="R39" s="565"/>
      <c r="S39" s="565"/>
      <c r="T39" s="565"/>
    </row>
    <row r="40" spans="1:20" s="492" customFormat="1" ht="14.9" hidden="1" customHeight="1" x14ac:dyDescent="0.35">
      <c r="A40" s="486" t="s">
        <v>215</v>
      </c>
      <c r="B40" s="486"/>
      <c r="C40" s="487">
        <v>0</v>
      </c>
      <c r="D40" s="488">
        <f t="array" ref="D40">SUM(IF('6. Class A Consumption Data'!F50:G50="B",'6. Class A Consumption Data'!F48:G48))</f>
        <v>0</v>
      </c>
      <c r="E40" s="488">
        <f t="array" ref="E40">SUM(IF('6. Class A Consumption Data'!H50:I50="B",'6. Class A Consumption Data'!H48:I48))</f>
        <v>979397.00001700001</v>
      </c>
      <c r="F40" s="488">
        <f t="array" ref="F40">SUM(IF('6. Class A Consumption Data'!J50:K50="B",'6. Class A Consumption Data'!J48:K48))</f>
        <v>0</v>
      </c>
      <c r="G40" s="488">
        <f t="array" ref="G40">SUM(IF('6. Class A Consumption Data'!L50:M50="B",'6. Class A Consumption Data'!L48:M48))</f>
        <v>0</v>
      </c>
      <c r="H40" s="488">
        <f t="array" ref="H40">SUM(IF('6. Class A Consumption Data'!N50:O50="B",'6. Class A Consumption Data'!N48:O48))</f>
        <v>0</v>
      </c>
      <c r="I40" s="490">
        <f t="shared" si="0"/>
        <v>0</v>
      </c>
      <c r="J40" s="491">
        <f t="shared" si="1"/>
        <v>0</v>
      </c>
      <c r="K40" s="491">
        <f t="shared" si="2"/>
        <v>0</v>
      </c>
      <c r="L40" s="564">
        <v>0</v>
      </c>
      <c r="M40" s="565"/>
      <c r="N40" s="565"/>
      <c r="O40" s="565"/>
      <c r="P40" s="565"/>
      <c r="Q40" s="565"/>
      <c r="R40" s="565"/>
      <c r="S40" s="565"/>
      <c r="T40" s="565"/>
    </row>
    <row r="41" spans="1:20" s="492" customFormat="1" ht="14.9" customHeight="1" x14ac:dyDescent="0.35">
      <c r="A41" s="486" t="s">
        <v>216</v>
      </c>
      <c r="B41" s="486"/>
      <c r="C41" s="487">
        <v>72224.643202000007</v>
      </c>
      <c r="D41" s="488">
        <f t="array" ref="D41">SUM(IF('6. Class A Consumption Data'!F53:G53="B",'6. Class A Consumption Data'!F51:G51))</f>
        <v>72224.643202000007</v>
      </c>
      <c r="E41" s="488">
        <f t="array" ref="E41">SUM(IF('6. Class A Consumption Data'!H53:I53="B",'6. Class A Consumption Data'!H51:I51))</f>
        <v>0</v>
      </c>
      <c r="F41" s="488">
        <f t="array" ref="F41">SUM(IF('6. Class A Consumption Data'!J53:K53="B",'6. Class A Consumption Data'!J51:K51))</f>
        <v>0</v>
      </c>
      <c r="G41" s="488">
        <f t="array" ref="G41">SUM(IF('6. Class A Consumption Data'!L53:M53="B",'6. Class A Consumption Data'!L51:M51))</f>
        <v>0</v>
      </c>
      <c r="H41" s="488">
        <f t="array" ref="H41">SUM(IF('6. Class A Consumption Data'!N53:O53="B",'6. Class A Consumption Data'!N51:O51))</f>
        <v>0</v>
      </c>
      <c r="I41" s="490">
        <f t="shared" si="0"/>
        <v>2.7808813861248419E-4</v>
      </c>
      <c r="J41" s="491">
        <f t="shared" si="1"/>
        <v>12.765216755369849</v>
      </c>
      <c r="K41" s="491">
        <f t="shared" si="2"/>
        <v>1.0637680629474875</v>
      </c>
      <c r="L41" s="564">
        <v>0</v>
      </c>
      <c r="M41" s="565"/>
      <c r="N41" s="565"/>
      <c r="O41" s="565"/>
      <c r="P41" s="565"/>
      <c r="Q41" s="565"/>
      <c r="R41" s="565"/>
      <c r="S41" s="565"/>
      <c r="T41" s="565"/>
    </row>
    <row r="42" spans="1:20" s="492" customFormat="1" ht="14.9" hidden="1" customHeight="1" x14ac:dyDescent="0.35">
      <c r="A42" s="486" t="s">
        <v>217</v>
      </c>
      <c r="B42" s="486"/>
      <c r="C42" s="487">
        <v>0</v>
      </c>
      <c r="D42" s="488">
        <v>0</v>
      </c>
      <c r="E42" s="488">
        <f t="array" ref="E42">SUM(IF('6. Class A Consumption Data'!H56:I56="B",'6. Class A Consumption Data'!H54:I54))</f>
        <v>0</v>
      </c>
      <c r="F42" s="488">
        <f t="array" ref="F42">SUM(IF('6. Class A Consumption Data'!J56:K56="B",'6. Class A Consumption Data'!J54:K54))</f>
        <v>0</v>
      </c>
      <c r="G42" s="488">
        <f t="array" ref="G42">SUM(IF('6. Class A Consumption Data'!L56:M56="B",'6. Class A Consumption Data'!L54:M54))</f>
        <v>0</v>
      </c>
      <c r="H42" s="488">
        <f t="array" ref="H42">SUM(IF('6. Class A Consumption Data'!N56:O56="B",'6. Class A Consumption Data'!N54:O54))</f>
        <v>0</v>
      </c>
      <c r="I42" s="490">
        <f t="shared" si="0"/>
        <v>0</v>
      </c>
      <c r="J42" s="491">
        <f t="shared" si="1"/>
        <v>0</v>
      </c>
      <c r="K42" s="491">
        <f t="shared" si="2"/>
        <v>0</v>
      </c>
      <c r="L42" s="564">
        <v>0</v>
      </c>
      <c r="M42" s="565"/>
      <c r="N42" s="565"/>
      <c r="O42" s="565"/>
      <c r="P42" s="565"/>
      <c r="Q42" s="565"/>
      <c r="R42" s="565"/>
      <c r="S42" s="565"/>
      <c r="T42" s="565"/>
    </row>
    <row r="43" spans="1:20" s="492" customFormat="1" ht="14.9" hidden="1" customHeight="1" x14ac:dyDescent="0.35">
      <c r="A43" s="486" t="s">
        <v>218</v>
      </c>
      <c r="B43" s="486"/>
      <c r="C43" s="487">
        <v>0</v>
      </c>
      <c r="D43" s="488">
        <v>0</v>
      </c>
      <c r="E43" s="488">
        <f t="array" ref="E43">SUM(IF('6. Class A Consumption Data'!H59:I59="B",'6. Class A Consumption Data'!H57:I57))</f>
        <v>0</v>
      </c>
      <c r="F43" s="488">
        <f t="array" ref="F43">SUM(IF('6. Class A Consumption Data'!J59:K59="B",'6. Class A Consumption Data'!J57:K57))</f>
        <v>0</v>
      </c>
      <c r="G43" s="488">
        <f t="array" ref="G43">SUM(IF('6. Class A Consumption Data'!L59:M59="B",'6. Class A Consumption Data'!L57:M57))</f>
        <v>0</v>
      </c>
      <c r="H43" s="488">
        <f t="array" ref="H43">SUM(IF('6. Class A Consumption Data'!N59:O59="B",'6. Class A Consumption Data'!N57:O57))</f>
        <v>0</v>
      </c>
      <c r="I43" s="490">
        <f t="shared" si="0"/>
        <v>0</v>
      </c>
      <c r="J43" s="491">
        <f t="shared" si="1"/>
        <v>0</v>
      </c>
      <c r="K43" s="491">
        <f t="shared" si="2"/>
        <v>0</v>
      </c>
      <c r="L43" s="564">
        <v>0</v>
      </c>
      <c r="M43" s="565"/>
      <c r="N43" s="565"/>
      <c r="O43" s="565"/>
      <c r="P43" s="565"/>
      <c r="Q43" s="565"/>
      <c r="R43" s="565"/>
      <c r="S43" s="565"/>
      <c r="T43" s="565"/>
    </row>
    <row r="44" spans="1:20" s="492" customFormat="1" ht="14.25" hidden="1" customHeight="1" x14ac:dyDescent="0.35">
      <c r="A44" s="486" t="s">
        <v>219</v>
      </c>
      <c r="B44" s="486"/>
      <c r="C44" s="487">
        <v>0</v>
      </c>
      <c r="D44" s="488">
        <v>0</v>
      </c>
      <c r="E44" s="488">
        <f t="array" ref="E44">SUM(IF('6. Class A Consumption Data'!H62:I62="B",'6. Class A Consumption Data'!H60:I60))</f>
        <v>0</v>
      </c>
      <c r="F44" s="488">
        <f t="array" ref="F44">SUM(IF('6. Class A Consumption Data'!J62:K62="B",'6. Class A Consumption Data'!J60:K60))</f>
        <v>0</v>
      </c>
      <c r="G44" s="488">
        <f t="array" ref="G44">SUM(IF('6. Class A Consumption Data'!L62:M62="B",'6. Class A Consumption Data'!L60:M60))</f>
        <v>0</v>
      </c>
      <c r="H44" s="488">
        <f t="array" ref="H44">SUM(IF('6. Class A Consumption Data'!N62:O62="B",'6. Class A Consumption Data'!N60:O60))</f>
        <v>0</v>
      </c>
      <c r="I44" s="490">
        <f t="shared" si="0"/>
        <v>0</v>
      </c>
      <c r="J44" s="491">
        <f t="shared" si="1"/>
        <v>0</v>
      </c>
      <c r="K44" s="491">
        <f t="shared" si="2"/>
        <v>0</v>
      </c>
      <c r="L44" s="564">
        <v>0</v>
      </c>
      <c r="M44" s="565"/>
      <c r="N44" s="565"/>
      <c r="O44" s="565"/>
      <c r="P44" s="565"/>
      <c r="Q44" s="565"/>
      <c r="R44" s="565"/>
      <c r="S44" s="565"/>
      <c r="T44" s="565"/>
    </row>
    <row r="45" spans="1:20" s="492" customFormat="1" ht="14.9" hidden="1" customHeight="1" x14ac:dyDescent="0.35">
      <c r="A45" s="486" t="s">
        <v>220</v>
      </c>
      <c r="B45" s="486"/>
      <c r="C45" s="487">
        <v>0</v>
      </c>
      <c r="D45" s="488">
        <v>0</v>
      </c>
      <c r="E45" s="488">
        <f t="array" ref="E45">SUM(IF('6. Class A Consumption Data'!H65:I65="B",'6. Class A Consumption Data'!H63:I63))</f>
        <v>0</v>
      </c>
      <c r="F45" s="488">
        <f t="array" ref="F45">SUM(IF('6. Class A Consumption Data'!J65:K65="B",'6. Class A Consumption Data'!J63:K63))</f>
        <v>0</v>
      </c>
      <c r="G45" s="488">
        <f t="array" ref="G45">SUM(IF('6. Class A Consumption Data'!L65:M65="B",'6. Class A Consumption Data'!L63:M63))</f>
        <v>0</v>
      </c>
      <c r="H45" s="488">
        <f t="array" ref="H45">SUM(IF('6. Class A Consumption Data'!N65:O65="B",'6. Class A Consumption Data'!N63:O63))</f>
        <v>0</v>
      </c>
      <c r="I45" s="490">
        <f t="shared" si="0"/>
        <v>0</v>
      </c>
      <c r="J45" s="491">
        <f t="shared" si="1"/>
        <v>0</v>
      </c>
      <c r="K45" s="491">
        <f t="shared" si="2"/>
        <v>0</v>
      </c>
      <c r="L45" s="564">
        <v>0</v>
      </c>
      <c r="M45" s="565"/>
      <c r="N45" s="565"/>
      <c r="O45" s="565"/>
      <c r="P45" s="565"/>
      <c r="Q45" s="565"/>
      <c r="R45" s="565"/>
      <c r="S45" s="565"/>
      <c r="T45" s="565"/>
    </row>
    <row r="46" spans="1:20" s="492" customFormat="1" ht="14.5" hidden="1" x14ac:dyDescent="0.35">
      <c r="A46" s="486" t="s">
        <v>221</v>
      </c>
      <c r="B46" s="486"/>
      <c r="C46" s="487">
        <v>0</v>
      </c>
      <c r="D46" s="488">
        <v>0</v>
      </c>
      <c r="E46" s="488">
        <f t="array" ref="E46">SUM(IF('6. Class A Consumption Data'!H68:I68="B",'6. Class A Consumption Data'!H66:I66))</f>
        <v>0</v>
      </c>
      <c r="F46" s="488">
        <f t="array" ref="F46">SUM(IF('6. Class A Consumption Data'!J68:K68="B",'6. Class A Consumption Data'!J66:K66))</f>
        <v>0</v>
      </c>
      <c r="G46" s="488">
        <f t="array" ref="G46">SUM(IF('6. Class A Consumption Data'!L68:M68="B",'6. Class A Consumption Data'!L66:M66))</f>
        <v>0</v>
      </c>
      <c r="H46" s="488">
        <f t="array" ref="H46">SUM(IF('6. Class A Consumption Data'!N68:O68="B",'6. Class A Consumption Data'!N66:O66))</f>
        <v>0</v>
      </c>
      <c r="I46" s="490">
        <f t="shared" si="0"/>
        <v>0</v>
      </c>
      <c r="J46" s="491">
        <f t="shared" si="1"/>
        <v>0</v>
      </c>
      <c r="K46" s="491">
        <f t="shared" si="2"/>
        <v>0</v>
      </c>
      <c r="L46" s="564">
        <v>0</v>
      </c>
      <c r="M46" s="565"/>
      <c r="N46" s="565"/>
      <c r="O46" s="565"/>
      <c r="P46" s="565"/>
      <c r="Q46" s="565"/>
      <c r="R46" s="565"/>
      <c r="S46" s="565"/>
      <c r="T46" s="565"/>
    </row>
    <row r="47" spans="1:20" s="492" customFormat="1" ht="14.5" hidden="1" x14ac:dyDescent="0.35">
      <c r="A47" s="486" t="s">
        <v>222</v>
      </c>
      <c r="B47" s="486"/>
      <c r="C47" s="487">
        <v>0</v>
      </c>
      <c r="D47" s="488">
        <v>0</v>
      </c>
      <c r="E47" s="488">
        <f t="array" ref="E47">SUM(IF('6. Class A Consumption Data'!H71:I71="B",'6. Class A Consumption Data'!H69:I69))</f>
        <v>0</v>
      </c>
      <c r="F47" s="488">
        <f t="array" ref="F47">SUM(IF('6. Class A Consumption Data'!J71:K71="B",'6. Class A Consumption Data'!J69:K69))</f>
        <v>0</v>
      </c>
      <c r="G47" s="488">
        <f t="array" ref="G47">SUM(IF('6. Class A Consumption Data'!L71:M71="B",'6. Class A Consumption Data'!L69:M69))</f>
        <v>0</v>
      </c>
      <c r="H47" s="488">
        <f t="array" ref="H47">SUM(IF('6. Class A Consumption Data'!N71:O71="B",'6. Class A Consumption Data'!N69:O69))</f>
        <v>0</v>
      </c>
      <c r="I47" s="490">
        <f t="shared" si="0"/>
        <v>0</v>
      </c>
      <c r="J47" s="491">
        <f t="shared" si="1"/>
        <v>0</v>
      </c>
      <c r="K47" s="491">
        <f t="shared" si="2"/>
        <v>0</v>
      </c>
      <c r="L47" s="564">
        <v>0</v>
      </c>
      <c r="M47" s="565"/>
      <c r="N47" s="565"/>
      <c r="O47" s="565"/>
      <c r="P47" s="565"/>
      <c r="Q47" s="565"/>
      <c r="R47" s="565"/>
      <c r="S47" s="565"/>
      <c r="T47" s="565"/>
    </row>
    <row r="48" spans="1:20" s="463" customFormat="1" ht="14.5" hidden="1" x14ac:dyDescent="0.35">
      <c r="A48" s="486" t="s">
        <v>223</v>
      </c>
      <c r="B48" s="486"/>
      <c r="C48" s="487">
        <v>0</v>
      </c>
      <c r="D48" s="488">
        <v>0</v>
      </c>
      <c r="E48" s="488">
        <f t="array" ref="E48">SUM(IF('6. Class A Consumption Data'!H74:I74="B",'6. Class A Consumption Data'!H72:I72))</f>
        <v>0</v>
      </c>
      <c r="F48" s="488">
        <f t="array" ref="F48">SUM(IF('6. Class A Consumption Data'!J74:K74="B",'6. Class A Consumption Data'!J72:K72))</f>
        <v>0</v>
      </c>
      <c r="G48" s="488">
        <f t="array" ref="G48">SUM(IF('6. Class A Consumption Data'!L74:M74="B",'6. Class A Consumption Data'!L72:M72))</f>
        <v>0</v>
      </c>
      <c r="H48" s="488">
        <f t="array" ref="H48">SUM(IF('6. Class A Consumption Data'!N74:O74="B",'6. Class A Consumption Data'!N72:O72))</f>
        <v>0</v>
      </c>
      <c r="I48" s="490">
        <f t="shared" si="0"/>
        <v>0</v>
      </c>
      <c r="J48" s="491">
        <f t="shared" si="1"/>
        <v>0</v>
      </c>
      <c r="K48" s="491">
        <f t="shared" si="2"/>
        <v>0</v>
      </c>
      <c r="L48" s="564">
        <v>0</v>
      </c>
      <c r="M48" s="566"/>
      <c r="N48" s="566"/>
      <c r="O48" s="566"/>
      <c r="P48" s="566"/>
      <c r="Q48" s="566"/>
      <c r="R48" s="566"/>
      <c r="S48" s="566"/>
      <c r="T48" s="566"/>
    </row>
    <row r="49" spans="1:20" ht="14.5" hidden="1" x14ac:dyDescent="0.35">
      <c r="A49" s="486" t="s">
        <v>224</v>
      </c>
      <c r="B49" s="486"/>
      <c r="C49" s="487">
        <v>0</v>
      </c>
      <c r="D49" s="488">
        <v>0</v>
      </c>
      <c r="E49" s="488">
        <f t="array" ref="E49">SUM(IF('6. Class A Consumption Data'!H77:I77="B",'6. Class A Consumption Data'!H75:I75))</f>
        <v>0</v>
      </c>
      <c r="F49" s="488">
        <f t="array" ref="F49">SUM(IF('6. Class A Consumption Data'!J77:K77="B",'6. Class A Consumption Data'!J75:K75))</f>
        <v>0</v>
      </c>
      <c r="G49" s="488">
        <f t="array" ref="G49">SUM(IF('6. Class A Consumption Data'!L77:M77="B",'6. Class A Consumption Data'!L75:M75))</f>
        <v>0</v>
      </c>
      <c r="H49" s="488">
        <f t="array" ref="H49">SUM(IF('6. Class A Consumption Data'!N77:O77="B",'6. Class A Consumption Data'!N75:O75))</f>
        <v>0</v>
      </c>
      <c r="I49" s="490">
        <f t="shared" si="0"/>
        <v>0</v>
      </c>
      <c r="J49" s="491">
        <f t="shared" si="1"/>
        <v>0</v>
      </c>
      <c r="K49" s="491">
        <f t="shared" si="2"/>
        <v>0</v>
      </c>
      <c r="L49" s="564">
        <v>0</v>
      </c>
      <c r="M49" s="563"/>
      <c r="N49" s="563"/>
      <c r="O49" s="563"/>
      <c r="P49" s="563"/>
      <c r="Q49" s="563"/>
      <c r="R49" s="563"/>
      <c r="S49" s="563"/>
      <c r="T49" s="563"/>
    </row>
    <row r="50" spans="1:20" ht="14.5" hidden="1" x14ac:dyDescent="0.35">
      <c r="A50" s="486" t="s">
        <v>225</v>
      </c>
      <c r="B50" s="486"/>
      <c r="C50" s="487">
        <v>0</v>
      </c>
      <c r="D50" s="488">
        <v>0</v>
      </c>
      <c r="E50" s="488">
        <f t="array" ref="E50">SUM(IF('6. Class A Consumption Data'!H80:I80="B",'6. Class A Consumption Data'!H78:I78))</f>
        <v>0</v>
      </c>
      <c r="F50" s="488">
        <f t="array" ref="F50">SUM(IF('6. Class A Consumption Data'!J80:K80="B",'6. Class A Consumption Data'!J78:K78))</f>
        <v>0</v>
      </c>
      <c r="G50" s="488">
        <f t="array" ref="G50">SUM(IF('6. Class A Consumption Data'!L80:M80="B",'6. Class A Consumption Data'!L78:M78))</f>
        <v>0</v>
      </c>
      <c r="H50" s="488">
        <f t="array" ref="H50">SUM(IF('6. Class A Consumption Data'!N80:O80="B",'6. Class A Consumption Data'!N78:O78))</f>
        <v>0</v>
      </c>
      <c r="I50" s="490">
        <f t="shared" si="0"/>
        <v>0</v>
      </c>
      <c r="J50" s="491">
        <f t="shared" si="1"/>
        <v>0</v>
      </c>
      <c r="K50" s="491">
        <f t="shared" si="2"/>
        <v>0</v>
      </c>
      <c r="L50" s="564">
        <v>0</v>
      </c>
      <c r="M50" s="563"/>
      <c r="N50" s="563"/>
      <c r="O50" s="563"/>
      <c r="P50" s="563"/>
      <c r="Q50" s="563"/>
      <c r="R50" s="563"/>
      <c r="S50" s="563"/>
      <c r="T50" s="563"/>
    </row>
    <row r="51" spans="1:20" ht="14.5" hidden="1" x14ac:dyDescent="0.35">
      <c r="A51" s="486" t="s">
        <v>226</v>
      </c>
      <c r="B51" s="486"/>
      <c r="C51" s="487">
        <v>0</v>
      </c>
      <c r="D51" s="488">
        <v>0</v>
      </c>
      <c r="E51" s="488">
        <f t="array" ref="E51">SUM(IF('6. Class A Consumption Data'!H83:I83="B",'6. Class A Consumption Data'!H81:I81))</f>
        <v>0</v>
      </c>
      <c r="F51" s="488">
        <f t="array" ref="F51">SUM(IF('6. Class A Consumption Data'!J83:K83="B",'6. Class A Consumption Data'!J81:K81))</f>
        <v>0</v>
      </c>
      <c r="G51" s="488">
        <f t="array" ref="G51">SUM(IF('6. Class A Consumption Data'!L83:M83="B",'6. Class A Consumption Data'!L81:M81))</f>
        <v>0</v>
      </c>
      <c r="H51" s="488">
        <f t="array" ref="H51">SUM(IF('6. Class A Consumption Data'!N83:O83="B",'6. Class A Consumption Data'!N81:O81))</f>
        <v>0</v>
      </c>
      <c r="I51" s="490">
        <f t="shared" si="0"/>
        <v>0</v>
      </c>
      <c r="J51" s="491">
        <f t="shared" si="1"/>
        <v>0</v>
      </c>
      <c r="K51" s="491">
        <f t="shared" si="2"/>
        <v>0</v>
      </c>
      <c r="L51" s="564">
        <v>0</v>
      </c>
      <c r="M51" s="563"/>
      <c r="N51" s="563"/>
      <c r="O51" s="563"/>
      <c r="P51" s="563"/>
      <c r="Q51" s="563"/>
      <c r="R51" s="563"/>
      <c r="S51" s="563"/>
      <c r="T51" s="563"/>
    </row>
    <row r="52" spans="1:20" ht="14.5" hidden="1" x14ac:dyDescent="0.35">
      <c r="A52" s="486" t="s">
        <v>227</v>
      </c>
      <c r="B52" s="486"/>
      <c r="C52" s="487">
        <v>0</v>
      </c>
      <c r="D52" s="488">
        <v>0</v>
      </c>
      <c r="E52" s="488">
        <f t="array" ref="E52">SUM(IF('6. Class A Consumption Data'!H86:I86="B",'6. Class A Consumption Data'!H84:I84))</f>
        <v>0</v>
      </c>
      <c r="F52" s="488">
        <f t="array" ref="F52">SUM(IF('6. Class A Consumption Data'!J86:K86="B",'6. Class A Consumption Data'!J84:K84))</f>
        <v>0</v>
      </c>
      <c r="G52" s="488">
        <f t="array" ref="G52">SUM(IF('6. Class A Consumption Data'!L86:M86="B",'6. Class A Consumption Data'!L84:M84))</f>
        <v>0</v>
      </c>
      <c r="H52" s="488">
        <f t="array" ref="H52">SUM(IF('6. Class A Consumption Data'!N86:O86="B",'6. Class A Consumption Data'!N84:O84))</f>
        <v>0</v>
      </c>
      <c r="I52" s="490">
        <f t="shared" si="0"/>
        <v>0</v>
      </c>
      <c r="J52" s="491">
        <f t="shared" si="1"/>
        <v>0</v>
      </c>
      <c r="K52" s="491">
        <f t="shared" si="2"/>
        <v>0</v>
      </c>
      <c r="L52" s="564">
        <v>0</v>
      </c>
      <c r="M52" s="563"/>
      <c r="N52" s="563"/>
      <c r="O52" s="563"/>
      <c r="P52" s="563"/>
      <c r="Q52" s="563"/>
      <c r="R52" s="563"/>
      <c r="S52" s="563"/>
      <c r="T52" s="563"/>
    </row>
    <row r="53" spans="1:20" ht="14.5" hidden="1" x14ac:dyDescent="0.35">
      <c r="A53" s="486" t="s">
        <v>228</v>
      </c>
      <c r="B53" s="486"/>
      <c r="C53" s="487">
        <v>0</v>
      </c>
      <c r="D53" s="488">
        <v>0</v>
      </c>
      <c r="E53" s="488">
        <f t="array" ref="E53">SUM(IF('6. Class A Consumption Data'!H89:I89="B",'6. Class A Consumption Data'!H87:I87))</f>
        <v>0</v>
      </c>
      <c r="F53" s="488">
        <f t="array" ref="F53">SUM(IF('6. Class A Consumption Data'!J89:K89="B",'6. Class A Consumption Data'!J87:K87))</f>
        <v>0</v>
      </c>
      <c r="G53" s="488">
        <f t="array" ref="G53">SUM(IF('6. Class A Consumption Data'!L89:M89="B",'6. Class A Consumption Data'!L87:M87))</f>
        <v>0</v>
      </c>
      <c r="H53" s="488">
        <f t="array" ref="H53">SUM(IF('6. Class A Consumption Data'!N89:O89="B",'6. Class A Consumption Data'!N87:O87))</f>
        <v>0</v>
      </c>
      <c r="I53" s="490">
        <f t="shared" si="0"/>
        <v>0</v>
      </c>
      <c r="J53" s="491">
        <f t="shared" si="1"/>
        <v>0</v>
      </c>
      <c r="K53" s="491">
        <f t="shared" si="2"/>
        <v>0</v>
      </c>
      <c r="L53" s="564">
        <v>0</v>
      </c>
      <c r="M53" s="563"/>
      <c r="N53" s="563"/>
      <c r="O53" s="563"/>
      <c r="P53" s="563"/>
      <c r="Q53" s="563"/>
      <c r="R53" s="563"/>
      <c r="S53" s="563"/>
      <c r="T53" s="563"/>
    </row>
    <row r="54" spans="1:20" ht="14.5" hidden="1" x14ac:dyDescent="0.35">
      <c r="A54" s="486" t="s">
        <v>229</v>
      </c>
      <c r="B54" s="486"/>
      <c r="C54" s="487">
        <v>0</v>
      </c>
      <c r="D54" s="488">
        <v>0</v>
      </c>
      <c r="E54" s="488">
        <f t="array" ref="E54">SUM(IF('6. Class A Consumption Data'!H92:I92="B",'6. Class A Consumption Data'!H90:I90))</f>
        <v>0</v>
      </c>
      <c r="F54" s="488">
        <f t="array" ref="F54">SUM(IF('6. Class A Consumption Data'!J92:K92="B",'6. Class A Consumption Data'!J90:K90))</f>
        <v>0</v>
      </c>
      <c r="G54" s="488">
        <f t="array" ref="G54">SUM(IF('6. Class A Consumption Data'!L92:M92="B",'6. Class A Consumption Data'!L90:M90))</f>
        <v>0</v>
      </c>
      <c r="H54" s="488">
        <f t="array" ref="H54">SUM(IF('6. Class A Consumption Data'!N92:O92="B",'6. Class A Consumption Data'!N90:O90))</f>
        <v>0</v>
      </c>
      <c r="I54" s="490">
        <f t="shared" si="0"/>
        <v>0</v>
      </c>
      <c r="J54" s="491">
        <f t="shared" si="1"/>
        <v>0</v>
      </c>
      <c r="K54" s="491">
        <f t="shared" si="2"/>
        <v>0</v>
      </c>
      <c r="L54" s="564">
        <v>0</v>
      </c>
      <c r="M54" s="563"/>
      <c r="N54" s="563"/>
      <c r="O54" s="563"/>
      <c r="P54" s="563"/>
      <c r="Q54" s="563"/>
      <c r="R54" s="563"/>
      <c r="S54" s="563"/>
      <c r="T54" s="563"/>
    </row>
    <row r="55" spans="1:20" ht="14.5" hidden="1" x14ac:dyDescent="0.35">
      <c r="A55" s="486" t="s">
        <v>230</v>
      </c>
      <c r="B55" s="486"/>
      <c r="C55" s="487">
        <v>0</v>
      </c>
      <c r="D55" s="488">
        <v>0</v>
      </c>
      <c r="E55" s="488">
        <f t="array" ref="E55">SUM(IF('6. Class A Consumption Data'!H95:I95="B",'6. Class A Consumption Data'!H93:I93))</f>
        <v>0</v>
      </c>
      <c r="F55" s="488">
        <f t="array" ref="F55">SUM(IF('6. Class A Consumption Data'!J95:K95="B",'6. Class A Consumption Data'!J93:K93))</f>
        <v>0</v>
      </c>
      <c r="G55" s="488">
        <f t="array" ref="G55">SUM(IF('6. Class A Consumption Data'!L95:M95="B",'6. Class A Consumption Data'!L93:M93))</f>
        <v>0</v>
      </c>
      <c r="H55" s="488">
        <f t="array" ref="H55">SUM(IF('6. Class A Consumption Data'!N95:O95="B",'6. Class A Consumption Data'!N93:O93))</f>
        <v>0</v>
      </c>
      <c r="I55" s="490">
        <f t="shared" si="0"/>
        <v>0</v>
      </c>
      <c r="J55" s="491">
        <f t="shared" si="1"/>
        <v>0</v>
      </c>
      <c r="K55" s="491">
        <f t="shared" si="2"/>
        <v>0</v>
      </c>
      <c r="L55" s="564">
        <v>0</v>
      </c>
      <c r="M55" s="563"/>
      <c r="N55" s="563"/>
      <c r="O55" s="563"/>
      <c r="P55" s="563"/>
      <c r="Q55" s="563"/>
      <c r="R55" s="563"/>
      <c r="S55" s="563"/>
      <c r="T55" s="563"/>
    </row>
    <row r="56" spans="1:20" ht="14.5" hidden="1" x14ac:dyDescent="0.35">
      <c r="A56" s="486" t="s">
        <v>231</v>
      </c>
      <c r="B56" s="486"/>
      <c r="C56" s="487">
        <v>0</v>
      </c>
      <c r="D56" s="488">
        <v>0</v>
      </c>
      <c r="E56" s="488">
        <f t="array" ref="E56">SUM(IF('6. Class A Consumption Data'!H98:I98="B",'6. Class A Consumption Data'!H96:I96))</f>
        <v>0</v>
      </c>
      <c r="F56" s="488">
        <f t="array" ref="F56">SUM(IF('6. Class A Consumption Data'!J98:K98="B",'6. Class A Consumption Data'!J96:K96))</f>
        <v>0</v>
      </c>
      <c r="G56" s="488">
        <f t="array" ref="G56">SUM(IF('6. Class A Consumption Data'!L98:M98="B",'6. Class A Consumption Data'!L96:M96))</f>
        <v>0</v>
      </c>
      <c r="H56" s="488">
        <f t="array" ref="H56">SUM(IF('6. Class A Consumption Data'!N98:O98="B",'6. Class A Consumption Data'!N96:O96))</f>
        <v>0</v>
      </c>
      <c r="I56" s="490">
        <f t="shared" si="0"/>
        <v>0</v>
      </c>
      <c r="J56" s="491">
        <f t="shared" si="1"/>
        <v>0</v>
      </c>
      <c r="K56" s="491">
        <f t="shared" si="2"/>
        <v>0</v>
      </c>
      <c r="L56" s="564">
        <v>0</v>
      </c>
      <c r="M56" s="563"/>
      <c r="N56" s="563"/>
      <c r="O56" s="563"/>
      <c r="P56" s="563"/>
      <c r="Q56" s="563"/>
      <c r="R56" s="563"/>
      <c r="S56" s="563"/>
      <c r="T56" s="563"/>
    </row>
    <row r="57" spans="1:20" ht="14.5" hidden="1" x14ac:dyDescent="0.35">
      <c r="A57" s="486" t="s">
        <v>232</v>
      </c>
      <c r="B57" s="486"/>
      <c r="C57" s="487">
        <v>0</v>
      </c>
      <c r="D57" s="488">
        <v>0</v>
      </c>
      <c r="E57" s="488">
        <f t="array" ref="E57">SUM(IF('6. Class A Consumption Data'!H101:I101="B",'6. Class A Consumption Data'!H99:I99))</f>
        <v>0</v>
      </c>
      <c r="F57" s="488">
        <f t="array" ref="F57">SUM(IF('6. Class A Consumption Data'!J101:K101="B",'6. Class A Consumption Data'!J99:K99))</f>
        <v>0</v>
      </c>
      <c r="G57" s="488">
        <f t="array" ref="G57">SUM(IF('6. Class A Consumption Data'!L101:M101="B",'6. Class A Consumption Data'!L99:M99))</f>
        <v>0</v>
      </c>
      <c r="H57" s="488">
        <f t="array" ref="H57">SUM(IF('6. Class A Consumption Data'!N101:O101="B",'6. Class A Consumption Data'!N99:O99))</f>
        <v>0</v>
      </c>
      <c r="I57" s="490">
        <f t="shared" si="0"/>
        <v>0</v>
      </c>
      <c r="J57" s="491">
        <f t="shared" si="1"/>
        <v>0</v>
      </c>
      <c r="K57" s="491">
        <f t="shared" si="2"/>
        <v>0</v>
      </c>
      <c r="L57" s="564">
        <v>0</v>
      </c>
      <c r="M57" s="563"/>
      <c r="N57" s="563"/>
      <c r="O57" s="563"/>
      <c r="P57" s="563"/>
      <c r="Q57" s="563"/>
      <c r="R57" s="563"/>
      <c r="S57" s="563"/>
      <c r="T57" s="563"/>
    </row>
    <row r="58" spans="1:20" ht="14.5" hidden="1" x14ac:dyDescent="0.35">
      <c r="A58" s="486" t="s">
        <v>233</v>
      </c>
      <c r="B58" s="486"/>
      <c r="C58" s="487">
        <v>0</v>
      </c>
      <c r="D58" s="488">
        <v>0</v>
      </c>
      <c r="E58" s="488">
        <f t="array" ref="E58">SUM(IF('6. Class A Consumption Data'!H104:I104="B",'6. Class A Consumption Data'!H102:I102))</f>
        <v>0</v>
      </c>
      <c r="F58" s="488">
        <f t="array" ref="F58">SUM(IF('6. Class A Consumption Data'!J104:K104="B",'6. Class A Consumption Data'!J102:K102))</f>
        <v>0</v>
      </c>
      <c r="G58" s="488">
        <f t="array" ref="G58">SUM(IF('6. Class A Consumption Data'!L104:M104="B",'6. Class A Consumption Data'!L102:M102))</f>
        <v>0</v>
      </c>
      <c r="H58" s="488">
        <f t="array" ref="H58">SUM(IF('6. Class A Consumption Data'!N104:O104="B",'6. Class A Consumption Data'!N102:O102))</f>
        <v>0</v>
      </c>
      <c r="I58" s="490">
        <f t="shared" si="0"/>
        <v>0</v>
      </c>
      <c r="J58" s="491">
        <f t="shared" si="1"/>
        <v>0</v>
      </c>
      <c r="K58" s="491">
        <f t="shared" si="2"/>
        <v>0</v>
      </c>
      <c r="L58" s="564">
        <v>0</v>
      </c>
      <c r="M58" s="563"/>
      <c r="N58" s="563"/>
      <c r="O58" s="563"/>
      <c r="P58" s="563"/>
      <c r="Q58" s="563"/>
      <c r="R58" s="563"/>
      <c r="S58" s="563"/>
      <c r="T58" s="563"/>
    </row>
    <row r="59" spans="1:20" ht="14.5" hidden="1" x14ac:dyDescent="0.35">
      <c r="A59" s="486" t="s">
        <v>234</v>
      </c>
      <c r="B59" s="486"/>
      <c r="C59" s="487">
        <v>0</v>
      </c>
      <c r="D59" s="488">
        <v>0</v>
      </c>
      <c r="E59" s="488">
        <f t="array" ref="E59">SUM(IF('6. Class A Consumption Data'!H107:I107="B",'6. Class A Consumption Data'!H105:I105))</f>
        <v>0</v>
      </c>
      <c r="F59" s="488">
        <f t="array" ref="F59">SUM(IF('6. Class A Consumption Data'!J107:K107="B",'6. Class A Consumption Data'!J105:K105))</f>
        <v>0</v>
      </c>
      <c r="G59" s="488">
        <f t="array" ref="G59">SUM(IF('6. Class A Consumption Data'!L107:M107="B",'6. Class A Consumption Data'!L105:M105))</f>
        <v>0</v>
      </c>
      <c r="H59" s="488">
        <f t="array" ref="H59">SUM(IF('6. Class A Consumption Data'!N107:O107="B",'6. Class A Consumption Data'!N105:O105))</f>
        <v>0</v>
      </c>
      <c r="I59" s="490">
        <f t="shared" si="0"/>
        <v>0</v>
      </c>
      <c r="J59" s="491">
        <f t="shared" si="1"/>
        <v>0</v>
      </c>
      <c r="K59" s="491">
        <f t="shared" si="2"/>
        <v>0</v>
      </c>
      <c r="L59" s="564">
        <v>0</v>
      </c>
      <c r="M59" s="563"/>
      <c r="N59" s="563"/>
      <c r="O59" s="563"/>
      <c r="P59" s="563"/>
      <c r="Q59" s="563"/>
      <c r="R59" s="563"/>
      <c r="S59" s="563"/>
      <c r="T59" s="563"/>
    </row>
    <row r="60" spans="1:20" ht="14.5" hidden="1" x14ac:dyDescent="0.35">
      <c r="A60" s="486" t="s">
        <v>235</v>
      </c>
      <c r="B60" s="486"/>
      <c r="C60" s="487">
        <v>0</v>
      </c>
      <c r="D60" s="488">
        <v>0</v>
      </c>
      <c r="E60" s="488">
        <f t="array" ref="E60">SUM(IF('6. Class A Consumption Data'!H110:I110="B",'6. Class A Consumption Data'!H108:I108))</f>
        <v>0</v>
      </c>
      <c r="F60" s="488">
        <f t="array" ref="F60">SUM(IF('6. Class A Consumption Data'!J110:K110="B",'6. Class A Consumption Data'!J108:K108))</f>
        <v>0</v>
      </c>
      <c r="G60" s="488">
        <f t="array" ref="G60">SUM(IF('6. Class A Consumption Data'!L110:M110="B",'6. Class A Consumption Data'!L108:M108))</f>
        <v>0</v>
      </c>
      <c r="H60" s="488">
        <f t="array" ref="H60">SUM(IF('6. Class A Consumption Data'!N110:O110="B",'6. Class A Consumption Data'!N108:O108))</f>
        <v>0</v>
      </c>
      <c r="I60" s="490">
        <f t="shared" si="0"/>
        <v>0</v>
      </c>
      <c r="J60" s="491">
        <f t="shared" si="1"/>
        <v>0</v>
      </c>
      <c r="K60" s="491">
        <f t="shared" si="2"/>
        <v>0</v>
      </c>
      <c r="L60" s="564">
        <v>0</v>
      </c>
      <c r="M60" s="563"/>
      <c r="N60" s="563"/>
      <c r="O60" s="563"/>
      <c r="P60" s="563"/>
      <c r="Q60" s="563"/>
      <c r="R60" s="563"/>
      <c r="S60" s="563"/>
      <c r="T60" s="563"/>
    </row>
    <row r="61" spans="1:20" ht="14.5" hidden="1" x14ac:dyDescent="0.35">
      <c r="A61" s="486" t="s">
        <v>236</v>
      </c>
      <c r="B61" s="486"/>
      <c r="C61" s="487">
        <v>0</v>
      </c>
      <c r="D61" s="488">
        <v>0</v>
      </c>
      <c r="E61" s="488">
        <f t="array" ref="E61">SUM(IF('6. Class A Consumption Data'!H113:I113="B",'6. Class A Consumption Data'!H111:I111))</f>
        <v>0</v>
      </c>
      <c r="F61" s="488">
        <f t="array" ref="F61">SUM(IF('6. Class A Consumption Data'!J113:K113="B",'6. Class A Consumption Data'!J111:K111))</f>
        <v>0</v>
      </c>
      <c r="G61" s="488">
        <f t="array" ref="G61">SUM(IF('6. Class A Consumption Data'!L113:M113="B",'6. Class A Consumption Data'!L111:M111))</f>
        <v>0</v>
      </c>
      <c r="H61" s="488">
        <f t="array" ref="H61">SUM(IF('6. Class A Consumption Data'!N113:O113="B",'6. Class A Consumption Data'!N111:O111))</f>
        <v>0</v>
      </c>
      <c r="I61" s="490">
        <f t="shared" si="0"/>
        <v>0</v>
      </c>
      <c r="J61" s="491">
        <f t="shared" si="1"/>
        <v>0</v>
      </c>
      <c r="K61" s="491">
        <f t="shared" si="2"/>
        <v>0</v>
      </c>
      <c r="L61" s="564">
        <v>0</v>
      </c>
      <c r="M61" s="563"/>
      <c r="N61" s="563"/>
      <c r="O61" s="563"/>
      <c r="P61" s="563"/>
      <c r="Q61" s="563"/>
      <c r="R61" s="563"/>
      <c r="S61" s="563"/>
      <c r="T61" s="563"/>
    </row>
    <row r="62" spans="1:20" ht="14.5" hidden="1" x14ac:dyDescent="0.35">
      <c r="A62" s="486" t="s">
        <v>237</v>
      </c>
      <c r="B62" s="486"/>
      <c r="C62" s="487">
        <v>0</v>
      </c>
      <c r="D62" s="488">
        <v>0</v>
      </c>
      <c r="E62" s="488">
        <f t="array" ref="E62">SUM(IF('6. Class A Consumption Data'!H116:I116="B",'6. Class A Consumption Data'!H114:I114))</f>
        <v>0</v>
      </c>
      <c r="F62" s="488">
        <f t="array" ref="F62">SUM(IF('6. Class A Consumption Data'!J116:K116="B",'6. Class A Consumption Data'!J114:K114))</f>
        <v>0</v>
      </c>
      <c r="G62" s="488">
        <f t="array" ref="G62">SUM(IF('6. Class A Consumption Data'!L116:M116="B",'6. Class A Consumption Data'!L114:M114))</f>
        <v>0</v>
      </c>
      <c r="H62" s="488">
        <f t="array" ref="H62">SUM(IF('6. Class A Consumption Data'!N116:O116="B",'6. Class A Consumption Data'!N114:O114))</f>
        <v>0</v>
      </c>
      <c r="I62" s="490">
        <f t="shared" si="0"/>
        <v>0</v>
      </c>
      <c r="J62" s="491">
        <f t="shared" si="1"/>
        <v>0</v>
      </c>
      <c r="K62" s="491">
        <f t="shared" si="2"/>
        <v>0</v>
      </c>
      <c r="L62" s="564">
        <v>0</v>
      </c>
      <c r="M62" s="563"/>
      <c r="N62" s="563"/>
      <c r="O62" s="563"/>
      <c r="P62" s="563"/>
      <c r="Q62" s="563"/>
      <c r="R62" s="563"/>
      <c r="S62" s="563"/>
      <c r="T62" s="563"/>
    </row>
    <row r="63" spans="1:20" ht="14.5" hidden="1" x14ac:dyDescent="0.35">
      <c r="A63" s="486" t="s">
        <v>238</v>
      </c>
      <c r="B63" s="486"/>
      <c r="C63" s="487">
        <v>0</v>
      </c>
      <c r="D63" s="488">
        <v>0</v>
      </c>
      <c r="E63" s="488">
        <f t="array" ref="E63">SUM(IF('6. Class A Consumption Data'!H119:I119="B",'6. Class A Consumption Data'!H117:I117))</f>
        <v>0</v>
      </c>
      <c r="F63" s="488">
        <f t="array" ref="F63">SUM(IF('6. Class A Consumption Data'!J119:K119="B",'6. Class A Consumption Data'!J117:K117))</f>
        <v>0</v>
      </c>
      <c r="G63" s="488">
        <f t="array" ref="G63">SUM(IF('6. Class A Consumption Data'!L119:M119="B",'6. Class A Consumption Data'!L117:M117))</f>
        <v>0</v>
      </c>
      <c r="H63" s="488">
        <f t="array" ref="H63">SUM(IF('6. Class A Consumption Data'!N119:O119="B",'6. Class A Consumption Data'!N117:O117))</f>
        <v>0</v>
      </c>
      <c r="I63" s="490">
        <f t="shared" si="0"/>
        <v>0</v>
      </c>
      <c r="J63" s="491">
        <f t="shared" si="1"/>
        <v>0</v>
      </c>
      <c r="K63" s="491">
        <f t="shared" si="2"/>
        <v>0</v>
      </c>
      <c r="L63" s="564">
        <v>0</v>
      </c>
      <c r="M63" s="563"/>
      <c r="N63" s="563"/>
      <c r="O63" s="563"/>
      <c r="P63" s="563"/>
      <c r="Q63" s="563"/>
      <c r="R63" s="563"/>
      <c r="S63" s="563"/>
      <c r="T63" s="563"/>
    </row>
    <row r="64" spans="1:20" ht="14.5" hidden="1" x14ac:dyDescent="0.35">
      <c r="A64" s="486" t="s">
        <v>239</v>
      </c>
      <c r="B64" s="486"/>
      <c r="C64" s="487">
        <v>0</v>
      </c>
      <c r="D64" s="488">
        <v>0</v>
      </c>
      <c r="E64" s="488">
        <f t="array" ref="E64">SUM(IF('6. Class A Consumption Data'!H122:I122="B",'6. Class A Consumption Data'!H120:I120))</f>
        <v>0</v>
      </c>
      <c r="F64" s="488">
        <f t="array" ref="F64">SUM(IF('6. Class A Consumption Data'!J122:K122="B",'6. Class A Consumption Data'!J120:K120))</f>
        <v>0</v>
      </c>
      <c r="G64" s="488">
        <f t="array" ref="G64">SUM(IF('6. Class A Consumption Data'!L122:M122="B",'6. Class A Consumption Data'!L120:M120))</f>
        <v>0</v>
      </c>
      <c r="H64" s="488">
        <f t="array" ref="H64">SUM(IF('6. Class A Consumption Data'!N122:O122="B",'6. Class A Consumption Data'!N120:O120))</f>
        <v>0</v>
      </c>
      <c r="I64" s="490">
        <f t="shared" si="0"/>
        <v>0</v>
      </c>
      <c r="J64" s="491">
        <f t="shared" si="1"/>
        <v>0</v>
      </c>
      <c r="K64" s="491">
        <f t="shared" si="2"/>
        <v>0</v>
      </c>
      <c r="L64" s="564">
        <v>0</v>
      </c>
      <c r="M64" s="563"/>
      <c r="N64" s="563"/>
      <c r="O64" s="563"/>
      <c r="P64" s="563"/>
      <c r="Q64" s="563"/>
      <c r="R64" s="563"/>
      <c r="S64" s="563"/>
      <c r="T64" s="563"/>
    </row>
    <row r="65" spans="1:20" ht="14.5" hidden="1" x14ac:dyDescent="0.35">
      <c r="A65" s="486" t="s">
        <v>240</v>
      </c>
      <c r="B65" s="486"/>
      <c r="C65" s="487">
        <v>0</v>
      </c>
      <c r="D65" s="488">
        <v>0</v>
      </c>
      <c r="E65" s="488">
        <f t="array" ref="E65">SUM(IF('6. Class A Consumption Data'!H125:I125="B",'6. Class A Consumption Data'!H123:I123))</f>
        <v>0</v>
      </c>
      <c r="F65" s="488">
        <f t="array" ref="F65">SUM(IF('6. Class A Consumption Data'!J125:K125="B",'6. Class A Consumption Data'!J123:K123))</f>
        <v>0</v>
      </c>
      <c r="G65" s="488">
        <f t="array" ref="G65">SUM(IF('6. Class A Consumption Data'!L125:M125="B",'6. Class A Consumption Data'!L123:M123))</f>
        <v>0</v>
      </c>
      <c r="H65" s="488">
        <f t="array" ref="H65">SUM(IF('6. Class A Consumption Data'!N125:O125="B",'6. Class A Consumption Data'!N123:O123))</f>
        <v>0</v>
      </c>
      <c r="I65" s="490">
        <f t="shared" si="0"/>
        <v>0</v>
      </c>
      <c r="J65" s="491">
        <f t="shared" si="1"/>
        <v>0</v>
      </c>
      <c r="K65" s="491">
        <f t="shared" si="2"/>
        <v>0</v>
      </c>
      <c r="L65" s="564">
        <v>0</v>
      </c>
      <c r="M65" s="563"/>
      <c r="N65" s="563"/>
      <c r="O65" s="563"/>
      <c r="P65" s="563"/>
      <c r="Q65" s="563"/>
      <c r="R65" s="563"/>
      <c r="S65" s="563"/>
      <c r="T65" s="563"/>
    </row>
    <row r="66" spans="1:20" ht="14.5" hidden="1" x14ac:dyDescent="0.35">
      <c r="A66" s="486" t="s">
        <v>241</v>
      </c>
      <c r="B66" s="486"/>
      <c r="C66" s="487">
        <v>0</v>
      </c>
      <c r="D66" s="488">
        <v>0</v>
      </c>
      <c r="E66" s="488">
        <f t="array" ref="E66">SUM(IF('6. Class A Consumption Data'!H128:I128="B",'6. Class A Consumption Data'!H126:I126))</f>
        <v>0</v>
      </c>
      <c r="F66" s="488">
        <f t="array" ref="F66">SUM(IF('6. Class A Consumption Data'!J128:K128="B",'6. Class A Consumption Data'!J126:K126))</f>
        <v>0</v>
      </c>
      <c r="G66" s="488">
        <f t="array" ref="G66">SUM(IF('6. Class A Consumption Data'!L128:M128="B",'6. Class A Consumption Data'!L126:M126))</f>
        <v>0</v>
      </c>
      <c r="H66" s="488">
        <f t="array" ref="H66">SUM(IF('6. Class A Consumption Data'!N128:O128="B",'6. Class A Consumption Data'!N126:O126))</f>
        <v>0</v>
      </c>
      <c r="I66" s="490">
        <f t="shared" si="0"/>
        <v>0</v>
      </c>
      <c r="J66" s="491">
        <f t="shared" si="1"/>
        <v>0</v>
      </c>
      <c r="K66" s="491">
        <f t="shared" si="2"/>
        <v>0</v>
      </c>
      <c r="L66" s="564">
        <v>0</v>
      </c>
      <c r="M66" s="563"/>
      <c r="N66" s="563"/>
      <c r="O66" s="563"/>
      <c r="P66" s="563"/>
      <c r="Q66" s="563"/>
      <c r="R66" s="563"/>
      <c r="S66" s="563"/>
      <c r="T66" s="563"/>
    </row>
    <row r="67" spans="1:20" ht="14.5" hidden="1" x14ac:dyDescent="0.35">
      <c r="A67" s="486" t="s">
        <v>242</v>
      </c>
      <c r="B67" s="486"/>
      <c r="C67" s="487">
        <v>0</v>
      </c>
      <c r="D67" s="488">
        <v>0</v>
      </c>
      <c r="E67" s="488">
        <f t="array" ref="E67">SUM(IF('6. Class A Consumption Data'!H131:I131="B",'6. Class A Consumption Data'!H129:I129))</f>
        <v>0</v>
      </c>
      <c r="F67" s="488">
        <f t="array" ref="F67">SUM(IF('6. Class A Consumption Data'!J131:K131="B",'6. Class A Consumption Data'!J129:K129))</f>
        <v>0</v>
      </c>
      <c r="G67" s="488">
        <f t="array" ref="G67">SUM(IF('6. Class A Consumption Data'!L131:M131="B",'6. Class A Consumption Data'!L129:M129))</f>
        <v>0</v>
      </c>
      <c r="H67" s="488">
        <f t="array" ref="H67">SUM(IF('6. Class A Consumption Data'!N131:O131="B",'6. Class A Consumption Data'!N129:O129))</f>
        <v>0</v>
      </c>
      <c r="I67" s="490">
        <f t="shared" si="0"/>
        <v>0</v>
      </c>
      <c r="J67" s="491">
        <f t="shared" si="1"/>
        <v>0</v>
      </c>
      <c r="K67" s="491">
        <f t="shared" si="2"/>
        <v>0</v>
      </c>
      <c r="L67" s="564">
        <v>0</v>
      </c>
      <c r="M67" s="563"/>
      <c r="N67" s="563"/>
      <c r="O67" s="563"/>
      <c r="P67" s="563"/>
      <c r="Q67" s="563"/>
      <c r="R67" s="563"/>
      <c r="S67" s="563"/>
      <c r="T67" s="563"/>
    </row>
    <row r="68" spans="1:20" ht="14.5" hidden="1" x14ac:dyDescent="0.35">
      <c r="A68" s="486" t="s">
        <v>243</v>
      </c>
      <c r="B68" s="486"/>
      <c r="C68" s="487">
        <v>0</v>
      </c>
      <c r="D68" s="488">
        <v>0</v>
      </c>
      <c r="E68" s="488">
        <f t="array" ref="E68">SUM(IF('6. Class A Consumption Data'!H134:I134="B",'6. Class A Consumption Data'!H132:I132))</f>
        <v>0</v>
      </c>
      <c r="F68" s="488">
        <f t="array" ref="F68">SUM(IF('6. Class A Consumption Data'!J134:K134="B",'6. Class A Consumption Data'!J132:K132))</f>
        <v>0</v>
      </c>
      <c r="G68" s="488">
        <f t="array" ref="G68">SUM(IF('6. Class A Consumption Data'!L134:M134="B",'6. Class A Consumption Data'!L132:M132))</f>
        <v>0</v>
      </c>
      <c r="H68" s="488">
        <f t="array" ref="H68">SUM(IF('6. Class A Consumption Data'!N134:O134="B",'6. Class A Consumption Data'!N132:O132))</f>
        <v>0</v>
      </c>
      <c r="I68" s="490">
        <f t="shared" si="0"/>
        <v>0</v>
      </c>
      <c r="J68" s="491">
        <f t="shared" si="1"/>
        <v>0</v>
      </c>
      <c r="K68" s="491">
        <f t="shared" si="2"/>
        <v>0</v>
      </c>
      <c r="L68" s="564">
        <v>0</v>
      </c>
      <c r="M68" s="563"/>
      <c r="N68" s="563"/>
      <c r="O68" s="563"/>
      <c r="P68" s="563"/>
      <c r="Q68" s="563"/>
      <c r="R68" s="563"/>
      <c r="S68" s="563"/>
      <c r="T68" s="563"/>
    </row>
    <row r="69" spans="1:20" ht="14.5" hidden="1" x14ac:dyDescent="0.35">
      <c r="A69" s="486" t="s">
        <v>244</v>
      </c>
      <c r="B69" s="486"/>
      <c r="C69" s="487">
        <v>0</v>
      </c>
      <c r="D69" s="488">
        <v>0</v>
      </c>
      <c r="E69" s="488">
        <f t="array" ref="E69">SUM(IF('6. Class A Consumption Data'!H137:I137="B",'6. Class A Consumption Data'!H135:I135))</f>
        <v>0</v>
      </c>
      <c r="F69" s="488">
        <f t="array" ref="F69">SUM(IF('6. Class A Consumption Data'!J137:K137="B",'6. Class A Consumption Data'!J135:K135))</f>
        <v>0</v>
      </c>
      <c r="G69" s="488">
        <f t="array" ref="G69">SUM(IF('6. Class A Consumption Data'!L137:M137="B",'6. Class A Consumption Data'!L135:M135))</f>
        <v>0</v>
      </c>
      <c r="H69" s="488">
        <f t="array" ref="H69">SUM(IF('6. Class A Consumption Data'!N137:O137="B",'6. Class A Consumption Data'!N135:O135))</f>
        <v>0</v>
      </c>
      <c r="I69" s="490">
        <f t="shared" si="0"/>
        <v>0</v>
      </c>
      <c r="J69" s="491">
        <f t="shared" si="1"/>
        <v>0</v>
      </c>
      <c r="K69" s="491">
        <f t="shared" si="2"/>
        <v>0</v>
      </c>
      <c r="L69" s="564">
        <v>0</v>
      </c>
      <c r="M69" s="563"/>
      <c r="N69" s="563"/>
      <c r="O69" s="563"/>
      <c r="P69" s="563"/>
      <c r="Q69" s="563"/>
      <c r="R69" s="563"/>
      <c r="S69" s="563"/>
      <c r="T69" s="563"/>
    </row>
    <row r="70" spans="1:20" ht="14.5" hidden="1" x14ac:dyDescent="0.35">
      <c r="A70" s="486" t="s">
        <v>245</v>
      </c>
      <c r="B70" s="486"/>
      <c r="C70" s="487">
        <v>0</v>
      </c>
      <c r="D70" s="488">
        <v>0</v>
      </c>
      <c r="E70" s="488">
        <f t="array" ref="E70">SUM(IF('6. Class A Consumption Data'!H140:I140="B",'6. Class A Consumption Data'!H138:I138))</f>
        <v>0</v>
      </c>
      <c r="F70" s="488">
        <f t="array" ref="F70">SUM(IF('6. Class A Consumption Data'!J140:K140="B",'6. Class A Consumption Data'!J138:K138))</f>
        <v>0</v>
      </c>
      <c r="G70" s="488">
        <f t="array" ref="G70">SUM(IF('6. Class A Consumption Data'!L140:M140="B",'6. Class A Consumption Data'!L138:M138))</f>
        <v>0</v>
      </c>
      <c r="H70" s="488">
        <f t="array" ref="H70">SUM(IF('6. Class A Consumption Data'!N140:O140="B",'6. Class A Consumption Data'!N138:O138))</f>
        <v>0</v>
      </c>
      <c r="I70" s="490">
        <f t="shared" si="0"/>
        <v>0</v>
      </c>
      <c r="J70" s="491">
        <f t="shared" si="1"/>
        <v>0</v>
      </c>
      <c r="K70" s="491">
        <f t="shared" si="2"/>
        <v>0</v>
      </c>
      <c r="L70" s="564">
        <v>0</v>
      </c>
      <c r="M70" s="563"/>
      <c r="N70" s="563"/>
      <c r="O70" s="563"/>
      <c r="P70" s="563"/>
      <c r="Q70" s="563"/>
      <c r="R70" s="563"/>
      <c r="S70" s="563"/>
      <c r="T70" s="563"/>
    </row>
    <row r="71" spans="1:20" ht="14.5" hidden="1" x14ac:dyDescent="0.35">
      <c r="A71" s="486" t="s">
        <v>246</v>
      </c>
      <c r="B71" s="486"/>
      <c r="C71" s="487">
        <v>0</v>
      </c>
      <c r="D71" s="488">
        <v>0</v>
      </c>
      <c r="E71" s="488">
        <f t="array" ref="E71">SUM(IF('6. Class A Consumption Data'!H143:I143="B",'6. Class A Consumption Data'!H141:I141))</f>
        <v>0</v>
      </c>
      <c r="F71" s="488">
        <f t="array" ref="F71">SUM(IF('6. Class A Consumption Data'!J143:K143="B",'6. Class A Consumption Data'!J141:K141))</f>
        <v>0</v>
      </c>
      <c r="G71" s="488">
        <f t="array" ref="G71">SUM(IF('6. Class A Consumption Data'!L143:M143="B",'6. Class A Consumption Data'!L141:M141))</f>
        <v>0</v>
      </c>
      <c r="H71" s="488">
        <f t="array" ref="H71">SUM(IF('6. Class A Consumption Data'!N143:O143="B",'6. Class A Consumption Data'!N141:O141))</f>
        <v>0</v>
      </c>
      <c r="I71" s="490">
        <f t="shared" si="0"/>
        <v>0</v>
      </c>
      <c r="J71" s="491">
        <f t="shared" si="1"/>
        <v>0</v>
      </c>
      <c r="K71" s="491">
        <f t="shared" si="2"/>
        <v>0</v>
      </c>
      <c r="L71" s="564">
        <v>0</v>
      </c>
      <c r="M71" s="563"/>
      <c r="N71" s="563"/>
      <c r="O71" s="563"/>
      <c r="P71" s="563"/>
      <c r="Q71" s="563"/>
      <c r="R71" s="563"/>
      <c r="S71" s="563"/>
      <c r="T71" s="563"/>
    </row>
    <row r="72" spans="1:20" ht="14.5" hidden="1" x14ac:dyDescent="0.35">
      <c r="A72" s="486" t="s">
        <v>247</v>
      </c>
      <c r="B72" s="486"/>
      <c r="C72" s="487">
        <v>0</v>
      </c>
      <c r="D72" s="488">
        <v>0</v>
      </c>
      <c r="E72" s="488">
        <f t="array" ref="E72">SUM(IF('6. Class A Consumption Data'!H146:I146="B",'6. Class A Consumption Data'!H144:I144))</f>
        <v>0</v>
      </c>
      <c r="F72" s="488">
        <f t="array" ref="F72">SUM(IF('6. Class A Consumption Data'!J146:K146="B",'6. Class A Consumption Data'!J144:K144))</f>
        <v>0</v>
      </c>
      <c r="G72" s="488">
        <f t="array" ref="G72">SUM(IF('6. Class A Consumption Data'!L146:M146="B",'6. Class A Consumption Data'!L144:M144))</f>
        <v>0</v>
      </c>
      <c r="H72" s="488">
        <f t="array" ref="H72">SUM(IF('6. Class A Consumption Data'!N146:O146="B",'6. Class A Consumption Data'!N144:O144))</f>
        <v>0</v>
      </c>
      <c r="I72" s="490">
        <f t="shared" si="0"/>
        <v>0</v>
      </c>
      <c r="J72" s="491">
        <f t="shared" si="1"/>
        <v>0</v>
      </c>
      <c r="K72" s="491">
        <f t="shared" si="2"/>
        <v>0</v>
      </c>
      <c r="L72" s="564">
        <v>0</v>
      </c>
      <c r="M72" s="563"/>
      <c r="N72" s="563"/>
      <c r="O72" s="563"/>
      <c r="P72" s="563"/>
      <c r="Q72" s="563"/>
      <c r="R72" s="563"/>
      <c r="S72" s="563"/>
      <c r="T72" s="563"/>
    </row>
    <row r="73" spans="1:20" ht="14.5" hidden="1" x14ac:dyDescent="0.35">
      <c r="A73" s="486" t="s">
        <v>248</v>
      </c>
      <c r="B73" s="486"/>
      <c r="C73" s="487">
        <v>0</v>
      </c>
      <c r="D73" s="488">
        <v>0</v>
      </c>
      <c r="E73" s="488">
        <f t="array" ref="E73">SUM(IF('6. Class A Consumption Data'!H149:I149="B",'6. Class A Consumption Data'!H147:I147))</f>
        <v>0</v>
      </c>
      <c r="F73" s="488">
        <f t="array" ref="F73">SUM(IF('6. Class A Consumption Data'!J149:K149="B",'6. Class A Consumption Data'!J147:K147))</f>
        <v>0</v>
      </c>
      <c r="G73" s="488">
        <f t="array" ref="G73">SUM(IF('6. Class A Consumption Data'!L149:M149="B",'6. Class A Consumption Data'!L147:M147))</f>
        <v>0</v>
      </c>
      <c r="H73" s="488">
        <f t="array" ref="H73">SUM(IF('6. Class A Consumption Data'!N149:O149="B",'6. Class A Consumption Data'!N147:O147))</f>
        <v>0</v>
      </c>
      <c r="I73" s="490">
        <f t="shared" si="0"/>
        <v>0</v>
      </c>
      <c r="J73" s="491">
        <f t="shared" si="1"/>
        <v>0</v>
      </c>
      <c r="K73" s="491">
        <f t="shared" si="2"/>
        <v>0</v>
      </c>
      <c r="L73" s="564">
        <v>0</v>
      </c>
      <c r="M73" s="563"/>
      <c r="N73" s="563"/>
      <c r="O73" s="563"/>
      <c r="P73" s="563"/>
      <c r="Q73" s="563"/>
      <c r="R73" s="563"/>
      <c r="S73" s="563"/>
      <c r="T73" s="563"/>
    </row>
    <row r="74" spans="1:20" ht="14.5" hidden="1" x14ac:dyDescent="0.35">
      <c r="A74" s="486" t="s">
        <v>249</v>
      </c>
      <c r="B74" s="486"/>
      <c r="C74" s="487">
        <v>0</v>
      </c>
      <c r="D74" s="488">
        <v>0</v>
      </c>
      <c r="E74" s="488">
        <f t="array" ref="E74">SUM(IF('6. Class A Consumption Data'!H152:I152="B",'6. Class A Consumption Data'!H150:I150))</f>
        <v>0</v>
      </c>
      <c r="F74" s="488">
        <f t="array" ref="F74">SUM(IF('6. Class A Consumption Data'!J152:K152="B",'6. Class A Consumption Data'!J150:K150))</f>
        <v>0</v>
      </c>
      <c r="G74" s="488">
        <f t="array" ref="G74">SUM(IF('6. Class A Consumption Data'!L152:M152="B",'6. Class A Consumption Data'!L150:M150))</f>
        <v>0</v>
      </c>
      <c r="H74" s="488">
        <f t="array" ref="H74">SUM(IF('6. Class A Consumption Data'!N152:O152="B",'6. Class A Consumption Data'!N150:O150))</f>
        <v>0</v>
      </c>
      <c r="I74" s="490">
        <f t="shared" si="0"/>
        <v>0</v>
      </c>
      <c r="J74" s="491">
        <f t="shared" si="1"/>
        <v>0</v>
      </c>
      <c r="K74" s="491">
        <f t="shared" si="2"/>
        <v>0</v>
      </c>
      <c r="L74" s="564">
        <v>0</v>
      </c>
      <c r="M74" s="563"/>
      <c r="N74" s="563"/>
      <c r="O74" s="563"/>
      <c r="P74" s="563"/>
      <c r="Q74" s="563"/>
      <c r="R74" s="563"/>
      <c r="S74" s="563"/>
      <c r="T74" s="563"/>
    </row>
    <row r="75" spans="1:20" ht="14.5" hidden="1" x14ac:dyDescent="0.35">
      <c r="A75" s="486" t="s">
        <v>250</v>
      </c>
      <c r="B75" s="486"/>
      <c r="C75" s="487">
        <v>0</v>
      </c>
      <c r="D75" s="488">
        <v>0</v>
      </c>
      <c r="E75" s="488">
        <f t="array" ref="E75">SUM(IF('6. Class A Consumption Data'!H155:I155="B",'6. Class A Consumption Data'!H153:I153))</f>
        <v>0</v>
      </c>
      <c r="F75" s="488">
        <f t="array" ref="F75">SUM(IF('6. Class A Consumption Data'!J155:K155="B",'6. Class A Consumption Data'!J153:K153))</f>
        <v>0</v>
      </c>
      <c r="G75" s="488">
        <f t="array" ref="G75">SUM(IF('6. Class A Consumption Data'!L155:M155="B",'6. Class A Consumption Data'!L153:M153))</f>
        <v>0</v>
      </c>
      <c r="H75" s="488">
        <f t="array" ref="H75">SUM(IF('6. Class A Consumption Data'!N155:O155="B",'6. Class A Consumption Data'!N153:O153))</f>
        <v>0</v>
      </c>
      <c r="I75" s="490">
        <f t="shared" si="0"/>
        <v>0</v>
      </c>
      <c r="J75" s="491">
        <f t="shared" si="1"/>
        <v>0</v>
      </c>
      <c r="K75" s="491">
        <f t="shared" si="2"/>
        <v>0</v>
      </c>
      <c r="L75" s="564">
        <v>0</v>
      </c>
      <c r="M75" s="563"/>
      <c r="N75" s="563"/>
      <c r="O75" s="563"/>
      <c r="P75" s="563"/>
      <c r="Q75" s="563"/>
      <c r="R75" s="563"/>
      <c r="S75" s="563"/>
      <c r="T75" s="563"/>
    </row>
    <row r="76" spans="1:20" ht="14.5" hidden="1" x14ac:dyDescent="0.35">
      <c r="A76" s="486" t="s">
        <v>251</v>
      </c>
      <c r="B76" s="486"/>
      <c r="C76" s="487">
        <v>0</v>
      </c>
      <c r="D76" s="488">
        <v>0</v>
      </c>
      <c r="E76" s="488">
        <f t="array" ref="E76">SUM(IF('6. Class A Consumption Data'!H158:I158="B",'6. Class A Consumption Data'!H156:I156))</f>
        <v>0</v>
      </c>
      <c r="F76" s="488">
        <f t="array" ref="F76">SUM(IF('6. Class A Consumption Data'!J158:K158="B",'6. Class A Consumption Data'!J156:K156))</f>
        <v>0</v>
      </c>
      <c r="G76" s="488">
        <f t="array" ref="G76">SUM(IF('6. Class A Consumption Data'!L158:M158="B",'6. Class A Consumption Data'!L156:M156))</f>
        <v>0</v>
      </c>
      <c r="H76" s="488">
        <f t="array" ref="H76">SUM(IF('6. Class A Consumption Data'!N158:O158="B",'6. Class A Consumption Data'!N156:O156))</f>
        <v>0</v>
      </c>
      <c r="I76" s="490">
        <f t="shared" si="0"/>
        <v>0</v>
      </c>
      <c r="J76" s="491">
        <f t="shared" si="1"/>
        <v>0</v>
      </c>
      <c r="K76" s="491">
        <f t="shared" si="2"/>
        <v>0</v>
      </c>
      <c r="L76" s="564">
        <v>0</v>
      </c>
      <c r="M76" s="563"/>
      <c r="N76" s="563"/>
      <c r="O76" s="563"/>
      <c r="P76" s="563"/>
      <c r="Q76" s="563"/>
      <c r="R76" s="563"/>
      <c r="S76" s="563"/>
      <c r="T76" s="563"/>
    </row>
    <row r="77" spans="1:20" ht="14.5" hidden="1" x14ac:dyDescent="0.35">
      <c r="A77" s="486" t="s">
        <v>252</v>
      </c>
      <c r="B77" s="486"/>
      <c r="C77" s="487">
        <v>0</v>
      </c>
      <c r="D77" s="488">
        <v>0</v>
      </c>
      <c r="E77" s="488">
        <f t="array" ref="E77">SUM(IF('6. Class A Consumption Data'!H161:I161="B",'6. Class A Consumption Data'!H159:I159))</f>
        <v>0</v>
      </c>
      <c r="F77" s="488">
        <f t="array" ref="F77">SUM(IF('6. Class A Consumption Data'!J161:K161="B",'6. Class A Consumption Data'!J159:K159))</f>
        <v>0</v>
      </c>
      <c r="G77" s="488">
        <f t="array" ref="G77">SUM(IF('6. Class A Consumption Data'!L161:M161="B",'6. Class A Consumption Data'!L159:M159))</f>
        <v>0</v>
      </c>
      <c r="H77" s="488">
        <f t="array" ref="H77">SUM(IF('6. Class A Consumption Data'!N161:O161="B",'6. Class A Consumption Data'!N159:O159))</f>
        <v>0</v>
      </c>
      <c r="I77" s="490">
        <f t="shared" si="0"/>
        <v>0</v>
      </c>
      <c r="J77" s="491">
        <f t="shared" si="1"/>
        <v>0</v>
      </c>
      <c r="K77" s="491">
        <f t="shared" si="2"/>
        <v>0</v>
      </c>
      <c r="L77" s="564">
        <v>0</v>
      </c>
      <c r="M77" s="563"/>
      <c r="N77" s="563"/>
      <c r="O77" s="563"/>
      <c r="P77" s="563"/>
      <c r="Q77" s="563"/>
      <c r="R77" s="563"/>
      <c r="S77" s="563"/>
      <c r="T77" s="563"/>
    </row>
    <row r="78" spans="1:20" ht="14.5" hidden="1" x14ac:dyDescent="0.35">
      <c r="A78" s="486" t="s">
        <v>253</v>
      </c>
      <c r="B78" s="486"/>
      <c r="C78" s="487">
        <v>0</v>
      </c>
      <c r="D78" s="488">
        <v>0</v>
      </c>
      <c r="E78" s="488">
        <f t="array" ref="E78">SUM(IF('6. Class A Consumption Data'!H164:I164="B",'6. Class A Consumption Data'!H162:I162))</f>
        <v>0</v>
      </c>
      <c r="F78" s="488">
        <f t="array" ref="F78">SUM(IF('6. Class A Consumption Data'!J164:K164="B",'6. Class A Consumption Data'!J162:K162))</f>
        <v>0</v>
      </c>
      <c r="G78" s="488">
        <f t="array" ref="G78">SUM(IF('6. Class A Consumption Data'!L164:M164="B",'6. Class A Consumption Data'!L162:M162))</f>
        <v>0</v>
      </c>
      <c r="H78" s="488">
        <f t="array" ref="H78">SUM(IF('6. Class A Consumption Data'!N164:O164="B",'6. Class A Consumption Data'!N162:O162))</f>
        <v>0</v>
      </c>
      <c r="I78" s="490">
        <f t="shared" si="0"/>
        <v>0</v>
      </c>
      <c r="J78" s="491">
        <f t="shared" si="1"/>
        <v>0</v>
      </c>
      <c r="K78" s="491">
        <f t="shared" si="2"/>
        <v>0</v>
      </c>
      <c r="L78" s="564">
        <v>0</v>
      </c>
      <c r="M78" s="563"/>
      <c r="N78" s="563"/>
      <c r="O78" s="563"/>
      <c r="P78" s="563"/>
      <c r="Q78" s="563"/>
      <c r="R78" s="563"/>
      <c r="S78" s="563"/>
      <c r="T78" s="563"/>
    </row>
    <row r="79" spans="1:20" ht="14.5" hidden="1" x14ac:dyDescent="0.35">
      <c r="A79" s="486" t="s">
        <v>254</v>
      </c>
      <c r="B79" s="486"/>
      <c r="C79" s="487">
        <v>0</v>
      </c>
      <c r="D79" s="488">
        <v>0</v>
      </c>
      <c r="E79" s="488">
        <f t="array" ref="E79">SUM(IF('6. Class A Consumption Data'!H167:I167="B",'6. Class A Consumption Data'!H165:I165))</f>
        <v>0</v>
      </c>
      <c r="F79" s="488">
        <f t="array" ref="F79">SUM(IF('6. Class A Consumption Data'!J167:K167="B",'6. Class A Consumption Data'!J165:K165))</f>
        <v>0</v>
      </c>
      <c r="G79" s="488">
        <f t="array" ref="G79">SUM(IF('6. Class A Consumption Data'!L167:M167="B",'6. Class A Consumption Data'!L165:M165))</f>
        <v>0</v>
      </c>
      <c r="H79" s="488">
        <f t="array" ref="H79">SUM(IF('6. Class A Consumption Data'!N167:O167="B",'6. Class A Consumption Data'!N165:O165))</f>
        <v>0</v>
      </c>
      <c r="I79" s="490">
        <f t="shared" si="0"/>
        <v>0</v>
      </c>
      <c r="J79" s="491">
        <f t="shared" si="1"/>
        <v>0</v>
      </c>
      <c r="K79" s="491">
        <f t="shared" si="2"/>
        <v>0</v>
      </c>
      <c r="L79" s="564">
        <v>0</v>
      </c>
      <c r="M79" s="563"/>
      <c r="N79" s="563"/>
      <c r="O79" s="563"/>
      <c r="P79" s="563"/>
      <c r="Q79" s="563"/>
      <c r="R79" s="563"/>
      <c r="S79" s="563"/>
      <c r="T79" s="563"/>
    </row>
    <row r="80" spans="1:20" ht="14.5" hidden="1" x14ac:dyDescent="0.35">
      <c r="A80" s="486" t="s">
        <v>255</v>
      </c>
      <c r="B80" s="486"/>
      <c r="C80" s="487">
        <v>0</v>
      </c>
      <c r="D80" s="488">
        <v>0</v>
      </c>
      <c r="E80" s="488">
        <f t="array" ref="E80">SUM(IF('6. Class A Consumption Data'!H170:I170="B",'6. Class A Consumption Data'!H168:I168))</f>
        <v>0</v>
      </c>
      <c r="F80" s="488">
        <f t="array" ref="F80">SUM(IF('6. Class A Consumption Data'!J170:K170="B",'6. Class A Consumption Data'!J168:K168))</f>
        <v>0</v>
      </c>
      <c r="G80" s="488">
        <f t="array" ref="G80">SUM(IF('6. Class A Consumption Data'!L170:M170="B",'6. Class A Consumption Data'!L168:M168))</f>
        <v>0</v>
      </c>
      <c r="H80" s="488">
        <f t="array" ref="H80">SUM(IF('6. Class A Consumption Data'!N170:O170="B",'6. Class A Consumption Data'!N168:O168))</f>
        <v>0</v>
      </c>
      <c r="I80" s="490">
        <f t="shared" si="0"/>
        <v>0</v>
      </c>
      <c r="J80" s="491">
        <f t="shared" si="1"/>
        <v>0</v>
      </c>
      <c r="K80" s="491">
        <f t="shared" si="2"/>
        <v>0</v>
      </c>
      <c r="L80" s="564">
        <v>0</v>
      </c>
      <c r="M80" s="563"/>
      <c r="N80" s="563"/>
      <c r="O80" s="563"/>
      <c r="P80" s="563"/>
      <c r="Q80" s="563"/>
      <c r="R80" s="563"/>
      <c r="S80" s="563"/>
      <c r="T80" s="563"/>
    </row>
    <row r="81" spans="1:20" ht="14.5" hidden="1" x14ac:dyDescent="0.35">
      <c r="A81" s="486" t="s">
        <v>256</v>
      </c>
      <c r="B81" s="486"/>
      <c r="C81" s="487">
        <v>0</v>
      </c>
      <c r="D81" s="488">
        <v>0</v>
      </c>
      <c r="E81" s="488">
        <f t="array" ref="E81">SUM(IF('6. Class A Consumption Data'!H173:I173="B",'6. Class A Consumption Data'!H171:I171))</f>
        <v>0</v>
      </c>
      <c r="F81" s="488">
        <f t="array" ref="F81">SUM(IF('6. Class A Consumption Data'!J173:K173="B",'6. Class A Consumption Data'!J171:K171))</f>
        <v>0</v>
      </c>
      <c r="G81" s="488">
        <f t="array" ref="G81">SUM(IF('6. Class A Consumption Data'!L173:M173="B",'6. Class A Consumption Data'!L171:M171))</f>
        <v>0</v>
      </c>
      <c r="H81" s="488">
        <f t="array" ref="H81">SUM(IF('6. Class A Consumption Data'!N173:O173="B",'6. Class A Consumption Data'!N171:O171))</f>
        <v>0</v>
      </c>
      <c r="I81" s="490">
        <f t="shared" si="0"/>
        <v>0</v>
      </c>
      <c r="J81" s="491">
        <f t="shared" si="1"/>
        <v>0</v>
      </c>
      <c r="K81" s="491">
        <f t="shared" si="2"/>
        <v>0</v>
      </c>
      <c r="L81" s="564">
        <v>0</v>
      </c>
      <c r="M81" s="563"/>
      <c r="N81" s="563"/>
      <c r="O81" s="563"/>
      <c r="P81" s="563"/>
      <c r="Q81" s="563"/>
      <c r="R81" s="563"/>
      <c r="S81" s="563"/>
      <c r="T81" s="563"/>
    </row>
    <row r="82" spans="1:20" ht="14.5" hidden="1" x14ac:dyDescent="0.35">
      <c r="A82" s="486" t="s">
        <v>257</v>
      </c>
      <c r="B82" s="486"/>
      <c r="C82" s="487">
        <v>0</v>
      </c>
      <c r="D82" s="488">
        <v>0</v>
      </c>
      <c r="E82" s="488">
        <f t="array" ref="E82">SUM(IF('6. Class A Consumption Data'!H176:I176="B",'6. Class A Consumption Data'!H174:I174))</f>
        <v>0</v>
      </c>
      <c r="F82" s="488">
        <f t="array" ref="F82">SUM(IF('6. Class A Consumption Data'!J176:K176="B",'6. Class A Consumption Data'!J174:K174))</f>
        <v>0</v>
      </c>
      <c r="G82" s="488">
        <f t="array" ref="G82">SUM(IF('6. Class A Consumption Data'!L176:M176="B",'6. Class A Consumption Data'!L174:M174))</f>
        <v>0</v>
      </c>
      <c r="H82" s="488">
        <f t="array" ref="H82">SUM(IF('6. Class A Consumption Data'!N176:O176="B",'6. Class A Consumption Data'!N174:O174))</f>
        <v>0</v>
      </c>
      <c r="I82" s="490">
        <f t="shared" si="0"/>
        <v>0</v>
      </c>
      <c r="J82" s="491">
        <f t="shared" si="1"/>
        <v>0</v>
      </c>
      <c r="K82" s="491">
        <f t="shared" si="2"/>
        <v>0</v>
      </c>
      <c r="L82" s="564">
        <v>0</v>
      </c>
      <c r="M82" s="563"/>
      <c r="N82" s="563"/>
      <c r="O82" s="563"/>
      <c r="P82" s="563"/>
      <c r="Q82" s="563"/>
      <c r="R82" s="563"/>
      <c r="S82" s="563"/>
      <c r="T82" s="563"/>
    </row>
    <row r="83" spans="1:20" ht="14.5" hidden="1" x14ac:dyDescent="0.35">
      <c r="A83" s="486" t="s">
        <v>258</v>
      </c>
      <c r="B83" s="486"/>
      <c r="C83" s="487">
        <v>0</v>
      </c>
      <c r="D83" s="488">
        <v>0</v>
      </c>
      <c r="E83" s="488">
        <f t="array" ref="E83">SUM(IF('6. Class A Consumption Data'!H179:I179="B",'6. Class A Consumption Data'!H177:I177))</f>
        <v>0</v>
      </c>
      <c r="F83" s="488">
        <f t="array" ref="F83">SUM(IF('6. Class A Consumption Data'!J179:K179="B",'6. Class A Consumption Data'!J177:K177))</f>
        <v>0</v>
      </c>
      <c r="G83" s="488">
        <f t="array" ref="G83">SUM(IF('6. Class A Consumption Data'!L179:M179="B",'6. Class A Consumption Data'!L177:M177))</f>
        <v>0</v>
      </c>
      <c r="H83" s="488">
        <f t="array" ref="H83">SUM(IF('6. Class A Consumption Data'!N179:O179="B",'6. Class A Consumption Data'!N177:O177))</f>
        <v>0</v>
      </c>
      <c r="I83" s="490">
        <f t="shared" si="0"/>
        <v>0</v>
      </c>
      <c r="J83" s="491">
        <f t="shared" si="1"/>
        <v>0</v>
      </c>
      <c r="K83" s="491">
        <f t="shared" si="2"/>
        <v>0</v>
      </c>
      <c r="L83" s="564">
        <v>0</v>
      </c>
      <c r="M83" s="563"/>
      <c r="N83" s="563"/>
      <c r="O83" s="563"/>
      <c r="P83" s="563"/>
      <c r="Q83" s="563"/>
      <c r="R83" s="563"/>
      <c r="S83" s="563"/>
      <c r="T83" s="563"/>
    </row>
    <row r="84" spans="1:20" ht="14.5" hidden="1" x14ac:dyDescent="0.35">
      <c r="A84" s="486" t="s">
        <v>259</v>
      </c>
      <c r="B84" s="486"/>
      <c r="C84" s="487">
        <v>0</v>
      </c>
      <c r="D84" s="488">
        <v>0</v>
      </c>
      <c r="E84" s="488">
        <f t="array" ref="E84">SUM(IF('6. Class A Consumption Data'!H182:I182="B",'6. Class A Consumption Data'!H180:I180))</f>
        <v>0</v>
      </c>
      <c r="F84" s="488">
        <f t="array" ref="F84">SUM(IF('6. Class A Consumption Data'!J182:K182="B",'6. Class A Consumption Data'!J180:K180))</f>
        <v>0</v>
      </c>
      <c r="G84" s="488">
        <f t="array" ref="G84">SUM(IF('6. Class A Consumption Data'!L182:M182="B",'6. Class A Consumption Data'!L180:M180))</f>
        <v>0</v>
      </c>
      <c r="H84" s="488">
        <f t="array" ref="H84">SUM(IF('6. Class A Consumption Data'!N182:O182="B",'6. Class A Consumption Data'!N180:O180))</f>
        <v>0</v>
      </c>
      <c r="I84" s="490">
        <f t="shared" si="0"/>
        <v>0</v>
      </c>
      <c r="J84" s="491">
        <f t="shared" si="1"/>
        <v>0</v>
      </c>
      <c r="K84" s="491">
        <f t="shared" si="2"/>
        <v>0</v>
      </c>
      <c r="L84" s="564">
        <v>0</v>
      </c>
      <c r="M84" s="563"/>
      <c r="N84" s="563"/>
      <c r="O84" s="563"/>
      <c r="P84" s="563"/>
      <c r="Q84" s="563"/>
      <c r="R84" s="563"/>
      <c r="S84" s="563"/>
      <c r="T84" s="563"/>
    </row>
    <row r="85" spans="1:20" ht="14.5" hidden="1" x14ac:dyDescent="0.35">
      <c r="A85" s="486" t="s">
        <v>260</v>
      </c>
      <c r="B85" s="486"/>
      <c r="C85" s="487">
        <v>0</v>
      </c>
      <c r="D85" s="488">
        <v>0</v>
      </c>
      <c r="E85" s="488">
        <f t="array" ref="E85">SUM(IF('6. Class A Consumption Data'!H185:I185="B",'6. Class A Consumption Data'!H183:I183))</f>
        <v>0</v>
      </c>
      <c r="F85" s="488">
        <f t="array" ref="F85">SUM(IF('6. Class A Consumption Data'!J185:K185="B",'6. Class A Consumption Data'!J183:K183))</f>
        <v>0</v>
      </c>
      <c r="G85" s="488">
        <f t="array" ref="G85">SUM(IF('6. Class A Consumption Data'!L185:M185="B",'6. Class A Consumption Data'!L183:M183))</f>
        <v>0</v>
      </c>
      <c r="H85" s="488">
        <f t="array" ref="H85">SUM(IF('6. Class A Consumption Data'!N185:O185="B",'6. Class A Consumption Data'!N183:O183))</f>
        <v>0</v>
      </c>
      <c r="I85" s="490">
        <f t="shared" si="0"/>
        <v>0</v>
      </c>
      <c r="J85" s="491">
        <f t="shared" si="1"/>
        <v>0</v>
      </c>
      <c r="K85" s="491">
        <f t="shared" si="2"/>
        <v>0</v>
      </c>
      <c r="L85" s="564">
        <v>0</v>
      </c>
      <c r="M85" s="563"/>
      <c r="N85" s="563"/>
      <c r="O85" s="563"/>
      <c r="P85" s="563"/>
      <c r="Q85" s="563"/>
      <c r="R85" s="563"/>
      <c r="S85" s="563"/>
      <c r="T85" s="563"/>
    </row>
    <row r="86" spans="1:20" ht="14.5" hidden="1" x14ac:dyDescent="0.35">
      <c r="A86" s="486" t="s">
        <v>261</v>
      </c>
      <c r="B86" s="486"/>
      <c r="C86" s="487">
        <v>0</v>
      </c>
      <c r="D86" s="488">
        <v>0</v>
      </c>
      <c r="E86" s="488">
        <f t="array" ref="E86">SUM(IF('6. Class A Consumption Data'!H188:I188="B",'6. Class A Consumption Data'!H186:I186))</f>
        <v>0</v>
      </c>
      <c r="F86" s="488">
        <f t="array" ref="F86">SUM(IF('6. Class A Consumption Data'!J188:K188="B",'6. Class A Consumption Data'!J186:K186))</f>
        <v>0</v>
      </c>
      <c r="G86" s="488">
        <f t="array" ref="G86">SUM(IF('6. Class A Consumption Data'!L188:M188="B",'6. Class A Consumption Data'!L186:M186))</f>
        <v>0</v>
      </c>
      <c r="H86" s="488">
        <f t="array" ref="H86">SUM(IF('6. Class A Consumption Data'!N188:O188="B",'6. Class A Consumption Data'!N186:O186))</f>
        <v>0</v>
      </c>
      <c r="I86" s="490">
        <f t="shared" si="0"/>
        <v>0</v>
      </c>
      <c r="J86" s="491">
        <f t="shared" si="1"/>
        <v>0</v>
      </c>
      <c r="K86" s="491">
        <f t="shared" si="2"/>
        <v>0</v>
      </c>
      <c r="L86" s="564">
        <v>0</v>
      </c>
      <c r="M86" s="563"/>
      <c r="N86" s="563"/>
      <c r="O86" s="563"/>
      <c r="P86" s="563"/>
      <c r="Q86" s="563"/>
      <c r="R86" s="563"/>
      <c r="S86" s="563"/>
      <c r="T86" s="563"/>
    </row>
    <row r="87" spans="1:20" ht="14.5" hidden="1" x14ac:dyDescent="0.35">
      <c r="A87" s="486" t="s">
        <v>262</v>
      </c>
      <c r="B87" s="486"/>
      <c r="C87" s="487">
        <v>0</v>
      </c>
      <c r="D87" s="488">
        <v>0</v>
      </c>
      <c r="E87" s="488">
        <f t="array" ref="E87">SUM(IF('6. Class A Consumption Data'!H191:I191="B",'6. Class A Consumption Data'!H189:I189))</f>
        <v>0</v>
      </c>
      <c r="F87" s="488">
        <f t="array" ref="F87">SUM(IF('6. Class A Consumption Data'!J191:K191="B",'6. Class A Consumption Data'!J189:K189))</f>
        <v>0</v>
      </c>
      <c r="G87" s="488">
        <f t="array" ref="G87">SUM(IF('6. Class A Consumption Data'!L191:M191="B",'6. Class A Consumption Data'!L189:M189))</f>
        <v>0</v>
      </c>
      <c r="H87" s="488">
        <f t="array" ref="H87">SUM(IF('6. Class A Consumption Data'!N191:O191="B",'6. Class A Consumption Data'!N189:O189))</f>
        <v>0</v>
      </c>
      <c r="I87" s="490">
        <f t="shared" si="0"/>
        <v>0</v>
      </c>
      <c r="J87" s="491">
        <f t="shared" si="1"/>
        <v>0</v>
      </c>
      <c r="K87" s="491">
        <f t="shared" si="2"/>
        <v>0</v>
      </c>
      <c r="L87" s="564">
        <v>0</v>
      </c>
      <c r="M87" s="563"/>
      <c r="N87" s="563"/>
      <c r="O87" s="563"/>
      <c r="P87" s="563"/>
      <c r="Q87" s="563"/>
      <c r="R87" s="563"/>
      <c r="S87" s="563"/>
      <c r="T87" s="563"/>
    </row>
    <row r="88" spans="1:20" ht="14.5" hidden="1" x14ac:dyDescent="0.35">
      <c r="A88" s="486" t="s">
        <v>263</v>
      </c>
      <c r="B88" s="486"/>
      <c r="C88" s="487">
        <v>0</v>
      </c>
      <c r="D88" s="488">
        <v>0</v>
      </c>
      <c r="E88" s="488">
        <f t="array" ref="E88">SUM(IF('6. Class A Consumption Data'!H194:I194="B",'6. Class A Consumption Data'!H192:I192))</f>
        <v>0</v>
      </c>
      <c r="F88" s="488">
        <f t="array" ref="F88">SUM(IF('6. Class A Consumption Data'!J194:K194="B",'6. Class A Consumption Data'!J192:K192))</f>
        <v>0</v>
      </c>
      <c r="G88" s="488">
        <f t="array" ref="G88">SUM(IF('6. Class A Consumption Data'!L194:M194="B",'6. Class A Consumption Data'!L192:M192))</f>
        <v>0</v>
      </c>
      <c r="H88" s="488">
        <f t="array" ref="H88">SUM(IF('6. Class A Consumption Data'!N194:O194="B",'6. Class A Consumption Data'!N192:O192))</f>
        <v>0</v>
      </c>
      <c r="I88" s="490">
        <f t="shared" si="0"/>
        <v>0</v>
      </c>
      <c r="J88" s="491">
        <f t="shared" si="1"/>
        <v>0</v>
      </c>
      <c r="K88" s="491">
        <f t="shared" si="2"/>
        <v>0</v>
      </c>
      <c r="L88" s="564">
        <v>0</v>
      </c>
      <c r="M88" s="563"/>
      <c r="N88" s="563"/>
      <c r="O88" s="563"/>
      <c r="P88" s="563"/>
      <c r="Q88" s="563"/>
      <c r="R88" s="563"/>
      <c r="S88" s="563"/>
      <c r="T88" s="563"/>
    </row>
    <row r="89" spans="1:20" ht="14.5" hidden="1" x14ac:dyDescent="0.35">
      <c r="A89" s="486" t="s">
        <v>264</v>
      </c>
      <c r="B89" s="486"/>
      <c r="C89" s="487">
        <v>0</v>
      </c>
      <c r="D89" s="488">
        <v>0</v>
      </c>
      <c r="E89" s="488">
        <f t="array" ref="E89">SUM(IF('6. Class A Consumption Data'!H197:I197="B",'6. Class A Consumption Data'!H195:I195))</f>
        <v>0</v>
      </c>
      <c r="F89" s="488">
        <f t="array" ref="F89">SUM(IF('6. Class A Consumption Data'!J197:K197="B",'6. Class A Consumption Data'!J195:K195))</f>
        <v>0</v>
      </c>
      <c r="G89" s="488">
        <f t="array" ref="G89">SUM(IF('6. Class A Consumption Data'!L197:M197="B",'6. Class A Consumption Data'!L195:M195))</f>
        <v>0</v>
      </c>
      <c r="H89" s="488">
        <f t="array" ref="H89">SUM(IF('6. Class A Consumption Data'!N197:O197="B",'6. Class A Consumption Data'!N195:O195))</f>
        <v>0</v>
      </c>
      <c r="I89" s="490">
        <f t="shared" si="0"/>
        <v>0</v>
      </c>
      <c r="J89" s="491">
        <f t="shared" si="1"/>
        <v>0</v>
      </c>
      <c r="K89" s="491">
        <f t="shared" si="2"/>
        <v>0</v>
      </c>
      <c r="L89" s="564">
        <v>0</v>
      </c>
      <c r="M89" s="563"/>
      <c r="N89" s="563"/>
      <c r="O89" s="563"/>
      <c r="P89" s="563"/>
      <c r="Q89" s="563"/>
      <c r="R89" s="563"/>
      <c r="S89" s="563"/>
      <c r="T89" s="563"/>
    </row>
    <row r="90" spans="1:20" ht="14.5" hidden="1" x14ac:dyDescent="0.35">
      <c r="A90" s="486" t="s">
        <v>265</v>
      </c>
      <c r="B90" s="486"/>
      <c r="C90" s="487">
        <v>0</v>
      </c>
      <c r="D90" s="488">
        <v>0</v>
      </c>
      <c r="E90" s="488">
        <f t="array" ref="E90">SUM(IF('6. Class A Consumption Data'!H200:I200="B",'6. Class A Consumption Data'!H198:I198))</f>
        <v>0</v>
      </c>
      <c r="F90" s="488">
        <f t="array" ref="F90">SUM(IF('6. Class A Consumption Data'!J200:K200="B",'6. Class A Consumption Data'!J198:K198))</f>
        <v>0</v>
      </c>
      <c r="G90" s="488">
        <f t="array" ref="G90">SUM(IF('6. Class A Consumption Data'!L200:M200="B",'6. Class A Consumption Data'!L198:M198))</f>
        <v>0</v>
      </c>
      <c r="H90" s="488">
        <f t="array" ref="H90">SUM(IF('6. Class A Consumption Data'!N200:O200="B",'6. Class A Consumption Data'!N198:O198))</f>
        <v>0</v>
      </c>
      <c r="I90" s="490">
        <f t="shared" si="0"/>
        <v>0</v>
      </c>
      <c r="J90" s="491">
        <f t="shared" si="1"/>
        <v>0</v>
      </c>
      <c r="K90" s="491">
        <f t="shared" si="2"/>
        <v>0</v>
      </c>
      <c r="L90" s="564">
        <v>0</v>
      </c>
      <c r="M90" s="563"/>
      <c r="N90" s="563"/>
      <c r="O90" s="563"/>
      <c r="P90" s="563"/>
      <c r="Q90" s="563"/>
      <c r="R90" s="563"/>
      <c r="S90" s="563"/>
      <c r="T90" s="563"/>
    </row>
    <row r="91" spans="1:20" ht="14.5" hidden="1" x14ac:dyDescent="0.35">
      <c r="A91" s="486" t="s">
        <v>266</v>
      </c>
      <c r="B91" s="486"/>
      <c r="C91" s="487">
        <v>0</v>
      </c>
      <c r="D91" s="488">
        <v>0</v>
      </c>
      <c r="E91" s="488">
        <f t="array" ref="E91">SUM(IF('6. Class A Consumption Data'!H203:I203="B",'6. Class A Consumption Data'!H201:I201))</f>
        <v>0</v>
      </c>
      <c r="F91" s="488">
        <f t="array" ref="F91">SUM(IF('6. Class A Consumption Data'!J203:K203="B",'6. Class A Consumption Data'!J201:K201))</f>
        <v>0</v>
      </c>
      <c r="G91" s="488">
        <f t="array" ref="G91">SUM(IF('6. Class A Consumption Data'!L203:M203="B",'6. Class A Consumption Data'!L201:M201))</f>
        <v>0</v>
      </c>
      <c r="H91" s="488">
        <f t="array" ref="H91">SUM(IF('6. Class A Consumption Data'!N203:O203="B",'6. Class A Consumption Data'!N201:O201))</f>
        <v>0</v>
      </c>
      <c r="I91" s="490">
        <f t="shared" si="0"/>
        <v>0</v>
      </c>
      <c r="J91" s="491">
        <f t="shared" si="1"/>
        <v>0</v>
      </c>
      <c r="K91" s="491">
        <f t="shared" si="2"/>
        <v>0</v>
      </c>
      <c r="L91" s="564">
        <v>0</v>
      </c>
      <c r="M91" s="563"/>
      <c r="N91" s="563"/>
      <c r="O91" s="563"/>
      <c r="P91" s="563"/>
      <c r="Q91" s="563"/>
      <c r="R91" s="563"/>
      <c r="S91" s="563"/>
      <c r="T91" s="563"/>
    </row>
    <row r="92" spans="1:20" ht="14.5" hidden="1" x14ac:dyDescent="0.35">
      <c r="A92" s="486" t="s">
        <v>267</v>
      </c>
      <c r="B92" s="486"/>
      <c r="C92" s="487">
        <v>0</v>
      </c>
      <c r="D92" s="488">
        <v>0</v>
      </c>
      <c r="E92" s="488">
        <f t="array" ref="E92">SUM(IF('6. Class A Consumption Data'!H206:I206="B",'6. Class A Consumption Data'!H204:I204))</f>
        <v>0</v>
      </c>
      <c r="F92" s="488">
        <f t="array" ref="F92">SUM(IF('6. Class A Consumption Data'!J206:K206="B",'6. Class A Consumption Data'!J204:K204))</f>
        <v>0</v>
      </c>
      <c r="G92" s="488">
        <f t="array" ref="G92">SUM(IF('6. Class A Consumption Data'!L206:M206="B",'6. Class A Consumption Data'!L204:M204))</f>
        <v>0</v>
      </c>
      <c r="H92" s="488">
        <f t="array" ref="H92">SUM(IF('6. Class A Consumption Data'!N206:O206="B",'6. Class A Consumption Data'!N204:O204))</f>
        <v>0</v>
      </c>
      <c r="I92" s="490">
        <f t="shared" si="0"/>
        <v>0</v>
      </c>
      <c r="J92" s="491">
        <f t="shared" si="1"/>
        <v>0</v>
      </c>
      <c r="K92" s="491">
        <f t="shared" si="2"/>
        <v>0</v>
      </c>
      <c r="L92" s="564">
        <v>0</v>
      </c>
      <c r="M92" s="563"/>
      <c r="N92" s="563"/>
      <c r="O92" s="563"/>
      <c r="P92" s="563"/>
      <c r="Q92" s="563"/>
      <c r="R92" s="563"/>
      <c r="S92" s="563"/>
      <c r="T92" s="563"/>
    </row>
    <row r="93" spans="1:20" ht="14.5" hidden="1" x14ac:dyDescent="0.35">
      <c r="A93" s="486" t="s">
        <v>268</v>
      </c>
      <c r="B93" s="486"/>
      <c r="C93" s="487">
        <v>0</v>
      </c>
      <c r="D93" s="488">
        <v>0</v>
      </c>
      <c r="E93" s="488">
        <f t="array" ref="E93">SUM(IF('6. Class A Consumption Data'!H209:I209="B",'6. Class A Consumption Data'!H207:I207))</f>
        <v>0</v>
      </c>
      <c r="F93" s="488">
        <f t="array" ref="F93">SUM(IF('6. Class A Consumption Data'!J209:K209="B",'6. Class A Consumption Data'!J207:K207))</f>
        <v>0</v>
      </c>
      <c r="G93" s="488">
        <f t="array" ref="G93">SUM(IF('6. Class A Consumption Data'!L209:M209="B",'6. Class A Consumption Data'!L207:M207))</f>
        <v>0</v>
      </c>
      <c r="H93" s="488">
        <f t="array" ref="H93">SUM(IF('6. Class A Consumption Data'!N209:O209="B",'6. Class A Consumption Data'!N207:O207))</f>
        <v>0</v>
      </c>
      <c r="I93" s="490">
        <f t="shared" si="0"/>
        <v>0</v>
      </c>
      <c r="J93" s="491">
        <f t="shared" si="1"/>
        <v>0</v>
      </c>
      <c r="K93" s="491">
        <f t="shared" si="2"/>
        <v>0</v>
      </c>
      <c r="L93" s="564">
        <v>0</v>
      </c>
      <c r="M93" s="563"/>
      <c r="N93" s="563"/>
      <c r="O93" s="563"/>
      <c r="P93" s="563"/>
      <c r="Q93" s="563"/>
      <c r="R93" s="563"/>
      <c r="S93" s="563"/>
      <c r="T93" s="563"/>
    </row>
    <row r="94" spans="1:20" ht="14.5" hidden="1" x14ac:dyDescent="0.35">
      <c r="A94" s="486" t="s">
        <v>269</v>
      </c>
      <c r="B94" s="486"/>
      <c r="C94" s="487">
        <v>0</v>
      </c>
      <c r="D94" s="488">
        <v>0</v>
      </c>
      <c r="E94" s="488">
        <f t="array" ref="E94">SUM(IF('6. Class A Consumption Data'!H212:I212="B",'6. Class A Consumption Data'!H210:I210))</f>
        <v>0</v>
      </c>
      <c r="F94" s="488">
        <f t="array" ref="F94">SUM(IF('6. Class A Consumption Data'!J212:K212="B",'6. Class A Consumption Data'!J210:K210))</f>
        <v>0</v>
      </c>
      <c r="G94" s="488">
        <f t="array" ref="G94">SUM(IF('6. Class A Consumption Data'!L212:M212="B",'6. Class A Consumption Data'!L210:M210))</f>
        <v>0</v>
      </c>
      <c r="H94" s="488">
        <f t="array" ref="H94">SUM(IF('6. Class A Consumption Data'!N212:O212="B",'6. Class A Consumption Data'!N210:O210))</f>
        <v>0</v>
      </c>
      <c r="I94" s="490">
        <f t="shared" si="0"/>
        <v>0</v>
      </c>
      <c r="J94" s="491">
        <f t="shared" si="1"/>
        <v>0</v>
      </c>
      <c r="K94" s="491">
        <f t="shared" si="2"/>
        <v>0</v>
      </c>
      <c r="L94" s="564">
        <v>0</v>
      </c>
      <c r="M94" s="563"/>
      <c r="N94" s="563"/>
      <c r="O94" s="563"/>
      <c r="P94" s="563"/>
      <c r="Q94" s="563"/>
      <c r="R94" s="563"/>
      <c r="S94" s="563"/>
      <c r="T94" s="563"/>
    </row>
    <row r="95" spans="1:20" ht="14.5" hidden="1" x14ac:dyDescent="0.35">
      <c r="A95" s="486" t="s">
        <v>270</v>
      </c>
      <c r="B95" s="486"/>
      <c r="C95" s="487">
        <v>0</v>
      </c>
      <c r="D95" s="488">
        <v>0</v>
      </c>
      <c r="E95" s="488">
        <f t="array" ref="E95">SUM(IF('6. Class A Consumption Data'!H215:I215="B",'6. Class A Consumption Data'!H213:I213))</f>
        <v>0</v>
      </c>
      <c r="F95" s="488">
        <f t="array" ref="F95">SUM(IF('6. Class A Consumption Data'!J215:K215="B",'6. Class A Consumption Data'!J213:K213))</f>
        <v>0</v>
      </c>
      <c r="G95" s="488">
        <f t="array" ref="G95">SUM(IF('6. Class A Consumption Data'!L215:M215="B",'6. Class A Consumption Data'!L213:M213))</f>
        <v>0</v>
      </c>
      <c r="H95" s="488">
        <f t="array" ref="H95">SUM(IF('6. Class A Consumption Data'!N215:O215="B",'6. Class A Consumption Data'!N213:O213))</f>
        <v>0</v>
      </c>
      <c r="I95" s="490">
        <f t="shared" si="0"/>
        <v>0</v>
      </c>
      <c r="J95" s="491">
        <f t="shared" si="1"/>
        <v>0</v>
      </c>
      <c r="K95" s="491">
        <f t="shared" si="2"/>
        <v>0</v>
      </c>
      <c r="L95" s="564">
        <v>0</v>
      </c>
      <c r="M95" s="563"/>
      <c r="N95" s="563"/>
      <c r="O95" s="563"/>
      <c r="P95" s="563"/>
      <c r="Q95" s="563"/>
      <c r="R95" s="563"/>
      <c r="S95" s="563"/>
      <c r="T95" s="563"/>
    </row>
    <row r="96" spans="1:20" ht="14.5" hidden="1" x14ac:dyDescent="0.35">
      <c r="A96" s="486" t="s">
        <v>271</v>
      </c>
      <c r="B96" s="486"/>
      <c r="C96" s="487">
        <v>0</v>
      </c>
      <c r="D96" s="488">
        <v>0</v>
      </c>
      <c r="E96" s="488">
        <f t="array" ref="E96">SUM(IF('6. Class A Consumption Data'!H218:I218="B",'6. Class A Consumption Data'!H216:I216))</f>
        <v>0</v>
      </c>
      <c r="F96" s="488">
        <f t="array" ref="F96">SUM(IF('6. Class A Consumption Data'!J218:K218="B",'6. Class A Consumption Data'!J216:K216))</f>
        <v>0</v>
      </c>
      <c r="G96" s="488">
        <f t="array" ref="G96">SUM(IF('6. Class A Consumption Data'!L218:M218="B",'6. Class A Consumption Data'!L216:M216))</f>
        <v>0</v>
      </c>
      <c r="H96" s="488">
        <f t="array" ref="H96">SUM(IF('6. Class A Consumption Data'!N218:O218="B",'6. Class A Consumption Data'!N216:O216))</f>
        <v>0</v>
      </c>
      <c r="I96" s="490">
        <f t="shared" si="0"/>
        <v>0</v>
      </c>
      <c r="J96" s="491">
        <f t="shared" si="1"/>
        <v>0</v>
      </c>
      <c r="K96" s="491">
        <f t="shared" si="2"/>
        <v>0</v>
      </c>
      <c r="L96" s="564">
        <v>0</v>
      </c>
      <c r="M96" s="563"/>
      <c r="N96" s="563"/>
      <c r="O96" s="563"/>
      <c r="P96" s="563"/>
      <c r="Q96" s="563"/>
      <c r="R96" s="563"/>
      <c r="S96" s="563"/>
      <c r="T96" s="563"/>
    </row>
    <row r="97" spans="1:20" ht="14.5" hidden="1" x14ac:dyDescent="0.35">
      <c r="A97" s="486" t="s">
        <v>272</v>
      </c>
      <c r="B97" s="486"/>
      <c r="C97" s="487">
        <v>0</v>
      </c>
      <c r="D97" s="488">
        <v>0</v>
      </c>
      <c r="E97" s="488">
        <f t="array" ref="E97">SUM(IF('6. Class A Consumption Data'!H221:I221="B",'6. Class A Consumption Data'!H219:I219))</f>
        <v>0</v>
      </c>
      <c r="F97" s="488">
        <f t="array" ref="F97">SUM(IF('6. Class A Consumption Data'!J221:K221="B",'6. Class A Consumption Data'!J219:K219))</f>
        <v>0</v>
      </c>
      <c r="G97" s="488">
        <f t="array" ref="G97">SUM(IF('6. Class A Consumption Data'!L221:M221="B",'6. Class A Consumption Data'!L219:M219))</f>
        <v>0</v>
      </c>
      <c r="H97" s="488">
        <f t="array" ref="H97">SUM(IF('6. Class A Consumption Data'!N221:O221="B",'6. Class A Consumption Data'!N219:O219))</f>
        <v>0</v>
      </c>
      <c r="I97" s="490">
        <f t="shared" si="0"/>
        <v>0</v>
      </c>
      <c r="J97" s="491">
        <f t="shared" si="1"/>
        <v>0</v>
      </c>
      <c r="K97" s="491">
        <f t="shared" si="2"/>
        <v>0</v>
      </c>
      <c r="L97" s="564">
        <v>0</v>
      </c>
      <c r="M97" s="563"/>
      <c r="N97" s="563"/>
      <c r="O97" s="563"/>
      <c r="P97" s="563"/>
      <c r="Q97" s="563"/>
      <c r="R97" s="563"/>
      <c r="S97" s="563"/>
      <c r="T97" s="563"/>
    </row>
    <row r="98" spans="1:20" ht="14.5" hidden="1" x14ac:dyDescent="0.35">
      <c r="A98" s="486" t="s">
        <v>273</v>
      </c>
      <c r="B98" s="486"/>
      <c r="C98" s="487">
        <v>0</v>
      </c>
      <c r="D98" s="488">
        <v>0</v>
      </c>
      <c r="E98" s="488">
        <f t="array" ref="E98">SUM(IF('6. Class A Consumption Data'!H224:I224="B",'6. Class A Consumption Data'!H222:I222))</f>
        <v>0</v>
      </c>
      <c r="F98" s="488">
        <f t="array" ref="F98">SUM(IF('6. Class A Consumption Data'!J224:K224="B",'6. Class A Consumption Data'!J222:K222))</f>
        <v>0</v>
      </c>
      <c r="G98" s="488">
        <f t="array" ref="G98">SUM(IF('6. Class A Consumption Data'!L224:M224="B",'6. Class A Consumption Data'!L222:M222))</f>
        <v>0</v>
      </c>
      <c r="H98" s="488">
        <f t="array" ref="H98">SUM(IF('6. Class A Consumption Data'!N224:O224="B",'6. Class A Consumption Data'!N222:O222))</f>
        <v>0</v>
      </c>
      <c r="I98" s="490">
        <f t="shared" ref="I98:I161" si="3">IFERROR(+C98/($C$184),0)</f>
        <v>0</v>
      </c>
      <c r="J98" s="491">
        <f t="shared" ref="J98:J161" si="4">+I98*$C$28</f>
        <v>0</v>
      </c>
      <c r="K98" s="491">
        <f t="shared" ref="K98:K161" si="5">+J98/12</f>
        <v>0</v>
      </c>
      <c r="L98" s="564">
        <v>0</v>
      </c>
      <c r="M98" s="563"/>
      <c r="N98" s="563"/>
      <c r="O98" s="563"/>
      <c r="P98" s="563"/>
      <c r="Q98" s="563"/>
      <c r="R98" s="563"/>
      <c r="S98" s="563"/>
      <c r="T98" s="563"/>
    </row>
    <row r="99" spans="1:20" ht="14.5" hidden="1" x14ac:dyDescent="0.35">
      <c r="A99" s="486" t="s">
        <v>274</v>
      </c>
      <c r="B99" s="486"/>
      <c r="C99" s="487">
        <v>0</v>
      </c>
      <c r="D99" s="488">
        <v>0</v>
      </c>
      <c r="E99" s="488">
        <f t="array" ref="E99">SUM(IF('6. Class A Consumption Data'!H227:I227="B",'6. Class A Consumption Data'!H225:I225))</f>
        <v>0</v>
      </c>
      <c r="F99" s="488">
        <f t="array" ref="F99">SUM(IF('6. Class A Consumption Data'!J227:K227="B",'6. Class A Consumption Data'!J225:K225))</f>
        <v>0</v>
      </c>
      <c r="G99" s="488">
        <f t="array" ref="G99">SUM(IF('6. Class A Consumption Data'!L227:M227="B",'6. Class A Consumption Data'!L225:M225))</f>
        <v>0</v>
      </c>
      <c r="H99" s="488">
        <f t="array" ref="H99">SUM(IF('6. Class A Consumption Data'!N227:O227="B",'6. Class A Consumption Data'!N225:O225))</f>
        <v>0</v>
      </c>
      <c r="I99" s="490">
        <f t="shared" si="3"/>
        <v>0</v>
      </c>
      <c r="J99" s="491">
        <f t="shared" si="4"/>
        <v>0</v>
      </c>
      <c r="K99" s="491">
        <f t="shared" si="5"/>
        <v>0</v>
      </c>
      <c r="L99" s="564">
        <v>0</v>
      </c>
      <c r="M99" s="563"/>
      <c r="N99" s="563"/>
      <c r="O99" s="563"/>
      <c r="P99" s="563"/>
      <c r="Q99" s="563"/>
      <c r="R99" s="563"/>
      <c r="S99" s="563"/>
      <c r="T99" s="563"/>
    </row>
    <row r="100" spans="1:20" ht="14.5" hidden="1" x14ac:dyDescent="0.35">
      <c r="A100" s="486" t="s">
        <v>275</v>
      </c>
      <c r="B100" s="486"/>
      <c r="C100" s="487">
        <v>0</v>
      </c>
      <c r="D100" s="488">
        <v>0</v>
      </c>
      <c r="E100" s="488">
        <f t="array" ref="E100">SUM(IF('6. Class A Consumption Data'!H230:I230="B",'6. Class A Consumption Data'!H228:I228))</f>
        <v>0</v>
      </c>
      <c r="F100" s="488">
        <f t="array" ref="F100">SUM(IF('6. Class A Consumption Data'!J230:K230="B",'6. Class A Consumption Data'!J228:K228))</f>
        <v>0</v>
      </c>
      <c r="G100" s="488">
        <f t="array" ref="G100">SUM(IF('6. Class A Consumption Data'!L230:M230="B",'6. Class A Consumption Data'!L228:M228))</f>
        <v>0</v>
      </c>
      <c r="H100" s="488">
        <f t="array" ref="H100">SUM(IF('6. Class A Consumption Data'!N230:O230="B",'6. Class A Consumption Data'!N228:O228))</f>
        <v>0</v>
      </c>
      <c r="I100" s="490">
        <f t="shared" si="3"/>
        <v>0</v>
      </c>
      <c r="J100" s="491">
        <f t="shared" si="4"/>
        <v>0</v>
      </c>
      <c r="K100" s="491">
        <f t="shared" si="5"/>
        <v>0</v>
      </c>
      <c r="L100" s="564">
        <v>0</v>
      </c>
      <c r="M100" s="563"/>
      <c r="N100" s="563"/>
      <c r="O100" s="563"/>
      <c r="P100" s="563"/>
      <c r="Q100" s="563"/>
      <c r="R100" s="563"/>
      <c r="S100" s="563"/>
      <c r="T100" s="563"/>
    </row>
    <row r="101" spans="1:20" ht="14.5" hidden="1" x14ac:dyDescent="0.35">
      <c r="A101" s="486" t="s">
        <v>276</v>
      </c>
      <c r="B101" s="486"/>
      <c r="C101" s="487">
        <v>0</v>
      </c>
      <c r="D101" s="488">
        <v>0</v>
      </c>
      <c r="E101" s="488">
        <f t="array" ref="E101">SUM(IF('6. Class A Consumption Data'!H233:I233="B",'6. Class A Consumption Data'!H231:I231))</f>
        <v>0</v>
      </c>
      <c r="F101" s="488">
        <f t="array" ref="F101">SUM(IF('6. Class A Consumption Data'!J233:K233="B",'6. Class A Consumption Data'!J231:K231))</f>
        <v>0</v>
      </c>
      <c r="G101" s="488">
        <f t="array" ref="G101">SUM(IF('6. Class A Consumption Data'!L233:M233="B",'6. Class A Consumption Data'!L231:M231))</f>
        <v>0</v>
      </c>
      <c r="H101" s="488">
        <f t="array" ref="H101">SUM(IF('6. Class A Consumption Data'!N233:O233="B",'6. Class A Consumption Data'!N231:O231))</f>
        <v>0</v>
      </c>
      <c r="I101" s="490">
        <f t="shared" si="3"/>
        <v>0</v>
      </c>
      <c r="J101" s="491">
        <f t="shared" si="4"/>
        <v>0</v>
      </c>
      <c r="K101" s="491">
        <f t="shared" si="5"/>
        <v>0</v>
      </c>
      <c r="L101" s="564">
        <v>0</v>
      </c>
      <c r="M101" s="563"/>
      <c r="N101" s="563"/>
      <c r="O101" s="563"/>
      <c r="P101" s="563"/>
      <c r="Q101" s="563"/>
      <c r="R101" s="563"/>
      <c r="S101" s="563"/>
      <c r="T101" s="563"/>
    </row>
    <row r="102" spans="1:20" ht="14.5" hidden="1" x14ac:dyDescent="0.35">
      <c r="A102" s="486" t="s">
        <v>277</v>
      </c>
      <c r="B102" s="486"/>
      <c r="C102" s="487">
        <v>0</v>
      </c>
      <c r="D102" s="488">
        <v>0</v>
      </c>
      <c r="E102" s="488">
        <f t="array" ref="E102">SUM(IF('6. Class A Consumption Data'!H236:I236="B",'6. Class A Consumption Data'!H234:I234))</f>
        <v>0</v>
      </c>
      <c r="F102" s="488">
        <f t="array" ref="F102">SUM(IF('6. Class A Consumption Data'!J236:K236="B",'6. Class A Consumption Data'!J234:K234))</f>
        <v>0</v>
      </c>
      <c r="G102" s="488">
        <f t="array" ref="G102">SUM(IF('6. Class A Consumption Data'!L236:M236="B",'6. Class A Consumption Data'!L234:M234))</f>
        <v>0</v>
      </c>
      <c r="H102" s="488">
        <f t="array" ref="H102">SUM(IF('6. Class A Consumption Data'!N236:O236="B",'6. Class A Consumption Data'!N234:O234))</f>
        <v>0</v>
      </c>
      <c r="I102" s="490">
        <f t="shared" si="3"/>
        <v>0</v>
      </c>
      <c r="J102" s="491">
        <f t="shared" si="4"/>
        <v>0</v>
      </c>
      <c r="K102" s="491">
        <f t="shared" si="5"/>
        <v>0</v>
      </c>
      <c r="L102" s="564">
        <v>0</v>
      </c>
      <c r="M102" s="563"/>
      <c r="N102" s="563"/>
      <c r="O102" s="563"/>
      <c r="P102" s="563"/>
      <c r="Q102" s="563"/>
      <c r="R102" s="563"/>
      <c r="S102" s="563"/>
      <c r="T102" s="563"/>
    </row>
    <row r="103" spans="1:20" ht="14.5" hidden="1" x14ac:dyDescent="0.35">
      <c r="A103" s="486" t="s">
        <v>278</v>
      </c>
      <c r="B103" s="486"/>
      <c r="C103" s="487">
        <v>0</v>
      </c>
      <c r="D103" s="488">
        <v>0</v>
      </c>
      <c r="E103" s="488">
        <f t="array" ref="E103">SUM(IF('6. Class A Consumption Data'!H239:I239="B",'6. Class A Consumption Data'!H237:I237))</f>
        <v>0</v>
      </c>
      <c r="F103" s="488">
        <f t="array" ref="F103">SUM(IF('6. Class A Consumption Data'!J239:K239="B",'6. Class A Consumption Data'!J237:K237))</f>
        <v>0</v>
      </c>
      <c r="G103" s="488">
        <f t="array" ref="G103">SUM(IF('6. Class A Consumption Data'!L239:M239="B",'6. Class A Consumption Data'!L237:M237))</f>
        <v>0</v>
      </c>
      <c r="H103" s="488">
        <f t="array" ref="H103">SUM(IF('6. Class A Consumption Data'!N239:O239="B",'6. Class A Consumption Data'!N237:O237))</f>
        <v>0</v>
      </c>
      <c r="I103" s="490">
        <f t="shared" si="3"/>
        <v>0</v>
      </c>
      <c r="J103" s="491">
        <f t="shared" si="4"/>
        <v>0</v>
      </c>
      <c r="K103" s="491">
        <f t="shared" si="5"/>
        <v>0</v>
      </c>
      <c r="L103" s="564">
        <v>0</v>
      </c>
      <c r="M103" s="563"/>
      <c r="N103" s="563"/>
      <c r="O103" s="563"/>
      <c r="P103" s="563"/>
      <c r="Q103" s="563"/>
      <c r="R103" s="563"/>
      <c r="S103" s="563"/>
      <c r="T103" s="563"/>
    </row>
    <row r="104" spans="1:20" ht="14.5" hidden="1" x14ac:dyDescent="0.35">
      <c r="A104" s="486" t="s">
        <v>279</v>
      </c>
      <c r="B104" s="486"/>
      <c r="C104" s="487">
        <v>0</v>
      </c>
      <c r="D104" s="488">
        <v>0</v>
      </c>
      <c r="E104" s="488">
        <f t="array" ref="E104">SUM(IF('6. Class A Consumption Data'!H242:I242="B",'6. Class A Consumption Data'!H240:I240))</f>
        <v>0</v>
      </c>
      <c r="F104" s="488">
        <f t="array" ref="F104">SUM(IF('6. Class A Consumption Data'!J242:K242="B",'6. Class A Consumption Data'!J240:K240))</f>
        <v>0</v>
      </c>
      <c r="G104" s="488">
        <f t="array" ref="G104">SUM(IF('6. Class A Consumption Data'!L242:M242="B",'6. Class A Consumption Data'!L240:M240))</f>
        <v>0</v>
      </c>
      <c r="H104" s="488">
        <f t="array" ref="H104">SUM(IF('6. Class A Consumption Data'!N242:O242="B",'6. Class A Consumption Data'!N240:O240))</f>
        <v>0</v>
      </c>
      <c r="I104" s="490">
        <f t="shared" si="3"/>
        <v>0</v>
      </c>
      <c r="J104" s="491">
        <f t="shared" si="4"/>
        <v>0</v>
      </c>
      <c r="K104" s="491">
        <f t="shared" si="5"/>
        <v>0</v>
      </c>
      <c r="L104" s="564">
        <v>0</v>
      </c>
      <c r="M104" s="563"/>
      <c r="N104" s="563"/>
      <c r="O104" s="563"/>
      <c r="P104" s="563"/>
      <c r="Q104" s="563"/>
      <c r="R104" s="563"/>
      <c r="S104" s="563"/>
      <c r="T104" s="563"/>
    </row>
    <row r="105" spans="1:20" ht="14.5" hidden="1" x14ac:dyDescent="0.35">
      <c r="A105" s="486" t="s">
        <v>280</v>
      </c>
      <c r="B105" s="486"/>
      <c r="C105" s="487">
        <v>0</v>
      </c>
      <c r="D105" s="488">
        <v>0</v>
      </c>
      <c r="E105" s="488">
        <f t="array" ref="E105">SUM(IF('6. Class A Consumption Data'!H245:I245="B",'6. Class A Consumption Data'!H243:I243))</f>
        <v>0</v>
      </c>
      <c r="F105" s="488">
        <f t="array" ref="F105">SUM(IF('6. Class A Consumption Data'!J245:K245="B",'6. Class A Consumption Data'!J243:K243))</f>
        <v>0</v>
      </c>
      <c r="G105" s="488">
        <f t="array" ref="G105">SUM(IF('6. Class A Consumption Data'!L245:M245="B",'6. Class A Consumption Data'!L243:M243))</f>
        <v>0</v>
      </c>
      <c r="H105" s="488">
        <f t="array" ref="H105">SUM(IF('6. Class A Consumption Data'!N245:O245="B",'6. Class A Consumption Data'!N243:O243))</f>
        <v>0</v>
      </c>
      <c r="I105" s="490">
        <f t="shared" si="3"/>
        <v>0</v>
      </c>
      <c r="J105" s="491">
        <f t="shared" si="4"/>
        <v>0</v>
      </c>
      <c r="K105" s="491">
        <f t="shared" si="5"/>
        <v>0</v>
      </c>
      <c r="L105" s="564">
        <v>0</v>
      </c>
      <c r="M105" s="563"/>
      <c r="N105" s="563"/>
      <c r="O105" s="563"/>
      <c r="P105" s="563"/>
      <c r="Q105" s="563"/>
      <c r="R105" s="563"/>
      <c r="S105" s="563"/>
      <c r="T105" s="563"/>
    </row>
    <row r="106" spans="1:20" ht="14.5" hidden="1" x14ac:dyDescent="0.35">
      <c r="A106" s="486" t="s">
        <v>281</v>
      </c>
      <c r="B106" s="486"/>
      <c r="C106" s="487">
        <v>0</v>
      </c>
      <c r="D106" s="488">
        <v>0</v>
      </c>
      <c r="E106" s="488">
        <f t="array" ref="E106">SUM(IF('6. Class A Consumption Data'!H248:I248="B",'6. Class A Consumption Data'!H246:I246))</f>
        <v>0</v>
      </c>
      <c r="F106" s="488">
        <f t="array" ref="F106">SUM(IF('6. Class A Consumption Data'!J248:K248="B",'6. Class A Consumption Data'!J246:K246))</f>
        <v>0</v>
      </c>
      <c r="G106" s="488">
        <f t="array" ref="G106">SUM(IF('6. Class A Consumption Data'!L248:M248="B",'6. Class A Consumption Data'!L246:M246))</f>
        <v>0</v>
      </c>
      <c r="H106" s="488">
        <f t="array" ref="H106">SUM(IF('6. Class A Consumption Data'!N248:O248="B",'6. Class A Consumption Data'!N246:O246))</f>
        <v>0</v>
      </c>
      <c r="I106" s="490">
        <f t="shared" si="3"/>
        <v>0</v>
      </c>
      <c r="J106" s="491">
        <f t="shared" si="4"/>
        <v>0</v>
      </c>
      <c r="K106" s="491">
        <f t="shared" si="5"/>
        <v>0</v>
      </c>
      <c r="L106" s="564">
        <v>0</v>
      </c>
      <c r="M106" s="563"/>
      <c r="N106" s="563"/>
      <c r="O106" s="563"/>
      <c r="P106" s="563"/>
      <c r="Q106" s="563"/>
      <c r="R106" s="563"/>
      <c r="S106" s="563"/>
      <c r="T106" s="563"/>
    </row>
    <row r="107" spans="1:20" ht="14.5" hidden="1" x14ac:dyDescent="0.35">
      <c r="A107" s="486" t="s">
        <v>282</v>
      </c>
      <c r="B107" s="486"/>
      <c r="C107" s="487">
        <v>0</v>
      </c>
      <c r="D107" s="488">
        <v>0</v>
      </c>
      <c r="E107" s="488">
        <f t="array" ref="E107">SUM(IF('6. Class A Consumption Data'!H251:I251="B",'6. Class A Consumption Data'!H249:I249))</f>
        <v>0</v>
      </c>
      <c r="F107" s="488">
        <f t="array" ref="F107">SUM(IF('6. Class A Consumption Data'!J251:K251="B",'6. Class A Consumption Data'!J249:K249))</f>
        <v>0</v>
      </c>
      <c r="G107" s="488">
        <f t="array" ref="G107">SUM(IF('6. Class A Consumption Data'!L251:M251="B",'6. Class A Consumption Data'!L249:M249))</f>
        <v>0</v>
      </c>
      <c r="H107" s="488">
        <f t="array" ref="H107">SUM(IF('6. Class A Consumption Data'!N251:O251="B",'6. Class A Consumption Data'!N249:O249))</f>
        <v>0</v>
      </c>
      <c r="I107" s="490">
        <f t="shared" si="3"/>
        <v>0</v>
      </c>
      <c r="J107" s="491">
        <f t="shared" si="4"/>
        <v>0</v>
      </c>
      <c r="K107" s="491">
        <f t="shared" si="5"/>
        <v>0</v>
      </c>
      <c r="L107" s="564">
        <v>0</v>
      </c>
      <c r="M107" s="563"/>
      <c r="N107" s="563"/>
      <c r="O107" s="563"/>
      <c r="P107" s="563"/>
      <c r="Q107" s="563"/>
      <c r="R107" s="563"/>
      <c r="S107" s="563"/>
      <c r="T107" s="563"/>
    </row>
    <row r="108" spans="1:20" ht="14.5" hidden="1" x14ac:dyDescent="0.35">
      <c r="A108" s="486" t="s">
        <v>283</v>
      </c>
      <c r="B108" s="486"/>
      <c r="C108" s="487">
        <v>0</v>
      </c>
      <c r="D108" s="488">
        <v>0</v>
      </c>
      <c r="E108" s="488">
        <f t="array" ref="E108">SUM(IF('6. Class A Consumption Data'!H254:I254="B",'6. Class A Consumption Data'!H252:I252))</f>
        <v>0</v>
      </c>
      <c r="F108" s="488">
        <f t="array" ref="F108">SUM(IF('6. Class A Consumption Data'!J254:K254="B",'6. Class A Consumption Data'!J252:K252))</f>
        <v>0</v>
      </c>
      <c r="G108" s="488">
        <f t="array" ref="G108">SUM(IF('6. Class A Consumption Data'!L254:M254="B",'6. Class A Consumption Data'!L252:M252))</f>
        <v>0</v>
      </c>
      <c r="H108" s="488">
        <f t="array" ref="H108">SUM(IF('6. Class A Consumption Data'!N254:O254="B",'6. Class A Consumption Data'!N252:O252))</f>
        <v>0</v>
      </c>
      <c r="I108" s="490">
        <f t="shared" si="3"/>
        <v>0</v>
      </c>
      <c r="J108" s="491">
        <f t="shared" si="4"/>
        <v>0</v>
      </c>
      <c r="K108" s="491">
        <f t="shared" si="5"/>
        <v>0</v>
      </c>
      <c r="L108" s="564">
        <v>0</v>
      </c>
      <c r="M108" s="563"/>
      <c r="N108" s="563"/>
      <c r="O108" s="563"/>
      <c r="P108" s="563"/>
      <c r="Q108" s="563"/>
      <c r="R108" s="563"/>
      <c r="S108" s="563"/>
      <c r="T108" s="563"/>
    </row>
    <row r="109" spans="1:20" ht="14.5" hidden="1" x14ac:dyDescent="0.35">
      <c r="A109" s="486" t="s">
        <v>284</v>
      </c>
      <c r="B109" s="486"/>
      <c r="C109" s="487">
        <v>0</v>
      </c>
      <c r="D109" s="488">
        <v>0</v>
      </c>
      <c r="E109" s="488">
        <f t="array" ref="E109">SUM(IF('6. Class A Consumption Data'!H257:I257="B",'6. Class A Consumption Data'!H255:I255))</f>
        <v>0</v>
      </c>
      <c r="F109" s="488">
        <f t="array" ref="F109">SUM(IF('6. Class A Consumption Data'!J257:K257="B",'6. Class A Consumption Data'!J255:K255))</f>
        <v>0</v>
      </c>
      <c r="G109" s="488">
        <f t="array" ref="G109">SUM(IF('6. Class A Consumption Data'!L257:M257="B",'6. Class A Consumption Data'!L255:M255))</f>
        <v>0</v>
      </c>
      <c r="H109" s="488">
        <f t="array" ref="H109">SUM(IF('6. Class A Consumption Data'!N257:O257="B",'6. Class A Consumption Data'!N255:O255))</f>
        <v>0</v>
      </c>
      <c r="I109" s="490">
        <f t="shared" si="3"/>
        <v>0</v>
      </c>
      <c r="J109" s="491">
        <f t="shared" si="4"/>
        <v>0</v>
      </c>
      <c r="K109" s="491">
        <f t="shared" si="5"/>
        <v>0</v>
      </c>
      <c r="L109" s="564">
        <v>0</v>
      </c>
      <c r="M109" s="563"/>
      <c r="N109" s="563"/>
      <c r="O109" s="563"/>
      <c r="P109" s="563"/>
      <c r="Q109" s="563"/>
      <c r="R109" s="563"/>
      <c r="S109" s="563"/>
      <c r="T109" s="563"/>
    </row>
    <row r="110" spans="1:20" ht="14.5" hidden="1" x14ac:dyDescent="0.35">
      <c r="A110" s="486" t="s">
        <v>285</v>
      </c>
      <c r="B110" s="486"/>
      <c r="C110" s="487">
        <v>0</v>
      </c>
      <c r="D110" s="488">
        <v>0</v>
      </c>
      <c r="E110" s="488">
        <f t="array" ref="E110">SUM(IF('6. Class A Consumption Data'!H260:I260="B",'6. Class A Consumption Data'!H258:I258))</f>
        <v>0</v>
      </c>
      <c r="F110" s="488">
        <f t="array" ref="F110">SUM(IF('6. Class A Consumption Data'!J260:K260="B",'6. Class A Consumption Data'!J258:K258))</f>
        <v>0</v>
      </c>
      <c r="G110" s="488">
        <f t="array" ref="G110">SUM(IF('6. Class A Consumption Data'!L260:M260="B",'6. Class A Consumption Data'!L258:M258))</f>
        <v>0</v>
      </c>
      <c r="H110" s="488">
        <f t="array" ref="H110">SUM(IF('6. Class A Consumption Data'!N260:O260="B",'6. Class A Consumption Data'!N258:O258))</f>
        <v>0</v>
      </c>
      <c r="I110" s="490">
        <f t="shared" si="3"/>
        <v>0</v>
      </c>
      <c r="J110" s="491">
        <f t="shared" si="4"/>
        <v>0</v>
      </c>
      <c r="K110" s="491">
        <f t="shared" si="5"/>
        <v>0</v>
      </c>
      <c r="L110" s="564">
        <v>0</v>
      </c>
      <c r="M110" s="563"/>
      <c r="N110" s="563"/>
      <c r="O110" s="563"/>
      <c r="P110" s="563"/>
      <c r="Q110" s="563"/>
      <c r="R110" s="563"/>
      <c r="S110" s="563"/>
      <c r="T110" s="563"/>
    </row>
    <row r="111" spans="1:20" ht="14.5" hidden="1" x14ac:dyDescent="0.35">
      <c r="A111" s="486" t="s">
        <v>286</v>
      </c>
      <c r="B111" s="486"/>
      <c r="C111" s="487">
        <v>0</v>
      </c>
      <c r="D111" s="488">
        <v>0</v>
      </c>
      <c r="E111" s="488">
        <f t="array" ref="E111">SUM(IF('6. Class A Consumption Data'!H263:I263="B",'6. Class A Consumption Data'!H261:I261))</f>
        <v>0</v>
      </c>
      <c r="F111" s="488">
        <f t="array" ref="F111">SUM(IF('6. Class A Consumption Data'!J263:K263="B",'6. Class A Consumption Data'!J261:K261))</f>
        <v>0</v>
      </c>
      <c r="G111" s="488">
        <f t="array" ref="G111">SUM(IF('6. Class A Consumption Data'!L263:M263="B",'6. Class A Consumption Data'!L261:M261))</f>
        <v>0</v>
      </c>
      <c r="H111" s="488">
        <f t="array" ref="H111">SUM(IF('6. Class A Consumption Data'!N263:O263="B",'6. Class A Consumption Data'!N261:O261))</f>
        <v>0</v>
      </c>
      <c r="I111" s="490">
        <f t="shared" si="3"/>
        <v>0</v>
      </c>
      <c r="J111" s="491">
        <f t="shared" si="4"/>
        <v>0</v>
      </c>
      <c r="K111" s="491">
        <f t="shared" si="5"/>
        <v>0</v>
      </c>
      <c r="L111" s="564">
        <v>0</v>
      </c>
      <c r="M111" s="563"/>
      <c r="N111" s="563"/>
      <c r="O111" s="563"/>
      <c r="P111" s="563"/>
      <c r="Q111" s="563"/>
      <c r="R111" s="563"/>
      <c r="S111" s="563"/>
      <c r="T111" s="563"/>
    </row>
    <row r="112" spans="1:20" ht="14.5" hidden="1" x14ac:dyDescent="0.35">
      <c r="A112" s="486" t="s">
        <v>287</v>
      </c>
      <c r="B112" s="486"/>
      <c r="C112" s="487">
        <v>0</v>
      </c>
      <c r="D112" s="488">
        <v>0</v>
      </c>
      <c r="E112" s="488">
        <f t="array" ref="E112">SUM(IF('6. Class A Consumption Data'!H266:I266="B",'6. Class A Consumption Data'!H264:I264))</f>
        <v>0</v>
      </c>
      <c r="F112" s="488">
        <f t="array" ref="F112">SUM(IF('6. Class A Consumption Data'!J266:K266="B",'6. Class A Consumption Data'!J264:K264))</f>
        <v>0</v>
      </c>
      <c r="G112" s="488">
        <f t="array" ref="G112">SUM(IF('6. Class A Consumption Data'!L266:M266="B",'6. Class A Consumption Data'!L264:M264))</f>
        <v>0</v>
      </c>
      <c r="H112" s="488">
        <f t="array" ref="H112">SUM(IF('6. Class A Consumption Data'!N266:O266="B",'6. Class A Consumption Data'!N264:O264))</f>
        <v>0</v>
      </c>
      <c r="I112" s="490">
        <f t="shared" si="3"/>
        <v>0</v>
      </c>
      <c r="J112" s="491">
        <f t="shared" si="4"/>
        <v>0</v>
      </c>
      <c r="K112" s="491">
        <f t="shared" si="5"/>
        <v>0</v>
      </c>
      <c r="L112" s="564">
        <v>0</v>
      </c>
      <c r="M112" s="563"/>
      <c r="N112" s="563"/>
      <c r="O112" s="563"/>
      <c r="P112" s="563"/>
      <c r="Q112" s="563"/>
      <c r="R112" s="563"/>
      <c r="S112" s="563"/>
      <c r="T112" s="563"/>
    </row>
    <row r="113" spans="1:20" ht="14.5" hidden="1" x14ac:dyDescent="0.35">
      <c r="A113" s="486" t="s">
        <v>288</v>
      </c>
      <c r="B113" s="486"/>
      <c r="C113" s="487">
        <v>0</v>
      </c>
      <c r="D113" s="488">
        <v>0</v>
      </c>
      <c r="E113" s="488">
        <f t="array" ref="E113">SUM(IF('6. Class A Consumption Data'!H269:I269="B",'6. Class A Consumption Data'!H267:I267))</f>
        <v>0</v>
      </c>
      <c r="F113" s="488">
        <f t="array" ref="F113">SUM(IF('6. Class A Consumption Data'!J269:K269="B",'6. Class A Consumption Data'!J267:K267))</f>
        <v>0</v>
      </c>
      <c r="G113" s="488">
        <f t="array" ref="G113">SUM(IF('6. Class A Consumption Data'!L269:M269="B",'6. Class A Consumption Data'!L267:M267))</f>
        <v>0</v>
      </c>
      <c r="H113" s="488">
        <f t="array" ref="H113">SUM(IF('6. Class A Consumption Data'!N269:O269="B",'6. Class A Consumption Data'!N267:O267))</f>
        <v>0</v>
      </c>
      <c r="I113" s="490">
        <f t="shared" si="3"/>
        <v>0</v>
      </c>
      <c r="J113" s="491">
        <f t="shared" si="4"/>
        <v>0</v>
      </c>
      <c r="K113" s="491">
        <f t="shared" si="5"/>
        <v>0</v>
      </c>
      <c r="L113" s="564">
        <v>0</v>
      </c>
      <c r="M113" s="563"/>
      <c r="N113" s="563"/>
      <c r="O113" s="563"/>
      <c r="P113" s="563"/>
      <c r="Q113" s="563"/>
      <c r="R113" s="563"/>
      <c r="S113" s="563"/>
      <c r="T113" s="563"/>
    </row>
    <row r="114" spans="1:20" ht="14.5" hidden="1" x14ac:dyDescent="0.35">
      <c r="A114" s="486" t="s">
        <v>289</v>
      </c>
      <c r="B114" s="486"/>
      <c r="C114" s="487">
        <v>0</v>
      </c>
      <c r="D114" s="488">
        <v>0</v>
      </c>
      <c r="E114" s="488">
        <f t="array" ref="E114">SUM(IF('6. Class A Consumption Data'!H272:I272="B",'6. Class A Consumption Data'!H270:I270))</f>
        <v>0</v>
      </c>
      <c r="F114" s="488">
        <f t="array" ref="F114">SUM(IF('6. Class A Consumption Data'!J272:K272="B",'6. Class A Consumption Data'!J270:K270))</f>
        <v>0</v>
      </c>
      <c r="G114" s="488">
        <f t="array" ref="G114">SUM(IF('6. Class A Consumption Data'!L272:M272="B",'6. Class A Consumption Data'!L270:M270))</f>
        <v>0</v>
      </c>
      <c r="H114" s="488">
        <f t="array" ref="H114">SUM(IF('6. Class A Consumption Data'!N272:O272="B",'6. Class A Consumption Data'!N270:O270))</f>
        <v>0</v>
      </c>
      <c r="I114" s="490">
        <f t="shared" si="3"/>
        <v>0</v>
      </c>
      <c r="J114" s="491">
        <f t="shared" si="4"/>
        <v>0</v>
      </c>
      <c r="K114" s="491">
        <f t="shared" si="5"/>
        <v>0</v>
      </c>
      <c r="L114" s="564">
        <v>0</v>
      </c>
      <c r="M114" s="563"/>
      <c r="N114" s="563"/>
      <c r="O114" s="563"/>
      <c r="P114" s="563"/>
      <c r="Q114" s="563"/>
      <c r="R114" s="563"/>
      <c r="S114" s="563"/>
      <c r="T114" s="563"/>
    </row>
    <row r="115" spans="1:20" ht="14.5" hidden="1" x14ac:dyDescent="0.35">
      <c r="A115" s="486" t="s">
        <v>290</v>
      </c>
      <c r="B115" s="486"/>
      <c r="C115" s="487">
        <v>0</v>
      </c>
      <c r="D115" s="488">
        <v>0</v>
      </c>
      <c r="E115" s="488">
        <f t="array" ref="E115">SUM(IF('6. Class A Consumption Data'!H275:I275="B",'6. Class A Consumption Data'!H273:I273))</f>
        <v>0</v>
      </c>
      <c r="F115" s="488">
        <f t="array" ref="F115">SUM(IF('6. Class A Consumption Data'!J275:K275="B",'6. Class A Consumption Data'!J273:K273))</f>
        <v>0</v>
      </c>
      <c r="G115" s="488">
        <f t="array" ref="G115">SUM(IF('6. Class A Consumption Data'!L275:M275="B",'6. Class A Consumption Data'!L273:M273))</f>
        <v>0</v>
      </c>
      <c r="H115" s="488">
        <f t="array" ref="H115">SUM(IF('6. Class A Consumption Data'!N275:O275="B",'6. Class A Consumption Data'!N273:O273))</f>
        <v>0</v>
      </c>
      <c r="I115" s="490">
        <f t="shared" si="3"/>
        <v>0</v>
      </c>
      <c r="J115" s="491">
        <f t="shared" si="4"/>
        <v>0</v>
      </c>
      <c r="K115" s="491">
        <f t="shared" si="5"/>
        <v>0</v>
      </c>
      <c r="L115" s="564">
        <v>0</v>
      </c>
      <c r="M115" s="563"/>
      <c r="N115" s="563"/>
      <c r="O115" s="563"/>
      <c r="P115" s="563"/>
      <c r="Q115" s="563"/>
      <c r="R115" s="563"/>
      <c r="S115" s="563"/>
      <c r="T115" s="563"/>
    </row>
    <row r="116" spans="1:20" ht="14.5" hidden="1" x14ac:dyDescent="0.35">
      <c r="A116" s="486" t="s">
        <v>291</v>
      </c>
      <c r="B116" s="486"/>
      <c r="C116" s="487">
        <v>0</v>
      </c>
      <c r="D116" s="488">
        <v>0</v>
      </c>
      <c r="E116" s="488">
        <f t="array" ref="E116">SUM(IF('6. Class A Consumption Data'!H278:I278="B",'6. Class A Consumption Data'!H276:I276))</f>
        <v>0</v>
      </c>
      <c r="F116" s="488">
        <f t="array" ref="F116">SUM(IF('6. Class A Consumption Data'!J278:K278="B",'6. Class A Consumption Data'!J276:K276))</f>
        <v>0</v>
      </c>
      <c r="G116" s="488">
        <f t="array" ref="G116">SUM(IF('6. Class A Consumption Data'!L278:M278="B",'6. Class A Consumption Data'!L276:M276))</f>
        <v>0</v>
      </c>
      <c r="H116" s="488">
        <f t="array" ref="H116">SUM(IF('6. Class A Consumption Data'!N278:O278="B",'6. Class A Consumption Data'!N276:O276))</f>
        <v>0</v>
      </c>
      <c r="I116" s="490">
        <f t="shared" si="3"/>
        <v>0</v>
      </c>
      <c r="J116" s="491">
        <f t="shared" si="4"/>
        <v>0</v>
      </c>
      <c r="K116" s="491">
        <f t="shared" si="5"/>
        <v>0</v>
      </c>
      <c r="L116" s="564">
        <v>0</v>
      </c>
      <c r="M116" s="563"/>
      <c r="N116" s="563"/>
      <c r="O116" s="563"/>
      <c r="P116" s="563"/>
      <c r="Q116" s="563"/>
      <c r="R116" s="563"/>
      <c r="S116" s="563"/>
      <c r="T116" s="563"/>
    </row>
    <row r="117" spans="1:20" ht="14.5" hidden="1" x14ac:dyDescent="0.35">
      <c r="A117" s="486" t="s">
        <v>292</v>
      </c>
      <c r="B117" s="486"/>
      <c r="C117" s="487">
        <v>0</v>
      </c>
      <c r="D117" s="488">
        <v>0</v>
      </c>
      <c r="E117" s="488">
        <f t="array" ref="E117">SUM(IF('6. Class A Consumption Data'!H281:I281="B",'6. Class A Consumption Data'!H279:I279))</f>
        <v>0</v>
      </c>
      <c r="F117" s="488">
        <f t="array" ref="F117">SUM(IF('6. Class A Consumption Data'!J281:K281="B",'6. Class A Consumption Data'!J279:K279))</f>
        <v>0</v>
      </c>
      <c r="G117" s="488">
        <f t="array" ref="G117">SUM(IF('6. Class A Consumption Data'!L281:M281="B",'6. Class A Consumption Data'!L279:M279))</f>
        <v>0</v>
      </c>
      <c r="H117" s="488">
        <f t="array" ref="H117">SUM(IF('6. Class A Consumption Data'!N281:O281="B",'6. Class A Consumption Data'!N279:O279))</f>
        <v>0</v>
      </c>
      <c r="I117" s="490">
        <f t="shared" si="3"/>
        <v>0</v>
      </c>
      <c r="J117" s="491">
        <f t="shared" si="4"/>
        <v>0</v>
      </c>
      <c r="K117" s="491">
        <f t="shared" si="5"/>
        <v>0</v>
      </c>
      <c r="L117" s="564">
        <v>0</v>
      </c>
      <c r="M117" s="563"/>
      <c r="N117" s="563"/>
      <c r="O117" s="563"/>
      <c r="P117" s="563"/>
      <c r="Q117" s="563"/>
      <c r="R117" s="563"/>
      <c r="S117" s="563"/>
      <c r="T117" s="563"/>
    </row>
    <row r="118" spans="1:20" ht="14.5" hidden="1" x14ac:dyDescent="0.35">
      <c r="A118" s="486" t="s">
        <v>293</v>
      </c>
      <c r="B118" s="486"/>
      <c r="C118" s="487">
        <v>0</v>
      </c>
      <c r="D118" s="488">
        <v>0</v>
      </c>
      <c r="E118" s="488">
        <f t="array" ref="E118">SUM(IF('6. Class A Consumption Data'!H284:I284="B",'6. Class A Consumption Data'!H282:I282))</f>
        <v>0</v>
      </c>
      <c r="F118" s="488">
        <f t="array" ref="F118">SUM(IF('6. Class A Consumption Data'!J284:K284="B",'6. Class A Consumption Data'!J282:K282))</f>
        <v>0</v>
      </c>
      <c r="G118" s="488">
        <f t="array" ref="G118">SUM(IF('6. Class A Consumption Data'!L284:M284="B",'6. Class A Consumption Data'!L282:M282))</f>
        <v>0</v>
      </c>
      <c r="H118" s="488">
        <f t="array" ref="H118">SUM(IF('6. Class A Consumption Data'!N284:O284="B",'6. Class A Consumption Data'!N282:O282))</f>
        <v>0</v>
      </c>
      <c r="I118" s="490">
        <f t="shared" si="3"/>
        <v>0</v>
      </c>
      <c r="J118" s="491">
        <f t="shared" si="4"/>
        <v>0</v>
      </c>
      <c r="K118" s="491">
        <f t="shared" si="5"/>
        <v>0</v>
      </c>
      <c r="L118" s="564">
        <v>0</v>
      </c>
      <c r="M118" s="563"/>
      <c r="N118" s="563"/>
      <c r="O118" s="563"/>
      <c r="P118" s="563"/>
      <c r="Q118" s="563"/>
      <c r="R118" s="563"/>
      <c r="S118" s="563"/>
      <c r="T118" s="563"/>
    </row>
    <row r="119" spans="1:20" ht="14.5" hidden="1" x14ac:dyDescent="0.35">
      <c r="A119" s="486" t="s">
        <v>294</v>
      </c>
      <c r="B119" s="486"/>
      <c r="C119" s="487">
        <v>0</v>
      </c>
      <c r="D119" s="488">
        <v>0</v>
      </c>
      <c r="E119" s="488">
        <f t="array" ref="E119">SUM(IF('6. Class A Consumption Data'!H287:I287="B",'6. Class A Consumption Data'!H285:I285))</f>
        <v>0</v>
      </c>
      <c r="F119" s="488">
        <f t="array" ref="F119">SUM(IF('6. Class A Consumption Data'!J287:K287="B",'6. Class A Consumption Data'!J285:K285))</f>
        <v>0</v>
      </c>
      <c r="G119" s="488">
        <f t="array" ref="G119">SUM(IF('6. Class A Consumption Data'!L287:M287="B",'6. Class A Consumption Data'!L285:M285))</f>
        <v>0</v>
      </c>
      <c r="H119" s="488">
        <f t="array" ref="H119">SUM(IF('6. Class A Consumption Data'!N287:O287="B",'6. Class A Consumption Data'!N285:O285))</f>
        <v>0</v>
      </c>
      <c r="I119" s="490">
        <f t="shared" si="3"/>
        <v>0</v>
      </c>
      <c r="J119" s="491">
        <f t="shared" si="4"/>
        <v>0</v>
      </c>
      <c r="K119" s="491">
        <f t="shared" si="5"/>
        <v>0</v>
      </c>
      <c r="L119" s="564">
        <v>0</v>
      </c>
      <c r="M119" s="563"/>
      <c r="N119" s="563"/>
      <c r="O119" s="563"/>
      <c r="P119" s="563"/>
      <c r="Q119" s="563"/>
      <c r="R119" s="563"/>
      <c r="S119" s="563"/>
      <c r="T119" s="563"/>
    </row>
    <row r="120" spans="1:20" ht="14.5" hidden="1" x14ac:dyDescent="0.35">
      <c r="A120" s="486" t="s">
        <v>295</v>
      </c>
      <c r="B120" s="486"/>
      <c r="C120" s="487">
        <v>0</v>
      </c>
      <c r="D120" s="488">
        <v>0</v>
      </c>
      <c r="E120" s="488">
        <f t="array" ref="E120">SUM(IF('6. Class A Consumption Data'!H290:I290="B",'6. Class A Consumption Data'!H288:I288))</f>
        <v>0</v>
      </c>
      <c r="F120" s="488">
        <f t="array" ref="F120">SUM(IF('6. Class A Consumption Data'!J290:K290="B",'6. Class A Consumption Data'!J288:K288))</f>
        <v>0</v>
      </c>
      <c r="G120" s="488">
        <f t="array" ref="G120">SUM(IF('6. Class A Consumption Data'!L290:M290="B",'6. Class A Consumption Data'!L288:M288))</f>
        <v>0</v>
      </c>
      <c r="H120" s="488">
        <f t="array" ref="H120">SUM(IF('6. Class A Consumption Data'!N290:O290="B",'6. Class A Consumption Data'!N288:O288))</f>
        <v>0</v>
      </c>
      <c r="I120" s="490">
        <f t="shared" si="3"/>
        <v>0</v>
      </c>
      <c r="J120" s="491">
        <f t="shared" si="4"/>
        <v>0</v>
      </c>
      <c r="K120" s="491">
        <f t="shared" si="5"/>
        <v>0</v>
      </c>
      <c r="L120" s="564">
        <v>0</v>
      </c>
      <c r="M120" s="563"/>
      <c r="N120" s="563"/>
      <c r="O120" s="563"/>
      <c r="P120" s="563"/>
      <c r="Q120" s="563"/>
      <c r="R120" s="563"/>
      <c r="S120" s="563"/>
      <c r="T120" s="563"/>
    </row>
    <row r="121" spans="1:20" ht="14.5" hidden="1" x14ac:dyDescent="0.35">
      <c r="A121" s="486" t="s">
        <v>296</v>
      </c>
      <c r="B121" s="486"/>
      <c r="C121" s="487">
        <v>0</v>
      </c>
      <c r="D121" s="488">
        <v>0</v>
      </c>
      <c r="E121" s="488">
        <f t="array" ref="E121">SUM(IF('6. Class A Consumption Data'!H293:I293="B",'6. Class A Consumption Data'!H291:I291))</f>
        <v>0</v>
      </c>
      <c r="F121" s="488">
        <f t="array" ref="F121">SUM(IF('6. Class A Consumption Data'!J293:K293="B",'6. Class A Consumption Data'!J291:K291))</f>
        <v>0</v>
      </c>
      <c r="G121" s="488">
        <f t="array" ref="G121">SUM(IF('6. Class A Consumption Data'!L293:M293="B",'6. Class A Consumption Data'!L291:M291))</f>
        <v>0</v>
      </c>
      <c r="H121" s="488">
        <f t="array" ref="H121">SUM(IF('6. Class A Consumption Data'!N293:O293="B",'6. Class A Consumption Data'!N291:O291))</f>
        <v>0</v>
      </c>
      <c r="I121" s="490">
        <f t="shared" si="3"/>
        <v>0</v>
      </c>
      <c r="J121" s="491">
        <f t="shared" si="4"/>
        <v>0</v>
      </c>
      <c r="K121" s="491">
        <f t="shared" si="5"/>
        <v>0</v>
      </c>
      <c r="L121" s="564">
        <v>0</v>
      </c>
      <c r="M121" s="563"/>
      <c r="N121" s="563"/>
      <c r="O121" s="563"/>
      <c r="P121" s="563"/>
      <c r="Q121" s="563"/>
      <c r="R121" s="563"/>
      <c r="S121" s="563"/>
      <c r="T121" s="563"/>
    </row>
    <row r="122" spans="1:20" ht="14.5" hidden="1" x14ac:dyDescent="0.35">
      <c r="A122" s="486" t="s">
        <v>297</v>
      </c>
      <c r="B122" s="486"/>
      <c r="C122" s="487">
        <v>0</v>
      </c>
      <c r="D122" s="488">
        <v>0</v>
      </c>
      <c r="E122" s="488">
        <f t="array" ref="E122">SUM(IF('6. Class A Consumption Data'!H296:I296="B",'6. Class A Consumption Data'!H294:I294))</f>
        <v>0</v>
      </c>
      <c r="F122" s="488">
        <f t="array" ref="F122">SUM(IF('6. Class A Consumption Data'!J296:K296="B",'6. Class A Consumption Data'!J294:K294))</f>
        <v>0</v>
      </c>
      <c r="G122" s="488">
        <f t="array" ref="G122">SUM(IF('6. Class A Consumption Data'!L296:M296="B",'6. Class A Consumption Data'!L294:M294))</f>
        <v>0</v>
      </c>
      <c r="H122" s="488">
        <f t="array" ref="H122">SUM(IF('6. Class A Consumption Data'!N296:O296="B",'6. Class A Consumption Data'!N294:O294))</f>
        <v>0</v>
      </c>
      <c r="I122" s="490">
        <f t="shared" si="3"/>
        <v>0</v>
      </c>
      <c r="J122" s="491">
        <f t="shared" si="4"/>
        <v>0</v>
      </c>
      <c r="K122" s="491">
        <f t="shared" si="5"/>
        <v>0</v>
      </c>
      <c r="L122" s="564">
        <v>0</v>
      </c>
      <c r="M122" s="563"/>
      <c r="N122" s="563"/>
      <c r="O122" s="563"/>
      <c r="P122" s="563"/>
      <c r="Q122" s="563"/>
      <c r="R122" s="563"/>
      <c r="S122" s="563"/>
      <c r="T122" s="563"/>
    </row>
    <row r="123" spans="1:20" ht="14.5" hidden="1" x14ac:dyDescent="0.35">
      <c r="A123" s="486" t="s">
        <v>298</v>
      </c>
      <c r="B123" s="486"/>
      <c r="C123" s="487">
        <v>0</v>
      </c>
      <c r="D123" s="488">
        <v>0</v>
      </c>
      <c r="E123" s="488">
        <f t="array" ref="E123">SUM(IF('6. Class A Consumption Data'!H299:I299="B",'6. Class A Consumption Data'!H297:I297))</f>
        <v>0</v>
      </c>
      <c r="F123" s="488">
        <f t="array" ref="F123">SUM(IF('6. Class A Consumption Data'!J299:K299="B",'6. Class A Consumption Data'!J297:K297))</f>
        <v>0</v>
      </c>
      <c r="G123" s="488">
        <f t="array" ref="G123">SUM(IF('6. Class A Consumption Data'!L299:M299="B",'6. Class A Consumption Data'!L297:M297))</f>
        <v>0</v>
      </c>
      <c r="H123" s="488">
        <f t="array" ref="H123">SUM(IF('6. Class A Consumption Data'!N299:O299="B",'6. Class A Consumption Data'!N297:O297))</f>
        <v>0</v>
      </c>
      <c r="I123" s="490">
        <f t="shared" si="3"/>
        <v>0</v>
      </c>
      <c r="J123" s="491">
        <f t="shared" si="4"/>
        <v>0</v>
      </c>
      <c r="K123" s="491">
        <f t="shared" si="5"/>
        <v>0</v>
      </c>
      <c r="L123" s="564">
        <v>0</v>
      </c>
      <c r="M123" s="563"/>
      <c r="N123" s="563"/>
      <c r="O123" s="563"/>
      <c r="P123" s="563"/>
      <c r="Q123" s="563"/>
      <c r="R123" s="563"/>
      <c r="S123" s="563"/>
      <c r="T123" s="563"/>
    </row>
    <row r="124" spans="1:20" ht="14.5" hidden="1" x14ac:dyDescent="0.35">
      <c r="A124" s="486" t="s">
        <v>299</v>
      </c>
      <c r="B124" s="486"/>
      <c r="C124" s="487">
        <v>0</v>
      </c>
      <c r="D124" s="488">
        <v>0</v>
      </c>
      <c r="E124" s="488">
        <f t="array" ref="E124">SUM(IF('6. Class A Consumption Data'!H302:I302="B",'6. Class A Consumption Data'!H300:I300))</f>
        <v>0</v>
      </c>
      <c r="F124" s="488">
        <f t="array" ref="F124">SUM(IF('6. Class A Consumption Data'!J302:K302="B",'6. Class A Consumption Data'!J300:K300))</f>
        <v>0</v>
      </c>
      <c r="G124" s="488">
        <f t="array" ref="G124">SUM(IF('6. Class A Consumption Data'!L302:M302="B",'6. Class A Consumption Data'!L300:M300))</f>
        <v>0</v>
      </c>
      <c r="H124" s="488">
        <f t="array" ref="H124">SUM(IF('6. Class A Consumption Data'!N302:O302="B",'6. Class A Consumption Data'!N300:O300))</f>
        <v>0</v>
      </c>
      <c r="I124" s="490">
        <f t="shared" si="3"/>
        <v>0</v>
      </c>
      <c r="J124" s="491">
        <f t="shared" si="4"/>
        <v>0</v>
      </c>
      <c r="K124" s="491">
        <f t="shared" si="5"/>
        <v>0</v>
      </c>
      <c r="L124" s="564">
        <v>0</v>
      </c>
      <c r="M124" s="563"/>
      <c r="N124" s="563"/>
      <c r="O124" s="563"/>
      <c r="P124" s="563"/>
      <c r="Q124" s="563"/>
      <c r="R124" s="563"/>
      <c r="S124" s="563"/>
      <c r="T124" s="563"/>
    </row>
    <row r="125" spans="1:20" ht="14.5" hidden="1" x14ac:dyDescent="0.35">
      <c r="A125" s="486" t="s">
        <v>300</v>
      </c>
      <c r="B125" s="486"/>
      <c r="C125" s="487">
        <v>0</v>
      </c>
      <c r="D125" s="488">
        <v>0</v>
      </c>
      <c r="E125" s="488">
        <f t="array" ref="E125">SUM(IF('6. Class A Consumption Data'!H305:I305="B",'6. Class A Consumption Data'!H303:I303))</f>
        <v>0</v>
      </c>
      <c r="F125" s="488">
        <f t="array" ref="F125">SUM(IF('6. Class A Consumption Data'!J305:K305="B",'6. Class A Consumption Data'!J303:K303))</f>
        <v>0</v>
      </c>
      <c r="G125" s="488">
        <f t="array" ref="G125">SUM(IF('6. Class A Consumption Data'!L305:M305="B",'6. Class A Consumption Data'!L303:M303))</f>
        <v>0</v>
      </c>
      <c r="H125" s="488">
        <f t="array" ref="H125">SUM(IF('6. Class A Consumption Data'!N305:O305="B",'6. Class A Consumption Data'!N303:O303))</f>
        <v>0</v>
      </c>
      <c r="I125" s="490">
        <f t="shared" si="3"/>
        <v>0</v>
      </c>
      <c r="J125" s="491">
        <f t="shared" si="4"/>
        <v>0</v>
      </c>
      <c r="K125" s="491">
        <f t="shared" si="5"/>
        <v>0</v>
      </c>
      <c r="L125" s="564">
        <v>0</v>
      </c>
      <c r="M125" s="563"/>
      <c r="N125" s="563"/>
      <c r="O125" s="563"/>
      <c r="P125" s="563"/>
      <c r="Q125" s="563"/>
      <c r="R125" s="563"/>
      <c r="S125" s="563"/>
      <c r="T125" s="563"/>
    </row>
    <row r="126" spans="1:20" ht="14.5" hidden="1" x14ac:dyDescent="0.35">
      <c r="A126" s="486" t="s">
        <v>301</v>
      </c>
      <c r="B126" s="486"/>
      <c r="C126" s="487">
        <v>0</v>
      </c>
      <c r="D126" s="488">
        <v>0</v>
      </c>
      <c r="E126" s="488">
        <f t="array" ref="E126">SUM(IF('6. Class A Consumption Data'!H308:I308="B",'6. Class A Consumption Data'!H306:I306))</f>
        <v>0</v>
      </c>
      <c r="F126" s="488">
        <f t="array" ref="F126">SUM(IF('6. Class A Consumption Data'!J308:K308="B",'6. Class A Consumption Data'!J306:K306))</f>
        <v>0</v>
      </c>
      <c r="G126" s="488">
        <f t="array" ref="G126">SUM(IF('6. Class A Consumption Data'!L308:M308="B",'6. Class A Consumption Data'!L306:M306))</f>
        <v>0</v>
      </c>
      <c r="H126" s="488">
        <f t="array" ref="H126">SUM(IF('6. Class A Consumption Data'!N308:O308="B",'6. Class A Consumption Data'!N306:O306))</f>
        <v>0</v>
      </c>
      <c r="I126" s="490">
        <f t="shared" si="3"/>
        <v>0</v>
      </c>
      <c r="J126" s="491">
        <f t="shared" si="4"/>
        <v>0</v>
      </c>
      <c r="K126" s="491">
        <f t="shared" si="5"/>
        <v>0</v>
      </c>
      <c r="L126" s="564">
        <v>0</v>
      </c>
      <c r="M126" s="563"/>
      <c r="N126" s="563"/>
      <c r="O126" s="563"/>
      <c r="P126" s="563"/>
      <c r="Q126" s="563"/>
      <c r="R126" s="563"/>
      <c r="S126" s="563"/>
      <c r="T126" s="563"/>
    </row>
    <row r="127" spans="1:20" ht="14.5" hidden="1" x14ac:dyDescent="0.35">
      <c r="A127" s="486" t="s">
        <v>302</v>
      </c>
      <c r="B127" s="486"/>
      <c r="C127" s="487">
        <v>0</v>
      </c>
      <c r="D127" s="488">
        <v>0</v>
      </c>
      <c r="E127" s="488">
        <f t="array" ref="E127">SUM(IF('6. Class A Consumption Data'!H311:I311="B",'6. Class A Consumption Data'!H309:I309))</f>
        <v>0</v>
      </c>
      <c r="F127" s="488">
        <f t="array" ref="F127">SUM(IF('6. Class A Consumption Data'!J311:K311="B",'6. Class A Consumption Data'!J309:K309))</f>
        <v>0</v>
      </c>
      <c r="G127" s="488">
        <f t="array" ref="G127">SUM(IF('6. Class A Consumption Data'!L311:M311="B",'6. Class A Consumption Data'!L309:M309))</f>
        <v>0</v>
      </c>
      <c r="H127" s="488">
        <f t="array" ref="H127">SUM(IF('6. Class A Consumption Data'!N311:O311="B",'6. Class A Consumption Data'!N309:O309))</f>
        <v>0</v>
      </c>
      <c r="I127" s="490">
        <f t="shared" si="3"/>
        <v>0</v>
      </c>
      <c r="J127" s="491">
        <f t="shared" si="4"/>
        <v>0</v>
      </c>
      <c r="K127" s="491">
        <f t="shared" si="5"/>
        <v>0</v>
      </c>
      <c r="L127" s="564">
        <v>0</v>
      </c>
      <c r="M127" s="563"/>
      <c r="N127" s="563"/>
      <c r="O127" s="563"/>
      <c r="P127" s="563"/>
      <c r="Q127" s="563"/>
      <c r="R127" s="563"/>
      <c r="S127" s="563"/>
      <c r="T127" s="563"/>
    </row>
    <row r="128" spans="1:20" ht="14.5" hidden="1" x14ac:dyDescent="0.35">
      <c r="A128" s="486" t="s">
        <v>303</v>
      </c>
      <c r="B128" s="486"/>
      <c r="C128" s="487">
        <v>0</v>
      </c>
      <c r="D128" s="488">
        <v>0</v>
      </c>
      <c r="E128" s="488">
        <f t="array" ref="E128">SUM(IF('6. Class A Consumption Data'!H314:I314="B",'6. Class A Consumption Data'!H312:I312))</f>
        <v>0</v>
      </c>
      <c r="F128" s="488">
        <f t="array" ref="F128">SUM(IF('6. Class A Consumption Data'!J314:K314="B",'6. Class A Consumption Data'!J312:K312))</f>
        <v>0</v>
      </c>
      <c r="G128" s="488">
        <f t="array" ref="G128">SUM(IF('6. Class A Consumption Data'!L314:M314="B",'6. Class A Consumption Data'!L312:M312))</f>
        <v>0</v>
      </c>
      <c r="H128" s="488">
        <f t="array" ref="H128">SUM(IF('6. Class A Consumption Data'!N314:O314="B",'6. Class A Consumption Data'!N312:O312))</f>
        <v>0</v>
      </c>
      <c r="I128" s="490">
        <f t="shared" si="3"/>
        <v>0</v>
      </c>
      <c r="J128" s="491">
        <f t="shared" si="4"/>
        <v>0</v>
      </c>
      <c r="K128" s="491">
        <f t="shared" si="5"/>
        <v>0</v>
      </c>
      <c r="L128" s="564">
        <v>0</v>
      </c>
      <c r="M128" s="563"/>
      <c r="N128" s="563"/>
      <c r="O128" s="563"/>
      <c r="P128" s="563"/>
      <c r="Q128" s="563"/>
      <c r="R128" s="563"/>
      <c r="S128" s="563"/>
      <c r="T128" s="563"/>
    </row>
    <row r="129" spans="1:20" ht="14.5" hidden="1" x14ac:dyDescent="0.35">
      <c r="A129" s="486" t="s">
        <v>304</v>
      </c>
      <c r="B129" s="486"/>
      <c r="C129" s="487">
        <v>0</v>
      </c>
      <c r="D129" s="488">
        <v>0</v>
      </c>
      <c r="E129" s="488">
        <f t="array" ref="E129">SUM(IF('6. Class A Consumption Data'!H317:I317="B",'6. Class A Consumption Data'!H315:I315))</f>
        <v>0</v>
      </c>
      <c r="F129" s="488">
        <f t="array" ref="F129">SUM(IF('6. Class A Consumption Data'!J317:K317="B",'6. Class A Consumption Data'!J315:K315))</f>
        <v>0</v>
      </c>
      <c r="G129" s="488">
        <f t="array" ref="G129">SUM(IF('6. Class A Consumption Data'!L317:M317="B",'6. Class A Consumption Data'!L315:M315))</f>
        <v>0</v>
      </c>
      <c r="H129" s="488">
        <f t="array" ref="H129">SUM(IF('6. Class A Consumption Data'!N317:O317="B",'6. Class A Consumption Data'!N315:O315))</f>
        <v>0</v>
      </c>
      <c r="I129" s="490">
        <f t="shared" si="3"/>
        <v>0</v>
      </c>
      <c r="J129" s="491">
        <f t="shared" si="4"/>
        <v>0</v>
      </c>
      <c r="K129" s="491">
        <f t="shared" si="5"/>
        <v>0</v>
      </c>
      <c r="L129" s="564">
        <v>0</v>
      </c>
      <c r="M129" s="563"/>
      <c r="N129" s="563"/>
      <c r="O129" s="563"/>
      <c r="P129" s="563"/>
      <c r="Q129" s="563"/>
      <c r="R129" s="563"/>
      <c r="S129" s="563"/>
      <c r="T129" s="563"/>
    </row>
    <row r="130" spans="1:20" ht="14.5" hidden="1" x14ac:dyDescent="0.35">
      <c r="A130" s="486" t="s">
        <v>305</v>
      </c>
      <c r="B130" s="486"/>
      <c r="C130" s="487">
        <v>0</v>
      </c>
      <c r="D130" s="488">
        <v>0</v>
      </c>
      <c r="E130" s="488">
        <f t="array" ref="E130">SUM(IF('6. Class A Consumption Data'!H320:I320="B",'6. Class A Consumption Data'!H318:I318))</f>
        <v>0</v>
      </c>
      <c r="F130" s="488">
        <f t="array" ref="F130">SUM(IF('6. Class A Consumption Data'!J320:K320="B",'6. Class A Consumption Data'!J318:K318))</f>
        <v>0</v>
      </c>
      <c r="G130" s="488">
        <f t="array" ref="G130">SUM(IF('6. Class A Consumption Data'!L320:M320="B",'6. Class A Consumption Data'!L318:M318))</f>
        <v>0</v>
      </c>
      <c r="H130" s="488">
        <f t="array" ref="H130">SUM(IF('6. Class A Consumption Data'!N320:O320="B",'6. Class A Consumption Data'!N318:O318))</f>
        <v>0</v>
      </c>
      <c r="I130" s="490">
        <f t="shared" si="3"/>
        <v>0</v>
      </c>
      <c r="J130" s="491">
        <f t="shared" si="4"/>
        <v>0</v>
      </c>
      <c r="K130" s="491">
        <f t="shared" si="5"/>
        <v>0</v>
      </c>
      <c r="L130" s="564">
        <v>0</v>
      </c>
      <c r="M130" s="563"/>
      <c r="N130" s="563"/>
      <c r="O130" s="563"/>
      <c r="P130" s="563"/>
      <c r="Q130" s="563"/>
      <c r="R130" s="563"/>
      <c r="S130" s="563"/>
      <c r="T130" s="563"/>
    </row>
    <row r="131" spans="1:20" ht="14.5" hidden="1" x14ac:dyDescent="0.35">
      <c r="A131" s="486" t="s">
        <v>306</v>
      </c>
      <c r="B131" s="486"/>
      <c r="C131" s="487">
        <v>0</v>
      </c>
      <c r="D131" s="488">
        <v>0</v>
      </c>
      <c r="E131" s="488">
        <f t="array" ref="E131">SUM(IF('6. Class A Consumption Data'!H323:I323="B",'6. Class A Consumption Data'!H321:I321))</f>
        <v>0</v>
      </c>
      <c r="F131" s="488">
        <f t="array" ref="F131">SUM(IF('6. Class A Consumption Data'!J323:K323="B",'6. Class A Consumption Data'!J321:K321))</f>
        <v>0</v>
      </c>
      <c r="G131" s="488">
        <f t="array" ref="G131">SUM(IF('6. Class A Consumption Data'!L323:M323="B",'6. Class A Consumption Data'!L321:M321))</f>
        <v>0</v>
      </c>
      <c r="H131" s="488">
        <f t="array" ref="H131">SUM(IF('6. Class A Consumption Data'!N323:O323="B",'6. Class A Consumption Data'!N321:O321))</f>
        <v>0</v>
      </c>
      <c r="I131" s="490">
        <f t="shared" si="3"/>
        <v>0</v>
      </c>
      <c r="J131" s="491">
        <f t="shared" si="4"/>
        <v>0</v>
      </c>
      <c r="K131" s="491">
        <f t="shared" si="5"/>
        <v>0</v>
      </c>
      <c r="L131" s="564">
        <v>0</v>
      </c>
      <c r="M131" s="563"/>
      <c r="N131" s="563"/>
      <c r="O131" s="563"/>
      <c r="P131" s="563"/>
      <c r="Q131" s="563"/>
      <c r="R131" s="563"/>
      <c r="S131" s="563"/>
      <c r="T131" s="563"/>
    </row>
    <row r="132" spans="1:20" ht="14.5" hidden="1" x14ac:dyDescent="0.35">
      <c r="A132" s="486" t="s">
        <v>307</v>
      </c>
      <c r="B132" s="486"/>
      <c r="C132" s="487">
        <v>0</v>
      </c>
      <c r="D132" s="488">
        <v>0</v>
      </c>
      <c r="E132" s="488">
        <f t="array" ref="E132">SUM(IF('6. Class A Consumption Data'!H326:I326="B",'6. Class A Consumption Data'!H324:I324))</f>
        <v>0</v>
      </c>
      <c r="F132" s="488">
        <f t="array" ref="F132">SUM(IF('6. Class A Consumption Data'!J326:K326="B",'6. Class A Consumption Data'!J324:K324))</f>
        <v>0</v>
      </c>
      <c r="G132" s="488">
        <f t="array" ref="G132">SUM(IF('6. Class A Consumption Data'!L326:M326="B",'6. Class A Consumption Data'!L324:M324))</f>
        <v>0</v>
      </c>
      <c r="H132" s="488">
        <f t="array" ref="H132">SUM(IF('6. Class A Consumption Data'!N326:O326="B",'6. Class A Consumption Data'!N324:O324))</f>
        <v>0</v>
      </c>
      <c r="I132" s="490">
        <f t="shared" si="3"/>
        <v>0</v>
      </c>
      <c r="J132" s="491">
        <f t="shared" si="4"/>
        <v>0</v>
      </c>
      <c r="K132" s="491">
        <f t="shared" si="5"/>
        <v>0</v>
      </c>
      <c r="L132" s="564">
        <v>0</v>
      </c>
      <c r="M132" s="563"/>
      <c r="N132" s="563"/>
      <c r="O132" s="563"/>
      <c r="P132" s="563"/>
      <c r="Q132" s="563"/>
      <c r="R132" s="563"/>
      <c r="S132" s="563"/>
      <c r="T132" s="563"/>
    </row>
    <row r="133" spans="1:20" ht="14.5" hidden="1" x14ac:dyDescent="0.35">
      <c r="A133" s="486" t="s">
        <v>308</v>
      </c>
      <c r="B133" s="486"/>
      <c r="C133" s="487">
        <v>0</v>
      </c>
      <c r="D133" s="488">
        <v>0</v>
      </c>
      <c r="E133" s="488">
        <f t="array" ref="E133">SUM(IF('6. Class A Consumption Data'!H329:I329="B",'6. Class A Consumption Data'!H327:I327))</f>
        <v>0</v>
      </c>
      <c r="F133" s="488">
        <f t="array" ref="F133">SUM(IF('6. Class A Consumption Data'!J329:K329="B",'6. Class A Consumption Data'!J327:K327))</f>
        <v>0</v>
      </c>
      <c r="G133" s="488">
        <f t="array" ref="G133">SUM(IF('6. Class A Consumption Data'!L329:M329="B",'6. Class A Consumption Data'!L327:M327))</f>
        <v>0</v>
      </c>
      <c r="H133" s="488">
        <f t="array" ref="H133">SUM(IF('6. Class A Consumption Data'!N329:O329="B",'6. Class A Consumption Data'!N327:O327))</f>
        <v>0</v>
      </c>
      <c r="I133" s="490">
        <f t="shared" si="3"/>
        <v>0</v>
      </c>
      <c r="J133" s="491">
        <f t="shared" si="4"/>
        <v>0</v>
      </c>
      <c r="K133" s="491">
        <f t="shared" si="5"/>
        <v>0</v>
      </c>
      <c r="L133" s="564">
        <v>0</v>
      </c>
      <c r="M133" s="563"/>
      <c r="N133" s="563"/>
      <c r="O133" s="563"/>
      <c r="P133" s="563"/>
      <c r="Q133" s="563"/>
      <c r="R133" s="563"/>
      <c r="S133" s="563"/>
      <c r="T133" s="563"/>
    </row>
    <row r="134" spans="1:20" ht="14.5" hidden="1" x14ac:dyDescent="0.35">
      <c r="A134" s="486" t="s">
        <v>309</v>
      </c>
      <c r="B134" s="486"/>
      <c r="C134" s="487">
        <v>0</v>
      </c>
      <c r="D134" s="488">
        <v>0</v>
      </c>
      <c r="E134" s="488">
        <f t="array" ref="E134">SUM(IF('6. Class A Consumption Data'!H332:I332="B",'6. Class A Consumption Data'!H330:I330))</f>
        <v>0</v>
      </c>
      <c r="F134" s="488">
        <f t="array" ref="F134">SUM(IF('6. Class A Consumption Data'!J332:K332="B",'6. Class A Consumption Data'!J330:K330))</f>
        <v>0</v>
      </c>
      <c r="G134" s="488">
        <f t="array" ref="G134">SUM(IF('6. Class A Consumption Data'!L332:M332="B",'6. Class A Consumption Data'!L330:M330))</f>
        <v>0</v>
      </c>
      <c r="H134" s="488">
        <f t="array" ref="H134">SUM(IF('6. Class A Consumption Data'!N332:O332="B",'6. Class A Consumption Data'!N330:O330))</f>
        <v>0</v>
      </c>
      <c r="I134" s="490">
        <f t="shared" si="3"/>
        <v>0</v>
      </c>
      <c r="J134" s="491">
        <f t="shared" si="4"/>
        <v>0</v>
      </c>
      <c r="K134" s="491">
        <f t="shared" si="5"/>
        <v>0</v>
      </c>
      <c r="L134" s="564">
        <v>0</v>
      </c>
      <c r="M134" s="563"/>
      <c r="N134" s="563"/>
      <c r="O134" s="563"/>
      <c r="P134" s="563"/>
      <c r="Q134" s="563"/>
      <c r="R134" s="563"/>
      <c r="S134" s="563"/>
      <c r="T134" s="563"/>
    </row>
    <row r="135" spans="1:20" ht="14.5" hidden="1" x14ac:dyDescent="0.35">
      <c r="A135" s="486" t="s">
        <v>310</v>
      </c>
      <c r="B135" s="486"/>
      <c r="C135" s="487">
        <v>0</v>
      </c>
      <c r="D135" s="488">
        <v>0</v>
      </c>
      <c r="E135" s="488">
        <f t="array" ref="E135">SUM(IF('6. Class A Consumption Data'!H335:I335="B",'6. Class A Consumption Data'!H333:I333))</f>
        <v>0</v>
      </c>
      <c r="F135" s="488">
        <f t="array" ref="F135">SUM(IF('6. Class A Consumption Data'!J335:K335="B",'6. Class A Consumption Data'!J333:K333))</f>
        <v>0</v>
      </c>
      <c r="G135" s="488">
        <f t="array" ref="G135">SUM(IF('6. Class A Consumption Data'!L335:M335="B",'6. Class A Consumption Data'!L333:M333))</f>
        <v>0</v>
      </c>
      <c r="H135" s="488">
        <f t="array" ref="H135">SUM(IF('6. Class A Consumption Data'!N335:O335="B",'6. Class A Consumption Data'!N333:O333))</f>
        <v>0</v>
      </c>
      <c r="I135" s="490">
        <f t="shared" si="3"/>
        <v>0</v>
      </c>
      <c r="J135" s="491">
        <f t="shared" si="4"/>
        <v>0</v>
      </c>
      <c r="K135" s="491">
        <f t="shared" si="5"/>
        <v>0</v>
      </c>
      <c r="L135" s="564">
        <v>0</v>
      </c>
      <c r="M135" s="563"/>
      <c r="N135" s="563"/>
      <c r="O135" s="563"/>
      <c r="P135" s="563"/>
      <c r="Q135" s="563"/>
      <c r="R135" s="563"/>
      <c r="S135" s="563"/>
      <c r="T135" s="563"/>
    </row>
    <row r="136" spans="1:20" ht="14.5" hidden="1" x14ac:dyDescent="0.35">
      <c r="A136" s="486" t="s">
        <v>311</v>
      </c>
      <c r="B136" s="486"/>
      <c r="C136" s="487">
        <v>0</v>
      </c>
      <c r="D136" s="488">
        <v>0</v>
      </c>
      <c r="E136" s="488">
        <f t="array" ref="E136">SUM(IF('6. Class A Consumption Data'!H338:I338="B",'6. Class A Consumption Data'!H336:I336))</f>
        <v>0</v>
      </c>
      <c r="F136" s="488">
        <f t="array" ref="F136">SUM(IF('6. Class A Consumption Data'!J338:K338="B",'6. Class A Consumption Data'!J336:K336))</f>
        <v>0</v>
      </c>
      <c r="G136" s="488">
        <f t="array" ref="G136">SUM(IF('6. Class A Consumption Data'!L338:M338="B",'6. Class A Consumption Data'!L336:M336))</f>
        <v>0</v>
      </c>
      <c r="H136" s="488">
        <f t="array" ref="H136">SUM(IF('6. Class A Consumption Data'!N338:O338="B",'6. Class A Consumption Data'!N336:O336))</f>
        <v>0</v>
      </c>
      <c r="I136" s="490">
        <f t="shared" si="3"/>
        <v>0</v>
      </c>
      <c r="J136" s="491">
        <f t="shared" si="4"/>
        <v>0</v>
      </c>
      <c r="K136" s="491">
        <f t="shared" si="5"/>
        <v>0</v>
      </c>
      <c r="L136" s="564">
        <v>0</v>
      </c>
      <c r="M136" s="563"/>
      <c r="N136" s="563"/>
      <c r="O136" s="563"/>
      <c r="P136" s="563"/>
      <c r="Q136" s="563"/>
      <c r="R136" s="563"/>
      <c r="S136" s="563"/>
      <c r="T136" s="563"/>
    </row>
    <row r="137" spans="1:20" ht="14.5" hidden="1" x14ac:dyDescent="0.35">
      <c r="A137" s="486" t="s">
        <v>312</v>
      </c>
      <c r="B137" s="486"/>
      <c r="C137" s="487">
        <v>0</v>
      </c>
      <c r="D137" s="488">
        <v>0</v>
      </c>
      <c r="E137" s="488">
        <f t="array" ref="E137">SUM(IF('6. Class A Consumption Data'!H341:I341="B",'6. Class A Consumption Data'!H339:I339))</f>
        <v>0</v>
      </c>
      <c r="F137" s="488">
        <f t="array" ref="F137">SUM(IF('6. Class A Consumption Data'!J341:K341="B",'6. Class A Consumption Data'!J339:K339))</f>
        <v>0</v>
      </c>
      <c r="G137" s="488">
        <f t="array" ref="G137">SUM(IF('6. Class A Consumption Data'!L341:M341="B",'6. Class A Consumption Data'!L339:M339))</f>
        <v>0</v>
      </c>
      <c r="H137" s="488">
        <f t="array" ref="H137">SUM(IF('6. Class A Consumption Data'!N341:O341="B",'6. Class A Consumption Data'!N339:O339))</f>
        <v>0</v>
      </c>
      <c r="I137" s="490">
        <f t="shared" si="3"/>
        <v>0</v>
      </c>
      <c r="J137" s="491">
        <f t="shared" si="4"/>
        <v>0</v>
      </c>
      <c r="K137" s="491">
        <f t="shared" si="5"/>
        <v>0</v>
      </c>
      <c r="L137" s="564">
        <v>0</v>
      </c>
      <c r="M137" s="563"/>
      <c r="N137" s="563"/>
      <c r="O137" s="563"/>
      <c r="P137" s="563"/>
      <c r="Q137" s="563"/>
      <c r="R137" s="563"/>
      <c r="S137" s="563"/>
      <c r="T137" s="563"/>
    </row>
    <row r="138" spans="1:20" ht="14.5" hidden="1" x14ac:dyDescent="0.35">
      <c r="A138" s="486" t="s">
        <v>313</v>
      </c>
      <c r="B138" s="486"/>
      <c r="C138" s="487">
        <v>0</v>
      </c>
      <c r="D138" s="488">
        <v>0</v>
      </c>
      <c r="E138" s="488">
        <f t="array" ref="E138">SUM(IF('6. Class A Consumption Data'!H344:I344="B",'6. Class A Consumption Data'!H342:I342))</f>
        <v>0</v>
      </c>
      <c r="F138" s="488">
        <f t="array" ref="F138">SUM(IF('6. Class A Consumption Data'!J344:K344="B",'6. Class A Consumption Data'!J342:K342))</f>
        <v>0</v>
      </c>
      <c r="G138" s="488">
        <f t="array" ref="G138">SUM(IF('6. Class A Consumption Data'!L344:M344="B",'6. Class A Consumption Data'!L342:M342))</f>
        <v>0</v>
      </c>
      <c r="H138" s="488">
        <f t="array" ref="H138">SUM(IF('6. Class A Consumption Data'!N344:O344="B",'6. Class A Consumption Data'!N342:O342))</f>
        <v>0</v>
      </c>
      <c r="I138" s="490">
        <f t="shared" si="3"/>
        <v>0</v>
      </c>
      <c r="J138" s="491">
        <f t="shared" si="4"/>
        <v>0</v>
      </c>
      <c r="K138" s="491">
        <f t="shared" si="5"/>
        <v>0</v>
      </c>
      <c r="L138" s="564">
        <v>0</v>
      </c>
      <c r="M138" s="563"/>
      <c r="N138" s="563"/>
      <c r="O138" s="563"/>
      <c r="P138" s="563"/>
      <c r="Q138" s="563"/>
      <c r="R138" s="563"/>
      <c r="S138" s="563"/>
      <c r="T138" s="563"/>
    </row>
    <row r="139" spans="1:20" ht="14.5" hidden="1" x14ac:dyDescent="0.35">
      <c r="A139" s="486" t="s">
        <v>314</v>
      </c>
      <c r="B139" s="486"/>
      <c r="C139" s="487">
        <v>0</v>
      </c>
      <c r="D139" s="488">
        <v>0</v>
      </c>
      <c r="E139" s="488">
        <f t="array" ref="E139">SUM(IF('6. Class A Consumption Data'!H347:I347="B",'6. Class A Consumption Data'!H345:I345))</f>
        <v>0</v>
      </c>
      <c r="F139" s="488">
        <f t="array" ref="F139">SUM(IF('6. Class A Consumption Data'!J347:K347="B",'6. Class A Consumption Data'!J345:K345))</f>
        <v>0</v>
      </c>
      <c r="G139" s="488">
        <f t="array" ref="G139">SUM(IF('6. Class A Consumption Data'!L347:M347="B",'6. Class A Consumption Data'!L345:M345))</f>
        <v>0</v>
      </c>
      <c r="H139" s="488">
        <f t="array" ref="H139">SUM(IF('6. Class A Consumption Data'!N347:O347="B",'6. Class A Consumption Data'!N345:O345))</f>
        <v>0</v>
      </c>
      <c r="I139" s="490">
        <f t="shared" si="3"/>
        <v>0</v>
      </c>
      <c r="J139" s="491">
        <f t="shared" si="4"/>
        <v>0</v>
      </c>
      <c r="K139" s="491">
        <f t="shared" si="5"/>
        <v>0</v>
      </c>
      <c r="L139" s="564">
        <v>0</v>
      </c>
      <c r="M139" s="563"/>
      <c r="N139" s="563"/>
      <c r="O139" s="563"/>
      <c r="P139" s="563"/>
      <c r="Q139" s="563"/>
      <c r="R139" s="563"/>
      <c r="S139" s="563"/>
      <c r="T139" s="563"/>
    </row>
    <row r="140" spans="1:20" ht="14.5" hidden="1" x14ac:dyDescent="0.35">
      <c r="A140" s="486" t="s">
        <v>315</v>
      </c>
      <c r="B140" s="486"/>
      <c r="C140" s="487">
        <v>0</v>
      </c>
      <c r="D140" s="488">
        <v>0</v>
      </c>
      <c r="E140" s="488">
        <f t="array" ref="E140">SUM(IF('6. Class A Consumption Data'!H350:I350="B",'6. Class A Consumption Data'!H348:I348))</f>
        <v>0</v>
      </c>
      <c r="F140" s="488">
        <f t="array" ref="F140">SUM(IF('6. Class A Consumption Data'!J350:K350="B",'6. Class A Consumption Data'!J348:K348))</f>
        <v>0</v>
      </c>
      <c r="G140" s="488">
        <f t="array" ref="G140">SUM(IF('6. Class A Consumption Data'!L350:M350="B",'6. Class A Consumption Data'!L348:M348))</f>
        <v>0</v>
      </c>
      <c r="H140" s="488">
        <f t="array" ref="H140">SUM(IF('6. Class A Consumption Data'!N350:O350="B",'6. Class A Consumption Data'!N348:O348))</f>
        <v>0</v>
      </c>
      <c r="I140" s="490">
        <f t="shared" si="3"/>
        <v>0</v>
      </c>
      <c r="J140" s="491">
        <f t="shared" si="4"/>
        <v>0</v>
      </c>
      <c r="K140" s="491">
        <f t="shared" si="5"/>
        <v>0</v>
      </c>
      <c r="L140" s="564">
        <v>0</v>
      </c>
      <c r="M140" s="563"/>
      <c r="N140" s="563"/>
      <c r="O140" s="563"/>
      <c r="P140" s="563"/>
      <c r="Q140" s="563"/>
      <c r="R140" s="563"/>
      <c r="S140" s="563"/>
      <c r="T140" s="563"/>
    </row>
    <row r="141" spans="1:20" ht="14.5" hidden="1" x14ac:dyDescent="0.35">
      <c r="A141" s="486" t="s">
        <v>316</v>
      </c>
      <c r="B141" s="486"/>
      <c r="C141" s="487">
        <v>0</v>
      </c>
      <c r="D141" s="488">
        <v>0</v>
      </c>
      <c r="E141" s="488">
        <f t="array" ref="E141">SUM(IF('6. Class A Consumption Data'!H353:I353="B",'6. Class A Consumption Data'!H351:I351))</f>
        <v>0</v>
      </c>
      <c r="F141" s="488">
        <f t="array" ref="F141">SUM(IF('6. Class A Consumption Data'!J353:K353="B",'6. Class A Consumption Data'!J351:K351))</f>
        <v>0</v>
      </c>
      <c r="G141" s="488">
        <f t="array" ref="G141">SUM(IF('6. Class A Consumption Data'!L353:M353="B",'6. Class A Consumption Data'!L351:M351))</f>
        <v>0</v>
      </c>
      <c r="H141" s="488">
        <f t="array" ref="H141">SUM(IF('6. Class A Consumption Data'!N353:O353="B",'6. Class A Consumption Data'!N351:O351))</f>
        <v>0</v>
      </c>
      <c r="I141" s="490">
        <f t="shared" si="3"/>
        <v>0</v>
      </c>
      <c r="J141" s="491">
        <f t="shared" si="4"/>
        <v>0</v>
      </c>
      <c r="K141" s="491">
        <f t="shared" si="5"/>
        <v>0</v>
      </c>
      <c r="L141" s="564">
        <v>0</v>
      </c>
      <c r="M141" s="563"/>
      <c r="N141" s="563"/>
      <c r="O141" s="563"/>
      <c r="P141" s="563"/>
      <c r="Q141" s="563"/>
      <c r="R141" s="563"/>
      <c r="S141" s="563"/>
      <c r="T141" s="563"/>
    </row>
    <row r="142" spans="1:20" ht="14.5" hidden="1" x14ac:dyDescent="0.35">
      <c r="A142" s="486" t="s">
        <v>317</v>
      </c>
      <c r="B142" s="486"/>
      <c r="C142" s="487">
        <v>0</v>
      </c>
      <c r="D142" s="488">
        <v>0</v>
      </c>
      <c r="E142" s="488">
        <f t="array" ref="E142">SUM(IF('6. Class A Consumption Data'!H356:I356="B",'6. Class A Consumption Data'!H354:I354))</f>
        <v>0</v>
      </c>
      <c r="F142" s="488">
        <f t="array" ref="F142">SUM(IF('6. Class A Consumption Data'!J356:K356="B",'6. Class A Consumption Data'!J354:K354))</f>
        <v>0</v>
      </c>
      <c r="G142" s="488">
        <f t="array" ref="G142">SUM(IF('6. Class A Consumption Data'!L356:M356="B",'6. Class A Consumption Data'!L354:M354))</f>
        <v>0</v>
      </c>
      <c r="H142" s="488">
        <f t="array" ref="H142">SUM(IF('6. Class A Consumption Data'!N356:O356="B",'6. Class A Consumption Data'!N354:O354))</f>
        <v>0</v>
      </c>
      <c r="I142" s="490">
        <f t="shared" si="3"/>
        <v>0</v>
      </c>
      <c r="J142" s="491">
        <f t="shared" si="4"/>
        <v>0</v>
      </c>
      <c r="K142" s="491">
        <f t="shared" si="5"/>
        <v>0</v>
      </c>
      <c r="L142" s="564">
        <v>0</v>
      </c>
      <c r="M142" s="563"/>
      <c r="N142" s="563"/>
      <c r="O142" s="563"/>
      <c r="P142" s="563"/>
      <c r="Q142" s="563"/>
      <c r="R142" s="563"/>
      <c r="S142" s="563"/>
      <c r="T142" s="563"/>
    </row>
    <row r="143" spans="1:20" ht="14.5" hidden="1" x14ac:dyDescent="0.35">
      <c r="A143" s="486" t="s">
        <v>318</v>
      </c>
      <c r="B143" s="486"/>
      <c r="C143" s="487">
        <v>0</v>
      </c>
      <c r="D143" s="488">
        <v>0</v>
      </c>
      <c r="E143" s="488">
        <f t="array" ref="E143">SUM(IF('6. Class A Consumption Data'!H359:I359="B",'6. Class A Consumption Data'!H357:I357))</f>
        <v>0</v>
      </c>
      <c r="F143" s="488">
        <f t="array" ref="F143">SUM(IF('6. Class A Consumption Data'!J359:K359="B",'6. Class A Consumption Data'!J357:K357))</f>
        <v>0</v>
      </c>
      <c r="G143" s="488">
        <f t="array" ref="G143">SUM(IF('6. Class A Consumption Data'!L359:M359="B",'6. Class A Consumption Data'!L357:M357))</f>
        <v>0</v>
      </c>
      <c r="H143" s="488">
        <f t="array" ref="H143">SUM(IF('6. Class A Consumption Data'!N359:O359="B",'6. Class A Consumption Data'!N357:O357))</f>
        <v>0</v>
      </c>
      <c r="I143" s="490">
        <f t="shared" si="3"/>
        <v>0</v>
      </c>
      <c r="J143" s="491">
        <f t="shared" si="4"/>
        <v>0</v>
      </c>
      <c r="K143" s="491">
        <f t="shared" si="5"/>
        <v>0</v>
      </c>
      <c r="L143" s="564">
        <v>0</v>
      </c>
      <c r="M143" s="563"/>
      <c r="N143" s="563"/>
      <c r="O143" s="563"/>
      <c r="P143" s="563"/>
      <c r="Q143" s="563"/>
      <c r="R143" s="563"/>
      <c r="S143" s="563"/>
      <c r="T143" s="563"/>
    </row>
    <row r="144" spans="1:20" ht="14.5" hidden="1" x14ac:dyDescent="0.35">
      <c r="A144" s="486" t="s">
        <v>319</v>
      </c>
      <c r="B144" s="486"/>
      <c r="C144" s="487">
        <v>0</v>
      </c>
      <c r="D144" s="488">
        <v>0</v>
      </c>
      <c r="E144" s="488">
        <f t="array" ref="E144">SUM(IF('6. Class A Consumption Data'!H362:I362="B",'6. Class A Consumption Data'!H360:I360))</f>
        <v>0</v>
      </c>
      <c r="F144" s="488">
        <f t="array" ref="F144">SUM(IF('6. Class A Consumption Data'!J362:K362="B",'6. Class A Consumption Data'!J360:K360))</f>
        <v>0</v>
      </c>
      <c r="G144" s="488">
        <f t="array" ref="G144">SUM(IF('6. Class A Consumption Data'!L362:M362="B",'6. Class A Consumption Data'!L360:M360))</f>
        <v>0</v>
      </c>
      <c r="H144" s="488">
        <f t="array" ref="H144">SUM(IF('6. Class A Consumption Data'!N362:O362="B",'6. Class A Consumption Data'!N360:O360))</f>
        <v>0</v>
      </c>
      <c r="I144" s="490">
        <f t="shared" si="3"/>
        <v>0</v>
      </c>
      <c r="J144" s="491">
        <f t="shared" si="4"/>
        <v>0</v>
      </c>
      <c r="K144" s="491">
        <f t="shared" si="5"/>
        <v>0</v>
      </c>
      <c r="L144" s="564">
        <v>0</v>
      </c>
      <c r="M144" s="563"/>
      <c r="N144" s="563"/>
      <c r="O144" s="563"/>
      <c r="P144" s="563"/>
      <c r="Q144" s="563"/>
      <c r="R144" s="563"/>
      <c r="S144" s="563"/>
      <c r="T144" s="563"/>
    </row>
    <row r="145" spans="1:20" ht="14.5" hidden="1" x14ac:dyDescent="0.35">
      <c r="A145" s="486" t="s">
        <v>320</v>
      </c>
      <c r="B145" s="486"/>
      <c r="C145" s="487">
        <v>0</v>
      </c>
      <c r="D145" s="488">
        <v>0</v>
      </c>
      <c r="E145" s="488">
        <f t="array" ref="E145">SUM(IF('6. Class A Consumption Data'!H365:I365="B",'6. Class A Consumption Data'!H363:I363))</f>
        <v>0</v>
      </c>
      <c r="F145" s="488">
        <f t="array" ref="F145">SUM(IF('6. Class A Consumption Data'!J365:K365="B",'6. Class A Consumption Data'!J363:K363))</f>
        <v>0</v>
      </c>
      <c r="G145" s="488">
        <f t="array" ref="G145">SUM(IF('6. Class A Consumption Data'!L365:M365="B",'6. Class A Consumption Data'!L363:M363))</f>
        <v>0</v>
      </c>
      <c r="H145" s="488">
        <f t="array" ref="H145">SUM(IF('6. Class A Consumption Data'!N365:O365="B",'6. Class A Consumption Data'!N363:O363))</f>
        <v>0</v>
      </c>
      <c r="I145" s="490">
        <f t="shared" si="3"/>
        <v>0</v>
      </c>
      <c r="J145" s="491">
        <f t="shared" si="4"/>
        <v>0</v>
      </c>
      <c r="K145" s="491">
        <f t="shared" si="5"/>
        <v>0</v>
      </c>
      <c r="L145" s="564">
        <v>0</v>
      </c>
      <c r="M145" s="563"/>
      <c r="N145" s="563"/>
      <c r="O145" s="563"/>
      <c r="P145" s="563"/>
      <c r="Q145" s="563"/>
      <c r="R145" s="563"/>
      <c r="S145" s="563"/>
      <c r="T145" s="563"/>
    </row>
    <row r="146" spans="1:20" ht="14.5" hidden="1" x14ac:dyDescent="0.35">
      <c r="A146" s="486" t="s">
        <v>321</v>
      </c>
      <c r="B146" s="486"/>
      <c r="C146" s="487">
        <v>0</v>
      </c>
      <c r="D146" s="488">
        <v>0</v>
      </c>
      <c r="E146" s="488">
        <f t="array" ref="E146">SUM(IF('6. Class A Consumption Data'!H368:I368="B",'6. Class A Consumption Data'!H366:I366))</f>
        <v>0</v>
      </c>
      <c r="F146" s="488">
        <f t="array" ref="F146">SUM(IF('6. Class A Consumption Data'!J368:K368="B",'6. Class A Consumption Data'!J366:K366))</f>
        <v>0</v>
      </c>
      <c r="G146" s="488">
        <f t="array" ref="G146">SUM(IF('6. Class A Consumption Data'!L368:M368="B",'6. Class A Consumption Data'!L366:M366))</f>
        <v>0</v>
      </c>
      <c r="H146" s="488">
        <f t="array" ref="H146">SUM(IF('6. Class A Consumption Data'!N368:O368="B",'6. Class A Consumption Data'!N366:O366))</f>
        <v>0</v>
      </c>
      <c r="I146" s="490">
        <f t="shared" si="3"/>
        <v>0</v>
      </c>
      <c r="J146" s="491">
        <f t="shared" si="4"/>
        <v>0</v>
      </c>
      <c r="K146" s="491">
        <f t="shared" si="5"/>
        <v>0</v>
      </c>
      <c r="L146" s="564">
        <v>0</v>
      </c>
      <c r="M146" s="563"/>
      <c r="N146" s="563"/>
      <c r="O146" s="563"/>
      <c r="P146" s="563"/>
      <c r="Q146" s="563"/>
      <c r="R146" s="563"/>
      <c r="S146" s="563"/>
      <c r="T146" s="563"/>
    </row>
    <row r="147" spans="1:20" ht="14.5" hidden="1" x14ac:dyDescent="0.35">
      <c r="A147" s="486" t="s">
        <v>322</v>
      </c>
      <c r="B147" s="486"/>
      <c r="C147" s="487">
        <v>0</v>
      </c>
      <c r="D147" s="488">
        <v>0</v>
      </c>
      <c r="E147" s="488">
        <f t="array" ref="E147">SUM(IF('6. Class A Consumption Data'!H371:I371="B",'6. Class A Consumption Data'!H369:I369))</f>
        <v>0</v>
      </c>
      <c r="F147" s="488">
        <f t="array" ref="F147">SUM(IF('6. Class A Consumption Data'!J371:K371="B",'6. Class A Consumption Data'!J369:K369))</f>
        <v>0</v>
      </c>
      <c r="G147" s="488">
        <f t="array" ref="G147">SUM(IF('6. Class A Consumption Data'!L371:M371="B",'6. Class A Consumption Data'!L369:M369))</f>
        <v>0</v>
      </c>
      <c r="H147" s="488">
        <f t="array" ref="H147">SUM(IF('6. Class A Consumption Data'!N371:O371="B",'6. Class A Consumption Data'!N369:O369))</f>
        <v>0</v>
      </c>
      <c r="I147" s="490">
        <f t="shared" si="3"/>
        <v>0</v>
      </c>
      <c r="J147" s="491">
        <f t="shared" si="4"/>
        <v>0</v>
      </c>
      <c r="K147" s="491">
        <f t="shared" si="5"/>
        <v>0</v>
      </c>
      <c r="L147" s="564">
        <v>0</v>
      </c>
      <c r="M147" s="563"/>
      <c r="N147" s="563"/>
      <c r="O147" s="563"/>
      <c r="P147" s="563"/>
      <c r="Q147" s="563"/>
      <c r="R147" s="563"/>
      <c r="S147" s="563"/>
      <c r="T147" s="563"/>
    </row>
    <row r="148" spans="1:20" ht="14.5" hidden="1" x14ac:dyDescent="0.35">
      <c r="A148" s="486" t="s">
        <v>323</v>
      </c>
      <c r="B148" s="486"/>
      <c r="C148" s="487">
        <v>0</v>
      </c>
      <c r="D148" s="488">
        <v>0</v>
      </c>
      <c r="E148" s="488">
        <f t="array" ref="E148">SUM(IF('6. Class A Consumption Data'!H374:I374="B",'6. Class A Consumption Data'!H372:I372))</f>
        <v>0</v>
      </c>
      <c r="F148" s="488">
        <f t="array" ref="F148">SUM(IF('6. Class A Consumption Data'!J374:K374="B",'6. Class A Consumption Data'!J372:K372))</f>
        <v>0</v>
      </c>
      <c r="G148" s="488">
        <f t="array" ref="G148">SUM(IF('6. Class A Consumption Data'!L374:M374="B",'6. Class A Consumption Data'!L372:M372))</f>
        <v>0</v>
      </c>
      <c r="H148" s="488">
        <f t="array" ref="H148">SUM(IF('6. Class A Consumption Data'!N374:O374="B",'6. Class A Consumption Data'!N372:O372))</f>
        <v>0</v>
      </c>
      <c r="I148" s="490">
        <f t="shared" si="3"/>
        <v>0</v>
      </c>
      <c r="J148" s="491">
        <f t="shared" si="4"/>
        <v>0</v>
      </c>
      <c r="K148" s="491">
        <f t="shared" si="5"/>
        <v>0</v>
      </c>
      <c r="L148" s="564">
        <v>0</v>
      </c>
      <c r="M148" s="563"/>
      <c r="N148" s="563"/>
      <c r="O148" s="563"/>
      <c r="P148" s="563"/>
      <c r="Q148" s="563"/>
      <c r="R148" s="563"/>
      <c r="S148" s="563"/>
      <c r="T148" s="563"/>
    </row>
    <row r="149" spans="1:20" ht="14.5" hidden="1" x14ac:dyDescent="0.35">
      <c r="A149" s="486" t="s">
        <v>324</v>
      </c>
      <c r="B149" s="486"/>
      <c r="C149" s="487">
        <v>0</v>
      </c>
      <c r="D149" s="488">
        <v>0</v>
      </c>
      <c r="E149" s="488">
        <f t="array" ref="E149">SUM(IF('6. Class A Consumption Data'!H377:I377="B",'6. Class A Consumption Data'!H375:I375))</f>
        <v>0</v>
      </c>
      <c r="F149" s="488">
        <f t="array" ref="F149">SUM(IF('6. Class A Consumption Data'!J377:K377="B",'6. Class A Consumption Data'!J375:K375))</f>
        <v>0</v>
      </c>
      <c r="G149" s="488">
        <f t="array" ref="G149">SUM(IF('6. Class A Consumption Data'!L377:M377="B",'6. Class A Consumption Data'!L375:M375))</f>
        <v>0</v>
      </c>
      <c r="H149" s="488">
        <f t="array" ref="H149">SUM(IF('6. Class A Consumption Data'!N377:O377="B",'6. Class A Consumption Data'!N375:O375))</f>
        <v>0</v>
      </c>
      <c r="I149" s="490">
        <f t="shared" si="3"/>
        <v>0</v>
      </c>
      <c r="J149" s="491">
        <f t="shared" si="4"/>
        <v>0</v>
      </c>
      <c r="K149" s="491">
        <f t="shared" si="5"/>
        <v>0</v>
      </c>
      <c r="L149" s="564">
        <v>0</v>
      </c>
      <c r="M149" s="563"/>
      <c r="N149" s="563"/>
      <c r="O149" s="563"/>
      <c r="P149" s="563"/>
      <c r="Q149" s="563"/>
      <c r="R149" s="563"/>
      <c r="S149" s="563"/>
      <c r="T149" s="563"/>
    </row>
    <row r="150" spans="1:20" ht="14.5" hidden="1" x14ac:dyDescent="0.35">
      <c r="A150" s="486" t="s">
        <v>325</v>
      </c>
      <c r="B150" s="486"/>
      <c r="C150" s="487">
        <v>0</v>
      </c>
      <c r="D150" s="488">
        <v>0</v>
      </c>
      <c r="E150" s="488">
        <f t="array" ref="E150">SUM(IF('6. Class A Consumption Data'!H380:I380="B",'6. Class A Consumption Data'!H378:I378))</f>
        <v>0</v>
      </c>
      <c r="F150" s="488">
        <f t="array" ref="F150">SUM(IF('6. Class A Consumption Data'!J380:K380="B",'6. Class A Consumption Data'!J378:K378))</f>
        <v>0</v>
      </c>
      <c r="G150" s="488">
        <f t="array" ref="G150">SUM(IF('6. Class A Consumption Data'!L380:M380="B",'6. Class A Consumption Data'!L378:M378))</f>
        <v>0</v>
      </c>
      <c r="H150" s="488">
        <f t="array" ref="H150">SUM(IF('6. Class A Consumption Data'!N380:O380="B",'6. Class A Consumption Data'!N378:O378))</f>
        <v>0</v>
      </c>
      <c r="I150" s="490">
        <f t="shared" si="3"/>
        <v>0</v>
      </c>
      <c r="J150" s="491">
        <f t="shared" si="4"/>
        <v>0</v>
      </c>
      <c r="K150" s="491">
        <f t="shared" si="5"/>
        <v>0</v>
      </c>
      <c r="L150" s="564">
        <v>0</v>
      </c>
      <c r="M150" s="563"/>
      <c r="N150" s="563"/>
      <c r="O150" s="563"/>
      <c r="P150" s="563"/>
      <c r="Q150" s="563"/>
      <c r="R150" s="563"/>
      <c r="S150" s="563"/>
      <c r="T150" s="563"/>
    </row>
    <row r="151" spans="1:20" ht="14.5" hidden="1" x14ac:dyDescent="0.35">
      <c r="A151" s="486" t="s">
        <v>326</v>
      </c>
      <c r="B151" s="486"/>
      <c r="C151" s="487">
        <v>0</v>
      </c>
      <c r="D151" s="488">
        <v>0</v>
      </c>
      <c r="E151" s="488">
        <f t="array" ref="E151">SUM(IF('6. Class A Consumption Data'!H383:I383="B",'6. Class A Consumption Data'!H381:I381))</f>
        <v>0</v>
      </c>
      <c r="F151" s="488">
        <f t="array" ref="F151">SUM(IF('6. Class A Consumption Data'!J383:K383="B",'6. Class A Consumption Data'!J381:K381))</f>
        <v>0</v>
      </c>
      <c r="G151" s="488">
        <f t="array" ref="G151">SUM(IF('6. Class A Consumption Data'!L383:M383="B",'6. Class A Consumption Data'!L381:M381))</f>
        <v>0</v>
      </c>
      <c r="H151" s="488">
        <f t="array" ref="H151">SUM(IF('6. Class A Consumption Data'!N383:O383="B",'6. Class A Consumption Data'!N381:O381))</f>
        <v>0</v>
      </c>
      <c r="I151" s="490">
        <f t="shared" si="3"/>
        <v>0</v>
      </c>
      <c r="J151" s="491">
        <f t="shared" si="4"/>
        <v>0</v>
      </c>
      <c r="K151" s="491">
        <f t="shared" si="5"/>
        <v>0</v>
      </c>
      <c r="L151" s="564">
        <v>0</v>
      </c>
      <c r="M151" s="563"/>
      <c r="N151" s="563"/>
      <c r="O151" s="563"/>
      <c r="P151" s="563"/>
      <c r="Q151" s="563"/>
      <c r="R151" s="563"/>
      <c r="S151" s="563"/>
      <c r="T151" s="563"/>
    </row>
    <row r="152" spans="1:20" ht="14.5" hidden="1" x14ac:dyDescent="0.35">
      <c r="A152" s="486" t="s">
        <v>327</v>
      </c>
      <c r="B152" s="486"/>
      <c r="C152" s="487">
        <v>0</v>
      </c>
      <c r="D152" s="488">
        <v>0</v>
      </c>
      <c r="E152" s="488">
        <f t="array" ref="E152">SUM(IF('6. Class A Consumption Data'!H386:I386="B",'6. Class A Consumption Data'!H384:I384))</f>
        <v>0</v>
      </c>
      <c r="F152" s="488">
        <f t="array" ref="F152">SUM(IF('6. Class A Consumption Data'!J386:K386="B",'6. Class A Consumption Data'!J384:K384))</f>
        <v>0</v>
      </c>
      <c r="G152" s="488">
        <f t="array" ref="G152">SUM(IF('6. Class A Consumption Data'!L386:M386="B",'6. Class A Consumption Data'!L384:M384))</f>
        <v>0</v>
      </c>
      <c r="H152" s="488">
        <f t="array" ref="H152">SUM(IF('6. Class A Consumption Data'!N386:O386="B",'6. Class A Consumption Data'!N384:O384))</f>
        <v>0</v>
      </c>
      <c r="I152" s="490">
        <f t="shared" si="3"/>
        <v>0</v>
      </c>
      <c r="J152" s="491">
        <f t="shared" si="4"/>
        <v>0</v>
      </c>
      <c r="K152" s="491">
        <f t="shared" si="5"/>
        <v>0</v>
      </c>
      <c r="L152" s="564">
        <v>0</v>
      </c>
      <c r="M152" s="563"/>
      <c r="N152" s="563"/>
      <c r="O152" s="563"/>
      <c r="P152" s="563"/>
      <c r="Q152" s="563"/>
      <c r="R152" s="563"/>
      <c r="S152" s="563"/>
      <c r="T152" s="563"/>
    </row>
    <row r="153" spans="1:20" ht="14.5" hidden="1" x14ac:dyDescent="0.35">
      <c r="A153" s="486" t="s">
        <v>328</v>
      </c>
      <c r="B153" s="486"/>
      <c r="C153" s="487">
        <v>0</v>
      </c>
      <c r="D153" s="488">
        <v>0</v>
      </c>
      <c r="E153" s="488">
        <f t="array" ref="E153">SUM(IF('6. Class A Consumption Data'!H389:I389="B",'6. Class A Consumption Data'!H387:I387))</f>
        <v>0</v>
      </c>
      <c r="F153" s="488">
        <f t="array" ref="F153">SUM(IF('6. Class A Consumption Data'!J389:K389="B",'6. Class A Consumption Data'!J387:K387))</f>
        <v>0</v>
      </c>
      <c r="G153" s="488">
        <f t="array" ref="G153">SUM(IF('6. Class A Consumption Data'!L389:M389="B",'6. Class A Consumption Data'!L387:M387))</f>
        <v>0</v>
      </c>
      <c r="H153" s="488">
        <f t="array" ref="H153">SUM(IF('6. Class A Consumption Data'!N389:O389="B",'6. Class A Consumption Data'!N387:O387))</f>
        <v>0</v>
      </c>
      <c r="I153" s="490">
        <f t="shared" si="3"/>
        <v>0</v>
      </c>
      <c r="J153" s="491">
        <f t="shared" si="4"/>
        <v>0</v>
      </c>
      <c r="K153" s="491">
        <f t="shared" si="5"/>
        <v>0</v>
      </c>
      <c r="L153" s="564">
        <v>0</v>
      </c>
      <c r="M153" s="563"/>
      <c r="N153" s="563"/>
      <c r="O153" s="563"/>
      <c r="P153" s="563"/>
      <c r="Q153" s="563"/>
      <c r="R153" s="563"/>
      <c r="S153" s="563"/>
      <c r="T153" s="563"/>
    </row>
    <row r="154" spans="1:20" ht="14.5" hidden="1" x14ac:dyDescent="0.35">
      <c r="A154" s="486" t="s">
        <v>329</v>
      </c>
      <c r="B154" s="486"/>
      <c r="C154" s="487">
        <v>0</v>
      </c>
      <c r="D154" s="488">
        <v>0</v>
      </c>
      <c r="E154" s="488">
        <f t="array" ref="E154">SUM(IF('6. Class A Consumption Data'!H392:I392="B",'6. Class A Consumption Data'!H390:I390))</f>
        <v>0</v>
      </c>
      <c r="F154" s="488">
        <f t="array" ref="F154">SUM(IF('6. Class A Consumption Data'!J392:K392="B",'6. Class A Consumption Data'!J390:K390))</f>
        <v>0</v>
      </c>
      <c r="G154" s="488">
        <f t="array" ref="G154">SUM(IF('6. Class A Consumption Data'!L392:M392="B",'6. Class A Consumption Data'!L390:M390))</f>
        <v>0</v>
      </c>
      <c r="H154" s="488">
        <f t="array" ref="H154">SUM(IF('6. Class A Consumption Data'!N392:O392="B",'6. Class A Consumption Data'!N390:O390))</f>
        <v>0</v>
      </c>
      <c r="I154" s="490">
        <f t="shared" si="3"/>
        <v>0</v>
      </c>
      <c r="J154" s="491">
        <f t="shared" si="4"/>
        <v>0</v>
      </c>
      <c r="K154" s="491">
        <f t="shared" si="5"/>
        <v>0</v>
      </c>
      <c r="L154" s="564">
        <v>0</v>
      </c>
      <c r="M154" s="563"/>
      <c r="N154" s="563"/>
      <c r="O154" s="563"/>
      <c r="P154" s="563"/>
      <c r="Q154" s="563"/>
      <c r="R154" s="563"/>
      <c r="S154" s="563"/>
      <c r="T154" s="563"/>
    </row>
    <row r="155" spans="1:20" ht="14.5" hidden="1" x14ac:dyDescent="0.35">
      <c r="A155" s="486" t="s">
        <v>330</v>
      </c>
      <c r="B155" s="486"/>
      <c r="C155" s="487">
        <v>0</v>
      </c>
      <c r="D155" s="488">
        <v>0</v>
      </c>
      <c r="E155" s="488">
        <f t="array" ref="E155">SUM(IF('6. Class A Consumption Data'!H395:I395="B",'6. Class A Consumption Data'!H393:I393))</f>
        <v>0</v>
      </c>
      <c r="F155" s="488">
        <f t="array" ref="F155">SUM(IF('6. Class A Consumption Data'!J395:K395="B",'6. Class A Consumption Data'!J393:K393))</f>
        <v>0</v>
      </c>
      <c r="G155" s="488">
        <f t="array" ref="G155">SUM(IF('6. Class A Consumption Data'!L395:M395="B",'6. Class A Consumption Data'!L393:M393))</f>
        <v>0</v>
      </c>
      <c r="H155" s="488">
        <f t="array" ref="H155">SUM(IF('6. Class A Consumption Data'!N395:O395="B",'6. Class A Consumption Data'!N393:O393))</f>
        <v>0</v>
      </c>
      <c r="I155" s="490">
        <f t="shared" si="3"/>
        <v>0</v>
      </c>
      <c r="J155" s="491">
        <f t="shared" si="4"/>
        <v>0</v>
      </c>
      <c r="K155" s="491">
        <f t="shared" si="5"/>
        <v>0</v>
      </c>
      <c r="L155" s="564">
        <v>0</v>
      </c>
      <c r="M155" s="563"/>
      <c r="N155" s="563"/>
      <c r="O155" s="563"/>
      <c r="P155" s="563"/>
      <c r="Q155" s="563"/>
      <c r="R155" s="563"/>
      <c r="S155" s="563"/>
      <c r="T155" s="563"/>
    </row>
    <row r="156" spans="1:20" ht="15" hidden="1" customHeight="1" x14ac:dyDescent="0.35">
      <c r="A156" s="486" t="s">
        <v>331</v>
      </c>
      <c r="B156" s="486"/>
      <c r="C156" s="487">
        <v>0</v>
      </c>
      <c r="D156" s="488">
        <v>0</v>
      </c>
      <c r="E156" s="488">
        <f t="array" ref="E156">SUM(IF('6. Class A Consumption Data'!H398:I398="B",'6. Class A Consumption Data'!H396:I396))</f>
        <v>0</v>
      </c>
      <c r="F156" s="488">
        <f t="array" ref="F156">SUM(IF('6. Class A Consumption Data'!J398:K398="B",'6. Class A Consumption Data'!J396:K396))</f>
        <v>0</v>
      </c>
      <c r="G156" s="488">
        <f t="array" ref="G156">SUM(IF('6. Class A Consumption Data'!L398:M398="B",'6. Class A Consumption Data'!L396:M396))</f>
        <v>0</v>
      </c>
      <c r="H156" s="488">
        <f t="array" ref="H156">SUM(IF('6. Class A Consumption Data'!N398:O398="B",'6. Class A Consumption Data'!N396:O396))</f>
        <v>0</v>
      </c>
      <c r="I156" s="490">
        <f t="shared" si="3"/>
        <v>0</v>
      </c>
      <c r="J156" s="491">
        <f t="shared" si="4"/>
        <v>0</v>
      </c>
      <c r="K156" s="491">
        <f t="shared" si="5"/>
        <v>0</v>
      </c>
      <c r="L156" s="564">
        <v>0</v>
      </c>
      <c r="M156" s="563"/>
      <c r="N156" s="563"/>
      <c r="O156" s="563"/>
      <c r="P156" s="563"/>
      <c r="Q156" s="563"/>
      <c r="R156" s="563"/>
      <c r="S156" s="563"/>
      <c r="T156" s="563"/>
    </row>
    <row r="157" spans="1:20" ht="14.5" hidden="1" x14ac:dyDescent="0.35">
      <c r="A157" s="486" t="s">
        <v>332</v>
      </c>
      <c r="B157" s="486"/>
      <c r="C157" s="487">
        <v>0</v>
      </c>
      <c r="D157" s="488">
        <v>0</v>
      </c>
      <c r="E157" s="488">
        <f t="array" ref="E157">SUM(IF('6. Class A Consumption Data'!H401:I401="B",'6. Class A Consumption Data'!H399:I399))</f>
        <v>0</v>
      </c>
      <c r="F157" s="488">
        <f t="array" ref="F157">SUM(IF('6. Class A Consumption Data'!J401:K401="B",'6. Class A Consumption Data'!J399:K399))</f>
        <v>0</v>
      </c>
      <c r="G157" s="488">
        <f t="array" ref="G157">SUM(IF('6. Class A Consumption Data'!L401:M401="B",'6. Class A Consumption Data'!L399:M399))</f>
        <v>0</v>
      </c>
      <c r="H157" s="488">
        <f t="array" ref="H157">SUM(IF('6. Class A Consumption Data'!N401:O401="B",'6. Class A Consumption Data'!N399:O399))</f>
        <v>0</v>
      </c>
      <c r="I157" s="490">
        <f t="shared" si="3"/>
        <v>0</v>
      </c>
      <c r="J157" s="491">
        <f t="shared" si="4"/>
        <v>0</v>
      </c>
      <c r="K157" s="491">
        <f t="shared" si="5"/>
        <v>0</v>
      </c>
      <c r="L157" s="564">
        <v>0</v>
      </c>
      <c r="M157" s="563"/>
      <c r="N157" s="563"/>
      <c r="O157" s="563"/>
      <c r="P157" s="563"/>
      <c r="Q157" s="563"/>
      <c r="R157" s="563"/>
      <c r="S157" s="563"/>
      <c r="T157" s="563"/>
    </row>
    <row r="158" spans="1:20" ht="14.5" hidden="1" x14ac:dyDescent="0.35">
      <c r="A158" s="486" t="s">
        <v>333</v>
      </c>
      <c r="B158" s="486"/>
      <c r="C158" s="487">
        <v>0</v>
      </c>
      <c r="D158" s="488">
        <v>0</v>
      </c>
      <c r="E158" s="488">
        <f t="array" ref="E158">SUM(IF('6. Class A Consumption Data'!H404:I404="B",'6. Class A Consumption Data'!H402:I402))</f>
        <v>0</v>
      </c>
      <c r="F158" s="488">
        <f t="array" ref="F158">SUM(IF('6. Class A Consumption Data'!J404:K404="B",'6. Class A Consumption Data'!J402:K402))</f>
        <v>0</v>
      </c>
      <c r="G158" s="488">
        <f t="array" ref="G158">SUM(IF('6. Class A Consumption Data'!L404:M404="B",'6. Class A Consumption Data'!L402:M402))</f>
        <v>0</v>
      </c>
      <c r="H158" s="488">
        <f t="array" ref="H158">SUM(IF('6. Class A Consumption Data'!N404:O404="B",'6. Class A Consumption Data'!N402:O402))</f>
        <v>0</v>
      </c>
      <c r="I158" s="490">
        <f t="shared" si="3"/>
        <v>0</v>
      </c>
      <c r="J158" s="491">
        <f t="shared" si="4"/>
        <v>0</v>
      </c>
      <c r="K158" s="491">
        <f t="shared" si="5"/>
        <v>0</v>
      </c>
      <c r="L158" s="564">
        <v>0</v>
      </c>
      <c r="M158" s="563"/>
      <c r="N158" s="563"/>
      <c r="O158" s="563"/>
      <c r="P158" s="563"/>
      <c r="Q158" s="563"/>
      <c r="R158" s="563"/>
      <c r="S158" s="563"/>
      <c r="T158" s="563"/>
    </row>
    <row r="159" spans="1:20" ht="14.5" hidden="1" x14ac:dyDescent="0.35">
      <c r="A159" s="486" t="s">
        <v>334</v>
      </c>
      <c r="B159" s="486"/>
      <c r="C159" s="487">
        <v>0</v>
      </c>
      <c r="D159" s="488">
        <v>0</v>
      </c>
      <c r="E159" s="488">
        <f t="array" ref="E159">SUM(IF('6. Class A Consumption Data'!H407:I407="B",'6. Class A Consumption Data'!H405:I405))</f>
        <v>0</v>
      </c>
      <c r="F159" s="488">
        <f t="array" ref="F159">SUM(IF('6. Class A Consumption Data'!J407:K407="B",'6. Class A Consumption Data'!J405:K405))</f>
        <v>0</v>
      </c>
      <c r="G159" s="488">
        <f t="array" ref="G159">SUM(IF('6. Class A Consumption Data'!L407:M407="B",'6. Class A Consumption Data'!L405:M405))</f>
        <v>0</v>
      </c>
      <c r="H159" s="488">
        <f t="array" ref="H159">SUM(IF('6. Class A Consumption Data'!N407:O407="B",'6. Class A Consumption Data'!N405:O405))</f>
        <v>0</v>
      </c>
      <c r="I159" s="490">
        <f t="shared" si="3"/>
        <v>0</v>
      </c>
      <c r="J159" s="491">
        <f t="shared" si="4"/>
        <v>0</v>
      </c>
      <c r="K159" s="491">
        <f t="shared" si="5"/>
        <v>0</v>
      </c>
      <c r="L159" s="564">
        <v>0</v>
      </c>
      <c r="M159" s="563"/>
      <c r="N159" s="563"/>
      <c r="O159" s="563"/>
      <c r="P159" s="563"/>
      <c r="Q159" s="563"/>
      <c r="R159" s="563"/>
      <c r="S159" s="563"/>
      <c r="T159" s="563"/>
    </row>
    <row r="160" spans="1:20" ht="14.5" hidden="1" x14ac:dyDescent="0.35">
      <c r="A160" s="486" t="s">
        <v>335</v>
      </c>
      <c r="B160" s="486"/>
      <c r="C160" s="487">
        <v>0</v>
      </c>
      <c r="D160" s="488">
        <v>0</v>
      </c>
      <c r="E160" s="488">
        <f t="array" ref="E160">SUM(IF('6. Class A Consumption Data'!H410:I410="B",'6. Class A Consumption Data'!H408:I408))</f>
        <v>0</v>
      </c>
      <c r="F160" s="488">
        <f t="array" ref="F160">SUM(IF('6. Class A Consumption Data'!J410:K410="B",'6. Class A Consumption Data'!J408:K408))</f>
        <v>0</v>
      </c>
      <c r="G160" s="488">
        <f t="array" ref="G160">SUM(IF('6. Class A Consumption Data'!L410:M410="B",'6. Class A Consumption Data'!L408:M408))</f>
        <v>0</v>
      </c>
      <c r="H160" s="488">
        <f t="array" ref="H160">SUM(IF('6. Class A Consumption Data'!N410:O410="B",'6. Class A Consumption Data'!N408:O408))</f>
        <v>0</v>
      </c>
      <c r="I160" s="490">
        <f t="shared" si="3"/>
        <v>0</v>
      </c>
      <c r="J160" s="491">
        <f t="shared" si="4"/>
        <v>0</v>
      </c>
      <c r="K160" s="491">
        <f t="shared" si="5"/>
        <v>0</v>
      </c>
      <c r="L160" s="564">
        <v>0</v>
      </c>
      <c r="M160" s="563"/>
      <c r="N160" s="563"/>
      <c r="O160" s="563"/>
      <c r="P160" s="563"/>
      <c r="Q160" s="563"/>
      <c r="R160" s="563"/>
      <c r="S160" s="563"/>
      <c r="T160" s="563"/>
    </row>
    <row r="161" spans="1:20" ht="14.5" hidden="1" x14ac:dyDescent="0.35">
      <c r="A161" s="486" t="s">
        <v>336</v>
      </c>
      <c r="B161" s="486"/>
      <c r="C161" s="487">
        <v>0</v>
      </c>
      <c r="D161" s="488">
        <v>0</v>
      </c>
      <c r="E161" s="488">
        <f t="array" ref="E161">SUM(IF('6. Class A Consumption Data'!H413:I413="B",'6. Class A Consumption Data'!H411:I411))</f>
        <v>0</v>
      </c>
      <c r="F161" s="488">
        <f t="array" ref="F161">SUM(IF('6. Class A Consumption Data'!J413:K413="B",'6. Class A Consumption Data'!J411:K411))</f>
        <v>0</v>
      </c>
      <c r="G161" s="488">
        <f t="array" ref="G161">SUM(IF('6. Class A Consumption Data'!L413:M413="B",'6. Class A Consumption Data'!L411:M411))</f>
        <v>0</v>
      </c>
      <c r="H161" s="488">
        <f t="array" ref="H161">SUM(IF('6. Class A Consumption Data'!N413:O413="B",'6. Class A Consumption Data'!N411:O411))</f>
        <v>0</v>
      </c>
      <c r="I161" s="490">
        <f t="shared" si="3"/>
        <v>0</v>
      </c>
      <c r="J161" s="491">
        <f t="shared" si="4"/>
        <v>0</v>
      </c>
      <c r="K161" s="491">
        <f t="shared" si="5"/>
        <v>0</v>
      </c>
      <c r="L161" s="564">
        <v>0</v>
      </c>
      <c r="M161" s="563"/>
      <c r="N161" s="563"/>
      <c r="O161" s="563"/>
      <c r="P161" s="563"/>
      <c r="Q161" s="563"/>
      <c r="R161" s="563"/>
      <c r="S161" s="563"/>
      <c r="T161" s="563"/>
    </row>
    <row r="162" spans="1:20" ht="14.5" hidden="1" x14ac:dyDescent="0.35">
      <c r="A162" s="486" t="s">
        <v>337</v>
      </c>
      <c r="B162" s="486"/>
      <c r="C162" s="487">
        <v>0</v>
      </c>
      <c r="D162" s="488">
        <v>0</v>
      </c>
      <c r="E162" s="488">
        <f t="array" ref="E162">SUM(IF('6. Class A Consumption Data'!H416:I416="B",'6. Class A Consumption Data'!H414:I414))</f>
        <v>0</v>
      </c>
      <c r="F162" s="488">
        <f t="array" ref="F162">SUM(IF('6. Class A Consumption Data'!J416:K416="B",'6. Class A Consumption Data'!J414:K414))</f>
        <v>0</v>
      </c>
      <c r="G162" s="488">
        <f t="array" ref="G162">SUM(IF('6. Class A Consumption Data'!L416:M416="B",'6. Class A Consumption Data'!L414:M414))</f>
        <v>0</v>
      </c>
      <c r="H162" s="488">
        <f t="array" ref="H162">SUM(IF('6. Class A Consumption Data'!N416:O416="B",'6. Class A Consumption Data'!N414:O414))</f>
        <v>0</v>
      </c>
      <c r="I162" s="490">
        <f t="shared" ref="I162:I183" si="6">IFERROR(+C162/($C$184),0)</f>
        <v>0</v>
      </c>
      <c r="J162" s="491">
        <f t="shared" ref="J162:J183" si="7">+I162*$C$28</f>
        <v>0</v>
      </c>
      <c r="K162" s="491">
        <f t="shared" ref="K162:K183" si="8">+J162/12</f>
        <v>0</v>
      </c>
      <c r="L162" s="564">
        <v>0</v>
      </c>
      <c r="M162" s="563"/>
      <c r="N162" s="563"/>
      <c r="O162" s="563"/>
      <c r="P162" s="563"/>
      <c r="Q162" s="563"/>
      <c r="R162" s="563"/>
      <c r="S162" s="563"/>
      <c r="T162" s="563"/>
    </row>
    <row r="163" spans="1:20" ht="14.5" hidden="1" x14ac:dyDescent="0.35">
      <c r="A163" s="486" t="s">
        <v>338</v>
      </c>
      <c r="B163" s="486"/>
      <c r="C163" s="487">
        <v>0</v>
      </c>
      <c r="D163" s="488">
        <v>0</v>
      </c>
      <c r="E163" s="488">
        <f t="array" ref="E163">SUM(IF('6. Class A Consumption Data'!H419:I419="B",'6. Class A Consumption Data'!H417:I417))</f>
        <v>0</v>
      </c>
      <c r="F163" s="488">
        <f t="array" ref="F163">SUM(IF('6. Class A Consumption Data'!J419:K419="B",'6. Class A Consumption Data'!J417:K417))</f>
        <v>0</v>
      </c>
      <c r="G163" s="488">
        <f t="array" ref="G163">SUM(IF('6. Class A Consumption Data'!L419:M419="B",'6. Class A Consumption Data'!L417:M417))</f>
        <v>0</v>
      </c>
      <c r="H163" s="488">
        <f t="array" ref="H163">SUM(IF('6. Class A Consumption Data'!N419:O419="B",'6. Class A Consumption Data'!N417:O417))</f>
        <v>0</v>
      </c>
      <c r="I163" s="490">
        <f t="shared" si="6"/>
        <v>0</v>
      </c>
      <c r="J163" s="491">
        <f t="shared" si="7"/>
        <v>0</v>
      </c>
      <c r="K163" s="491">
        <f t="shared" si="8"/>
        <v>0</v>
      </c>
      <c r="L163" s="564">
        <v>0</v>
      </c>
      <c r="M163" s="563"/>
      <c r="N163" s="563"/>
      <c r="O163" s="563"/>
      <c r="P163" s="563"/>
      <c r="Q163" s="563"/>
      <c r="R163" s="563"/>
      <c r="S163" s="563"/>
      <c r="T163" s="563"/>
    </row>
    <row r="164" spans="1:20" ht="14.5" hidden="1" x14ac:dyDescent="0.35">
      <c r="A164" s="486" t="s">
        <v>339</v>
      </c>
      <c r="B164" s="486"/>
      <c r="C164" s="487">
        <v>0</v>
      </c>
      <c r="D164" s="488">
        <v>0</v>
      </c>
      <c r="E164" s="488">
        <f t="array" ref="E164">SUM(IF('6. Class A Consumption Data'!H422:I422="B",'6. Class A Consumption Data'!H420:I420))</f>
        <v>0</v>
      </c>
      <c r="F164" s="488">
        <f t="array" ref="F164">SUM(IF('6. Class A Consumption Data'!J422:K422="B",'6. Class A Consumption Data'!J420:K420))</f>
        <v>0</v>
      </c>
      <c r="G164" s="488">
        <f t="array" ref="G164">SUM(IF('6. Class A Consumption Data'!L422:M422="B",'6. Class A Consumption Data'!L420:M420))</f>
        <v>0</v>
      </c>
      <c r="H164" s="488">
        <f t="array" ref="H164">SUM(IF('6. Class A Consumption Data'!N422:O422="B",'6. Class A Consumption Data'!N420:O420))</f>
        <v>0</v>
      </c>
      <c r="I164" s="490">
        <f t="shared" si="6"/>
        <v>0</v>
      </c>
      <c r="J164" s="491">
        <f t="shared" si="7"/>
        <v>0</v>
      </c>
      <c r="K164" s="491">
        <f t="shared" si="8"/>
        <v>0</v>
      </c>
      <c r="L164" s="564">
        <v>0</v>
      </c>
      <c r="M164" s="563"/>
      <c r="N164" s="563"/>
      <c r="O164" s="563"/>
      <c r="P164" s="563"/>
      <c r="Q164" s="563"/>
      <c r="R164" s="563"/>
      <c r="S164" s="563"/>
      <c r="T164" s="563"/>
    </row>
    <row r="165" spans="1:20" ht="14.5" hidden="1" x14ac:dyDescent="0.35">
      <c r="A165" s="486" t="s">
        <v>340</v>
      </c>
      <c r="B165" s="486"/>
      <c r="C165" s="487">
        <v>0</v>
      </c>
      <c r="D165" s="488">
        <v>0</v>
      </c>
      <c r="E165" s="488">
        <f t="array" ref="E165">SUM(IF('6. Class A Consumption Data'!H425:I425="B",'6. Class A Consumption Data'!H423:I423))</f>
        <v>0</v>
      </c>
      <c r="F165" s="488">
        <f t="array" ref="F165">SUM(IF('6. Class A Consumption Data'!J425:K425="B",'6. Class A Consumption Data'!J423:K423))</f>
        <v>0</v>
      </c>
      <c r="G165" s="488">
        <f t="array" ref="G165">SUM(IF('6. Class A Consumption Data'!L425:M425="B",'6. Class A Consumption Data'!L423:M423))</f>
        <v>0</v>
      </c>
      <c r="H165" s="488">
        <f t="array" ref="H165">SUM(IF('6. Class A Consumption Data'!N425:O425="B",'6. Class A Consumption Data'!N423:O423))</f>
        <v>0</v>
      </c>
      <c r="I165" s="490">
        <f t="shared" si="6"/>
        <v>0</v>
      </c>
      <c r="J165" s="491">
        <f t="shared" si="7"/>
        <v>0</v>
      </c>
      <c r="K165" s="491">
        <f t="shared" si="8"/>
        <v>0</v>
      </c>
      <c r="L165" s="564">
        <v>0</v>
      </c>
      <c r="M165" s="563"/>
      <c r="N165" s="563"/>
      <c r="O165" s="563"/>
      <c r="P165" s="563"/>
      <c r="Q165" s="563"/>
      <c r="R165" s="563"/>
      <c r="S165" s="563"/>
      <c r="T165" s="563"/>
    </row>
    <row r="166" spans="1:20" ht="14.5" hidden="1" x14ac:dyDescent="0.35">
      <c r="A166" s="486" t="s">
        <v>341</v>
      </c>
      <c r="B166" s="486"/>
      <c r="C166" s="487">
        <v>0</v>
      </c>
      <c r="D166" s="488">
        <v>0</v>
      </c>
      <c r="E166" s="488">
        <f t="array" ref="E166">SUM(IF('6. Class A Consumption Data'!H428:I428="B",'6. Class A Consumption Data'!H426:I426))</f>
        <v>0</v>
      </c>
      <c r="F166" s="488">
        <f t="array" ref="F166">SUM(IF('6. Class A Consumption Data'!J428:K428="B",'6. Class A Consumption Data'!J426:K426))</f>
        <v>0</v>
      </c>
      <c r="G166" s="488">
        <f t="array" ref="G166">SUM(IF('6. Class A Consumption Data'!L428:M428="B",'6. Class A Consumption Data'!L426:M426))</f>
        <v>0</v>
      </c>
      <c r="H166" s="488">
        <f t="array" ref="H166">SUM(IF('6. Class A Consumption Data'!N428:O428="B",'6. Class A Consumption Data'!N426:O426))</f>
        <v>0</v>
      </c>
      <c r="I166" s="490">
        <f t="shared" si="6"/>
        <v>0</v>
      </c>
      <c r="J166" s="491">
        <f t="shared" si="7"/>
        <v>0</v>
      </c>
      <c r="K166" s="491">
        <f t="shared" si="8"/>
        <v>0</v>
      </c>
      <c r="L166" s="564">
        <v>0</v>
      </c>
      <c r="M166" s="563"/>
      <c r="N166" s="563"/>
      <c r="O166" s="563"/>
      <c r="P166" s="563"/>
      <c r="Q166" s="563"/>
      <c r="R166" s="563"/>
      <c r="S166" s="563"/>
      <c r="T166" s="563"/>
    </row>
    <row r="167" spans="1:20" ht="14.5" hidden="1" x14ac:dyDescent="0.35">
      <c r="A167" s="486" t="s">
        <v>342</v>
      </c>
      <c r="B167" s="486"/>
      <c r="C167" s="487">
        <v>0</v>
      </c>
      <c r="D167" s="488">
        <v>0</v>
      </c>
      <c r="E167" s="488">
        <f t="array" ref="E167">SUM(IF('6. Class A Consumption Data'!H431:I431="B",'6. Class A Consumption Data'!H429:I429))</f>
        <v>0</v>
      </c>
      <c r="F167" s="488">
        <f t="array" ref="F167">SUM(IF('6. Class A Consumption Data'!J431:K431="B",'6. Class A Consumption Data'!J429:K429))</f>
        <v>0</v>
      </c>
      <c r="G167" s="488">
        <f t="array" ref="G167">SUM(IF('6. Class A Consumption Data'!L431:M431="B",'6. Class A Consumption Data'!L429:M429))</f>
        <v>0</v>
      </c>
      <c r="H167" s="488">
        <f t="array" ref="H167">SUM(IF('6. Class A Consumption Data'!N431:O431="B",'6. Class A Consumption Data'!N429:O429))</f>
        <v>0</v>
      </c>
      <c r="I167" s="490">
        <f t="shared" si="6"/>
        <v>0</v>
      </c>
      <c r="J167" s="491">
        <f t="shared" si="7"/>
        <v>0</v>
      </c>
      <c r="K167" s="491">
        <f t="shared" si="8"/>
        <v>0</v>
      </c>
      <c r="L167" s="564">
        <v>0</v>
      </c>
      <c r="M167" s="563"/>
      <c r="N167" s="563"/>
      <c r="O167" s="563"/>
      <c r="P167" s="563"/>
      <c r="Q167" s="563"/>
      <c r="R167" s="563"/>
      <c r="S167" s="563"/>
      <c r="T167" s="563"/>
    </row>
    <row r="168" spans="1:20" ht="14.5" hidden="1" x14ac:dyDescent="0.35">
      <c r="A168" s="486" t="s">
        <v>343</v>
      </c>
      <c r="B168" s="486"/>
      <c r="C168" s="487">
        <v>0</v>
      </c>
      <c r="D168" s="488">
        <v>0</v>
      </c>
      <c r="E168" s="488">
        <f t="array" ref="E168">SUM(IF('6. Class A Consumption Data'!H434:I434="B",'6. Class A Consumption Data'!H432:I432))</f>
        <v>0</v>
      </c>
      <c r="F168" s="488">
        <f t="array" ref="F168">SUM(IF('6. Class A Consumption Data'!J434:K434="B",'6. Class A Consumption Data'!J432:K432))</f>
        <v>0</v>
      </c>
      <c r="G168" s="488">
        <f t="array" ref="G168">SUM(IF('6. Class A Consumption Data'!L434:M434="B",'6. Class A Consumption Data'!L432:M432))</f>
        <v>0</v>
      </c>
      <c r="H168" s="488">
        <f t="array" ref="H168">SUM(IF('6. Class A Consumption Data'!N434:O434="B",'6. Class A Consumption Data'!N432:O432))</f>
        <v>0</v>
      </c>
      <c r="I168" s="490">
        <f t="shared" si="6"/>
        <v>0</v>
      </c>
      <c r="J168" s="491">
        <f t="shared" si="7"/>
        <v>0</v>
      </c>
      <c r="K168" s="491">
        <f t="shared" si="8"/>
        <v>0</v>
      </c>
      <c r="L168" s="564">
        <v>0</v>
      </c>
      <c r="M168" s="563"/>
      <c r="N168" s="563"/>
      <c r="O168" s="563"/>
      <c r="P168" s="563"/>
      <c r="Q168" s="563"/>
      <c r="R168" s="563"/>
      <c r="S168" s="563"/>
      <c r="T168" s="563"/>
    </row>
    <row r="169" spans="1:20" ht="14.5" hidden="1" x14ac:dyDescent="0.35">
      <c r="A169" s="486" t="s">
        <v>344</v>
      </c>
      <c r="B169" s="486"/>
      <c r="C169" s="487">
        <v>0</v>
      </c>
      <c r="D169" s="488">
        <v>0</v>
      </c>
      <c r="E169" s="488">
        <f t="array" ref="E169">SUM(IF('6. Class A Consumption Data'!H437:I437="B",'6. Class A Consumption Data'!H435:I435))</f>
        <v>0</v>
      </c>
      <c r="F169" s="488">
        <f t="array" ref="F169">SUM(IF('6. Class A Consumption Data'!J437:K437="B",'6. Class A Consumption Data'!J435:K435))</f>
        <v>0</v>
      </c>
      <c r="G169" s="488">
        <f t="array" ref="G169">SUM(IF('6. Class A Consumption Data'!L437:M437="B",'6. Class A Consumption Data'!L435:M435))</f>
        <v>0</v>
      </c>
      <c r="H169" s="488">
        <f t="array" ref="H169">SUM(IF('6. Class A Consumption Data'!N437:O437="B",'6. Class A Consumption Data'!N435:O435))</f>
        <v>0</v>
      </c>
      <c r="I169" s="490">
        <f t="shared" si="6"/>
        <v>0</v>
      </c>
      <c r="J169" s="491">
        <f t="shared" si="7"/>
        <v>0</v>
      </c>
      <c r="K169" s="491">
        <f t="shared" si="8"/>
        <v>0</v>
      </c>
      <c r="L169" s="564">
        <v>0</v>
      </c>
      <c r="M169" s="563"/>
      <c r="N169" s="563"/>
      <c r="O169" s="563"/>
      <c r="P169" s="563"/>
      <c r="Q169" s="563"/>
      <c r="R169" s="563"/>
      <c r="S169" s="563"/>
      <c r="T169" s="563"/>
    </row>
    <row r="170" spans="1:20" ht="14.5" hidden="1" x14ac:dyDescent="0.35">
      <c r="A170" s="486" t="s">
        <v>345</v>
      </c>
      <c r="B170" s="486"/>
      <c r="C170" s="487">
        <v>0</v>
      </c>
      <c r="D170" s="488">
        <v>0</v>
      </c>
      <c r="E170" s="488">
        <f t="array" ref="E170">SUM(IF('6. Class A Consumption Data'!H440:I440="B",'6. Class A Consumption Data'!H438:I438))</f>
        <v>0</v>
      </c>
      <c r="F170" s="488">
        <f t="array" ref="F170">SUM(IF('6. Class A Consumption Data'!J440:K440="B",'6. Class A Consumption Data'!J438:K438))</f>
        <v>0</v>
      </c>
      <c r="G170" s="488">
        <f t="array" ref="G170">SUM(IF('6. Class A Consumption Data'!L440:M440="B",'6. Class A Consumption Data'!L438:M438))</f>
        <v>0</v>
      </c>
      <c r="H170" s="488">
        <f t="array" ref="H170">SUM(IF('6. Class A Consumption Data'!N440:O440="B",'6. Class A Consumption Data'!N438:O438))</f>
        <v>0</v>
      </c>
      <c r="I170" s="490">
        <f t="shared" si="6"/>
        <v>0</v>
      </c>
      <c r="J170" s="491">
        <f t="shared" si="7"/>
        <v>0</v>
      </c>
      <c r="K170" s="491">
        <f t="shared" si="8"/>
        <v>0</v>
      </c>
      <c r="L170" s="564">
        <v>0</v>
      </c>
      <c r="M170" s="563"/>
      <c r="N170" s="563"/>
      <c r="O170" s="563"/>
      <c r="P170" s="563"/>
      <c r="Q170" s="563"/>
      <c r="R170" s="563"/>
      <c r="S170" s="563"/>
      <c r="T170" s="563"/>
    </row>
    <row r="171" spans="1:20" ht="14.5" hidden="1" x14ac:dyDescent="0.35">
      <c r="A171" s="486" t="s">
        <v>346</v>
      </c>
      <c r="B171" s="486"/>
      <c r="C171" s="487">
        <v>0</v>
      </c>
      <c r="D171" s="488">
        <v>0</v>
      </c>
      <c r="E171" s="488">
        <f t="array" ref="E171">SUM(IF('6. Class A Consumption Data'!H443:I443="B",'6. Class A Consumption Data'!H441:I441))</f>
        <v>0</v>
      </c>
      <c r="F171" s="488">
        <f t="array" ref="F171">SUM(IF('6. Class A Consumption Data'!J443:K443="B",'6. Class A Consumption Data'!J441:K441))</f>
        <v>0</v>
      </c>
      <c r="G171" s="488">
        <f t="array" ref="G171">SUM(IF('6. Class A Consumption Data'!L443:M443="B",'6. Class A Consumption Data'!L441:M441))</f>
        <v>0</v>
      </c>
      <c r="H171" s="488">
        <f t="array" ref="H171">SUM(IF('6. Class A Consumption Data'!N443:O443="B",'6. Class A Consumption Data'!N441:O441))</f>
        <v>0</v>
      </c>
      <c r="I171" s="490">
        <f t="shared" si="6"/>
        <v>0</v>
      </c>
      <c r="J171" s="491">
        <f t="shared" si="7"/>
        <v>0</v>
      </c>
      <c r="K171" s="491">
        <f t="shared" si="8"/>
        <v>0</v>
      </c>
      <c r="L171" s="564">
        <v>0</v>
      </c>
      <c r="M171" s="563"/>
      <c r="N171" s="563"/>
      <c r="O171" s="563"/>
      <c r="P171" s="563"/>
      <c r="Q171" s="563"/>
      <c r="R171" s="563"/>
      <c r="S171" s="563"/>
      <c r="T171" s="563"/>
    </row>
    <row r="172" spans="1:20" ht="14.5" hidden="1" x14ac:dyDescent="0.35">
      <c r="A172" s="486" t="s">
        <v>347</v>
      </c>
      <c r="B172" s="486"/>
      <c r="C172" s="487">
        <v>0</v>
      </c>
      <c r="D172" s="488">
        <v>0</v>
      </c>
      <c r="E172" s="488">
        <f t="array" ref="E172">SUM(IF('6. Class A Consumption Data'!H446:I446="B",'6. Class A Consumption Data'!H444:I444))</f>
        <v>0</v>
      </c>
      <c r="F172" s="488">
        <f t="array" ref="F172">SUM(IF('6. Class A Consumption Data'!J446:K446="B",'6. Class A Consumption Data'!J444:K444))</f>
        <v>0</v>
      </c>
      <c r="G172" s="488">
        <f t="array" ref="G172">SUM(IF('6. Class A Consumption Data'!L446:M446="B",'6. Class A Consumption Data'!L444:M444))</f>
        <v>0</v>
      </c>
      <c r="H172" s="488">
        <f t="array" ref="H172">SUM(IF('6. Class A Consumption Data'!N446:O446="B",'6. Class A Consumption Data'!N444:O444))</f>
        <v>0</v>
      </c>
      <c r="I172" s="490">
        <f t="shared" si="6"/>
        <v>0</v>
      </c>
      <c r="J172" s="491">
        <f t="shared" si="7"/>
        <v>0</v>
      </c>
      <c r="K172" s="491">
        <f t="shared" si="8"/>
        <v>0</v>
      </c>
      <c r="L172" s="564">
        <v>0</v>
      </c>
      <c r="M172" s="563"/>
      <c r="N172" s="563"/>
      <c r="O172" s="563"/>
      <c r="P172" s="563"/>
      <c r="Q172" s="563"/>
      <c r="R172" s="563"/>
      <c r="S172" s="563"/>
      <c r="T172" s="563"/>
    </row>
    <row r="173" spans="1:20" ht="14.5" hidden="1" x14ac:dyDescent="0.35">
      <c r="A173" s="486" t="s">
        <v>348</v>
      </c>
      <c r="B173" s="486"/>
      <c r="C173" s="487">
        <v>0</v>
      </c>
      <c r="D173" s="488">
        <v>0</v>
      </c>
      <c r="E173" s="488">
        <f t="array" ref="E173">SUM(IF('6. Class A Consumption Data'!H449:I449="B",'6. Class A Consumption Data'!H447:I447))</f>
        <v>0</v>
      </c>
      <c r="F173" s="488">
        <f t="array" ref="F173">SUM(IF('6. Class A Consumption Data'!J449:K449="B",'6. Class A Consumption Data'!J447:K447))</f>
        <v>0</v>
      </c>
      <c r="G173" s="488">
        <f t="array" ref="G173">SUM(IF('6. Class A Consumption Data'!L449:M449="B",'6. Class A Consumption Data'!L447:M447))</f>
        <v>0</v>
      </c>
      <c r="H173" s="488">
        <f t="array" ref="H173">SUM(IF('6. Class A Consumption Data'!N449:O449="B",'6. Class A Consumption Data'!N447:O447))</f>
        <v>0</v>
      </c>
      <c r="I173" s="490">
        <f t="shared" si="6"/>
        <v>0</v>
      </c>
      <c r="J173" s="491">
        <f t="shared" si="7"/>
        <v>0</v>
      </c>
      <c r="K173" s="491">
        <f t="shared" si="8"/>
        <v>0</v>
      </c>
      <c r="L173" s="564">
        <v>0</v>
      </c>
      <c r="M173" s="563"/>
      <c r="N173" s="563"/>
      <c r="O173" s="563"/>
      <c r="P173" s="563"/>
      <c r="Q173" s="563"/>
      <c r="R173" s="563"/>
      <c r="S173" s="563"/>
      <c r="T173" s="563"/>
    </row>
    <row r="174" spans="1:20" ht="14.5" hidden="1" x14ac:dyDescent="0.35">
      <c r="A174" s="486" t="s">
        <v>349</v>
      </c>
      <c r="B174" s="486"/>
      <c r="C174" s="487">
        <v>0</v>
      </c>
      <c r="D174" s="488">
        <v>0</v>
      </c>
      <c r="E174" s="488">
        <f t="array" ref="E174">SUM(IF('6. Class A Consumption Data'!H452:I452="B",'6. Class A Consumption Data'!H450:I450))</f>
        <v>0</v>
      </c>
      <c r="F174" s="488">
        <f t="array" ref="F174">SUM(IF('6. Class A Consumption Data'!J452:K452="B",'6. Class A Consumption Data'!J450:K450))</f>
        <v>0</v>
      </c>
      <c r="G174" s="488">
        <f t="array" ref="G174">SUM(IF('6. Class A Consumption Data'!L452:M452="B",'6. Class A Consumption Data'!L450:M450))</f>
        <v>0</v>
      </c>
      <c r="H174" s="488">
        <f t="array" ref="H174">SUM(IF('6. Class A Consumption Data'!N452:O452="B",'6. Class A Consumption Data'!N450:O450))</f>
        <v>0</v>
      </c>
      <c r="I174" s="490">
        <f t="shared" si="6"/>
        <v>0</v>
      </c>
      <c r="J174" s="491">
        <f t="shared" si="7"/>
        <v>0</v>
      </c>
      <c r="K174" s="491">
        <f t="shared" si="8"/>
        <v>0</v>
      </c>
      <c r="L174" s="564">
        <v>0</v>
      </c>
      <c r="M174" s="563"/>
      <c r="N174" s="563"/>
      <c r="O174" s="563"/>
      <c r="P174" s="563"/>
      <c r="Q174" s="563"/>
      <c r="R174" s="563"/>
      <c r="S174" s="563"/>
      <c r="T174" s="563"/>
    </row>
    <row r="175" spans="1:20" ht="14.5" hidden="1" x14ac:dyDescent="0.35">
      <c r="A175" s="486" t="s">
        <v>350</v>
      </c>
      <c r="B175" s="486"/>
      <c r="C175" s="487">
        <v>0</v>
      </c>
      <c r="D175" s="488">
        <v>0</v>
      </c>
      <c r="E175" s="488">
        <f t="array" ref="E175">SUM(IF('6. Class A Consumption Data'!H455:I455="B",'6. Class A Consumption Data'!H453:I453))</f>
        <v>0</v>
      </c>
      <c r="F175" s="488">
        <f t="array" ref="F175">SUM(IF('6. Class A Consumption Data'!J455:K455="B",'6. Class A Consumption Data'!J453:K453))</f>
        <v>0</v>
      </c>
      <c r="G175" s="488">
        <f t="array" ref="G175">SUM(IF('6. Class A Consumption Data'!L455:M455="B",'6. Class A Consumption Data'!L453:M453))</f>
        <v>0</v>
      </c>
      <c r="H175" s="488">
        <f t="array" ref="H175">SUM(IF('6. Class A Consumption Data'!N455:O455="B",'6. Class A Consumption Data'!N453:O453))</f>
        <v>0</v>
      </c>
      <c r="I175" s="490">
        <f t="shared" si="6"/>
        <v>0</v>
      </c>
      <c r="J175" s="491">
        <f t="shared" si="7"/>
        <v>0</v>
      </c>
      <c r="K175" s="491">
        <f t="shared" si="8"/>
        <v>0</v>
      </c>
      <c r="L175" s="564">
        <v>0</v>
      </c>
      <c r="M175" s="563"/>
      <c r="N175" s="563"/>
      <c r="O175" s="563"/>
      <c r="P175" s="563"/>
      <c r="Q175" s="563"/>
      <c r="R175" s="563"/>
      <c r="S175" s="563"/>
      <c r="T175" s="563"/>
    </row>
    <row r="176" spans="1:20" ht="14.5" hidden="1" x14ac:dyDescent="0.35">
      <c r="A176" s="486" t="s">
        <v>351</v>
      </c>
      <c r="B176" s="486"/>
      <c r="C176" s="487">
        <v>0</v>
      </c>
      <c r="D176" s="488">
        <v>0</v>
      </c>
      <c r="E176" s="488">
        <f t="array" ref="E176">SUM(IF('6. Class A Consumption Data'!H458:I458="B",'6. Class A Consumption Data'!H456:I456))</f>
        <v>0</v>
      </c>
      <c r="F176" s="488">
        <f t="array" ref="F176">SUM(IF('6. Class A Consumption Data'!J458:K458="B",'6. Class A Consumption Data'!J456:K456))</f>
        <v>0</v>
      </c>
      <c r="G176" s="488">
        <f t="array" ref="G176">SUM(IF('6. Class A Consumption Data'!L458:M458="B",'6. Class A Consumption Data'!L456:M456))</f>
        <v>0</v>
      </c>
      <c r="H176" s="488">
        <f t="array" ref="H176">SUM(IF('6. Class A Consumption Data'!N458:O458="B",'6. Class A Consumption Data'!N456:O456))</f>
        <v>0</v>
      </c>
      <c r="I176" s="490">
        <f t="shared" si="6"/>
        <v>0</v>
      </c>
      <c r="J176" s="491">
        <f t="shared" si="7"/>
        <v>0</v>
      </c>
      <c r="K176" s="491">
        <f t="shared" si="8"/>
        <v>0</v>
      </c>
      <c r="L176" s="564">
        <v>0</v>
      </c>
      <c r="M176" s="563"/>
      <c r="N176" s="563"/>
      <c r="O176" s="563"/>
      <c r="P176" s="563"/>
      <c r="Q176" s="563"/>
      <c r="R176" s="563"/>
      <c r="S176" s="563"/>
      <c r="T176" s="563"/>
    </row>
    <row r="177" spans="1:20" ht="14.5" hidden="1" x14ac:dyDescent="0.35">
      <c r="A177" s="486" t="s">
        <v>352</v>
      </c>
      <c r="B177" s="486"/>
      <c r="C177" s="487">
        <v>0</v>
      </c>
      <c r="D177" s="488">
        <v>0</v>
      </c>
      <c r="E177" s="488">
        <f t="array" ref="E177">SUM(IF('6. Class A Consumption Data'!H461:I461="B",'6. Class A Consumption Data'!H459:I459))</f>
        <v>0</v>
      </c>
      <c r="F177" s="488">
        <f t="array" ref="F177">SUM(IF('6. Class A Consumption Data'!J461:K461="B",'6. Class A Consumption Data'!J459:K459))</f>
        <v>0</v>
      </c>
      <c r="G177" s="488">
        <f t="array" ref="G177">SUM(IF('6. Class A Consumption Data'!L461:M461="B",'6. Class A Consumption Data'!L459:M459))</f>
        <v>0</v>
      </c>
      <c r="H177" s="488">
        <f t="array" ref="H177">SUM(IF('6. Class A Consumption Data'!N461:O461="B",'6. Class A Consumption Data'!N459:O459))</f>
        <v>0</v>
      </c>
      <c r="I177" s="490">
        <f t="shared" si="6"/>
        <v>0</v>
      </c>
      <c r="J177" s="491">
        <f t="shared" si="7"/>
        <v>0</v>
      </c>
      <c r="K177" s="491">
        <f t="shared" si="8"/>
        <v>0</v>
      </c>
      <c r="L177" s="564">
        <v>0</v>
      </c>
      <c r="M177" s="563"/>
      <c r="N177" s="563"/>
      <c r="O177" s="563"/>
      <c r="P177" s="563"/>
      <c r="Q177" s="563"/>
      <c r="R177" s="563"/>
      <c r="S177" s="563"/>
      <c r="T177" s="563"/>
    </row>
    <row r="178" spans="1:20" ht="14.5" hidden="1" x14ac:dyDescent="0.35">
      <c r="A178" s="486" t="s">
        <v>353</v>
      </c>
      <c r="B178" s="486"/>
      <c r="C178" s="487">
        <v>0</v>
      </c>
      <c r="D178" s="488">
        <v>0</v>
      </c>
      <c r="E178" s="488">
        <f t="array" ref="E178">SUM(IF('6. Class A Consumption Data'!H464:I464="B",'6. Class A Consumption Data'!H462:I462))</f>
        <v>0</v>
      </c>
      <c r="F178" s="488">
        <f t="array" ref="F178">SUM(IF('6. Class A Consumption Data'!J464:K464="B",'6. Class A Consumption Data'!J462:K462))</f>
        <v>0</v>
      </c>
      <c r="G178" s="488">
        <f t="array" ref="G178">SUM(IF('6. Class A Consumption Data'!L464:M464="B",'6. Class A Consumption Data'!L462:M462))</f>
        <v>0</v>
      </c>
      <c r="H178" s="488">
        <f t="array" ref="H178">SUM(IF('6. Class A Consumption Data'!N464:O464="B",'6. Class A Consumption Data'!N462:O462))</f>
        <v>0</v>
      </c>
      <c r="I178" s="490">
        <f t="shared" si="6"/>
        <v>0</v>
      </c>
      <c r="J178" s="491">
        <f t="shared" si="7"/>
        <v>0</v>
      </c>
      <c r="K178" s="491">
        <f t="shared" si="8"/>
        <v>0</v>
      </c>
      <c r="L178" s="564">
        <v>0</v>
      </c>
      <c r="M178" s="563"/>
      <c r="N178" s="563"/>
      <c r="O178" s="563"/>
      <c r="P178" s="563"/>
      <c r="Q178" s="563"/>
      <c r="R178" s="563"/>
      <c r="S178" s="563"/>
      <c r="T178" s="563"/>
    </row>
    <row r="179" spans="1:20" ht="14.5" hidden="1" x14ac:dyDescent="0.35">
      <c r="A179" s="486" t="s">
        <v>354</v>
      </c>
      <c r="B179" s="486"/>
      <c r="C179" s="487">
        <v>0</v>
      </c>
      <c r="D179" s="488">
        <v>0</v>
      </c>
      <c r="E179" s="488">
        <f t="array" ref="E179">SUM(IF('6. Class A Consumption Data'!H467:I467="B",'6. Class A Consumption Data'!H465:I465))</f>
        <v>0</v>
      </c>
      <c r="F179" s="488">
        <f t="array" ref="F179">SUM(IF('6. Class A Consumption Data'!J467:K467="B",'6. Class A Consumption Data'!J465:K465))</f>
        <v>0</v>
      </c>
      <c r="G179" s="488">
        <f t="array" ref="G179">SUM(IF('6. Class A Consumption Data'!L467:M467="B",'6. Class A Consumption Data'!L465:M465))</f>
        <v>0</v>
      </c>
      <c r="H179" s="488">
        <f t="array" ref="H179">SUM(IF('6. Class A Consumption Data'!N467:O467="B",'6. Class A Consumption Data'!N465:O465))</f>
        <v>0</v>
      </c>
      <c r="I179" s="490">
        <f t="shared" si="6"/>
        <v>0</v>
      </c>
      <c r="J179" s="491">
        <f t="shared" si="7"/>
        <v>0</v>
      </c>
      <c r="K179" s="491">
        <f t="shared" si="8"/>
        <v>0</v>
      </c>
      <c r="L179" s="564">
        <v>0</v>
      </c>
      <c r="M179" s="563"/>
      <c r="N179" s="563"/>
      <c r="O179" s="563"/>
      <c r="P179" s="563"/>
      <c r="Q179" s="563"/>
      <c r="R179" s="563"/>
      <c r="S179" s="563"/>
      <c r="T179" s="563"/>
    </row>
    <row r="180" spans="1:20" ht="14.5" hidden="1" x14ac:dyDescent="0.35">
      <c r="A180" s="486" t="s">
        <v>355</v>
      </c>
      <c r="B180" s="486"/>
      <c r="C180" s="487">
        <v>0</v>
      </c>
      <c r="D180" s="488">
        <v>0</v>
      </c>
      <c r="E180" s="488">
        <f t="array" ref="E180">SUM(IF('6. Class A Consumption Data'!H470:I470="B",'6. Class A Consumption Data'!H468:I468))</f>
        <v>0</v>
      </c>
      <c r="F180" s="488">
        <f t="array" ref="F180">SUM(IF('6. Class A Consumption Data'!J470:K470="B",'6. Class A Consumption Data'!J468:K468))</f>
        <v>0</v>
      </c>
      <c r="G180" s="488">
        <f t="array" ref="G180">SUM(IF('6. Class A Consumption Data'!L470:M470="B",'6. Class A Consumption Data'!L468:M468))</f>
        <v>0</v>
      </c>
      <c r="H180" s="488">
        <f t="array" ref="H180">SUM(IF('6. Class A Consumption Data'!N470:O470="B",'6. Class A Consumption Data'!N468:O468))</f>
        <v>0</v>
      </c>
      <c r="I180" s="490">
        <f t="shared" si="6"/>
        <v>0</v>
      </c>
      <c r="J180" s="491">
        <f t="shared" si="7"/>
        <v>0</v>
      </c>
      <c r="K180" s="491">
        <f t="shared" si="8"/>
        <v>0</v>
      </c>
      <c r="L180" s="564">
        <v>0</v>
      </c>
      <c r="M180" s="563"/>
      <c r="N180" s="563"/>
      <c r="O180" s="563"/>
      <c r="P180" s="563"/>
      <c r="Q180" s="563"/>
      <c r="R180" s="563"/>
      <c r="S180" s="563"/>
      <c r="T180" s="563"/>
    </row>
    <row r="181" spans="1:20" ht="14.5" hidden="1" x14ac:dyDescent="0.35">
      <c r="A181" s="486" t="s">
        <v>356</v>
      </c>
      <c r="B181" s="486"/>
      <c r="C181" s="487">
        <v>0</v>
      </c>
      <c r="D181" s="488">
        <v>0</v>
      </c>
      <c r="E181" s="488">
        <f t="array" ref="E181">SUM(IF('6. Class A Consumption Data'!H473:I473="B",'6. Class A Consumption Data'!H471:I471))</f>
        <v>0</v>
      </c>
      <c r="F181" s="488">
        <f t="array" ref="F181">SUM(IF('6. Class A Consumption Data'!J473:K473="B",'6. Class A Consumption Data'!J471:K471))</f>
        <v>0</v>
      </c>
      <c r="G181" s="488">
        <f t="array" ref="G181">SUM(IF('6. Class A Consumption Data'!L473:M473="B",'6. Class A Consumption Data'!L471:M471))</f>
        <v>0</v>
      </c>
      <c r="H181" s="488">
        <f t="array" ref="H181">SUM(IF('6. Class A Consumption Data'!N473:O473="B",'6. Class A Consumption Data'!N471:O471))</f>
        <v>0</v>
      </c>
      <c r="I181" s="490">
        <f t="shared" si="6"/>
        <v>0</v>
      </c>
      <c r="J181" s="491">
        <f t="shared" si="7"/>
        <v>0</v>
      </c>
      <c r="K181" s="491">
        <f t="shared" si="8"/>
        <v>0</v>
      </c>
      <c r="L181" s="564">
        <v>0</v>
      </c>
      <c r="M181" s="563"/>
      <c r="N181" s="563"/>
      <c r="O181" s="563"/>
      <c r="P181" s="563"/>
      <c r="Q181" s="563"/>
      <c r="R181" s="563"/>
      <c r="S181" s="563"/>
      <c r="T181" s="563"/>
    </row>
    <row r="182" spans="1:20" ht="14.5" hidden="1" x14ac:dyDescent="0.35">
      <c r="A182" s="486" t="s">
        <v>357</v>
      </c>
      <c r="B182" s="486"/>
      <c r="C182" s="487">
        <v>0</v>
      </c>
      <c r="D182" s="488">
        <v>0</v>
      </c>
      <c r="E182" s="488">
        <f t="array" ref="E182">SUM(IF('6. Class A Consumption Data'!H476:I476="B",'6. Class A Consumption Data'!H474:I474))</f>
        <v>0</v>
      </c>
      <c r="F182" s="488">
        <f t="array" ref="F182">SUM(IF('6. Class A Consumption Data'!J476:K476="B",'6. Class A Consumption Data'!J474:K474))</f>
        <v>0</v>
      </c>
      <c r="G182" s="488">
        <f t="array" ref="G182">SUM(IF('6. Class A Consumption Data'!L476:M476="B",'6. Class A Consumption Data'!L474:M474))</f>
        <v>0</v>
      </c>
      <c r="H182" s="488">
        <f t="array" ref="H182">SUM(IF('6. Class A Consumption Data'!N476:O476="B",'6. Class A Consumption Data'!N474:O474))</f>
        <v>0</v>
      </c>
      <c r="I182" s="490">
        <f t="shared" si="6"/>
        <v>0</v>
      </c>
      <c r="J182" s="491">
        <f t="shared" si="7"/>
        <v>0</v>
      </c>
      <c r="K182" s="491">
        <f t="shared" si="8"/>
        <v>0</v>
      </c>
      <c r="L182" s="564">
        <v>0</v>
      </c>
      <c r="M182" s="563"/>
      <c r="N182" s="563"/>
      <c r="O182" s="563"/>
      <c r="P182" s="563"/>
      <c r="Q182" s="563"/>
      <c r="R182" s="563"/>
      <c r="S182" s="563"/>
      <c r="T182" s="563"/>
    </row>
    <row r="183" spans="1:20" ht="14.5" hidden="1" x14ac:dyDescent="0.35">
      <c r="A183" s="486" t="s">
        <v>358</v>
      </c>
      <c r="B183" s="486"/>
      <c r="C183" s="487">
        <v>0</v>
      </c>
      <c r="D183" s="488">
        <v>0</v>
      </c>
      <c r="E183" s="488">
        <f t="array" ref="E183">SUM(IF('6. Class A Consumption Data'!H479:I479="B",'6. Class A Consumption Data'!H477:I477))</f>
        <v>0</v>
      </c>
      <c r="F183" s="488">
        <f t="array" ref="F183">SUM(IF('6. Class A Consumption Data'!J479:K479="B",'6. Class A Consumption Data'!J477:K477))</f>
        <v>0</v>
      </c>
      <c r="G183" s="488">
        <f t="array" ref="G183">SUM(IF('6. Class A Consumption Data'!L479:M479="B",'6. Class A Consumption Data'!L477:M477))</f>
        <v>0</v>
      </c>
      <c r="H183" s="488">
        <f t="array" ref="H183">SUM(IF('6. Class A Consumption Data'!N479:O479="B",'6. Class A Consumption Data'!N477:O477))</f>
        <v>0</v>
      </c>
      <c r="I183" s="490">
        <f t="shared" si="6"/>
        <v>0</v>
      </c>
      <c r="J183" s="491">
        <f t="shared" si="7"/>
        <v>0</v>
      </c>
      <c r="K183" s="491">
        <f t="shared" si="8"/>
        <v>0</v>
      </c>
      <c r="L183" s="564">
        <v>0</v>
      </c>
      <c r="M183" s="563"/>
      <c r="N183" s="563"/>
      <c r="O183" s="563"/>
      <c r="P183" s="563"/>
      <c r="Q183" s="563"/>
      <c r="R183" s="563"/>
      <c r="S183" s="563"/>
      <c r="T183" s="563"/>
    </row>
    <row r="184" spans="1:20" ht="14.5" x14ac:dyDescent="0.35">
      <c r="A184" s="493" t="s">
        <v>52</v>
      </c>
      <c r="B184" s="493"/>
      <c r="C184" s="487">
        <f t="shared" ref="C184:K184" si="9">SUM(C34:C183)</f>
        <v>259718532.26953</v>
      </c>
      <c r="D184" s="487">
        <f>SUM(D34:D183)</f>
        <v>259718532.26953</v>
      </c>
      <c r="E184" s="487">
        <f t="shared" si="9"/>
        <v>416940792.64623004</v>
      </c>
      <c r="F184" s="487">
        <f t="shared" si="9"/>
        <v>0</v>
      </c>
      <c r="G184" s="487">
        <f t="shared" si="9"/>
        <v>0</v>
      </c>
      <c r="H184" s="487">
        <f t="shared" si="9"/>
        <v>0</v>
      </c>
      <c r="I184" s="494">
        <f t="shared" si="9"/>
        <v>1</v>
      </c>
      <c r="J184" s="495">
        <f t="shared" si="9"/>
        <v>45903.492392957392</v>
      </c>
      <c r="K184" s="491">
        <f t="shared" si="9"/>
        <v>3825.2910327464492</v>
      </c>
      <c r="L184" s="564">
        <v>0</v>
      </c>
      <c r="M184" s="563"/>
      <c r="N184" s="563"/>
      <c r="O184" s="563"/>
      <c r="P184" s="563"/>
      <c r="Q184" s="563"/>
      <c r="R184" s="563"/>
      <c r="S184" s="563"/>
      <c r="T184" s="563"/>
    </row>
    <row r="185" spans="1:20" ht="14.5" x14ac:dyDescent="0.35">
      <c r="A185" s="462"/>
      <c r="B185" s="462"/>
      <c r="C185" s="462"/>
      <c r="D185" s="462"/>
      <c r="E185" s="462"/>
      <c r="F185" s="462"/>
      <c r="G185" s="462"/>
      <c r="H185" s="462"/>
      <c r="I185" s="462"/>
      <c r="J185" s="462"/>
      <c r="K185" s="462"/>
    </row>
  </sheetData>
  <sheetProtection algorithmName="SHA-512" hashValue="tYm28IownIWPSXC6xJTxjbD0SgL7LBrY8QZugJe5KHNgBwvD10jQnjHp5ONVU+RZLrdd5UzuEfFbvbHCFO7AyQ==" saltValue="GsoIk/3YzNTNZuraBPbkSA==" spinCount="100000" sheet="1" objects="1" scenarios="1"/>
  <mergeCells count="6">
    <mergeCell ref="N33:T33"/>
    <mergeCell ref="A14:E14"/>
    <mergeCell ref="C16:G16"/>
    <mergeCell ref="A17:F17"/>
    <mergeCell ref="A26:C26"/>
    <mergeCell ref="A31:D31"/>
  </mergeCells>
  <pageMargins left="0.7" right="0.7" top="0.75" bottom="0.75" header="0.3" footer="0.3"/>
  <pageSetup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Z93"/>
  <sheetViews>
    <sheetView showGridLines="0" topLeftCell="A7" zoomScale="80" zoomScaleNormal="80" workbookViewId="0">
      <selection activeCell="B19" sqref="B19"/>
    </sheetView>
  </sheetViews>
  <sheetFormatPr defaultColWidth="9" defaultRowHeight="14.5" x14ac:dyDescent="0.35"/>
  <cols>
    <col min="1" max="1" width="56" style="318" bestFit="1" customWidth="1"/>
    <col min="2" max="2" width="14.81640625" style="318" customWidth="1"/>
    <col min="3" max="3" width="17.81640625" style="318" customWidth="1"/>
    <col min="4" max="4" width="11" style="318" customWidth="1"/>
    <col min="5" max="5" width="22" style="318" customWidth="1"/>
    <col min="6" max="6" width="14.54296875" style="318" customWidth="1"/>
    <col min="7" max="7" width="24.26953125" style="318" customWidth="1"/>
    <col min="8" max="8" width="18.54296875" style="318" customWidth="1"/>
    <col min="9" max="9" width="26.26953125" style="318" customWidth="1"/>
    <col min="10" max="10" width="17" style="318" customWidth="1"/>
    <col min="11" max="11" width="18.54296875" style="318" customWidth="1"/>
    <col min="12" max="12" width="19.54296875" style="318" hidden="1" customWidth="1"/>
    <col min="13" max="13" width="18.26953125" style="318" hidden="1" customWidth="1"/>
    <col min="14" max="14" width="9.26953125" style="319" hidden="1" customWidth="1"/>
    <col min="15" max="21" width="0" style="318" hidden="1" customWidth="1"/>
    <col min="22" max="16384" width="9" style="318"/>
  </cols>
  <sheetData>
    <row r="1" spans="1:26" x14ac:dyDescent="0.35">
      <c r="A1" s="331"/>
      <c r="B1" s="331"/>
      <c r="C1" s="331"/>
      <c r="D1" s="331"/>
      <c r="E1" s="331"/>
      <c r="F1" s="331"/>
      <c r="G1" s="331"/>
      <c r="H1" s="331"/>
      <c r="I1" s="331"/>
      <c r="J1" s="331"/>
      <c r="K1" s="331"/>
      <c r="L1" s="331"/>
      <c r="M1" s="331"/>
      <c r="N1" s="323"/>
      <c r="O1" s="331"/>
      <c r="P1" s="331"/>
      <c r="Q1" s="331"/>
      <c r="R1" s="331"/>
      <c r="S1" s="331"/>
      <c r="T1" s="331"/>
      <c r="U1" s="331"/>
      <c r="V1" s="331"/>
      <c r="W1" s="331"/>
      <c r="X1" s="331"/>
      <c r="Y1" s="331"/>
      <c r="Z1" s="331"/>
    </row>
    <row r="2" spans="1:26" x14ac:dyDescent="0.35">
      <c r="A2" s="331"/>
      <c r="B2" s="335" t="b">
        <v>0</v>
      </c>
      <c r="C2" s="331"/>
      <c r="D2" s="331"/>
      <c r="E2" s="331"/>
      <c r="F2" s="331"/>
      <c r="G2" s="331"/>
      <c r="H2" s="331"/>
      <c r="I2" s="331"/>
      <c r="J2" s="331"/>
      <c r="K2" s="331"/>
      <c r="L2" s="331"/>
      <c r="M2" s="331"/>
      <c r="N2" s="323"/>
      <c r="O2" s="331"/>
      <c r="P2" s="331"/>
      <c r="Q2" s="331"/>
      <c r="R2" s="331"/>
      <c r="S2" s="331"/>
      <c r="T2" s="331"/>
      <c r="U2" s="331"/>
      <c r="V2" s="331"/>
      <c r="W2" s="331"/>
      <c r="X2" s="331"/>
      <c r="Y2" s="331"/>
      <c r="Z2" s="331"/>
    </row>
    <row r="3" spans="1:26" x14ac:dyDescent="0.35">
      <c r="A3" s="331"/>
      <c r="B3" s="331"/>
      <c r="C3" s="331"/>
      <c r="D3" s="331"/>
      <c r="E3" s="331"/>
      <c r="F3" s="331"/>
      <c r="G3" s="331"/>
      <c r="H3" s="331"/>
      <c r="I3" s="331"/>
      <c r="J3" s="331"/>
      <c r="K3" s="331"/>
      <c r="L3" s="331"/>
      <c r="M3" s="331"/>
      <c r="N3" s="323"/>
      <c r="O3" s="331"/>
      <c r="P3" s="331"/>
      <c r="Q3" s="331"/>
      <c r="R3" s="331"/>
      <c r="S3" s="331"/>
      <c r="T3" s="331"/>
      <c r="U3" s="331"/>
      <c r="V3" s="331"/>
      <c r="W3" s="331"/>
      <c r="X3" s="331"/>
      <c r="Y3" s="331"/>
      <c r="Z3" s="331"/>
    </row>
    <row r="4" spans="1:26" x14ac:dyDescent="0.35">
      <c r="A4" s="331"/>
      <c r="B4" s="331"/>
      <c r="C4" s="331"/>
      <c r="D4" s="331"/>
      <c r="E4" s="331"/>
      <c r="F4" s="331"/>
      <c r="G4" s="331"/>
      <c r="H4" s="331"/>
      <c r="I4" s="331"/>
      <c r="J4" s="331"/>
      <c r="K4" s="331"/>
      <c r="L4" s="331"/>
      <c r="M4" s="331"/>
      <c r="N4" s="323"/>
      <c r="O4" s="331"/>
      <c r="P4" s="331"/>
      <c r="Q4" s="331"/>
      <c r="R4" s="331"/>
      <c r="S4" s="331"/>
      <c r="T4" s="331"/>
      <c r="U4" s="331"/>
      <c r="V4" s="331"/>
      <c r="W4" s="331"/>
      <c r="X4" s="331"/>
      <c r="Y4" s="331"/>
      <c r="Z4" s="331"/>
    </row>
    <row r="5" spans="1:26" x14ac:dyDescent="0.35">
      <c r="A5" s="331"/>
      <c r="B5" s="331"/>
      <c r="C5" s="331"/>
      <c r="D5" s="331"/>
      <c r="E5" s="331"/>
      <c r="F5" s="331"/>
      <c r="G5" s="331"/>
      <c r="H5" s="331"/>
      <c r="I5" s="331"/>
      <c r="J5" s="331"/>
      <c r="K5" s="331"/>
      <c r="L5" s="331"/>
      <c r="M5" s="331"/>
      <c r="N5" s="323"/>
      <c r="O5" s="331"/>
      <c r="P5" s="331"/>
      <c r="Q5" s="331"/>
      <c r="R5" s="331"/>
      <c r="S5" s="331"/>
      <c r="T5" s="331"/>
      <c r="U5" s="331"/>
      <c r="V5" s="331"/>
      <c r="W5" s="331"/>
      <c r="X5" s="331"/>
      <c r="Y5" s="331"/>
      <c r="Z5" s="331"/>
    </row>
    <row r="6" spans="1:26" x14ac:dyDescent="0.35">
      <c r="A6" s="331"/>
      <c r="B6" s="331" t="s">
        <v>52</v>
      </c>
      <c r="C6" s="331"/>
      <c r="D6" s="331"/>
      <c r="E6" s="331"/>
      <c r="F6" s="331"/>
      <c r="G6" s="331"/>
      <c r="H6" s="331"/>
      <c r="I6" s="331"/>
      <c r="J6" s="331"/>
      <c r="K6" s="331"/>
      <c r="L6" s="331"/>
      <c r="M6" s="331"/>
      <c r="N6" s="323"/>
      <c r="O6" s="331"/>
      <c r="P6" s="331"/>
      <c r="Q6" s="331"/>
      <c r="R6" s="331"/>
      <c r="S6" s="331"/>
      <c r="T6" s="331"/>
      <c r="U6" s="331"/>
      <c r="V6" s="331"/>
      <c r="W6" s="331"/>
      <c r="X6" s="331"/>
      <c r="Y6" s="331"/>
      <c r="Z6" s="331"/>
    </row>
    <row r="7" spans="1:26" x14ac:dyDescent="0.35">
      <c r="A7" s="331"/>
      <c r="B7" s="331"/>
      <c r="C7" s="331"/>
      <c r="D7" s="331"/>
      <c r="E7" s="331"/>
      <c r="F7" s="331"/>
      <c r="G7" s="331"/>
      <c r="H7" s="331"/>
      <c r="I7" s="331"/>
      <c r="J7" s="331"/>
      <c r="K7" s="331"/>
      <c r="L7" s="331"/>
      <c r="M7" s="331"/>
      <c r="N7" s="323"/>
      <c r="O7" s="331"/>
      <c r="P7" s="331"/>
      <c r="Q7" s="331"/>
      <c r="R7" s="331"/>
      <c r="S7" s="331"/>
      <c r="T7" s="331"/>
      <c r="U7" s="331"/>
      <c r="V7" s="331"/>
      <c r="W7" s="331"/>
      <c r="X7" s="331"/>
      <c r="Y7" s="331"/>
      <c r="Z7" s="331"/>
    </row>
    <row r="8" spans="1:26" x14ac:dyDescent="0.35">
      <c r="A8" s="331"/>
      <c r="B8" s="331"/>
      <c r="C8" s="331"/>
      <c r="D8" s="331"/>
      <c r="E8" s="331"/>
      <c r="F8" s="331"/>
      <c r="G8" s="331"/>
      <c r="H8" s="331"/>
      <c r="I8" s="331"/>
      <c r="J8" s="331"/>
      <c r="K8" s="331"/>
      <c r="L8" s="331"/>
      <c r="M8" s="331"/>
      <c r="N8" s="323"/>
      <c r="O8" s="331"/>
      <c r="P8" s="331"/>
      <c r="Q8" s="331"/>
      <c r="R8" s="331"/>
      <c r="S8" s="331"/>
      <c r="T8" s="331"/>
      <c r="U8" s="331"/>
      <c r="V8" s="331"/>
      <c r="W8" s="331"/>
      <c r="X8" s="331"/>
      <c r="Y8" s="331"/>
      <c r="Z8" s="331"/>
    </row>
    <row r="9" spans="1:26" x14ac:dyDescent="0.35">
      <c r="A9" s="331"/>
      <c r="B9" s="331"/>
      <c r="C9" s="331"/>
      <c r="D9" s="331"/>
      <c r="E9" s="331"/>
      <c r="F9" s="331"/>
      <c r="G9" s="331"/>
      <c r="H9" s="331"/>
      <c r="I9" s="331"/>
      <c r="J9" s="331"/>
      <c r="K9" s="331"/>
      <c r="L9" s="331"/>
      <c r="M9" s="331"/>
      <c r="N9" s="323"/>
      <c r="O9" s="331"/>
      <c r="P9" s="331"/>
      <c r="Q9" s="331"/>
      <c r="R9" s="331"/>
      <c r="S9" s="331"/>
      <c r="T9" s="331"/>
      <c r="U9" s="331"/>
      <c r="V9" s="331"/>
      <c r="W9" s="331"/>
      <c r="X9" s="331"/>
      <c r="Y9" s="331"/>
      <c r="Z9" s="331"/>
    </row>
    <row r="10" spans="1:26" x14ac:dyDescent="0.35">
      <c r="A10" s="331"/>
      <c r="B10" s="331"/>
      <c r="C10" s="331"/>
      <c r="D10" s="331"/>
      <c r="E10" s="331"/>
      <c r="F10" s="331"/>
      <c r="G10" s="331"/>
      <c r="H10" s="331"/>
      <c r="I10" s="331"/>
      <c r="J10" s="331"/>
      <c r="K10" s="331"/>
      <c r="L10" s="331"/>
      <c r="M10" s="331"/>
      <c r="N10" s="323"/>
      <c r="O10" s="331"/>
      <c r="P10" s="331"/>
      <c r="Q10" s="331"/>
      <c r="R10" s="331"/>
      <c r="S10" s="331"/>
      <c r="T10" s="331"/>
      <c r="U10" s="331"/>
      <c r="V10" s="331"/>
      <c r="W10" s="331"/>
      <c r="X10" s="331"/>
      <c r="Y10" s="331"/>
      <c r="Z10" s="331"/>
    </row>
    <row r="11" spans="1:26" x14ac:dyDescent="0.35">
      <c r="A11" s="331"/>
      <c r="B11" s="331"/>
      <c r="C11" s="331"/>
      <c r="D11" s="331"/>
      <c r="E11" s="331"/>
      <c r="F11" s="331"/>
      <c r="G11" s="331"/>
      <c r="H11" s="331"/>
      <c r="I11" s="331"/>
      <c r="J11" s="331"/>
      <c r="K11" s="331"/>
      <c r="L11" s="331"/>
      <c r="M11" s="331"/>
      <c r="N11" s="323"/>
      <c r="O11" s="331"/>
      <c r="P11" s="331"/>
      <c r="Q11" s="331"/>
      <c r="R11" s="331"/>
      <c r="S11" s="331"/>
      <c r="T11" s="331"/>
      <c r="U11" s="331"/>
      <c r="V11" s="331"/>
      <c r="W11" s="331"/>
      <c r="X11" s="331"/>
      <c r="Y11" s="331"/>
      <c r="Z11" s="331"/>
    </row>
    <row r="12" spans="1:26" s="332" customFormat="1" ht="55.5" customHeight="1" x14ac:dyDescent="0.25">
      <c r="A12" s="1242" t="s">
        <v>453</v>
      </c>
      <c r="B12" s="1243"/>
      <c r="C12" s="1243"/>
      <c r="D12" s="1243"/>
      <c r="E12" s="1243"/>
      <c r="F12" s="1243"/>
      <c r="G12" s="1243"/>
      <c r="H12" s="1243"/>
      <c r="I12" s="1243"/>
      <c r="J12" s="1243"/>
      <c r="K12" s="1243"/>
      <c r="L12" s="1243"/>
      <c r="M12" s="333"/>
      <c r="N12" s="334"/>
      <c r="O12" s="333"/>
      <c r="P12" s="333"/>
      <c r="Q12" s="333"/>
      <c r="R12" s="333"/>
      <c r="S12" s="333"/>
      <c r="T12" s="333"/>
      <c r="U12" s="333"/>
      <c r="V12" s="333"/>
      <c r="W12" s="333"/>
      <c r="X12" s="333"/>
      <c r="Y12" s="333"/>
      <c r="Z12" s="333"/>
    </row>
    <row r="13" spans="1:26" ht="28" customHeight="1" x14ac:dyDescent="0.35">
      <c r="A13" s="399" t="s">
        <v>421</v>
      </c>
      <c r="B13" s="400">
        <f>'1. Information Sheet'!L43</f>
        <v>2022</v>
      </c>
      <c r="C13" s="1246"/>
      <c r="D13" s="1247"/>
      <c r="E13" s="1247"/>
      <c r="F13" s="1247"/>
      <c r="G13" s="1247"/>
      <c r="H13" s="331"/>
      <c r="I13" s="331"/>
      <c r="J13" s="331"/>
      <c r="K13" s="331"/>
      <c r="L13" s="331"/>
      <c r="M13" s="331"/>
      <c r="N13" s="323"/>
      <c r="O13" s="331"/>
      <c r="P13" s="331"/>
      <c r="Q13" s="331"/>
      <c r="R13" s="331"/>
      <c r="S13" s="331"/>
      <c r="T13" s="331"/>
      <c r="U13" s="331"/>
      <c r="V13" s="331"/>
      <c r="W13" s="331"/>
      <c r="X13" s="331"/>
      <c r="Y13" s="331"/>
      <c r="Z13" s="331"/>
    </row>
    <row r="14" spans="1:26" s="325" customFormat="1" ht="63" customHeight="1" x14ac:dyDescent="0.35">
      <c r="A14" s="326"/>
      <c r="B14" s="330"/>
      <c r="C14" s="1245" t="s">
        <v>2870</v>
      </c>
      <c r="D14" s="1245"/>
      <c r="E14" s="1244" t="s">
        <v>2901</v>
      </c>
      <c r="F14" s="1244"/>
      <c r="G14" s="1244" t="s">
        <v>2902</v>
      </c>
      <c r="H14" s="1244"/>
      <c r="I14" s="1244" t="s">
        <v>370</v>
      </c>
      <c r="J14" s="1244"/>
      <c r="K14" s="329" t="s">
        <v>369</v>
      </c>
      <c r="L14" s="328" t="s">
        <v>368</v>
      </c>
      <c r="M14" s="328" t="s">
        <v>367</v>
      </c>
      <c r="N14" s="327" t="s">
        <v>366</v>
      </c>
      <c r="O14" s="326"/>
      <c r="P14" s="326"/>
      <c r="Q14" s="326"/>
      <c r="R14" s="326"/>
      <c r="S14" s="326"/>
      <c r="T14" s="326"/>
      <c r="U14" s="326"/>
      <c r="V14" s="326"/>
      <c r="W14" s="326"/>
      <c r="X14" s="326"/>
      <c r="Y14" s="326"/>
      <c r="Z14" s="326"/>
    </row>
    <row r="15" spans="1:26" s="319" customFormat="1" x14ac:dyDescent="0.35">
      <c r="A15" s="323"/>
      <c r="B15" s="323"/>
      <c r="C15" s="324" t="s">
        <v>139</v>
      </c>
      <c r="D15" s="324" t="s">
        <v>170</v>
      </c>
      <c r="E15" s="324" t="s">
        <v>139</v>
      </c>
      <c r="F15" s="324" t="s">
        <v>170</v>
      </c>
      <c r="G15" s="324" t="s">
        <v>139</v>
      </c>
      <c r="H15" s="324" t="s">
        <v>170</v>
      </c>
      <c r="I15" s="324" t="s">
        <v>139</v>
      </c>
      <c r="J15" s="324" t="s">
        <v>170</v>
      </c>
      <c r="K15" s="323"/>
      <c r="L15" s="323"/>
      <c r="M15" s="323"/>
      <c r="N15" s="323"/>
      <c r="O15" s="323"/>
      <c r="P15" s="323"/>
      <c r="Q15" s="323"/>
      <c r="R15" s="323"/>
      <c r="S15" s="323"/>
      <c r="T15" s="323"/>
      <c r="U15" s="323"/>
      <c r="V15" s="323"/>
      <c r="W15" s="323"/>
      <c r="X15" s="323"/>
      <c r="Y15" s="323"/>
      <c r="Z15" s="323"/>
    </row>
    <row r="16" spans="1:26" s="320" customFormat="1" ht="15" thickBot="1" x14ac:dyDescent="0.4">
      <c r="A16" s="321"/>
      <c r="B16" s="322"/>
      <c r="C16" s="356"/>
      <c r="D16" s="356"/>
      <c r="E16" s="356"/>
      <c r="F16" s="356"/>
      <c r="G16" s="356"/>
      <c r="H16" s="356"/>
      <c r="I16" s="356"/>
      <c r="J16" s="356"/>
      <c r="K16" s="321"/>
      <c r="L16" s="321"/>
      <c r="M16" s="321"/>
      <c r="N16" s="321"/>
      <c r="O16" s="321"/>
      <c r="P16" s="321"/>
      <c r="Q16" s="321"/>
      <c r="R16" s="321"/>
      <c r="S16" s="321"/>
      <c r="T16" s="321"/>
      <c r="U16" s="321"/>
      <c r="V16" s="321"/>
      <c r="W16" s="321"/>
      <c r="X16" s="321"/>
      <c r="Y16" s="321"/>
      <c r="Z16" s="321"/>
    </row>
    <row r="17" spans="1:21" x14ac:dyDescent="0.35">
      <c r="A17" s="318" t="str">
        <f>IF(ISBLANK('4. Billing Determinants'!$B21), "", '4. Billing Determinants'!$B21)</f>
        <v>RESIDENTIAL SERVICE CLASSIFICATION</v>
      </c>
      <c r="B17" s="365"/>
      <c r="C17" s="357">
        <f>IF(ISBLANK('4. Billing Determinants'!$L21), "", '4. Billing Determinants'!$L21)</f>
        <v>4854325531.7023363</v>
      </c>
      <c r="D17" s="357">
        <f>IF(ISBLANK('4. Billing Determinants'!$M21), "", '4. Billing Determinants'!$M21)</f>
        <v>0</v>
      </c>
      <c r="E17" s="362">
        <f t="array" ref="E17">SUM(IF('6. Class A Consumption Data'!B492:B791=A17,'6. Class A Consumption Data'!E492:E791))</f>
        <v>0</v>
      </c>
      <c r="F17" s="362">
        <f t="array" ref="F17">SUM(IF('6. Class A Consumption Data'!B492:B791=A17&amp;"kW",'6. Class A Consumption Data'!E492:E791))</f>
        <v>0</v>
      </c>
      <c r="G17" s="362">
        <f t="array" ref="G17">SUM(IF('6. Class A Consumption Data'!B492:B791=A17,'6. Class A Consumption Data'!D492:D791))</f>
        <v>0</v>
      </c>
      <c r="H17" s="363">
        <f t="array" ref="H17">SUM(IF('6. Class A Consumption Data'!B492:B791=A17&amp;"kW",'6. Class A Consumption Data'!D492:D791))</f>
        <v>0</v>
      </c>
      <c r="I17" s="357">
        <f>(C17-E17-G17)</f>
        <v>4854325531.7023363</v>
      </c>
      <c r="J17" s="357">
        <f>(D17-F17-H17)</f>
        <v>0</v>
      </c>
      <c r="K17" s="360">
        <f>I17/$I$37</f>
        <v>0.28155757578017937</v>
      </c>
      <c r="M17" s="318">
        <v>0</v>
      </c>
      <c r="O17" s="1233" t="s">
        <v>373</v>
      </c>
      <c r="P17" s="1234"/>
      <c r="Q17" s="1234"/>
      <c r="R17" s="1234"/>
      <c r="S17" s="1234"/>
      <c r="T17" s="1234"/>
      <c r="U17" s="1235"/>
    </row>
    <row r="18" spans="1:21" x14ac:dyDescent="0.35">
      <c r="A18" s="318" t="str">
        <f>IF(ISBLANK('4. Billing Determinants'!$B22), "", '4. Billing Determinants'!$B22)</f>
        <v>COMPETITIVE SECTOR MULTI-UNIT RESIDENTIAL SERVICE CLASSIFICATION</v>
      </c>
      <c r="B18" s="365" t="s">
        <v>372</v>
      </c>
      <c r="C18" s="357">
        <f>IF(ISBLANK('4. Billing Determinants'!$L22), "", '4. Billing Determinants'!$L22)</f>
        <v>341855435.81169891</v>
      </c>
      <c r="D18" s="357">
        <f>IF(ISBLANK('4. Billing Determinants'!$M22), "", '4. Billing Determinants'!$M22)</f>
        <v>0</v>
      </c>
      <c r="E18" s="362">
        <f t="array" ref="E18">SUM(IF('6. Class A Consumption Data'!B492:B791=A18,'6. Class A Consumption Data'!E492:E791))</f>
        <v>0</v>
      </c>
      <c r="F18" s="362">
        <f t="array" ref="F18">SUM(IF('6. Class A Consumption Data'!B492:B791=A18&amp;"kW",'6. Class A Consumption Data'!E492:E791))</f>
        <v>0</v>
      </c>
      <c r="G18" s="362">
        <f t="array" ref="G18">SUM(IF('6. Class A Consumption Data'!B492:B791=A18,'6. Class A Consumption Data'!D492:D791))</f>
        <v>0</v>
      </c>
      <c r="H18" s="363">
        <f t="array" ref="H18">SUM(IF('6. Class A Consumption Data'!B492:B791=A18&amp;"kW",'6. Class A Consumption Data'!D492:D791))</f>
        <v>0</v>
      </c>
      <c r="I18" s="357">
        <f t="shared" ref="I18:I36" si="0">(C18-E18-G18)</f>
        <v>341855435.81169891</v>
      </c>
      <c r="J18" s="357">
        <f t="shared" ref="J18:J36" si="1">(D18-F18-H18)</f>
        <v>0</v>
      </c>
      <c r="K18" s="360">
        <f t="shared" ref="K18:K36" si="2">I18/$I$37</f>
        <v>1.9828086753931516E-2</v>
      </c>
      <c r="M18" s="318">
        <v>0</v>
      </c>
      <c r="O18" s="1236"/>
      <c r="P18" s="1237"/>
      <c r="Q18" s="1237"/>
      <c r="R18" s="1237"/>
      <c r="S18" s="1237"/>
      <c r="T18" s="1237"/>
      <c r="U18" s="1238"/>
    </row>
    <row r="19" spans="1:21" x14ac:dyDescent="0.35">
      <c r="A19" s="318" t="str">
        <f>IF(ISBLANK('4. Billing Determinants'!$B23), "", '4. Billing Determinants'!$B23)</f>
        <v>GENERAL SERVICE LESS THAN 50 KW SERVICE CLASSIFICATION</v>
      </c>
      <c r="B19" s="365" t="s">
        <v>372</v>
      </c>
      <c r="C19" s="357">
        <f>IF(ISBLANK('4. Billing Determinants'!$L23), "", '4. Billing Determinants'!$L23)</f>
        <v>2361358051.8485188</v>
      </c>
      <c r="D19" s="357">
        <f>IF(ISBLANK('4. Billing Determinants'!$M23), "", '4. Billing Determinants'!$M23)</f>
        <v>0</v>
      </c>
      <c r="E19" s="362">
        <f t="array" ref="E19">SUM(IF('6. Class A Consumption Data'!B492:B791=A19,'6. Class A Consumption Data'!E492:E791))</f>
        <v>252157.17976954451</v>
      </c>
      <c r="F19" s="362">
        <f t="array" ref="F19">SUM(IF('6. Class A Consumption Data'!B492:B791=A19&amp;"kW",'6. Class A Consumption Data'!E492:E791))</f>
        <v>0</v>
      </c>
      <c r="G19" s="362">
        <f t="array" ref="G19">SUM(IF('6. Class A Consumption Data'!B492:B791=A19,'6. Class A Consumption Data'!D492:D791))</f>
        <v>0</v>
      </c>
      <c r="H19" s="363">
        <f t="array" ref="H19">SUM(IF('6. Class A Consumption Data'!B492:B791=A19&amp;"kW",'6. Class A Consumption Data'!D492:D791))</f>
        <v>0</v>
      </c>
      <c r="I19" s="357">
        <f t="shared" si="0"/>
        <v>2361105894.6687493</v>
      </c>
      <c r="J19" s="357">
        <f t="shared" si="1"/>
        <v>0</v>
      </c>
      <c r="K19" s="360">
        <f t="shared" si="2"/>
        <v>0.13694739825783667</v>
      </c>
      <c r="M19" s="318">
        <v>0</v>
      </c>
      <c r="O19" s="1236"/>
      <c r="P19" s="1237"/>
      <c r="Q19" s="1237"/>
      <c r="R19" s="1237"/>
      <c r="S19" s="1237"/>
      <c r="T19" s="1237"/>
      <c r="U19" s="1238"/>
    </row>
    <row r="20" spans="1:21" x14ac:dyDescent="0.35">
      <c r="A20" s="318" t="str">
        <f>IF(ISBLANK('4. Billing Determinants'!$B24), "", '4. Billing Determinants'!$B24)</f>
        <v>GENERAL SERVICE 50 TO 999 KW SERVICE CLASSIFICATION</v>
      </c>
      <c r="B20" s="365" t="s">
        <v>372</v>
      </c>
      <c r="C20" s="357">
        <f>IF(ISBLANK('4. Billing Determinants'!$L24), "", '4. Billing Determinants'!$L24)</f>
        <v>9463360431.8565788</v>
      </c>
      <c r="D20" s="357">
        <f>IF(ISBLANK('4. Billing Determinants'!$M24), "", '4. Billing Determinants'!$M24)</f>
        <v>23112086.287045673</v>
      </c>
      <c r="E20" s="362">
        <f t="array" ref="E20">SUM(IF('6. Class A Consumption Data'!B492:B791=A20,'6. Class A Consumption Data'!E492:E791))</f>
        <v>3429731006.0636992</v>
      </c>
      <c r="F20" s="362">
        <f t="array" ref="F20">SUM(IF('6. Class A Consumption Data'!B492:B791=A20&amp;"kW",'6. Class A Consumption Data'!E492:E791))</f>
        <v>7076902.6242099814</v>
      </c>
      <c r="G20" s="362">
        <f t="array" ref="G20">SUM(IF('6. Class A Consumption Data'!B492:B791=A20,'6. Class A Consumption Data'!D492:D791))</f>
        <v>113100685.06698549</v>
      </c>
      <c r="H20" s="363">
        <f t="array" ref="H20">SUM(IF('6. Class A Consumption Data'!B492:B791=A20&amp;"kW",'6. Class A Consumption Data'!D492:D791))</f>
        <v>269719.73562137724</v>
      </c>
      <c r="I20" s="357">
        <f t="shared" si="0"/>
        <v>5920528740.725894</v>
      </c>
      <c r="J20" s="357">
        <f t="shared" si="1"/>
        <v>15765463.927214313</v>
      </c>
      <c r="K20" s="360">
        <f t="shared" si="2"/>
        <v>0.34339883237931107</v>
      </c>
      <c r="M20" s="318">
        <v>0</v>
      </c>
      <c r="O20" s="1236"/>
      <c r="P20" s="1237"/>
      <c r="Q20" s="1237"/>
      <c r="R20" s="1237"/>
      <c r="S20" s="1237"/>
      <c r="T20" s="1237"/>
      <c r="U20" s="1238"/>
    </row>
    <row r="21" spans="1:21" x14ac:dyDescent="0.35">
      <c r="A21" s="318" t="str">
        <f>IF(ISBLANK('4. Billing Determinants'!$B25), "", '4. Billing Determinants'!$B25)</f>
        <v>GENERAL SERVICE 1,000 TO 4,999 KW SERVICE CLASSIFICATION</v>
      </c>
      <c r="B21" s="365" t="s">
        <v>372</v>
      </c>
      <c r="C21" s="357">
        <f>IF(ISBLANK('4. Billing Determinants'!$L25), "", '4. Billing Determinants'!$L25)</f>
        <v>4003003653.9326558</v>
      </c>
      <c r="D21" s="357">
        <f>IF(ISBLANK('4. Billing Determinants'!$M25), "", '4. Billing Determinants'!$M25)</f>
        <v>8630906.258879263</v>
      </c>
      <c r="E21" s="362">
        <f t="array" ref="E21">SUM(IF('6. Class A Consumption Data'!B492:B791=A21,'6. Class A Consumption Data'!E492:E791))</f>
        <v>493037316.41379946</v>
      </c>
      <c r="F21" s="362">
        <f t="array" ref="F21">SUM(IF('6. Class A Consumption Data'!B492:B791=A21&amp;"kW",'6. Class A Consumption Data'!E492:E791))</f>
        <v>1205821.3366012049</v>
      </c>
      <c r="G21" s="362">
        <f t="array" ref="G21">SUM(IF('6. Class A Consumption Data'!B492:B791=A21,'6. Class A Consumption Data'!D492:D791))</f>
        <v>192861208.84317499</v>
      </c>
      <c r="H21" s="363">
        <f t="array" ref="H21">SUM(IF('6. Class A Consumption Data'!B492:B791=A21&amp;"kW",'6. Class A Consumption Data'!D492:D791))</f>
        <v>479324.2601829489</v>
      </c>
      <c r="I21" s="357">
        <f t="shared" si="0"/>
        <v>3317105128.6756816</v>
      </c>
      <c r="J21" s="357">
        <f t="shared" si="1"/>
        <v>6945760.662095109</v>
      </c>
      <c r="K21" s="360">
        <f t="shared" si="2"/>
        <v>0.19239667231595836</v>
      </c>
      <c r="M21" s="318">
        <v>0</v>
      </c>
      <c r="O21" s="1236"/>
      <c r="P21" s="1237"/>
      <c r="Q21" s="1237"/>
      <c r="R21" s="1237"/>
      <c r="S21" s="1237"/>
      <c r="T21" s="1237"/>
      <c r="U21" s="1238"/>
    </row>
    <row r="22" spans="1:21" x14ac:dyDescent="0.35">
      <c r="A22" s="318" t="str">
        <f>IF(ISBLANK('4. Billing Determinants'!$B26), "", '4. Billing Determinants'!$B26)</f>
        <v>LARGE USE SERVICE CLASSIFICATION</v>
      </c>
      <c r="B22" s="365" t="s">
        <v>372</v>
      </c>
      <c r="C22" s="357">
        <f>IF(ISBLANK('4. Billing Determinants'!$L26), "", '4. Billing Determinants'!$L26)</f>
        <v>1572179422.7008588</v>
      </c>
      <c r="D22" s="357">
        <f>IF(ISBLANK('4. Billing Determinants'!$M26), "", '4. Billing Determinants'!$M26)</f>
        <v>3529925.4277511509</v>
      </c>
      <c r="E22" s="362">
        <f t="array" ref="E22">SUM(IF('6. Class A Consumption Data'!B492:B791=A22,'6. Class A Consumption Data'!E492:E791))</f>
        <v>1129473272.2612765</v>
      </c>
      <c r="F22" s="362">
        <f t="array" ref="F22">SUM(IF('6. Class A Consumption Data'!B492:B791=A22&amp;"kW",'6. Class A Consumption Data'!E492:E791))</f>
        <v>2750577.502911313</v>
      </c>
      <c r="G22" s="362">
        <f t="array" ref="G22">SUM(IF('6. Class A Consumption Data'!B492:B791=A22,'6. Class A Consumption Data'!D492:D791))</f>
        <v>156959815.57932019</v>
      </c>
      <c r="H22" s="363">
        <f t="array" ref="H22">SUM(IF('6. Class A Consumption Data'!B492:B791=A22&amp;"kW",'6. Class A Consumption Data'!D492:D791))</f>
        <v>500078.06455218513</v>
      </c>
      <c r="I22" s="357">
        <f t="shared" si="0"/>
        <v>285746334.86026216</v>
      </c>
      <c r="J22" s="357">
        <f t="shared" si="1"/>
        <v>279269.86028765282</v>
      </c>
      <c r="K22" s="360">
        <f t="shared" si="2"/>
        <v>1.6573681514744393E-2</v>
      </c>
      <c r="M22" s="318">
        <v>0</v>
      </c>
      <c r="O22" s="1236"/>
      <c r="P22" s="1237"/>
      <c r="Q22" s="1237"/>
      <c r="R22" s="1237"/>
      <c r="S22" s="1237"/>
      <c r="T22" s="1237"/>
      <c r="U22" s="1238"/>
    </row>
    <row r="23" spans="1:21" x14ac:dyDescent="0.35">
      <c r="A23" s="318" t="str">
        <f>IF(ISBLANK('4. Billing Determinants'!$B27), "", '4. Billing Determinants'!$B27)</f>
        <v>STREET LIGHTING SERVICE CLASSIFICATION</v>
      </c>
      <c r="B23" s="365" t="s">
        <v>372</v>
      </c>
      <c r="C23" s="357">
        <f>IF(ISBLANK('4. Billing Determinants'!$L27), "", '4. Billing Determinants'!$L27)</f>
        <v>118212158.49125397</v>
      </c>
      <c r="D23" s="357">
        <f>IF(ISBLANK('4. Billing Determinants'!$M27), "", '4. Billing Determinants'!$M27)</f>
        <v>363522.1495074734</v>
      </c>
      <c r="E23" s="362">
        <f t="array" ref="E23">SUM(IF('6. Class A Consumption Data'!B492:B791=A23,'6. Class A Consumption Data'!E492:E791))</f>
        <v>0</v>
      </c>
      <c r="F23" s="362">
        <f t="array" ref="F23">SUM(IF('6. Class A Consumption Data'!B492:B791=A23&amp;"kW",'6. Class A Consumption Data'!E492:E791))</f>
        <v>0</v>
      </c>
      <c r="G23" s="362">
        <f t="array" ref="G23">SUM(IF('6. Class A Consumption Data'!B492:B791=A23,'6. Class A Consumption Data'!D492:D791))</f>
        <v>0</v>
      </c>
      <c r="H23" s="363">
        <f t="array" ref="H23">SUM(IF('6. Class A Consumption Data'!B492:B791=A23&amp;"kW",'6. Class A Consumption Data'!D492:D791))</f>
        <v>0</v>
      </c>
      <c r="I23" s="357">
        <f t="shared" si="0"/>
        <v>118212158.49125397</v>
      </c>
      <c r="J23" s="357">
        <f t="shared" si="1"/>
        <v>363522.1495074734</v>
      </c>
      <c r="K23" s="360">
        <f t="shared" si="2"/>
        <v>6.856468227187021E-3</v>
      </c>
      <c r="M23" s="318">
        <v>0</v>
      </c>
      <c r="O23" s="1236"/>
      <c r="P23" s="1237"/>
      <c r="Q23" s="1237"/>
      <c r="R23" s="1237"/>
      <c r="S23" s="1237"/>
      <c r="T23" s="1237"/>
      <c r="U23" s="1238"/>
    </row>
    <row r="24" spans="1:21" x14ac:dyDescent="0.35">
      <c r="A24" s="318" t="str">
        <f>IF(ISBLANK('4. Billing Determinants'!$B28), "", '4. Billing Determinants'!$B28)</f>
        <v>UNMETERED SCATTERED LOAD SERVICE CLASSIFICATION</v>
      </c>
      <c r="B24" s="365" t="s">
        <v>372</v>
      </c>
      <c r="C24" s="357">
        <f>IF(ISBLANK('4. Billing Determinants'!$L28), "", '4. Billing Determinants'!$L28)</f>
        <v>42090115.886468768</v>
      </c>
      <c r="D24" s="357">
        <f>IF(ISBLANK('4. Billing Determinants'!$M28), "", '4. Billing Determinants'!$M28)</f>
        <v>0</v>
      </c>
      <c r="E24" s="362">
        <f t="array" ref="E24">SUM(IF('6. Class A Consumption Data'!B492:B791=A24,'6. Class A Consumption Data'!E492:E791))</f>
        <v>0</v>
      </c>
      <c r="F24" s="362">
        <f t="array" ref="F24">SUM(IF('6. Class A Consumption Data'!B492:B791=A24&amp;"kW",'6. Class A Consumption Data'!E492:E791))</f>
        <v>0</v>
      </c>
      <c r="G24" s="362">
        <f t="array" ref="G24">SUM(IF('6. Class A Consumption Data'!B492:B791=A24,'6. Class A Consumption Data'!D492:D791))</f>
        <v>0</v>
      </c>
      <c r="H24" s="363">
        <f t="array" ref="H24">SUM(IF('6. Class A Consumption Data'!B492:B791=A24&amp;"kW",'6. Class A Consumption Data'!D492:D791))</f>
        <v>0</v>
      </c>
      <c r="I24" s="357">
        <f t="shared" si="0"/>
        <v>42090115.886468768</v>
      </c>
      <c r="J24" s="357">
        <f t="shared" si="1"/>
        <v>0</v>
      </c>
      <c r="K24" s="360">
        <f t="shared" si="2"/>
        <v>2.4412847708515898E-3</v>
      </c>
      <c r="M24" s="318">
        <v>0</v>
      </c>
      <c r="O24" s="1236"/>
      <c r="P24" s="1237"/>
      <c r="Q24" s="1237"/>
      <c r="R24" s="1237"/>
      <c r="S24" s="1237"/>
      <c r="T24" s="1237"/>
      <c r="U24" s="1238"/>
    </row>
    <row r="25" spans="1:21" x14ac:dyDescent="0.35">
      <c r="A25" s="318" t="str">
        <f>IF(ISBLANK('4. Billing Determinants'!$B29), "", '4. Billing Determinants'!$B29)</f>
        <v/>
      </c>
      <c r="B25" s="365" t="s">
        <v>372</v>
      </c>
      <c r="C25" s="357">
        <f>IF(ISBLANK('4. Billing Determinants'!$L29), "", '4. Billing Determinants'!$L29)</f>
        <v>0</v>
      </c>
      <c r="D25" s="357">
        <f>IF(ISBLANK('4. Billing Determinants'!$M29), "", '4. Billing Determinants'!$M29)</f>
        <v>0</v>
      </c>
      <c r="E25" s="362">
        <f t="array" ref="E25">SUM(IF('6. Class A Consumption Data'!B492:B791=A25,'6. Class A Consumption Data'!E492:E791))</f>
        <v>0</v>
      </c>
      <c r="F25" s="362">
        <f t="array" ref="F25">SUM(IF('6. Class A Consumption Data'!B492:B791=A25&amp;"kW",'6. Class A Consumption Data'!E492:E791))</f>
        <v>0</v>
      </c>
      <c r="G25" s="362">
        <f t="array" ref="G25">SUM(IF('6. Class A Consumption Data'!B492:B791=A25,'6. Class A Consumption Data'!D492:D791))</f>
        <v>0</v>
      </c>
      <c r="H25" s="363">
        <f t="array" ref="H25">SUM(IF('6. Class A Consumption Data'!B492:B791=A25&amp;"kW",'6. Class A Consumption Data'!D492:D791))</f>
        <v>0</v>
      </c>
      <c r="I25" s="357">
        <f t="shared" si="0"/>
        <v>0</v>
      </c>
      <c r="J25" s="357">
        <f t="shared" si="1"/>
        <v>0</v>
      </c>
      <c r="K25" s="360">
        <f t="shared" si="2"/>
        <v>0</v>
      </c>
      <c r="M25" s="318">
        <v>0</v>
      </c>
      <c r="O25" s="1236"/>
      <c r="P25" s="1237"/>
      <c r="Q25" s="1237"/>
      <c r="R25" s="1237"/>
      <c r="S25" s="1237"/>
      <c r="T25" s="1237"/>
      <c r="U25" s="1238"/>
    </row>
    <row r="26" spans="1:21" x14ac:dyDescent="0.35">
      <c r="A26" s="318" t="str">
        <f>IF(ISBLANK('4. Billing Determinants'!$B30), "", '4. Billing Determinants'!$B30)</f>
        <v/>
      </c>
      <c r="B26" s="365" t="s">
        <v>372</v>
      </c>
      <c r="C26" s="357">
        <f>IF(ISBLANK('4. Billing Determinants'!$L30), "", '4. Billing Determinants'!$L30)</f>
        <v>0</v>
      </c>
      <c r="D26" s="357">
        <f>IF(ISBLANK('4. Billing Determinants'!$M30), "", '4. Billing Determinants'!$M30)</f>
        <v>0</v>
      </c>
      <c r="E26" s="362">
        <f t="array" ref="E26">SUM(IF('6. Class A Consumption Data'!B492:B791=A26,'6. Class A Consumption Data'!E492:E791))</f>
        <v>0</v>
      </c>
      <c r="F26" s="362">
        <f t="array" ref="F26">SUM(IF('6. Class A Consumption Data'!B492:B791=A26&amp;"kW",'6. Class A Consumption Data'!E492:E791))</f>
        <v>0</v>
      </c>
      <c r="G26" s="362">
        <f t="array" ref="G26">SUM(IF('6. Class A Consumption Data'!B492:B791=A26,'6. Class A Consumption Data'!D492:D791))</f>
        <v>0</v>
      </c>
      <c r="H26" s="363">
        <f t="array" ref="H26">SUM(IF('6. Class A Consumption Data'!B492:B791=A26&amp;"kW",'6. Class A Consumption Data'!D492:D791))</f>
        <v>0</v>
      </c>
      <c r="I26" s="357">
        <f t="shared" si="0"/>
        <v>0</v>
      </c>
      <c r="J26" s="357">
        <f t="shared" si="1"/>
        <v>0</v>
      </c>
      <c r="K26" s="360">
        <f t="shared" si="2"/>
        <v>0</v>
      </c>
      <c r="M26" s="318">
        <v>0</v>
      </c>
      <c r="O26" s="1236"/>
      <c r="P26" s="1237"/>
      <c r="Q26" s="1237"/>
      <c r="R26" s="1237"/>
      <c r="S26" s="1237"/>
      <c r="T26" s="1237"/>
      <c r="U26" s="1238"/>
    </row>
    <row r="27" spans="1:21" x14ac:dyDescent="0.35">
      <c r="A27" s="318" t="str">
        <f>IF(ISBLANK('4. Billing Determinants'!$B31), "", '4. Billing Determinants'!$B31)</f>
        <v/>
      </c>
      <c r="B27" s="365" t="s">
        <v>372</v>
      </c>
      <c r="C27" s="357">
        <f>IF(ISBLANK('4. Billing Determinants'!$L31), "", '4. Billing Determinants'!$L31)</f>
        <v>0</v>
      </c>
      <c r="D27" s="357">
        <f>IF(ISBLANK('4. Billing Determinants'!$M31), "", '4. Billing Determinants'!$M31)</f>
        <v>0</v>
      </c>
      <c r="E27" s="362">
        <f t="array" ref="E27">SUM(IF('6. Class A Consumption Data'!B492:B791=A27,'6. Class A Consumption Data'!E492:E791))</f>
        <v>0</v>
      </c>
      <c r="F27" s="362">
        <f t="array" ref="F27">SUM(IF('6. Class A Consumption Data'!B492:B791=A27&amp;"kW",'6. Class A Consumption Data'!E492:E791))</f>
        <v>0</v>
      </c>
      <c r="G27" s="362">
        <f t="array" ref="G27">SUM(IF('6. Class A Consumption Data'!B492:B791=A27,'6. Class A Consumption Data'!D492:D791))</f>
        <v>0</v>
      </c>
      <c r="H27" s="363">
        <f t="array" ref="H27">SUM(IF('6. Class A Consumption Data'!B492:B791=A27&amp;"kW",'6. Class A Consumption Data'!D492:D791))</f>
        <v>0</v>
      </c>
      <c r="I27" s="357">
        <f t="shared" si="0"/>
        <v>0</v>
      </c>
      <c r="J27" s="357">
        <f t="shared" si="1"/>
        <v>0</v>
      </c>
      <c r="K27" s="360">
        <f t="shared" si="2"/>
        <v>0</v>
      </c>
      <c r="M27" s="318">
        <v>0</v>
      </c>
      <c r="O27" s="1236"/>
      <c r="P27" s="1237"/>
      <c r="Q27" s="1237"/>
      <c r="R27" s="1237"/>
      <c r="S27" s="1237"/>
      <c r="T27" s="1237"/>
      <c r="U27" s="1238"/>
    </row>
    <row r="28" spans="1:21" x14ac:dyDescent="0.35">
      <c r="A28" s="318" t="str">
        <f>IF(ISBLANK('4. Billing Determinants'!$B32), "", '4. Billing Determinants'!$B32)</f>
        <v/>
      </c>
      <c r="B28" s="365" t="s">
        <v>372</v>
      </c>
      <c r="C28" s="357">
        <f>IF(ISBLANK('4. Billing Determinants'!$L32), "", '4. Billing Determinants'!$L32)</f>
        <v>0</v>
      </c>
      <c r="D28" s="357">
        <f>IF(ISBLANK('4. Billing Determinants'!$M32), "", '4. Billing Determinants'!$M32)</f>
        <v>0</v>
      </c>
      <c r="E28" s="362">
        <f t="array" ref="E28">SUM(IF('6. Class A Consumption Data'!B492:B791=A28,'6. Class A Consumption Data'!E492:E791))</f>
        <v>0</v>
      </c>
      <c r="F28" s="362">
        <f t="array" ref="F28">SUM(IF('6. Class A Consumption Data'!B492:B791=A28&amp;"kW",'6. Class A Consumption Data'!E492:E791))</f>
        <v>0</v>
      </c>
      <c r="G28" s="362">
        <f t="array" ref="G28">SUM(IF('6. Class A Consumption Data'!B492:B791=A28,'6. Class A Consumption Data'!D492:D791))</f>
        <v>0</v>
      </c>
      <c r="H28" s="363">
        <f t="array" ref="H28">SUM(IF('6. Class A Consumption Data'!B492:B791=A28&amp;"kW",'6. Class A Consumption Data'!D492:D791))</f>
        <v>0</v>
      </c>
      <c r="I28" s="357">
        <f t="shared" si="0"/>
        <v>0</v>
      </c>
      <c r="J28" s="357">
        <f t="shared" si="1"/>
        <v>0</v>
      </c>
      <c r="K28" s="360">
        <f t="shared" si="2"/>
        <v>0</v>
      </c>
      <c r="M28" s="318">
        <v>0</v>
      </c>
      <c r="O28" s="1236"/>
      <c r="P28" s="1237"/>
      <c r="Q28" s="1237"/>
      <c r="R28" s="1237"/>
      <c r="S28" s="1237"/>
      <c r="T28" s="1237"/>
      <c r="U28" s="1238"/>
    </row>
    <row r="29" spans="1:21" x14ac:dyDescent="0.35">
      <c r="A29" s="318" t="str">
        <f>IF(ISBLANK('4. Billing Determinants'!$B33), "", '4. Billing Determinants'!$B33)</f>
        <v/>
      </c>
      <c r="B29" s="365" t="s">
        <v>372</v>
      </c>
      <c r="C29" s="357">
        <f>IF(ISBLANK('4. Billing Determinants'!$L33), "", '4. Billing Determinants'!$L33)</f>
        <v>0</v>
      </c>
      <c r="D29" s="357">
        <f>IF(ISBLANK('4. Billing Determinants'!$M33), "", '4. Billing Determinants'!$M33)</f>
        <v>0</v>
      </c>
      <c r="E29" s="362">
        <f t="array" ref="E29">SUM(IF('6. Class A Consumption Data'!B492:B791=A29,'6. Class A Consumption Data'!E492:E791))</f>
        <v>0</v>
      </c>
      <c r="F29" s="362">
        <f t="array" ref="F29">SUM(IF('6. Class A Consumption Data'!B492:B791=A29&amp;"kW",'6. Class A Consumption Data'!E492:E791))</f>
        <v>0</v>
      </c>
      <c r="G29" s="362">
        <f t="array" ref="G29">SUM(IF('6. Class A Consumption Data'!B492:B791=A29,'6. Class A Consumption Data'!D492:D791))</f>
        <v>0</v>
      </c>
      <c r="H29" s="363">
        <f t="array" ref="H29">SUM(IF('6. Class A Consumption Data'!B492:B791=A29&amp;"kW",'6. Class A Consumption Data'!D492:D791))</f>
        <v>0</v>
      </c>
      <c r="I29" s="357">
        <f t="shared" si="0"/>
        <v>0</v>
      </c>
      <c r="J29" s="357">
        <f t="shared" si="1"/>
        <v>0</v>
      </c>
      <c r="K29" s="360">
        <f t="shared" si="2"/>
        <v>0</v>
      </c>
      <c r="M29" s="318">
        <v>0</v>
      </c>
      <c r="O29" s="1236"/>
      <c r="P29" s="1237"/>
      <c r="Q29" s="1237"/>
      <c r="R29" s="1237"/>
      <c r="S29" s="1237"/>
      <c r="T29" s="1237"/>
      <c r="U29" s="1238"/>
    </row>
    <row r="30" spans="1:21" x14ac:dyDescent="0.35">
      <c r="A30" s="318" t="str">
        <f>IF(ISBLANK('4. Billing Determinants'!$B34), "", '4. Billing Determinants'!$B34)</f>
        <v/>
      </c>
      <c r="B30" s="365" t="s">
        <v>372</v>
      </c>
      <c r="C30" s="357">
        <f>IF(ISBLANK('4. Billing Determinants'!$L34), "", '4. Billing Determinants'!$L34)</f>
        <v>0</v>
      </c>
      <c r="D30" s="357">
        <f>IF(ISBLANK('4. Billing Determinants'!$M34), "", '4. Billing Determinants'!$M34)</f>
        <v>0</v>
      </c>
      <c r="E30" s="362">
        <f t="array" ref="E30">SUM(IF('6. Class A Consumption Data'!B492:B791=A30,'6. Class A Consumption Data'!E492:E791))</f>
        <v>0</v>
      </c>
      <c r="F30" s="362">
        <f t="array" ref="F30">SUM(IF('6. Class A Consumption Data'!B492:B791=A30&amp;"kW",'6. Class A Consumption Data'!E492:E791))</f>
        <v>0</v>
      </c>
      <c r="G30" s="362">
        <f t="array" ref="G30">SUM(IF('6. Class A Consumption Data'!B492:B791=A30,'6. Class A Consumption Data'!D492:D791))</f>
        <v>0</v>
      </c>
      <c r="H30" s="363">
        <f t="array" ref="H30">SUM(IF('6. Class A Consumption Data'!B492:B791=A30&amp;"kW",'6. Class A Consumption Data'!D492:D791))</f>
        <v>0</v>
      </c>
      <c r="I30" s="357">
        <f t="shared" si="0"/>
        <v>0</v>
      </c>
      <c r="J30" s="357">
        <f t="shared" si="1"/>
        <v>0</v>
      </c>
      <c r="K30" s="360">
        <f t="shared" si="2"/>
        <v>0</v>
      </c>
      <c r="M30" s="318">
        <v>0</v>
      </c>
      <c r="O30" s="1236"/>
      <c r="P30" s="1237"/>
      <c r="Q30" s="1237"/>
      <c r="R30" s="1237"/>
      <c r="S30" s="1237"/>
      <c r="T30" s="1237"/>
      <c r="U30" s="1238"/>
    </row>
    <row r="31" spans="1:21" x14ac:dyDescent="0.35">
      <c r="A31" s="318" t="str">
        <f>IF(ISBLANK('4. Billing Determinants'!$B35), "", '4. Billing Determinants'!$B35)</f>
        <v/>
      </c>
      <c r="B31" s="365" t="s">
        <v>372</v>
      </c>
      <c r="C31" s="357">
        <f>IF(ISBLANK('4. Billing Determinants'!$L35), "", '4. Billing Determinants'!$L35)</f>
        <v>0</v>
      </c>
      <c r="D31" s="357">
        <f>IF(ISBLANK('4. Billing Determinants'!$M35), "", '4. Billing Determinants'!$M35)</f>
        <v>0</v>
      </c>
      <c r="E31" s="362">
        <f t="array" ref="E31">SUM(IF('6. Class A Consumption Data'!B492:B791=A31,'6. Class A Consumption Data'!E492:E791))</f>
        <v>0</v>
      </c>
      <c r="F31" s="362">
        <f t="array" ref="F31">SUM(IF('6. Class A Consumption Data'!B492:B791=A31&amp;"kW",'6. Class A Consumption Data'!E492:E791))</f>
        <v>0</v>
      </c>
      <c r="G31" s="362">
        <f t="array" ref="G31">SUM(IF('6. Class A Consumption Data'!B492:B791=A31,'6. Class A Consumption Data'!D492:D791))</f>
        <v>0</v>
      </c>
      <c r="H31" s="363">
        <f t="array" ref="H31">SUM(IF('6. Class A Consumption Data'!B492:B791=A31&amp;"kW",'6. Class A Consumption Data'!D492:D791))</f>
        <v>0</v>
      </c>
      <c r="I31" s="357">
        <f t="shared" si="0"/>
        <v>0</v>
      </c>
      <c r="J31" s="357">
        <f t="shared" si="1"/>
        <v>0</v>
      </c>
      <c r="K31" s="360">
        <f t="shared" si="2"/>
        <v>0</v>
      </c>
      <c r="M31" s="318">
        <v>0</v>
      </c>
      <c r="O31" s="1236"/>
      <c r="P31" s="1237"/>
      <c r="Q31" s="1237"/>
      <c r="R31" s="1237"/>
      <c r="S31" s="1237"/>
      <c r="T31" s="1237"/>
      <c r="U31" s="1238"/>
    </row>
    <row r="32" spans="1:21" x14ac:dyDescent="0.35">
      <c r="A32" s="318" t="str">
        <f>IF(ISBLANK('4. Billing Determinants'!$B36), "", '4. Billing Determinants'!$B36)</f>
        <v/>
      </c>
      <c r="B32" s="365" t="s">
        <v>372</v>
      </c>
      <c r="C32" s="357">
        <f>IF(ISBLANK('4. Billing Determinants'!$L36), "", '4. Billing Determinants'!$L36)</f>
        <v>0</v>
      </c>
      <c r="D32" s="357">
        <f>IF(ISBLANK('4. Billing Determinants'!$M36), "", '4. Billing Determinants'!$M36)</f>
        <v>0</v>
      </c>
      <c r="E32" s="362">
        <f t="array" ref="E32">SUM(IF('6. Class A Consumption Data'!B492:B791=A32,'6. Class A Consumption Data'!E492:E791))</f>
        <v>0</v>
      </c>
      <c r="F32" s="362">
        <f t="array" ref="F32">SUM(IF('6. Class A Consumption Data'!B492:B791=A32&amp;"kW",'6. Class A Consumption Data'!E492:E791))</f>
        <v>0</v>
      </c>
      <c r="G32" s="362">
        <f t="array" ref="G32">SUM(IF('6. Class A Consumption Data'!B492:B791=A32,'6. Class A Consumption Data'!D492:D791))</f>
        <v>0</v>
      </c>
      <c r="H32" s="363">
        <f t="array" ref="H32">SUM(IF('6. Class A Consumption Data'!B492:B791=A32&amp;"kW",'6. Class A Consumption Data'!D492:D791))</f>
        <v>0</v>
      </c>
      <c r="I32" s="357">
        <f t="shared" si="0"/>
        <v>0</v>
      </c>
      <c r="J32" s="357">
        <f t="shared" si="1"/>
        <v>0</v>
      </c>
      <c r="K32" s="360">
        <f t="shared" si="2"/>
        <v>0</v>
      </c>
      <c r="M32" s="318">
        <v>0</v>
      </c>
      <c r="O32" s="1236"/>
      <c r="P32" s="1237"/>
      <c r="Q32" s="1237"/>
      <c r="R32" s="1237"/>
      <c r="S32" s="1237"/>
      <c r="T32" s="1237"/>
      <c r="U32" s="1238"/>
    </row>
    <row r="33" spans="1:21" x14ac:dyDescent="0.35">
      <c r="A33" s="318" t="str">
        <f>IF(ISBLANK('4. Billing Determinants'!$B37), "", '4. Billing Determinants'!$B37)</f>
        <v/>
      </c>
      <c r="B33" s="365" t="s">
        <v>372</v>
      </c>
      <c r="C33" s="357">
        <f>IF(ISBLANK('4. Billing Determinants'!$L37), "", '4. Billing Determinants'!$L37)</f>
        <v>0</v>
      </c>
      <c r="D33" s="357">
        <f>IF(ISBLANK('4. Billing Determinants'!$M37), "", '4. Billing Determinants'!$M37)</f>
        <v>0</v>
      </c>
      <c r="E33" s="362">
        <f t="array" ref="E33">SUM(IF('6. Class A Consumption Data'!B492:B791=A33,'6. Class A Consumption Data'!E492:E791))</f>
        <v>0</v>
      </c>
      <c r="F33" s="362">
        <f t="array" ref="F33">SUM(IF('6. Class A Consumption Data'!B492:B791=A33&amp;"kW",'6. Class A Consumption Data'!E492:E791))</f>
        <v>0</v>
      </c>
      <c r="G33" s="362">
        <f t="array" ref="G33">SUM(IF('6. Class A Consumption Data'!B492:B791=A33,'6. Class A Consumption Data'!D492:D791))</f>
        <v>0</v>
      </c>
      <c r="H33" s="363">
        <f t="array" ref="H33">SUM(IF('6. Class A Consumption Data'!B492:B791=A33&amp;"kW",'6. Class A Consumption Data'!D492:D791))</f>
        <v>0</v>
      </c>
      <c r="I33" s="357">
        <f t="shared" si="0"/>
        <v>0</v>
      </c>
      <c r="J33" s="357">
        <f t="shared" si="1"/>
        <v>0</v>
      </c>
      <c r="K33" s="360">
        <f t="shared" si="2"/>
        <v>0</v>
      </c>
      <c r="M33" s="318">
        <v>0</v>
      </c>
      <c r="O33" s="1236"/>
      <c r="P33" s="1237"/>
      <c r="Q33" s="1237"/>
      <c r="R33" s="1237"/>
      <c r="S33" s="1237"/>
      <c r="T33" s="1237"/>
      <c r="U33" s="1238"/>
    </row>
    <row r="34" spans="1:21" x14ac:dyDescent="0.35">
      <c r="A34" s="318" t="str">
        <f>IF(ISBLANK('4. Billing Determinants'!$B38), "", '4. Billing Determinants'!$B38)</f>
        <v/>
      </c>
      <c r="B34" s="365" t="s">
        <v>372</v>
      </c>
      <c r="C34" s="357">
        <f>IF(ISBLANK('4. Billing Determinants'!$L38), "", '4. Billing Determinants'!$L38)</f>
        <v>0</v>
      </c>
      <c r="D34" s="357">
        <f>IF(ISBLANK('4. Billing Determinants'!$M38), "", '4. Billing Determinants'!$M38)</f>
        <v>0</v>
      </c>
      <c r="E34" s="362">
        <f t="array" ref="E34">SUM(IF('6. Class A Consumption Data'!B492:B791=A34,'6. Class A Consumption Data'!E492:E791))</f>
        <v>0</v>
      </c>
      <c r="F34" s="362">
        <f t="array" ref="F34">SUM(IF('6. Class A Consumption Data'!B492:B791=A34&amp;"kW",'6. Class A Consumption Data'!E492:E791))</f>
        <v>0</v>
      </c>
      <c r="G34" s="362">
        <f t="array" ref="G34">SUM(IF('6. Class A Consumption Data'!B492:B791=A34,'6. Class A Consumption Data'!D492:D791))</f>
        <v>0</v>
      </c>
      <c r="H34" s="363">
        <f t="array" ref="H34">SUM(IF('6. Class A Consumption Data'!B492:B791=A34&amp;"kW",'6. Class A Consumption Data'!D492:D791))</f>
        <v>0</v>
      </c>
      <c r="I34" s="357">
        <f t="shared" si="0"/>
        <v>0</v>
      </c>
      <c r="J34" s="357">
        <f t="shared" si="1"/>
        <v>0</v>
      </c>
      <c r="K34" s="360">
        <f t="shared" si="2"/>
        <v>0</v>
      </c>
      <c r="M34" s="318">
        <v>0</v>
      </c>
      <c r="O34" s="1236"/>
      <c r="P34" s="1237"/>
      <c r="Q34" s="1237"/>
      <c r="R34" s="1237"/>
      <c r="S34" s="1237"/>
      <c r="T34" s="1237"/>
      <c r="U34" s="1238"/>
    </row>
    <row r="35" spans="1:21" x14ac:dyDescent="0.35">
      <c r="A35" s="318" t="str">
        <f>IF(ISBLANK('4. Billing Determinants'!$B39), "", '4. Billing Determinants'!$B39)</f>
        <v/>
      </c>
      <c r="B35" s="365" t="s">
        <v>372</v>
      </c>
      <c r="C35" s="357">
        <f>IF(ISBLANK('4. Billing Determinants'!$L39), "", '4. Billing Determinants'!$L39)</f>
        <v>0</v>
      </c>
      <c r="D35" s="357">
        <f>IF(ISBLANK('4. Billing Determinants'!$M39), "", '4. Billing Determinants'!$M39)</f>
        <v>0</v>
      </c>
      <c r="E35" s="362">
        <f t="array" ref="E35">SUM(IF('6. Class A Consumption Data'!B492:B791=A35,'6. Class A Consumption Data'!E492:E791))</f>
        <v>0</v>
      </c>
      <c r="F35" s="362">
        <f t="array" ref="F35">SUM(IF('6. Class A Consumption Data'!B492:B791=A35&amp;"kW",'6. Class A Consumption Data'!E492:E791))</f>
        <v>0</v>
      </c>
      <c r="G35" s="362">
        <f t="array" ref="G35">SUM(IF('6. Class A Consumption Data'!B492:B791=A35,'6. Class A Consumption Data'!D492:D791))</f>
        <v>0</v>
      </c>
      <c r="H35" s="363">
        <f t="array" ref="H35">SUM(IF('6. Class A Consumption Data'!B492:B791=A35&amp;"kW",'6. Class A Consumption Data'!D492:D791))</f>
        <v>0</v>
      </c>
      <c r="I35" s="357">
        <f t="shared" si="0"/>
        <v>0</v>
      </c>
      <c r="J35" s="357">
        <f t="shared" si="1"/>
        <v>0</v>
      </c>
      <c r="K35" s="360">
        <f t="shared" si="2"/>
        <v>0</v>
      </c>
      <c r="M35" s="318">
        <v>0</v>
      </c>
      <c r="O35" s="1236"/>
      <c r="P35" s="1237"/>
      <c r="Q35" s="1237"/>
      <c r="R35" s="1237"/>
      <c r="S35" s="1237"/>
      <c r="T35" s="1237"/>
      <c r="U35" s="1238"/>
    </row>
    <row r="36" spans="1:21" x14ac:dyDescent="0.35">
      <c r="A36" s="318" t="str">
        <f>IF(ISBLANK('4. Billing Determinants'!$B40), "", '4. Billing Determinants'!$B40)</f>
        <v/>
      </c>
      <c r="B36" s="365" t="s">
        <v>372</v>
      </c>
      <c r="C36" s="357">
        <f>IF(ISBLANK('4. Billing Determinants'!$L40), "", '4. Billing Determinants'!$L40)</f>
        <v>0</v>
      </c>
      <c r="D36" s="357">
        <f>IF(ISBLANK('4. Billing Determinants'!$M40), "", '4. Billing Determinants'!$M40)</f>
        <v>0</v>
      </c>
      <c r="E36" s="362">
        <f t="array" ref="E36">SUM(IF('6. Class A Consumption Data'!B492:B791=A36,'6. Class A Consumption Data'!E492:E791))</f>
        <v>0</v>
      </c>
      <c r="F36" s="362">
        <f t="array" ref="F36">SUM(IF('6. Class A Consumption Data'!B492:B791=A36&amp;"kW",'6. Class A Consumption Data'!E492:E791))</f>
        <v>0</v>
      </c>
      <c r="G36" s="362">
        <f t="array" ref="G36">SUM(IF('6. Class A Consumption Data'!B492:B791=A36,'6. Class A Consumption Data'!D492:D791))</f>
        <v>0</v>
      </c>
      <c r="H36" s="363">
        <f t="array" ref="H36">SUM(IF('6. Class A Consumption Data'!B492:B791=A36&amp;"kW",'6. Class A Consumption Data'!D492:D791))</f>
        <v>0</v>
      </c>
      <c r="I36" s="357">
        <f t="shared" si="0"/>
        <v>0</v>
      </c>
      <c r="J36" s="357">
        <f t="shared" si="1"/>
        <v>0</v>
      </c>
      <c r="K36" s="360">
        <f t="shared" si="2"/>
        <v>0</v>
      </c>
      <c r="M36" s="318">
        <v>0</v>
      </c>
      <c r="O36" s="1236"/>
      <c r="P36" s="1237"/>
      <c r="Q36" s="1237"/>
      <c r="R36" s="1237"/>
      <c r="S36" s="1237"/>
      <c r="T36" s="1237"/>
      <c r="U36" s="1238"/>
    </row>
    <row r="37" spans="1:21" ht="15" thickBot="1" x14ac:dyDescent="0.4">
      <c r="A37" s="325"/>
      <c r="B37" s="336" t="s">
        <v>52</v>
      </c>
      <c r="C37" s="358">
        <f>SUM(C17:C36)</f>
        <v>22756384802.23037</v>
      </c>
      <c r="D37" s="358">
        <f t="shared" ref="D37:K37" si="3">SUM(D17:D36)</f>
        <v>35636440.123183556</v>
      </c>
      <c r="E37" s="359">
        <f t="shared" si="3"/>
        <v>5052493751.9185448</v>
      </c>
      <c r="F37" s="358">
        <f t="shared" si="3"/>
        <v>11033301.463722499</v>
      </c>
      <c r="G37" s="359">
        <f t="shared" si="3"/>
        <v>462921709.48948067</v>
      </c>
      <c r="H37" s="358">
        <f t="shared" si="3"/>
        <v>1249122.0603565113</v>
      </c>
      <c r="I37" s="358">
        <f t="shared" si="3"/>
        <v>17240969340.822346</v>
      </c>
      <c r="J37" s="358">
        <f t="shared" si="3"/>
        <v>23354016.59910455</v>
      </c>
      <c r="K37" s="361">
        <f t="shared" si="3"/>
        <v>1</v>
      </c>
      <c r="L37" s="337">
        <f>SUM(L17:L36)</f>
        <v>0</v>
      </c>
      <c r="M37" s="337">
        <v>0</v>
      </c>
      <c r="O37" s="1239"/>
      <c r="P37" s="1240"/>
      <c r="Q37" s="1240"/>
      <c r="R37" s="1240"/>
      <c r="S37" s="1240"/>
      <c r="T37" s="1240"/>
      <c r="U37" s="1241"/>
    </row>
    <row r="68" hidden="1" x14ac:dyDescent="0.35"/>
    <row r="69" hidden="1" x14ac:dyDescent="0.35"/>
    <row r="70" hidden="1" x14ac:dyDescent="0.35"/>
    <row r="71" hidden="1" x14ac:dyDescent="0.35"/>
    <row r="72" hidden="1" x14ac:dyDescent="0.35"/>
    <row r="73" hidden="1" x14ac:dyDescent="0.35"/>
    <row r="74" hidden="1" x14ac:dyDescent="0.35"/>
    <row r="75" hidden="1" x14ac:dyDescent="0.35"/>
    <row r="76" hidden="1" x14ac:dyDescent="0.35"/>
    <row r="77" hidden="1" x14ac:dyDescent="0.35"/>
    <row r="78" hidden="1" x14ac:dyDescent="0.35"/>
    <row r="79" hidden="1" x14ac:dyDescent="0.35"/>
    <row r="80" hidden="1" x14ac:dyDescent="0.35"/>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sheetData>
  <sheetProtection algorithmName="SHA-512" hashValue="XDn4yktNlHKj6SOaks4mcOm/BWt4pfybzaRVzcmVyAkEjkJGzxeyRKxtLxif7vlleNvM6zaXR7RjXVBDc9Z/ew==" saltValue="jjtM9Lyd66BFSA2360d1Xw==" spinCount="100000" sheet="1" objects="1" scenarios="1"/>
  <mergeCells count="7">
    <mergeCell ref="O17:U37"/>
    <mergeCell ref="A12:L12"/>
    <mergeCell ref="E14:F14"/>
    <mergeCell ref="G14:H14"/>
    <mergeCell ref="C14:D14"/>
    <mergeCell ref="I14:J14"/>
    <mergeCell ref="C13:G13"/>
  </mergeCells>
  <pageMargins left="0.7" right="0.7" top="0.75" bottom="0.75" header="0.3" footer="0.3"/>
  <pageSetup scale="5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3:P256"/>
  <sheetViews>
    <sheetView showGridLines="0" workbookViewId="0">
      <selection activeCell="J110" sqref="J110"/>
    </sheetView>
  </sheetViews>
  <sheetFormatPr defaultColWidth="9" defaultRowHeight="12.5" x14ac:dyDescent="0.25"/>
  <cols>
    <col min="1" max="1" width="9" style="1"/>
    <col min="2" max="2" width="35.7265625" style="1" customWidth="1"/>
    <col min="3" max="3" width="20.26953125" style="1" customWidth="1"/>
    <col min="4" max="4" width="18.81640625" style="1" customWidth="1"/>
    <col min="5" max="5" width="18.26953125" style="1" customWidth="1"/>
    <col min="6" max="6" width="16.7265625" style="1" customWidth="1"/>
    <col min="7" max="7" width="21" style="1" hidden="1" customWidth="1"/>
    <col min="8" max="8" width="27" style="122" customWidth="1"/>
    <col min="9" max="9" width="21" style="1" customWidth="1"/>
    <col min="10" max="10" width="21.26953125" style="1" customWidth="1"/>
    <col min="11" max="11" width="0" style="1" hidden="1" customWidth="1"/>
    <col min="12" max="16" width="9" style="1" hidden="1" customWidth="1"/>
    <col min="17" max="18" width="9" style="1" customWidth="1"/>
    <col min="19" max="16384" width="9" style="1"/>
  </cols>
  <sheetData>
    <row r="13" spans="2:4" ht="13" x14ac:dyDescent="0.3">
      <c r="B13" s="53" t="s">
        <v>424</v>
      </c>
      <c r="C13" s="54"/>
      <c r="D13" s="377">
        <v>12</v>
      </c>
    </row>
    <row r="16" spans="2:4" ht="18" x14ac:dyDescent="0.4">
      <c r="B16" s="127" t="s">
        <v>406</v>
      </c>
    </row>
    <row r="17" spans="2:14" x14ac:dyDescent="0.25">
      <c r="B17" s="128" t="s">
        <v>3442</v>
      </c>
    </row>
    <row r="18" spans="2:14" ht="12.75" customHeight="1" x14ac:dyDescent="0.25">
      <c r="B18" s="1193" t="s">
        <v>60</v>
      </c>
      <c r="C18" s="1192" t="s">
        <v>51</v>
      </c>
      <c r="D18" s="1251" t="s">
        <v>65</v>
      </c>
      <c r="E18" s="1251" t="s">
        <v>408</v>
      </c>
      <c r="F18" s="1250" t="s">
        <v>64</v>
      </c>
      <c r="G18" s="1248"/>
    </row>
    <row r="19" spans="2:14" ht="40.5" customHeight="1" x14ac:dyDescent="0.25">
      <c r="B19" s="1194"/>
      <c r="C19" s="1192"/>
      <c r="D19" s="1252"/>
      <c r="E19" s="1252"/>
      <c r="F19" s="1250"/>
      <c r="G19" s="1249"/>
    </row>
    <row r="20" spans="2:14" ht="14.5" x14ac:dyDescent="0.35">
      <c r="B20" s="129" t="str">
        <f>IF(ISBLANK('4. Billing Determinants'!$B21), "", '4. Billing Determinants'!$B21)</f>
        <v>RESIDENTIAL SERVICE CLASSIFICATION</v>
      </c>
      <c r="C20" s="61" t="s">
        <v>139</v>
      </c>
      <c r="D20" s="130">
        <f>IF(C20="", 0, IF(C20="kWh", '4. Billing Determinants'!E21, IF(C20="kW", '4. Billing Determinants'!F21, '4. Billing Determinants'!D21)))</f>
        <v>4854325531.7023363</v>
      </c>
      <c r="E20" s="131">
        <f>IFERROR(IF(AND(VLOOKUP(B20,'4. Billing Determinants'!$B$21:$K$40,9,0)=0,VLOOKUP(B20,'4. Billing Determinants'!$B$21:$K$40,10,0)=0),HLOOKUP($B20, '5. Allocation of Balances'!$D$4:$Z$77, 64,FALSE) + HLOOKUP($B46, '5. Allocation of Balances'!$D$4:$Z$77, 65,FALSE),HLOOKUP($B20, '5. Allocation of Balances'!$D$4:$Z$77, 64,FALSE)),0)</f>
        <v>11233113.504247297</v>
      </c>
      <c r="F20" s="781">
        <f>ROUND(IF(ISERROR(E20/D20), 0, IF(C20="# of Customers", E20/D20/$D$13, (E20/D20)/($D$13/12))),5)</f>
        <v>2.31E-3</v>
      </c>
      <c r="G20" s="773"/>
      <c r="H20" s="122" t="str">
        <f t="shared" ref="H20:H39" si="0">IF(C20="", "", IF(C20="# of Customers", "per customer per month", "$/"&amp;C20))</f>
        <v>$/kWh</v>
      </c>
      <c r="I20" s="253"/>
      <c r="L20" s="1">
        <f>IF(M20=0,0,M20+N20)</f>
        <v>0</v>
      </c>
      <c r="M20" s="341"/>
      <c r="N20" s="1">
        <f>VLOOKUP(B20,'6.2 CBR B'!$A:$L,11,FALSE)*'6.2a CBR B_Allocation'!$C$28</f>
        <v>12924.476038004988</v>
      </c>
    </row>
    <row r="21" spans="2:14" ht="14.5" x14ac:dyDescent="0.35">
      <c r="B21" s="129" t="str">
        <f>IF(ISBLANK('4. Billing Determinants'!$B22), "", '4. Billing Determinants'!$B22)</f>
        <v>COMPETITIVE SECTOR MULTI-UNIT RESIDENTIAL SERVICE CLASSIFICATION</v>
      </c>
      <c r="C21" s="61" t="s">
        <v>139</v>
      </c>
      <c r="D21" s="130">
        <f>IF(C21="", 0, IF(C21="kWh", '4. Billing Determinants'!E22, IF(C21="kW", '4. Billing Determinants'!F22, '4. Billing Determinants'!D22)))</f>
        <v>341855435.81169891</v>
      </c>
      <c r="E21" s="131">
        <f>IFERROR(IF(AND(VLOOKUP(B21,'4. Billing Determinants'!$B$21:$K$40,9,0)=0,VLOOKUP(B21,'4. Billing Determinants'!$B$21:$K$40,10,0)=0),HLOOKUP($B21, '5. Allocation of Balances'!$D$4:$Z$77, 64,FALSE) + HLOOKUP($B47, '5. Allocation of Balances'!$D$4:$Z$77, 65,FALSE),HLOOKUP($B21, '5. Allocation of Balances'!$D$4:$Z$77, 64,FALSE)),0)</f>
        <v>684256.00989062106</v>
      </c>
      <c r="F21" s="781">
        <f>ROUND(IF(ISERROR(E21/D21), 0, IF(C21="# of Customers", E21/D21/$D$13, (E21/D21)/($D$13/12))),5)</f>
        <v>2E-3</v>
      </c>
      <c r="G21" s="773"/>
      <c r="H21" s="122" t="str">
        <f t="shared" si="0"/>
        <v>$/kWh</v>
      </c>
      <c r="I21" s="253"/>
      <c r="L21" s="1">
        <f t="shared" ref="L21:L39" si="1">IF(M21=0,0,M21+N21)</f>
        <v>0</v>
      </c>
      <c r="M21" s="341"/>
      <c r="N21" s="1">
        <f>VLOOKUP(B21,'6.2 CBR B'!$A:$L,11,FALSE)*'6.2a CBR B_Allocation'!$C$28</f>
        <v>910.17842947599456</v>
      </c>
    </row>
    <row r="22" spans="2:14" ht="14.5" x14ac:dyDescent="0.35">
      <c r="B22" s="129" t="str">
        <f>IF(ISBLANK('4. Billing Determinants'!$B23), "", '4. Billing Determinants'!$B23)</f>
        <v>GENERAL SERVICE LESS THAN 50 KW SERVICE CLASSIFICATION</v>
      </c>
      <c r="C22" s="61" t="s">
        <v>139</v>
      </c>
      <c r="D22" s="130">
        <f>IF(C22="", 0, IF(C22="kWh", '4. Billing Determinants'!E23, IF(C22="kW", '4. Billing Determinants'!F23, '4. Billing Determinants'!D23)))</f>
        <v>2361358051.8485188</v>
      </c>
      <c r="E22" s="131">
        <f>IFERROR(IF(AND(VLOOKUP(B22,'4. Billing Determinants'!$B$21:$K$40,9,0)=0,VLOOKUP(B22,'4. Billing Determinants'!$B$21:$K$40,10,0)=0),HLOOKUP($B22, '5. Allocation of Balances'!$D$4:$Z$77, 64,FALSE) + HLOOKUP($B48, '5. Allocation of Balances'!$D$4:$Z$77, 65,FALSE),HLOOKUP($B22, '5. Allocation of Balances'!$D$4:$Z$77, 64,FALSE)),0)</f>
        <v>5915545.3283760184</v>
      </c>
      <c r="F22" s="781">
        <f>ROUND(IF(ISERROR(E22/D22), 0, IF(C22="# of Customers", E22/D22/$D$13, (E22/D22)/($D$13/12))),5)</f>
        <v>2.5100000000000001E-3</v>
      </c>
      <c r="G22" s="773"/>
      <c r="H22" s="122" t="str">
        <f t="shared" si="0"/>
        <v>$/kWh</v>
      </c>
      <c r="L22" s="1">
        <f t="shared" si="1"/>
        <v>0</v>
      </c>
      <c r="M22" s="341"/>
      <c r="N22" s="1">
        <f>VLOOKUP(B22,'6.2 CBR B'!$A:$L,11,FALSE)*'6.2a CBR B_Allocation'!$C$28</f>
        <v>6286.363854163912</v>
      </c>
    </row>
    <row r="23" spans="2:14" ht="14.5" x14ac:dyDescent="0.35">
      <c r="B23" s="129" t="str">
        <f>IF(ISBLANK('4. Billing Determinants'!$B24), "", '4. Billing Determinants'!$B24)</f>
        <v>GENERAL SERVICE 50 TO 999 KW SERVICE CLASSIFICATION</v>
      </c>
      <c r="C23" s="61" t="s">
        <v>3950</v>
      </c>
      <c r="D23" s="130">
        <f>IF(C23="", 0, IF(C23="kWh", '4. Billing Determinants'!E24, IF(C23="kVA", '4. Billing Determinants'!F24, '4. Billing Determinants'!D24)))</f>
        <v>23208058.50839607</v>
      </c>
      <c r="E23" s="131">
        <f>IFERROR(IF(AND(VLOOKUP(B23,'4. Billing Determinants'!$B$21:$K$40,9,0)=0,VLOOKUP(B23,'4. Billing Determinants'!$B$21:$K$40,10,0)=0),HLOOKUP($B23, '5. Allocation of Balances'!$D$4:$Z$77, 64,FALSE) + HLOOKUP($B49, '5. Allocation of Balances'!$D$4:$Z$77, 65,FALSE),HLOOKUP($B23, '5. Allocation of Balances'!$D$4:$Z$77, 64,FALSE)),0)</f>
        <v>18725309.511485957</v>
      </c>
      <c r="F23" s="132">
        <f>ROUND(IF(ISERROR(E23/D23),0,IF(C23="# of Customers",E23/(D23*$D$13)*($D$13)/($D$13/12*365)*30,IF(C23="kVA",(E23/(D23*$D$13/12))*($D$13)/($D$13/12*365)*30, (E23/D23)/($D$13/12)))),4)</f>
        <v>0.79579999999999995</v>
      </c>
      <c r="G23" s="779"/>
      <c r="H23" s="122" t="str">
        <f>IF(C23="", "", IF(C23="# of Customers", "per customer per month", "$/"&amp;C23))</f>
        <v>$/kVA</v>
      </c>
      <c r="L23" s="1">
        <f t="shared" si="1"/>
        <v>0</v>
      </c>
      <c r="M23" s="341"/>
      <c r="N23" s="1">
        <f>VLOOKUP(B23,'6.2 CBR B'!$A:$L,11,FALSE)*'6.2a CBR B_Allocation'!$C$28</f>
        <v>15763.205689874156</v>
      </c>
    </row>
    <row r="24" spans="2:14" ht="14.5" x14ac:dyDescent="0.35">
      <c r="B24" s="129" t="str">
        <f>IF(ISBLANK('4. Billing Determinants'!$B25), "", '4. Billing Determinants'!$B25)</f>
        <v>GENERAL SERVICE 1,000 TO 4,999 KW SERVICE CLASSIFICATION</v>
      </c>
      <c r="C24" s="61" t="s">
        <v>3950</v>
      </c>
      <c r="D24" s="130">
        <f>IF(C24="", 0, IF(C24="kWh", '4. Billing Determinants'!E25, IF(C24="kVA", '4. Billing Determinants'!F25, '4. Billing Determinants'!D25)))</f>
        <v>8630976.2269679252</v>
      </c>
      <c r="E24" s="131">
        <f>IFERROR(IF(AND(VLOOKUP(B24,'4. Billing Determinants'!$B$21:$K$40,9,0)=0,VLOOKUP(B24,'4. Billing Determinants'!$B$21:$K$40,10,0)=0),HLOOKUP($B24, '5. Allocation of Balances'!$D$4:$Z$77, 64,FALSE) + HLOOKUP($B50, '5. Allocation of Balances'!$D$4:$Z$77, 65,FALSE),HLOOKUP($B24, '5. Allocation of Balances'!$D$4:$Z$77, 64,FALSE)),0)</f>
        <v>7879802.0454135928</v>
      </c>
      <c r="F24" s="132">
        <f>ROUND(IF(ISERROR(E24/D24),0,IF(C24="# of Customers",E24/(D24*$D$13)*($D$13)/($D$13/12*365)*30,IF(C24="kVA",(E24/(D24*$D$13/12))*($D$13)/($D$13/12*365)*30, (E24/D24)/($D$13/12)))),4)</f>
        <v>0.90049999999999997</v>
      </c>
      <c r="G24" s="779"/>
      <c r="H24" s="122" t="str">
        <f t="shared" si="0"/>
        <v>$/kVA</v>
      </c>
      <c r="L24" s="1">
        <f t="shared" si="1"/>
        <v>0</v>
      </c>
      <c r="M24" s="341"/>
      <c r="N24" s="1">
        <f>VLOOKUP(B24,'6.2 CBR B'!$A:$L,11,FALSE)*'6.2a CBR B_Allocation'!$C$28</f>
        <v>8831.6791840859114</v>
      </c>
    </row>
    <row r="25" spans="2:14" ht="14.5" x14ac:dyDescent="0.35">
      <c r="B25" s="129" t="str">
        <f>IF(ISBLANK('4. Billing Determinants'!$B26), "", '4. Billing Determinants'!$B26)</f>
        <v>LARGE USE SERVICE CLASSIFICATION</v>
      </c>
      <c r="C25" s="61" t="s">
        <v>3950</v>
      </c>
      <c r="D25" s="130">
        <f>IF(C25="", 0, IF(C25="kWh", '4. Billing Determinants'!E26, IF(C25="kVA", '4. Billing Determinants'!F26, '4. Billing Determinants'!D26)))</f>
        <v>3965274.5261441707</v>
      </c>
      <c r="E25" s="131">
        <f>IFERROR(IF(AND(VLOOKUP(B25,'4. Billing Determinants'!$B$21:$K$40,9,0)=0,VLOOKUP(B25,'4. Billing Determinants'!$B$21:$K$40,10,0)=0),HLOOKUP($B25, '5. Allocation of Balances'!$D$4:$Z$77, 64,FALSE) + HLOOKUP($B51, '5. Allocation of Balances'!$D$4:$Z$77, 65,FALSE),HLOOKUP($B25, '5. Allocation of Balances'!$D$4:$Z$77, 64,FALSE)),0)</f>
        <v>3534399.902929985</v>
      </c>
      <c r="F25" s="132">
        <f>ROUND(IF(ISERROR(E25/D25),0,IF(C25="# of Customers",E25/(D25*$D$13)*($D$13)/($D$13/12*365)*30,IF(C25="kVA",(E25/(D25*$D$13/12))*($D$13)/($D$13/12*365)*30, (E25/D25)/($D$13/12)))),4)</f>
        <v>0.87909999999999999</v>
      </c>
      <c r="G25" s="779"/>
      <c r="H25" s="122" t="str">
        <f t="shared" si="0"/>
        <v>$/kVA</v>
      </c>
      <c r="L25" s="1">
        <f t="shared" si="1"/>
        <v>0</v>
      </c>
      <c r="M25" s="341"/>
      <c r="N25" s="1">
        <f>VLOOKUP(B25,'6.2 CBR B'!$A:$L,11,FALSE)*'6.2a CBR B_Allocation'!$C$28</f>
        <v>760.78986333536784</v>
      </c>
    </row>
    <row r="26" spans="2:14" ht="14.5" x14ac:dyDescent="0.35">
      <c r="B26" s="129" t="str">
        <f>IF(ISBLANK('4. Billing Determinants'!$B27), "", '4. Billing Determinants'!$B27)</f>
        <v>STREET LIGHTING SERVICE CLASSIFICATION</v>
      </c>
      <c r="C26" s="61" t="s">
        <v>3950</v>
      </c>
      <c r="D26" s="130">
        <f>IF(C26="", 0, IF(C26="kWh", '4. Billing Determinants'!E27, IF(C26="kVA", '4. Billing Determinants'!F27, '4. Billing Determinants'!D27)))</f>
        <v>363522.1495074734</v>
      </c>
      <c r="E26" s="131">
        <f>IFERROR(IF(AND(VLOOKUP(B26,'4. Billing Determinants'!$B$21:$K$40,9,0)=0,VLOOKUP(B26,'4. Billing Determinants'!$B$21:$K$40,10,0)=0),HLOOKUP($B26, '5. Allocation of Balances'!$D$4:$Z$77, 64,FALSE) + HLOOKUP($B52, '5. Allocation of Balances'!$D$4:$Z$77, 65,FALSE),HLOOKUP($B26, '5. Allocation of Balances'!$D$4:$Z$77, 64,FALSE)),0)</f>
        <v>303366.15171869996</v>
      </c>
      <c r="F26" s="132">
        <f>ROUND(IF(ISERROR(E26/D26),0,IF(C26="# of Customers",E26/(D26*$D$13)*($D$13)/($D$13/12*365)*30,IF(C26="kVA",(E26/(D26*$D$13/12))*($D$13)/($D$13/12*365)*30, (E26/D26)/($D$13/12)))),4)</f>
        <v>0.82310000000000005</v>
      </c>
      <c r="G26" s="779"/>
      <c r="H26" s="122" t="str">
        <f t="shared" si="0"/>
        <v>$/kVA</v>
      </c>
      <c r="L26" s="1">
        <f t="shared" si="1"/>
        <v>0</v>
      </c>
      <c r="M26" s="341"/>
      <c r="N26" s="1">
        <f>VLOOKUP(B26,'6.2 CBR B'!$A:$L,11,FALSE)*'6.2a CBR B_Allocation'!$C$28</f>
        <v>314.7358371092335</v>
      </c>
    </row>
    <row r="27" spans="2:14" ht="14.5" x14ac:dyDescent="0.35">
      <c r="B27" s="129" t="str">
        <f>IF(ISBLANK('4. Billing Determinants'!$B28), "", '4. Billing Determinants'!$B28)</f>
        <v>UNMETERED SCATTERED LOAD SERVICE CLASSIFICATION</v>
      </c>
      <c r="C27" s="61" t="s">
        <v>139</v>
      </c>
      <c r="D27" s="130">
        <f>IF(C27="", 0, IF(C27="kWh", '4. Billing Determinants'!E28, IF(C27="kW", '4. Billing Determinants'!F28, '4. Billing Determinants'!D28)))</f>
        <v>42090115.886468768</v>
      </c>
      <c r="E27" s="131">
        <f>IFERROR(IF(AND(VLOOKUP(B27,'4. Billing Determinants'!$B$21:$K$40,9,0)=0,VLOOKUP(B27,'4. Billing Determinants'!$B$21:$K$40,10,0)=0),HLOOKUP($B27, '5. Allocation of Balances'!$D$4:$Z$77, 64,FALSE) + HLOOKUP($B53, '5. Allocation of Balances'!$D$4:$Z$77, 65,FALSE),HLOOKUP($B27, '5. Allocation of Balances'!$D$4:$Z$77, 64,FALSE)),0)</f>
        <v>108015.25532432314</v>
      </c>
      <c r="F27" s="781">
        <f>ROUND(IF(ISERROR(E27/D27), 0, IF(C27="# of Customers", E27/D27/$D$13, (E27/D27)/($D$13/12))),5)</f>
        <v>2.5699999999999998E-3</v>
      </c>
      <c r="G27" s="773"/>
      <c r="H27" s="122" t="str">
        <f t="shared" si="0"/>
        <v>$/kWh</v>
      </c>
      <c r="L27" s="1">
        <f t="shared" si="1"/>
        <v>0</v>
      </c>
      <c r="M27" s="341"/>
      <c r="N27" s="1">
        <f>VLOOKUP(B27,'6.2 CBR B'!$A:$L,11,FALSE)*'6.2a CBR B_Allocation'!$C$28</f>
        <v>112.06349690782868</v>
      </c>
    </row>
    <row r="28" spans="2:14" ht="14.5" x14ac:dyDescent="0.35">
      <c r="B28" s="129" t="str">
        <f>IF(ISBLANK('4. Billing Determinants'!$B29), "", '4. Billing Determinants'!$B29)</f>
        <v/>
      </c>
      <c r="C28" s="61"/>
      <c r="D28" s="130">
        <f>IF(C28="", 0, IF(C28="kWh", '4. Billing Determinants'!E29, IF(C28="kW", '4. Billing Determinants'!F29, '4. Billing Determinants'!D29)))</f>
        <v>0</v>
      </c>
      <c r="E28" s="131">
        <f>IFERROR(IF(AND(VLOOKUP(B28,'4. Billing Determinants'!$B$21:$K$40,9,0)=0,VLOOKUP(B28,'4. Billing Determinants'!$B$21:$K$40,10,0)=0),HLOOKUP($B28, '5. Allocation of Balances'!$D$4:$Z$77, 64,FALSE) + HLOOKUP($B54, '5. Allocation of Balances'!$D$4:$Z$77, 65,FALSE),HLOOKUP($B28, '5. Allocation of Balances'!$D$4:$Z$77, 64,FALSE)),0)</f>
        <v>0</v>
      </c>
      <c r="F28" s="132">
        <f t="shared" ref="F28:F39" si="2">IF(ISERROR(E28/D28), 0, IF(C28="# of Customers", E28/D28/$D$13, (E28/D28)/($D$13/12)))</f>
        <v>0</v>
      </c>
      <c r="G28" s="774"/>
      <c r="H28" s="122" t="str">
        <f t="shared" si="0"/>
        <v/>
      </c>
      <c r="L28" s="1">
        <f t="shared" si="1"/>
        <v>0</v>
      </c>
      <c r="M28" s="341"/>
      <c r="N28" s="1">
        <f>VLOOKUP(B28,'6.2 CBR B'!$A:$L,11,FALSE)*'6.2a CBR B_Allocation'!$C$28</f>
        <v>0</v>
      </c>
    </row>
    <row r="29" spans="2:14" ht="14.5" x14ac:dyDescent="0.35">
      <c r="B29" s="129" t="str">
        <f>IF(ISBLANK('4. Billing Determinants'!$B30), "", '4. Billing Determinants'!$B30)</f>
        <v/>
      </c>
      <c r="C29" s="61"/>
      <c r="D29" s="130">
        <f>IF(C29="", 0, IF(C29="kWh", '4. Billing Determinants'!E30, IF(C29="kW", '4. Billing Determinants'!F30, '4. Billing Determinants'!D30)))</f>
        <v>0</v>
      </c>
      <c r="E29" s="131">
        <f>IFERROR(IF(AND(VLOOKUP(B29,'4. Billing Determinants'!$B$21:$K$40,9,0)=0,VLOOKUP(B29,'4. Billing Determinants'!$B$21:$K$40,10,0)=0),HLOOKUP($B29, '5. Allocation of Balances'!$D$4:$Z$77, 64,FALSE) + HLOOKUP($B55, '5. Allocation of Balances'!$D$4:$Z$77, 65,FALSE),HLOOKUP($B29, '5. Allocation of Balances'!$D$4:$Z$77, 64,FALSE)),0)</f>
        <v>0</v>
      </c>
      <c r="F29" s="132">
        <f t="shared" si="2"/>
        <v>0</v>
      </c>
      <c r="G29" s="774"/>
      <c r="H29" s="122" t="str">
        <f t="shared" si="0"/>
        <v/>
      </c>
      <c r="L29" s="1">
        <f t="shared" si="1"/>
        <v>0</v>
      </c>
      <c r="M29" s="341"/>
      <c r="N29" s="1">
        <f>VLOOKUP(B29,'6.2 CBR B'!$A:$L,11,FALSE)*'6.2a CBR B_Allocation'!$C$28</f>
        <v>0</v>
      </c>
    </row>
    <row r="30" spans="2:14" ht="14.5" x14ac:dyDescent="0.35">
      <c r="B30" s="129" t="str">
        <f>IF(ISBLANK('4. Billing Determinants'!$B31), "", '4. Billing Determinants'!$B31)</f>
        <v/>
      </c>
      <c r="C30" s="61"/>
      <c r="D30" s="130">
        <f>IF(C30="", 0, IF(C30="kWh", '4. Billing Determinants'!E31, IF(C30="kW", '4. Billing Determinants'!F31, '4. Billing Determinants'!D31)))</f>
        <v>0</v>
      </c>
      <c r="E30" s="131">
        <f>IFERROR(IF(AND(VLOOKUP(B30,'4. Billing Determinants'!$B$21:$K$40,9,0)=0,VLOOKUP(B30,'4. Billing Determinants'!$B$21:$K$40,10,0)=0),HLOOKUP($B30, '5. Allocation of Balances'!$D$4:$Z$77, 64,FALSE) + HLOOKUP($B56, '5. Allocation of Balances'!$D$4:$Z$77, 65,FALSE),HLOOKUP($B30, '5. Allocation of Balances'!$D$4:$Z$77, 64,FALSE)),0)</f>
        <v>0</v>
      </c>
      <c r="F30" s="132">
        <f t="shared" si="2"/>
        <v>0</v>
      </c>
      <c r="G30" s="774"/>
      <c r="H30" s="122" t="str">
        <f t="shared" si="0"/>
        <v/>
      </c>
      <c r="L30" s="1">
        <f t="shared" si="1"/>
        <v>0</v>
      </c>
      <c r="M30" s="341"/>
      <c r="N30" s="1">
        <f>VLOOKUP(B30,'6.2 CBR B'!$A:$L,11,FALSE)*'6.2a CBR B_Allocation'!$C$28</f>
        <v>0</v>
      </c>
    </row>
    <row r="31" spans="2:14" ht="14.5" x14ac:dyDescent="0.35">
      <c r="B31" s="129" t="str">
        <f>IF(ISBLANK('4. Billing Determinants'!$B32), "", '4. Billing Determinants'!$B32)</f>
        <v/>
      </c>
      <c r="C31" s="61"/>
      <c r="D31" s="130">
        <f>IF(C31="", 0, IF(C31="kWh", '4. Billing Determinants'!E32, IF(C31="kW", '4. Billing Determinants'!F32, '4. Billing Determinants'!D32)))</f>
        <v>0</v>
      </c>
      <c r="E31" s="131">
        <f>IFERROR(IF(AND(VLOOKUP(B31,'4. Billing Determinants'!$B$21:$K$40,9,0)=0,VLOOKUP(B31,'4. Billing Determinants'!$B$21:$K$40,10,0)=0),HLOOKUP($B31, '5. Allocation of Balances'!$D$4:$Z$77, 64,FALSE) + HLOOKUP($B57, '5. Allocation of Balances'!$D$4:$Z$77, 65,FALSE),HLOOKUP($B31, '5. Allocation of Balances'!$D$4:$Z$77, 64,FALSE)),0)</f>
        <v>0</v>
      </c>
      <c r="F31" s="132">
        <f t="shared" si="2"/>
        <v>0</v>
      </c>
      <c r="G31" s="774"/>
      <c r="H31" s="122" t="str">
        <f t="shared" si="0"/>
        <v/>
      </c>
      <c r="L31" s="1">
        <f t="shared" si="1"/>
        <v>0</v>
      </c>
      <c r="M31" s="341"/>
      <c r="N31" s="1">
        <f>VLOOKUP(B31,'6.2 CBR B'!$A:$L,11,FALSE)*'6.2a CBR B_Allocation'!$C$28</f>
        <v>0</v>
      </c>
    </row>
    <row r="32" spans="2:14" ht="14.5" x14ac:dyDescent="0.35">
      <c r="B32" s="129" t="str">
        <f>IF(ISBLANK('4. Billing Determinants'!$B33), "", '4. Billing Determinants'!$B33)</f>
        <v/>
      </c>
      <c r="C32" s="61"/>
      <c r="D32" s="130">
        <f>IF(C32="", 0, IF(C32="kWh", '4. Billing Determinants'!E33, IF(C32="kW", '4. Billing Determinants'!F33, '4. Billing Determinants'!D33)))</f>
        <v>0</v>
      </c>
      <c r="E32" s="131">
        <f>IFERROR(IF(AND(VLOOKUP(B32,'4. Billing Determinants'!$B$21:$K$40,9,0)=0,VLOOKUP(B32,'4. Billing Determinants'!$B$21:$K$40,10,0)=0),HLOOKUP($B32, '5. Allocation of Balances'!$D$4:$Z$77, 64,FALSE) + HLOOKUP($B58, '5. Allocation of Balances'!$D$4:$Z$77, 65,FALSE),HLOOKUP($B32, '5. Allocation of Balances'!$D$4:$Z$77, 64,FALSE)),0)</f>
        <v>0</v>
      </c>
      <c r="F32" s="132">
        <f t="shared" si="2"/>
        <v>0</v>
      </c>
      <c r="G32" s="774"/>
      <c r="H32" s="122" t="str">
        <f t="shared" si="0"/>
        <v/>
      </c>
      <c r="L32" s="1">
        <f t="shared" si="1"/>
        <v>0</v>
      </c>
      <c r="M32" s="341"/>
      <c r="N32" s="1">
        <f>VLOOKUP(B32,'6.2 CBR B'!$A:$L,11,FALSE)*'6.2a CBR B_Allocation'!$C$28</f>
        <v>0</v>
      </c>
    </row>
    <row r="33" spans="2:14" ht="14.5" x14ac:dyDescent="0.35">
      <c r="B33" s="129" t="str">
        <f>IF(ISBLANK('4. Billing Determinants'!$B34), "", '4. Billing Determinants'!$B34)</f>
        <v/>
      </c>
      <c r="C33" s="61"/>
      <c r="D33" s="130">
        <f>IF(C33="", 0, IF(C33="kWh", '4. Billing Determinants'!E34, IF(C33="kW", '4. Billing Determinants'!F34, '4. Billing Determinants'!D34)))</f>
        <v>0</v>
      </c>
      <c r="E33" s="131">
        <f>IFERROR(IF(AND(VLOOKUP(B33,'4. Billing Determinants'!$B$21:$K$40,9,0)=0,VLOOKUP(B33,'4. Billing Determinants'!$B$21:$K$40,10,0)=0),HLOOKUP($B33, '5. Allocation of Balances'!$D$4:$Z$77, 64,FALSE) + HLOOKUP($B59, '5. Allocation of Balances'!$D$4:$Z$77, 65,FALSE),HLOOKUP($B33, '5. Allocation of Balances'!$D$4:$Z$77, 64,FALSE)),0)</f>
        <v>0</v>
      </c>
      <c r="F33" s="132">
        <f t="shared" si="2"/>
        <v>0</v>
      </c>
      <c r="G33" s="774"/>
      <c r="H33" s="122" t="str">
        <f t="shared" si="0"/>
        <v/>
      </c>
      <c r="L33" s="1">
        <f t="shared" si="1"/>
        <v>0</v>
      </c>
      <c r="M33" s="341"/>
      <c r="N33" s="1">
        <f>VLOOKUP(B33,'6.2 CBR B'!$A:$L,11,FALSE)*'6.2a CBR B_Allocation'!$C$28</f>
        <v>0</v>
      </c>
    </row>
    <row r="34" spans="2:14" ht="14.5" x14ac:dyDescent="0.35">
      <c r="B34" s="129" t="str">
        <f>IF(ISBLANK('4. Billing Determinants'!$B35), "", '4. Billing Determinants'!$B35)</f>
        <v/>
      </c>
      <c r="C34" s="61"/>
      <c r="D34" s="130">
        <f>IF(C34="", 0, IF(C34="kWh", '4. Billing Determinants'!E35, IF(C34="kW", '4. Billing Determinants'!F35, '4. Billing Determinants'!D35)))</f>
        <v>0</v>
      </c>
      <c r="E34" s="131">
        <f>IFERROR(IF(AND(VLOOKUP(B34,'4. Billing Determinants'!$B$21:$K$40,9,0)=0,VLOOKUP(B34,'4. Billing Determinants'!$B$21:$K$40,10,0)=0),HLOOKUP($B34, '5. Allocation of Balances'!$D$4:$Z$77, 64,FALSE) + HLOOKUP($B60, '5. Allocation of Balances'!$D$4:$Z$77, 65,FALSE),HLOOKUP($B34, '5. Allocation of Balances'!$D$4:$Z$77, 64,FALSE)),0)</f>
        <v>0</v>
      </c>
      <c r="F34" s="132">
        <f t="shared" si="2"/>
        <v>0</v>
      </c>
      <c r="G34" s="774"/>
      <c r="H34" s="122" t="str">
        <f t="shared" si="0"/>
        <v/>
      </c>
      <c r="L34" s="1">
        <f t="shared" si="1"/>
        <v>0</v>
      </c>
      <c r="M34" s="341"/>
      <c r="N34" s="1">
        <f>VLOOKUP(B34,'6.2 CBR B'!$A:$L,11,FALSE)*'6.2a CBR B_Allocation'!$C$28</f>
        <v>0</v>
      </c>
    </row>
    <row r="35" spans="2:14" ht="14.5" x14ac:dyDescent="0.35">
      <c r="B35" s="129" t="str">
        <f>IF(ISBLANK('4. Billing Determinants'!$B36), "", '4. Billing Determinants'!$B36)</f>
        <v/>
      </c>
      <c r="C35" s="61"/>
      <c r="D35" s="130">
        <f>IF(C35="", 0, IF(C35="kWh", '4. Billing Determinants'!E36, IF(C35="kW", '4. Billing Determinants'!F36, '4. Billing Determinants'!D36)))</f>
        <v>0</v>
      </c>
      <c r="E35" s="131">
        <f>IFERROR(IF(AND(VLOOKUP(B35,'4. Billing Determinants'!$B$21:$K$40,9,0)=0,VLOOKUP(B35,'4. Billing Determinants'!$B$21:$K$40,10,0)=0),HLOOKUP($B35, '5. Allocation of Balances'!$D$4:$Z$77, 64,FALSE) + HLOOKUP($B61, '5. Allocation of Balances'!$D$4:$Z$77, 65,FALSE),HLOOKUP($B35, '5. Allocation of Balances'!$D$4:$Z$77, 64,FALSE)),0)</f>
        <v>0</v>
      </c>
      <c r="F35" s="132">
        <f t="shared" si="2"/>
        <v>0</v>
      </c>
      <c r="G35" s="774"/>
      <c r="H35" s="122" t="str">
        <f t="shared" si="0"/>
        <v/>
      </c>
      <c r="L35" s="1">
        <f t="shared" si="1"/>
        <v>0</v>
      </c>
      <c r="M35" s="341"/>
      <c r="N35" s="1">
        <f>VLOOKUP(B35,'6.2 CBR B'!$A:$L,11,FALSE)*'6.2a CBR B_Allocation'!$C$28</f>
        <v>0</v>
      </c>
    </row>
    <row r="36" spans="2:14" ht="14.5" x14ac:dyDescent="0.35">
      <c r="B36" s="129" t="str">
        <f>IF(ISBLANK('4. Billing Determinants'!$B37), "", '4. Billing Determinants'!$B37)</f>
        <v/>
      </c>
      <c r="C36" s="61"/>
      <c r="D36" s="130">
        <f>IF(C36="", 0, IF(C36="kWh", '4. Billing Determinants'!E37, IF(C36="kW", '4. Billing Determinants'!F37, '4. Billing Determinants'!D37)))</f>
        <v>0</v>
      </c>
      <c r="E36" s="131">
        <f>IFERROR(IF(AND(VLOOKUP(B36,'4. Billing Determinants'!$B$21:$K$40,9,0)=0,VLOOKUP(B36,'4. Billing Determinants'!$B$21:$K$40,10,0)=0),HLOOKUP($B36, '5. Allocation of Balances'!$D$4:$Z$77, 64,FALSE) + HLOOKUP($B62, '5. Allocation of Balances'!$D$4:$Z$77, 65,FALSE),HLOOKUP($B36, '5. Allocation of Balances'!$D$4:$Z$77, 64,FALSE)),0)</f>
        <v>0</v>
      </c>
      <c r="F36" s="132">
        <f t="shared" si="2"/>
        <v>0</v>
      </c>
      <c r="G36" s="774"/>
      <c r="H36" s="122" t="str">
        <f t="shared" si="0"/>
        <v/>
      </c>
      <c r="L36" s="1">
        <f t="shared" si="1"/>
        <v>0</v>
      </c>
      <c r="M36" s="341"/>
      <c r="N36" s="1">
        <f>VLOOKUP(B36,'6.2 CBR B'!$A:$L,11,FALSE)*'6.2a CBR B_Allocation'!$C$28</f>
        <v>0</v>
      </c>
    </row>
    <row r="37" spans="2:14" ht="14.5" x14ac:dyDescent="0.35">
      <c r="B37" s="129" t="str">
        <f>IF(ISBLANK('4. Billing Determinants'!$B38), "", '4. Billing Determinants'!$B38)</f>
        <v/>
      </c>
      <c r="C37" s="61"/>
      <c r="D37" s="130">
        <f>IF(C37="", 0, IF(C37="kWh", '4. Billing Determinants'!E38, IF(C37="kW", '4. Billing Determinants'!F38, '4. Billing Determinants'!D38)))</f>
        <v>0</v>
      </c>
      <c r="E37" s="131">
        <f>IFERROR(IF(AND(VLOOKUP(B37,'4. Billing Determinants'!$B$21:$K$40,9,0)=0,VLOOKUP(B37,'4. Billing Determinants'!$B$21:$K$40,10,0)=0),HLOOKUP($B37, '5. Allocation of Balances'!$D$4:$Z$77, 64,FALSE) + HLOOKUP($B63, '5. Allocation of Balances'!$D$4:$Z$77, 65,FALSE),HLOOKUP($B37, '5. Allocation of Balances'!$D$4:$Z$77, 64,FALSE)),0)</f>
        <v>0</v>
      </c>
      <c r="F37" s="132">
        <f t="shared" si="2"/>
        <v>0</v>
      </c>
      <c r="G37" s="774"/>
      <c r="H37" s="122" t="str">
        <f t="shared" si="0"/>
        <v/>
      </c>
      <c r="L37" s="1">
        <f t="shared" si="1"/>
        <v>0</v>
      </c>
      <c r="M37" s="341"/>
      <c r="N37" s="1">
        <f>VLOOKUP(B37,'6.2 CBR B'!$A:$L,11,FALSE)*'6.2a CBR B_Allocation'!$C$28</f>
        <v>0</v>
      </c>
    </row>
    <row r="38" spans="2:14" ht="14.5" x14ac:dyDescent="0.35">
      <c r="B38" s="129" t="str">
        <f>IF(ISBLANK('4. Billing Determinants'!$B39), "", '4. Billing Determinants'!$B39)</f>
        <v/>
      </c>
      <c r="C38" s="61"/>
      <c r="D38" s="130">
        <f>IF(C38="", 0, IF(C38="kWh", '4. Billing Determinants'!E39, IF(C38="kW", '4. Billing Determinants'!F39, '4. Billing Determinants'!D39)))</f>
        <v>0</v>
      </c>
      <c r="E38" s="131">
        <f>IFERROR(IF(AND(VLOOKUP(B38,'4. Billing Determinants'!$B$21:$K$40,9,0)=0,VLOOKUP(B38,'4. Billing Determinants'!$B$21:$K$40,10,0)=0),HLOOKUP($B38, '5. Allocation of Balances'!$D$4:$Z$77, 64,FALSE) + HLOOKUP($B64, '5. Allocation of Balances'!$D$4:$Z$77, 65,FALSE),HLOOKUP($B38, '5. Allocation of Balances'!$D$4:$Z$77, 64,FALSE)),0)</f>
        <v>0</v>
      </c>
      <c r="F38" s="132">
        <f t="shared" si="2"/>
        <v>0</v>
      </c>
      <c r="G38" s="774"/>
      <c r="H38" s="122" t="str">
        <f t="shared" si="0"/>
        <v/>
      </c>
      <c r="I38" s="133"/>
      <c r="L38" s="1">
        <f t="shared" si="1"/>
        <v>0</v>
      </c>
      <c r="M38" s="341"/>
      <c r="N38" s="1">
        <f>VLOOKUP(B38,'6.2 CBR B'!$A:$L,11,FALSE)*'6.2a CBR B_Allocation'!$C$28</f>
        <v>0</v>
      </c>
    </row>
    <row r="39" spans="2:14" ht="14.5" x14ac:dyDescent="0.35">
      <c r="B39" s="129" t="str">
        <f>IF(ISBLANK('4. Billing Determinants'!$B40), "", '4. Billing Determinants'!$B40)</f>
        <v/>
      </c>
      <c r="C39" s="61"/>
      <c r="D39" s="130">
        <f>IF(C39="", 0, IF(C39="kWh", '4. Billing Determinants'!E40, IF(C39="kW", '4. Billing Determinants'!F40, '4. Billing Determinants'!D40)))</f>
        <v>0</v>
      </c>
      <c r="E39" s="131">
        <f>IFERROR(IF(AND(VLOOKUP(B39,'4. Billing Determinants'!$B$21:$K$40,9,0)=0,VLOOKUP(B39,'4. Billing Determinants'!$B$21:$K$40,10,0)=0),HLOOKUP($B39, '5. Allocation of Balances'!$D$4:$Z$77, 64,FALSE) + HLOOKUP($B65, '5. Allocation of Balances'!$D$4:$Z$77, 65,FALSE),HLOOKUP($B39, '5. Allocation of Balances'!$D$4:$Z$77, 64,FALSE)),0)</f>
        <v>0</v>
      </c>
      <c r="F39" s="132">
        <f t="shared" si="2"/>
        <v>0</v>
      </c>
      <c r="G39" s="774"/>
      <c r="H39" s="122" t="str">
        <f t="shared" si="0"/>
        <v/>
      </c>
      <c r="L39" s="1">
        <f t="shared" si="1"/>
        <v>0</v>
      </c>
      <c r="M39" s="341"/>
      <c r="N39" s="1">
        <f>VLOOKUP(B39,'6.2 CBR B'!$A:$L,11,FALSE)*'6.2a CBR B_Allocation'!$C$28</f>
        <v>0</v>
      </c>
    </row>
    <row r="40" spans="2:14" ht="13" x14ac:dyDescent="0.3">
      <c r="B40" s="134" t="s">
        <v>52</v>
      </c>
      <c r="C40" s="135"/>
      <c r="D40" s="136"/>
      <c r="E40" s="137">
        <f>SUM(E20:E39)</f>
        <v>48383807.709386498</v>
      </c>
      <c r="F40" s="134"/>
      <c r="G40" s="134"/>
    </row>
    <row r="42" spans="2:14" ht="15.5" x14ac:dyDescent="0.35">
      <c r="B42" s="138" t="s">
        <v>407</v>
      </c>
    </row>
    <row r="43" spans="2:14" x14ac:dyDescent="0.25">
      <c r="B43" s="128" t="s">
        <v>148</v>
      </c>
    </row>
    <row r="44" spans="2:14" ht="12.75" customHeight="1" x14ac:dyDescent="0.25">
      <c r="B44" s="1193" t="s">
        <v>60</v>
      </c>
      <c r="C44" s="1192" t="s">
        <v>51</v>
      </c>
      <c r="D44" s="1251" t="s">
        <v>65</v>
      </c>
      <c r="E44" s="1251" t="s">
        <v>409</v>
      </c>
      <c r="F44" s="1250" t="s">
        <v>64</v>
      </c>
      <c r="G44" s="1250"/>
    </row>
    <row r="45" spans="2:14" ht="27" customHeight="1" x14ac:dyDescent="0.25">
      <c r="B45" s="1194"/>
      <c r="C45" s="1192"/>
      <c r="D45" s="1252"/>
      <c r="E45" s="1252"/>
      <c r="F45" s="1250"/>
      <c r="G45" s="1250"/>
    </row>
    <row r="46" spans="2:14" ht="14.5" x14ac:dyDescent="0.35">
      <c r="B46" s="129" t="str">
        <f>IF(ISBLANK('4. Billing Determinants'!B21), "", '4. Billing Determinants'!B21)</f>
        <v>RESIDENTIAL SERVICE CLASSIFICATION</v>
      </c>
      <c r="C46" s="61" t="s">
        <v>139</v>
      </c>
      <c r="D46" s="130">
        <f>IF(C46="", 0, IF(C46="kWh", '4. Billing Determinants'!L21, IF(C46="kW", '4. Billing Determinants'!M21, '4. Billing Determinants'!D21)))</f>
        <v>4854325531.7023363</v>
      </c>
      <c r="E46" s="131">
        <f>IFERROR(IF(AND(VLOOKUP(B46,'4. Billing Determinants'!$B$21:$K$40,9,0)=0,VLOOKUP(B46,'4. Billing Determinants'!$B$21:$K$40,10,0)=0),0,HLOOKUP($B46, '5. Allocation of Balances'!$D$4:$Z$77, 65,FALSE)),0)</f>
        <v>0</v>
      </c>
      <c r="F46" s="132">
        <f>ROUND(IF(ISERROR(E46/D46), 0, IF(C46="# of Customers", E46/D46/$D$13, (E46/D46)/($D$13/12))),5)</f>
        <v>0</v>
      </c>
      <c r="G46" s="773"/>
      <c r="H46" s="122" t="str">
        <f t="shared" ref="H46:H65" si="3">IF(C46="", "", IF(C46="# of Customers", "per customer per month", "$/"&amp;C46))</f>
        <v>$/kWh</v>
      </c>
    </row>
    <row r="47" spans="2:14" ht="14.5" x14ac:dyDescent="0.35">
      <c r="B47" s="129" t="str">
        <f>IF(ISBLANK('4. Billing Determinants'!B22), "", '4. Billing Determinants'!B22)</f>
        <v>COMPETITIVE SECTOR MULTI-UNIT RESIDENTIAL SERVICE CLASSIFICATION</v>
      </c>
      <c r="C47" s="61" t="s">
        <v>139</v>
      </c>
      <c r="D47" s="130">
        <f>IF(C47="", 0, IF(C47="kWh", '4. Billing Determinants'!L22, IF(C47="kW", '4. Billing Determinants'!M22, '4. Billing Determinants'!D22)))</f>
        <v>341855435.81169891</v>
      </c>
      <c r="E47" s="131">
        <f>IFERROR(IF(AND(VLOOKUP(B47,'4. Billing Determinants'!$B$21:$K$40,9,0)=0,VLOOKUP(B47,'4. Billing Determinants'!$B$21:$K$40,10,0)=0),0,HLOOKUP($B47, '5. Allocation of Balances'!$D$4:$Z$77, 65,FALSE)),0)</f>
        <v>0</v>
      </c>
      <c r="F47" s="132">
        <f>ROUND(IF(ISERROR(E47/D47), 0, IF(C47="# of Customers", E47/D47/$D$13, (E47/D47)/($D$13/12))),5)</f>
        <v>0</v>
      </c>
      <c r="G47" s="773"/>
      <c r="H47" s="122" t="str">
        <f t="shared" si="3"/>
        <v>$/kWh</v>
      </c>
    </row>
    <row r="48" spans="2:14" ht="14.5" x14ac:dyDescent="0.35">
      <c r="B48" s="129" t="str">
        <f>IF(ISBLANK('4. Billing Determinants'!B23), "", '4. Billing Determinants'!B23)</f>
        <v>GENERAL SERVICE LESS THAN 50 KW SERVICE CLASSIFICATION</v>
      </c>
      <c r="C48" s="61" t="s">
        <v>139</v>
      </c>
      <c r="D48" s="130">
        <f>IF(C48="", 0, IF(C48="kWh", '4. Billing Determinants'!L23, IF(C48="kW", '4. Billing Determinants'!M23, '4. Billing Determinants'!D23)))</f>
        <v>2361358051.8485188</v>
      </c>
      <c r="E48" s="131">
        <f>IFERROR(IF(AND(VLOOKUP(B48,'4. Billing Determinants'!$B$21:$K$40,9,0)=0,VLOOKUP(B48,'4. Billing Determinants'!$B$21:$K$40,10,0)=0),0,HLOOKUP($B48, '5. Allocation of Balances'!$D$4:$Z$77, 65,FALSE)),0)</f>
        <v>0</v>
      </c>
      <c r="F48" s="132">
        <f>ROUND(IF(ISERROR(E48/D48), 0, IF(C48="# of Customers", E48/D48/$D$13, (E48/D48)/($D$13/12))),5)</f>
        <v>0</v>
      </c>
      <c r="G48" s="773"/>
      <c r="H48" s="122" t="str">
        <f t="shared" si="3"/>
        <v>$/kWh</v>
      </c>
    </row>
    <row r="49" spans="2:9" ht="14.5" x14ac:dyDescent="0.35">
      <c r="B49" s="129" t="str">
        <f>IF(ISBLANK('4. Billing Determinants'!B24), "", '4. Billing Determinants'!B24)</f>
        <v>GENERAL SERVICE 50 TO 999 KW SERVICE CLASSIFICATION</v>
      </c>
      <c r="C49" s="61" t="s">
        <v>3950</v>
      </c>
      <c r="D49" s="130">
        <f>IF(C49="", 0, IF(C49="kWh", '4. Billing Determinants'!L24, IF(C49="kVA", '4. Billing Determinants'!M24, '4. Billing Determinants'!D24)))</f>
        <v>23112086.287045673</v>
      </c>
      <c r="E49" s="131">
        <f>IFERROR(IF(AND(VLOOKUP(B49,'4. Billing Determinants'!$B$21:$K$40,9,0)=0,VLOOKUP(B49,'4. Billing Determinants'!$B$21:$K$40,10,0)=0),0,HLOOKUP($B49, '5. Allocation of Balances'!$D$4:$Z$77, 65,FALSE)),0)</f>
        <v>5657438.0005254578</v>
      </c>
      <c r="F49" s="132">
        <f>ROUND(IF(ISERROR(E49/D49),0,IF(C49="# of Customers",E49/(D49*$D$13)*($D$13)/($D$13/12*365)*30,IF(C49="kVA",(E49/(D49*$D$13/12))*($D$13)/($D$13/12*365)*30, (E49/D49)/($D$13/12)))),4)</f>
        <v>0.2414</v>
      </c>
      <c r="G49" s="779"/>
      <c r="H49" s="122" t="str">
        <f t="shared" si="3"/>
        <v>$/kVA</v>
      </c>
    </row>
    <row r="50" spans="2:9" ht="14.5" x14ac:dyDescent="0.35">
      <c r="B50" s="129" t="str">
        <f>IF(ISBLANK('4. Billing Determinants'!B25), "", '4. Billing Determinants'!B25)</f>
        <v>GENERAL SERVICE 1,000 TO 4,999 KW SERVICE CLASSIFICATION</v>
      </c>
      <c r="C50" s="61" t="s">
        <v>3950</v>
      </c>
      <c r="D50" s="130">
        <f>IF(C50="", 0, IF(C50="kWh", '4. Billing Determinants'!L25, IF(C50="kVA", '4. Billing Determinants'!M25, '4. Billing Determinants'!D25)))</f>
        <v>8630906.258879263</v>
      </c>
      <c r="E50" s="131">
        <f>IFERROR(IF(AND(VLOOKUP(B50,'4. Billing Determinants'!$B$21:$K$40,9,0)=0,VLOOKUP(B50,'4. Billing Determinants'!$B$21:$K$40,10,0)=0),0,HLOOKUP($B50, '5. Allocation of Balances'!$D$4:$Z$77, 65,FALSE)),0)</f>
        <v>2393097.5842117323</v>
      </c>
      <c r="F50" s="132">
        <f>ROUND(IF(ISERROR(E50/D50),0,IF(C50="# of Customers",E50/(D50*$D$13)*($D$13)/($D$13/12*365)*30,IF(C50="kVA",(E50/(D50*$D$13/12))*($D$13)/($D$13/12*365)*30, (E50/D50)/($D$13/12)))),4)</f>
        <v>0.27350000000000002</v>
      </c>
      <c r="G50" s="779"/>
      <c r="H50" s="122" t="str">
        <f t="shared" si="3"/>
        <v>$/kVA</v>
      </c>
    </row>
    <row r="51" spans="2:9" ht="14.5" x14ac:dyDescent="0.35">
      <c r="B51" s="129" t="str">
        <f>IF(ISBLANK('4. Billing Determinants'!B26), "", '4. Billing Determinants'!B26)</f>
        <v>LARGE USE SERVICE CLASSIFICATION</v>
      </c>
      <c r="C51" s="61" t="s">
        <v>3950</v>
      </c>
      <c r="D51" s="130">
        <f>IF(C51="", 0, IF(C51="kWh", '4. Billing Determinants'!L26, IF(C51="kVA", '4. Billing Determinants'!M26, '4. Billing Determinants'!D26)))</f>
        <v>3529925.4277511509</v>
      </c>
      <c r="E51" s="131">
        <f>IFERROR(IF(AND(VLOOKUP(B51,'4. Billing Determinants'!$B$21:$K$40,9,0)=0,VLOOKUP(B51,'4. Billing Determinants'!$B$21:$K$40,10,0)=0),0,HLOOKUP($B51, '5. Allocation of Balances'!$D$4:$Z$77, 65,FALSE)),0)</f>
        <v>939888.91934099561</v>
      </c>
      <c r="F51" s="132">
        <f>ROUND(IF(ISERROR(E51/D51),0,IF(C51="# of Customers",E51/(D51*$D$13)*($D$13)/($D$13/12*365)*30,IF(C51="kVA",(E51/(D51*$D$13/12))*($D$13)/($D$13/12*365)*30, (E51/D51)/($D$13/12)))),4)</f>
        <v>0.2626</v>
      </c>
      <c r="G51" s="779"/>
      <c r="H51" s="122" t="str">
        <f t="shared" si="3"/>
        <v>$/kVA</v>
      </c>
    </row>
    <row r="52" spans="2:9" ht="14.5" x14ac:dyDescent="0.35">
      <c r="B52" s="129" t="str">
        <f>IF(ISBLANK('4. Billing Determinants'!B27), "", '4. Billing Determinants'!B27)</f>
        <v>STREET LIGHTING SERVICE CLASSIFICATION</v>
      </c>
      <c r="C52" s="61" t="s">
        <v>3950</v>
      </c>
      <c r="D52" s="130">
        <f>IF(C52="", 0, IF(C52="kWh", '4. Billing Determinants'!L27, IF(C52="kVA", '4. Billing Determinants'!M27, '4. Billing Determinants'!D27)))</f>
        <v>363522.1495074734</v>
      </c>
      <c r="E52" s="131">
        <f>IFERROR(IF(AND(VLOOKUP(B52,'4. Billing Determinants'!$B$21:$K$40,9,0)=0,VLOOKUP(B52,'4. Billing Determinants'!$B$21:$K$40,10,0)=0),0,HLOOKUP($B52, '5. Allocation of Balances'!$D$4:$Z$77, 65,FALSE)),0)</f>
        <v>0</v>
      </c>
      <c r="F52" s="132">
        <f>ROUND(IF(ISERROR(E52/D52),0,IF(C52="# of Customers",E52/(D52*$D$13)*($D$13)/($D$13/12*365)*30,IF(C52="kVA",(E52/(D52*$D$13/12))*($D$13)/($D$13/12*365)*30, (E52/D52)/($D$13/12)))),4)</f>
        <v>0</v>
      </c>
      <c r="G52" s="774"/>
      <c r="H52" s="122" t="str">
        <f t="shared" si="3"/>
        <v>$/kVA</v>
      </c>
    </row>
    <row r="53" spans="2:9" ht="14.5" x14ac:dyDescent="0.35">
      <c r="B53" s="129" t="str">
        <f>IF(ISBLANK('4. Billing Determinants'!B28), "", '4. Billing Determinants'!B28)</f>
        <v>UNMETERED SCATTERED LOAD SERVICE CLASSIFICATION</v>
      </c>
      <c r="C53" s="61" t="s">
        <v>139</v>
      </c>
      <c r="D53" s="130">
        <f>IF(C53="", 0, IF(C53="kWh", '4. Billing Determinants'!L28, IF(C53="kW", '4. Billing Determinants'!M28, '4. Billing Determinants'!D28)))</f>
        <v>42090115.886468768</v>
      </c>
      <c r="E53" s="131">
        <f>IFERROR(IF(AND(VLOOKUP(B53,'4. Billing Determinants'!$B$21:$K$40,9,0)=0,VLOOKUP(B53,'4. Billing Determinants'!$B$21:$K$40,10,0)=0),0,HLOOKUP($B53, '5. Allocation of Balances'!$D$4:$Z$77, 65,FALSE)),0)</f>
        <v>0</v>
      </c>
      <c r="F53" s="132">
        <f>ROUND(IF(ISERROR(E53/D53), 0, IF(C53="# of Customers", E53/D53/$D$13, (E53/D53)/($D$13/12))),5)</f>
        <v>0</v>
      </c>
      <c r="G53" s="773"/>
      <c r="H53" s="122" t="str">
        <f t="shared" si="3"/>
        <v>$/kWh</v>
      </c>
    </row>
    <row r="54" spans="2:9" ht="14.5" x14ac:dyDescent="0.35">
      <c r="B54" s="129" t="str">
        <f>IF(ISBLANK('4. Billing Determinants'!B29), "", '4. Billing Determinants'!B29)</f>
        <v/>
      </c>
      <c r="C54" s="61"/>
      <c r="D54" s="130">
        <f>IF(C54="", 0, IF(C54="kWh", '4. Billing Determinants'!L29, IF(C54="kW", '4. Billing Determinants'!M29, '4. Billing Determinants'!D29)))</f>
        <v>0</v>
      </c>
      <c r="E54" s="131">
        <f>IFERROR(IF(AND(VLOOKUP(B54,'4. Billing Determinants'!$B$21:$K$40,9,0)=0,VLOOKUP(B54,'4. Billing Determinants'!$B$21:$K$40,10,0)=0),0,HLOOKUP($B54, '5. Allocation of Balances'!$D$4:$Z$77, 65,FALSE)),0)</f>
        <v>0</v>
      </c>
      <c r="F54" s="132">
        <f t="shared" ref="F54:F65" si="4">IF(ISERROR(E54/D54), 0, IF(C54="# of Customers", E54/D54/$D$13, (E54/D54)/($D$13/12)))</f>
        <v>0</v>
      </c>
      <c r="G54" s="774"/>
      <c r="H54" s="122" t="str">
        <f t="shared" si="3"/>
        <v/>
      </c>
    </row>
    <row r="55" spans="2:9" ht="14.5" x14ac:dyDescent="0.35">
      <c r="B55" s="129" t="str">
        <f>IF(ISBLANK('4. Billing Determinants'!B30), "", '4. Billing Determinants'!B30)</f>
        <v/>
      </c>
      <c r="C55" s="61"/>
      <c r="D55" s="130">
        <f>IF(C55="", 0, IF(C55="kWh", '4. Billing Determinants'!L30, IF(C55="kW", '4. Billing Determinants'!M30, '4. Billing Determinants'!D30)))</f>
        <v>0</v>
      </c>
      <c r="E55" s="131">
        <f>IFERROR(IF(AND(VLOOKUP(B55,'4. Billing Determinants'!$B$21:$K$40,9,0)=0,VLOOKUP(B55,'4. Billing Determinants'!$B$21:$K$40,10,0)=0),0,HLOOKUP($B55, '5. Allocation of Balances'!$D$4:$Z$77, 65,FALSE)),0)</f>
        <v>0</v>
      </c>
      <c r="F55" s="132">
        <f t="shared" si="4"/>
        <v>0</v>
      </c>
      <c r="G55" s="774"/>
      <c r="H55" s="122" t="str">
        <f t="shared" si="3"/>
        <v/>
      </c>
    </row>
    <row r="56" spans="2:9" ht="14.5" x14ac:dyDescent="0.35">
      <c r="B56" s="129" t="str">
        <f>IF(ISBLANK('4. Billing Determinants'!B31), "", '4. Billing Determinants'!B31)</f>
        <v/>
      </c>
      <c r="C56" s="61"/>
      <c r="D56" s="130">
        <f>IF(C56="", 0, IF(C56="kWh", '4. Billing Determinants'!L31, IF(C56="kW", '4. Billing Determinants'!M31, '4. Billing Determinants'!D31)))</f>
        <v>0</v>
      </c>
      <c r="E56" s="131">
        <f>IFERROR(IF(AND(VLOOKUP(B56,'4. Billing Determinants'!$B$21:$K$40,9,0)=0,VLOOKUP(B56,'4. Billing Determinants'!$B$21:$K$40,10,0)=0),0,HLOOKUP($B56, '5. Allocation of Balances'!$D$4:$Z$77, 65,FALSE)),0)</f>
        <v>0</v>
      </c>
      <c r="F56" s="132">
        <f t="shared" si="4"/>
        <v>0</v>
      </c>
      <c r="G56" s="774"/>
      <c r="H56" s="122" t="str">
        <f t="shared" si="3"/>
        <v/>
      </c>
    </row>
    <row r="57" spans="2:9" ht="14.5" x14ac:dyDescent="0.35">
      <c r="B57" s="129" t="str">
        <f>IF(ISBLANK('4. Billing Determinants'!B32), "", '4. Billing Determinants'!B32)</f>
        <v/>
      </c>
      <c r="C57" s="61"/>
      <c r="D57" s="130">
        <f>IF(C57="", 0, IF(C57="kWh", '4. Billing Determinants'!L32, IF(C57="kW", '4. Billing Determinants'!M32, '4. Billing Determinants'!D32)))</f>
        <v>0</v>
      </c>
      <c r="E57" s="131">
        <f>IFERROR(IF(AND(VLOOKUP(B57,'4. Billing Determinants'!$B$21:$K$40,9,0)=0,VLOOKUP(B57,'4. Billing Determinants'!$B$21:$K$40,10,0)=0),0,HLOOKUP($B57, '5. Allocation of Balances'!$D$4:$Z$77, 65,FALSE)),0)</f>
        <v>0</v>
      </c>
      <c r="F57" s="132">
        <f t="shared" si="4"/>
        <v>0</v>
      </c>
      <c r="G57" s="774"/>
      <c r="H57" s="122" t="str">
        <f t="shared" si="3"/>
        <v/>
      </c>
    </row>
    <row r="58" spans="2:9" ht="14.5" x14ac:dyDescent="0.35">
      <c r="B58" s="129" t="str">
        <f>IF(ISBLANK('4. Billing Determinants'!B33), "", '4. Billing Determinants'!B33)</f>
        <v/>
      </c>
      <c r="C58" s="61"/>
      <c r="D58" s="130">
        <f>IF(C58="", 0, IF(C58="kWh", '4. Billing Determinants'!L33, IF(C58="kW", '4. Billing Determinants'!M33, '4. Billing Determinants'!D33)))</f>
        <v>0</v>
      </c>
      <c r="E58" s="131">
        <f>IFERROR(IF(AND(VLOOKUP(B58,'4. Billing Determinants'!$B$21:$K$40,9,0)=0,VLOOKUP(B58,'4. Billing Determinants'!$B$21:$K$40,10,0)=0),0,HLOOKUP($B58, '5. Allocation of Balances'!$D$4:$Z$77, 65,FALSE)),0)</f>
        <v>0</v>
      </c>
      <c r="F58" s="132">
        <f t="shared" si="4"/>
        <v>0</v>
      </c>
      <c r="G58" s="774"/>
      <c r="H58" s="122" t="str">
        <f t="shared" si="3"/>
        <v/>
      </c>
    </row>
    <row r="59" spans="2:9" ht="14.5" x14ac:dyDescent="0.35">
      <c r="B59" s="129" t="str">
        <f>IF(ISBLANK('4. Billing Determinants'!B34), "", '4. Billing Determinants'!B34)</f>
        <v/>
      </c>
      <c r="C59" s="61"/>
      <c r="D59" s="130">
        <f>IF(C59="", 0, IF(C59="kWh", '4. Billing Determinants'!L34, IF(C59="kW", '4. Billing Determinants'!M34, '4. Billing Determinants'!D34)))</f>
        <v>0</v>
      </c>
      <c r="E59" s="131">
        <f>IFERROR(IF(AND(VLOOKUP(B59,'4. Billing Determinants'!$B$21:$K$40,9,0)=0,VLOOKUP(B59,'4. Billing Determinants'!$B$21:$K$40,10,0)=0),0,HLOOKUP($B59, '5. Allocation of Balances'!$D$4:$Z$77, 65,FALSE)),0)</f>
        <v>0</v>
      </c>
      <c r="F59" s="132">
        <f t="shared" si="4"/>
        <v>0</v>
      </c>
      <c r="G59" s="774"/>
      <c r="H59" s="122" t="str">
        <f t="shared" si="3"/>
        <v/>
      </c>
    </row>
    <row r="60" spans="2:9" ht="14.5" x14ac:dyDescent="0.35">
      <c r="B60" s="129" t="str">
        <f>IF(ISBLANK('4. Billing Determinants'!B35), "", '4. Billing Determinants'!B35)</f>
        <v/>
      </c>
      <c r="C60" s="61"/>
      <c r="D60" s="130">
        <f>IF(C60="", 0, IF(C60="kWh", '4. Billing Determinants'!L35, IF(C60="kW", '4. Billing Determinants'!M35, '4. Billing Determinants'!D35)))</f>
        <v>0</v>
      </c>
      <c r="E60" s="131">
        <f>IFERROR(IF(AND(VLOOKUP(B60,'4. Billing Determinants'!$B$21:$K$40,9,0)=0,VLOOKUP(B60,'4. Billing Determinants'!$B$21:$K$40,10,0)=0),0,HLOOKUP($B60, '5. Allocation of Balances'!$D$4:$Z$77, 65,FALSE)),0)</f>
        <v>0</v>
      </c>
      <c r="F60" s="132">
        <f t="shared" si="4"/>
        <v>0</v>
      </c>
      <c r="G60" s="774"/>
      <c r="H60" s="122" t="str">
        <f t="shared" si="3"/>
        <v/>
      </c>
    </row>
    <row r="61" spans="2:9" ht="14.5" x14ac:dyDescent="0.35">
      <c r="B61" s="129" t="str">
        <f>IF(ISBLANK('4. Billing Determinants'!B36), "", '4. Billing Determinants'!B36)</f>
        <v/>
      </c>
      <c r="C61" s="61"/>
      <c r="D61" s="130">
        <f>IF(C61="", 0, IF(C61="kWh", '4. Billing Determinants'!L36, IF(C61="kW", '4. Billing Determinants'!M36, '4. Billing Determinants'!D36)))</f>
        <v>0</v>
      </c>
      <c r="E61" s="131">
        <f>IFERROR(IF(AND(VLOOKUP(B61,'4. Billing Determinants'!$B$21:$K$40,9,0)=0,VLOOKUP(B61,'4. Billing Determinants'!$B$21:$K$40,10,0)=0),0,HLOOKUP($B61, '5. Allocation of Balances'!$D$4:$Z$77, 65,FALSE)),0)</f>
        <v>0</v>
      </c>
      <c r="F61" s="132">
        <f t="shared" si="4"/>
        <v>0</v>
      </c>
      <c r="G61" s="774"/>
      <c r="H61" s="122" t="str">
        <f t="shared" si="3"/>
        <v/>
      </c>
    </row>
    <row r="62" spans="2:9" ht="14.5" x14ac:dyDescent="0.35">
      <c r="B62" s="129" t="str">
        <f>IF(ISBLANK('4. Billing Determinants'!B37), "", '4. Billing Determinants'!B37)</f>
        <v/>
      </c>
      <c r="C62" s="61"/>
      <c r="D62" s="130">
        <f>IF(C62="", 0, IF(C62="kWh", '4. Billing Determinants'!L37, IF(C62="kW", '4. Billing Determinants'!M37, '4. Billing Determinants'!D37)))</f>
        <v>0</v>
      </c>
      <c r="E62" s="131">
        <f>IFERROR(IF(AND(VLOOKUP(B62,'4. Billing Determinants'!$B$21:$K$40,9,0)=0,VLOOKUP(B62,'4. Billing Determinants'!$B$21:$K$40,10,0)=0),0,HLOOKUP($B62, '5. Allocation of Balances'!$D$4:$Z$77, 65,FALSE)),0)</f>
        <v>0</v>
      </c>
      <c r="F62" s="132">
        <f t="shared" si="4"/>
        <v>0</v>
      </c>
      <c r="G62" s="774"/>
      <c r="H62" s="122" t="str">
        <f t="shared" si="3"/>
        <v/>
      </c>
    </row>
    <row r="63" spans="2:9" ht="14.5" x14ac:dyDescent="0.35">
      <c r="B63" s="129" t="str">
        <f>IF(ISBLANK('4. Billing Determinants'!B38), "", '4. Billing Determinants'!B38)</f>
        <v/>
      </c>
      <c r="C63" s="61"/>
      <c r="D63" s="130">
        <f>IF(C63="", 0, IF(C63="kWh", '4. Billing Determinants'!L38, IF(C63="kW", '4. Billing Determinants'!M38, '4. Billing Determinants'!D38)))</f>
        <v>0</v>
      </c>
      <c r="E63" s="131">
        <f>IFERROR(IF(AND(VLOOKUP(B63,'4. Billing Determinants'!$B$21:$K$40,9,0)=0,VLOOKUP(B63,'4. Billing Determinants'!$B$21:$K$40,10,0)=0),0,HLOOKUP($B63, '5. Allocation of Balances'!$D$4:$Z$77, 65,FALSE)),0)</f>
        <v>0</v>
      </c>
      <c r="F63" s="132">
        <f t="shared" si="4"/>
        <v>0</v>
      </c>
      <c r="G63" s="774"/>
      <c r="H63" s="122" t="str">
        <f t="shared" si="3"/>
        <v/>
      </c>
    </row>
    <row r="64" spans="2:9" ht="14.5" x14ac:dyDescent="0.35">
      <c r="B64" s="129" t="str">
        <f>IF(ISBLANK('4. Billing Determinants'!B39), "", '4. Billing Determinants'!B39)</f>
        <v/>
      </c>
      <c r="C64" s="61"/>
      <c r="D64" s="130">
        <f>IF(C64="", 0, IF(C64="kWh", '4. Billing Determinants'!L39, IF(C64="kW", '4. Billing Determinants'!M39, '4. Billing Determinants'!D39)))</f>
        <v>0</v>
      </c>
      <c r="E64" s="131">
        <f>IFERROR(IF(AND(VLOOKUP(B64,'4. Billing Determinants'!$B$21:$K$40,9,0)=0,VLOOKUP(B64,'4. Billing Determinants'!$B$21:$K$40,10,0)=0),0,HLOOKUP($B64, '5. Allocation of Balances'!$D$4:$Z$77, 65,FALSE)),0)</f>
        <v>0</v>
      </c>
      <c r="F64" s="132">
        <f t="shared" si="4"/>
        <v>0</v>
      </c>
      <c r="G64" s="774"/>
      <c r="H64" s="122" t="str">
        <f t="shared" si="3"/>
        <v/>
      </c>
      <c r="I64" s="133"/>
    </row>
    <row r="65" spans="2:16" ht="14.5" x14ac:dyDescent="0.35">
      <c r="B65" s="129" t="str">
        <f>IF(ISBLANK('4. Billing Determinants'!B40), "", '4. Billing Determinants'!B40)</f>
        <v/>
      </c>
      <c r="C65" s="61"/>
      <c r="D65" s="130">
        <f>IF(C65="", 0, IF(C65="kWh", '4. Billing Determinants'!L40, IF(C65="kW", '4. Billing Determinants'!M40, '4. Billing Determinants'!D40)))</f>
        <v>0</v>
      </c>
      <c r="E65" s="131">
        <f>IFERROR(IF(AND(VLOOKUP(B65,'4. Billing Determinants'!$B$21:$K$40,9,0)=0,VLOOKUP(B65,'4. Billing Determinants'!$B$21:$K$40,10,0)=0),0,HLOOKUP($B65, '5. Allocation of Balances'!$D$4:$Z$77, 65,FALSE)),0)</f>
        <v>0</v>
      </c>
      <c r="F65" s="132">
        <f t="shared" si="4"/>
        <v>0</v>
      </c>
      <c r="G65" s="774"/>
      <c r="H65" s="122" t="str">
        <f t="shared" si="3"/>
        <v/>
      </c>
    </row>
    <row r="66" spans="2:16" ht="13" x14ac:dyDescent="0.3">
      <c r="B66" s="134" t="s">
        <v>52</v>
      </c>
      <c r="C66" s="135"/>
      <c r="D66" s="136"/>
      <c r="E66" s="137">
        <f>SUM(E46:E65)</f>
        <v>8990424.5040781852</v>
      </c>
      <c r="F66" s="134"/>
      <c r="G66" s="134"/>
    </row>
    <row r="67" spans="2:16" ht="58.75" customHeight="1" x14ac:dyDescent="0.25">
      <c r="B67" s="1255" t="s">
        <v>419</v>
      </c>
      <c r="C67" s="1256"/>
      <c r="D67" s="1256"/>
      <c r="E67" s="1256"/>
      <c r="F67" s="1256"/>
    </row>
    <row r="68" spans="2:16" ht="33.75" customHeight="1" x14ac:dyDescent="0.35">
      <c r="B68" s="338" t="s">
        <v>381</v>
      </c>
      <c r="C68" s="339"/>
      <c r="D68" s="339"/>
      <c r="E68" s="339"/>
      <c r="F68" s="339"/>
      <c r="G68" s="339"/>
    </row>
    <row r="69" spans="2:16" ht="18" customHeight="1" x14ac:dyDescent="0.25">
      <c r="B69" s="340" t="s">
        <v>380</v>
      </c>
      <c r="C69" s="339"/>
      <c r="D69" s="339"/>
      <c r="E69" s="339"/>
      <c r="F69" s="339"/>
      <c r="G69" s="339"/>
    </row>
    <row r="70" spans="2:16" ht="18" customHeight="1" x14ac:dyDescent="0.25">
      <c r="B70" s="1253" t="s">
        <v>60</v>
      </c>
      <c r="C70" s="1257" t="s">
        <v>51</v>
      </c>
      <c r="D70" s="1251" t="s">
        <v>65</v>
      </c>
      <c r="E70" s="1258" t="s">
        <v>414</v>
      </c>
      <c r="F70" s="1253" t="s">
        <v>432</v>
      </c>
      <c r="G70" s="1253"/>
      <c r="I70" s="1254"/>
      <c r="J70" s="1254"/>
      <c r="K70" s="1254"/>
      <c r="L70" s="347"/>
    </row>
    <row r="71" spans="2:16" ht="18" customHeight="1" x14ac:dyDescent="0.25">
      <c r="B71" s="1257"/>
      <c r="C71" s="1257"/>
      <c r="D71" s="1252"/>
      <c r="E71" s="1259"/>
      <c r="F71" s="1253"/>
      <c r="G71" s="1253"/>
      <c r="I71" s="1254"/>
      <c r="J71" s="1254"/>
      <c r="K71" s="1254"/>
      <c r="L71" s="347"/>
    </row>
    <row r="72" spans="2:16" ht="14.25" customHeight="1" x14ac:dyDescent="0.25">
      <c r="B72" s="355" t="str">
        <f>IF(ISBLANK('4. Billing Determinants'!B21), "", '4. Billing Determinants'!B21)</f>
        <v>RESIDENTIAL SERVICE CLASSIFICATION</v>
      </c>
      <c r="C72" s="61" t="s">
        <v>139</v>
      </c>
      <c r="D72" s="130">
        <f>IF(C72="", 0, IF(C72="kWh", '6.2 CBR B'!I17, IF(C72="kW", '6.2 CBR B'!J17,'4. Billing Determinants'!D21)))</f>
        <v>4854325531.7023363</v>
      </c>
      <c r="E72" s="341">
        <f>HLOOKUP($B72, '5. Allocation of Balances'!$D$4:$Z$77, 62,FALSE)</f>
        <v>855915.24098585907</v>
      </c>
      <c r="F72" s="781">
        <f>ROUND(IF(ISERROR(E72/D72), 0, IF(C72="# of Customers", E72/D72/$D$13, (E72/D72)/($D$13/12))),5)</f>
        <v>1.8000000000000001E-4</v>
      </c>
      <c r="G72" s="775"/>
      <c r="H72" s="122" t="str">
        <f t="shared" ref="H72:H91" si="5">IF(C72="", "", IF(C72="# of Customers", "per customer per month", "$/"&amp;C72))</f>
        <v>$/kWh</v>
      </c>
      <c r="I72" s="1254"/>
      <c r="J72" s="1254"/>
      <c r="K72" s="1254"/>
      <c r="L72" s="347"/>
      <c r="M72" s="369">
        <f>ROUND(F72,4)</f>
        <v>2.0000000000000001E-4</v>
      </c>
      <c r="N72" s="369">
        <f>ROUND(E72,4)</f>
        <v>855915.24100000004</v>
      </c>
      <c r="P72" s="132">
        <f>IF(ISERROR(O72/N72), 0, IF(M72="# of Customers", O72/N72/$D$13, (O72/N72)/($D$13/12)))</f>
        <v>0</v>
      </c>
    </row>
    <row r="73" spans="2:16" ht="14.25" customHeight="1" x14ac:dyDescent="0.25">
      <c r="B73" s="355" t="str">
        <f>IF(ISBLANK('4. Billing Determinants'!B22), "", '4. Billing Determinants'!B22)</f>
        <v>COMPETITIVE SECTOR MULTI-UNIT RESIDENTIAL SERVICE CLASSIFICATION</v>
      </c>
      <c r="C73" s="61" t="s">
        <v>139</v>
      </c>
      <c r="D73" s="130">
        <f>IF(C73="", 0, IF(C73="kWh", '6.2 CBR B'!I18, IF(C73="kW", '6.2 CBR B'!J18,'4. Billing Determinants'!D22)))</f>
        <v>341855435.81169891</v>
      </c>
      <c r="E73" s="341">
        <f>HLOOKUP($B73, '5. Allocation of Balances'!$D$4:$Z$77, 62,FALSE)</f>
        <v>60275.990107010017</v>
      </c>
      <c r="F73" s="781">
        <f>ROUND(IF(ISERROR(E73/D73), 0, IF(C73="# of Customers", E73/D73/$D$13, (E73/D73)/($D$13/12))),5)</f>
        <v>1.8000000000000001E-4</v>
      </c>
      <c r="G73" s="775"/>
      <c r="H73" s="122" t="str">
        <f t="shared" si="5"/>
        <v>$/kWh</v>
      </c>
      <c r="I73" s="1254"/>
      <c r="J73" s="1254"/>
      <c r="K73" s="1254"/>
      <c r="L73" s="347"/>
      <c r="M73" s="369">
        <f t="shared" ref="M73:M91" si="6">ROUND(F73,4)</f>
        <v>2.0000000000000001E-4</v>
      </c>
      <c r="N73" s="369">
        <f t="shared" ref="N73:N91" si="7">ROUND(E73,4)</f>
        <v>60275.990100000003</v>
      </c>
      <c r="P73" s="132">
        <f t="shared" ref="P73:P91" si="8">IF(ISERROR(O73/N73), 0, IF(M73="# of Customers", O73/N73/$D$13, (O73/N73)/($D$13/12)))</f>
        <v>0</v>
      </c>
    </row>
    <row r="74" spans="2:16" ht="14.25" customHeight="1" x14ac:dyDescent="0.25">
      <c r="B74" s="355" t="str">
        <f>IF(ISBLANK('4. Billing Determinants'!B23), "", '4. Billing Determinants'!B23)</f>
        <v>GENERAL SERVICE LESS THAN 50 KW SERVICE CLASSIFICATION</v>
      </c>
      <c r="C74" s="61" t="s">
        <v>139</v>
      </c>
      <c r="D74" s="130">
        <f>IF(C74="", 0, IF(C74="kWh", '6.2 CBR B'!I19, IF(C74="kW", '6.2 CBR B'!J19,'4. Billing Determinants'!D23)))</f>
        <v>2361105894.6687493</v>
      </c>
      <c r="E74" s="341">
        <f>HLOOKUP($B74, '5. Allocation of Balances'!$D$4:$Z$77, 62,FALSE)</f>
        <v>416310.46530162031</v>
      </c>
      <c r="F74" s="781">
        <f>ROUND(IF(ISERROR(E74/D74), 0, IF(C74="# of Customers", E74/D74/$D$13, (E74/D74)/($D$13/12))),5)</f>
        <v>1.8000000000000001E-4</v>
      </c>
      <c r="G74" s="775"/>
      <c r="H74" s="122" t="str">
        <f t="shared" si="5"/>
        <v>$/kWh</v>
      </c>
      <c r="I74" s="1254"/>
      <c r="J74" s="1254"/>
      <c r="K74" s="1254"/>
      <c r="L74" s="347"/>
      <c r="M74" s="369">
        <f t="shared" si="6"/>
        <v>2.0000000000000001E-4</v>
      </c>
      <c r="N74" s="369">
        <f t="shared" si="7"/>
        <v>416310.46529999998</v>
      </c>
      <c r="P74" s="132">
        <f t="shared" si="8"/>
        <v>0</v>
      </c>
    </row>
    <row r="75" spans="2:16" ht="14.25" customHeight="1" x14ac:dyDescent="0.25">
      <c r="B75" s="355" t="str">
        <f>IF(ISBLANK('4. Billing Determinants'!B24), "", '4. Billing Determinants'!B24)</f>
        <v>GENERAL SERVICE 50 TO 999 KW SERVICE CLASSIFICATION</v>
      </c>
      <c r="C75" s="61" t="s">
        <v>3950</v>
      </c>
      <c r="D75" s="130">
        <f>IF(C75="", 0, IF(C75="kWh", '6.2 CBR B'!I20, IF(C75="kVA", '6.2 CBR B'!J20,'4. Billing Determinants'!D24)))</f>
        <v>15765463.927214313</v>
      </c>
      <c r="E75" s="341">
        <f>HLOOKUP($B75, '5. Allocation of Balances'!$D$4:$Z$77, 62,FALSE)</f>
        <v>1043908.3145099716</v>
      </c>
      <c r="F75" s="132">
        <f>ROUND(IF(ISERROR(E75/D75), 0, IF(C75="# of Customers", E75/D75/$D$13, (E75/D75)/($D$13/12)*($D$13)/($D$13/12*365)*30)),4)</f>
        <v>6.5299999999999997E-2</v>
      </c>
      <c r="G75" s="780"/>
      <c r="H75" s="122" t="str">
        <f t="shared" si="5"/>
        <v>$/kVA</v>
      </c>
      <c r="I75" s="1254"/>
      <c r="J75" s="1254"/>
      <c r="K75" s="1254"/>
      <c r="L75" s="347"/>
      <c r="M75" s="369">
        <f t="shared" si="6"/>
        <v>6.5299999999999997E-2</v>
      </c>
      <c r="N75" s="369">
        <f t="shared" si="7"/>
        <v>1043908.3145</v>
      </c>
      <c r="P75" s="132">
        <f t="shared" si="8"/>
        <v>0</v>
      </c>
    </row>
    <row r="76" spans="2:16" ht="14.25" customHeight="1" x14ac:dyDescent="0.25">
      <c r="B76" s="355" t="str">
        <f>IF(ISBLANK('4. Billing Determinants'!B25), "", '4. Billing Determinants'!B25)</f>
        <v>GENERAL SERVICE 1,000 TO 4,999 KW SERVICE CLASSIFICATION</v>
      </c>
      <c r="C76" s="61" t="s">
        <v>3950</v>
      </c>
      <c r="D76" s="130">
        <f>IF(C76="", 0, IF(C76="kWh", '6.2 CBR B'!I21, IF(C76="kVA", '6.2 CBR B'!J21,'4. Billing Determinants'!D25)))</f>
        <v>6945760.662095109</v>
      </c>
      <c r="E76" s="341">
        <f>HLOOKUP($B76, '5. Allocation of Balances'!$D$4:$Z$77, 62,FALSE)</f>
        <v>584872.36116409057</v>
      </c>
      <c r="F76" s="132">
        <f>ROUND(IF(ISERROR(E76/D76), 0, IF(C76="# of Customers", E76/D76/$D$13, (E76/D76)/($D$13/12)*($D$13)/($D$13/12*365)*30)),4)</f>
        <v>8.3099999999999993E-2</v>
      </c>
      <c r="G76" s="780"/>
      <c r="H76" s="122" t="str">
        <f t="shared" si="5"/>
        <v>$/kVA</v>
      </c>
      <c r="I76" s="1254"/>
      <c r="J76" s="1254"/>
      <c r="K76" s="1254"/>
      <c r="L76" s="347"/>
      <c r="M76" s="369">
        <f t="shared" si="6"/>
        <v>8.3099999999999993E-2</v>
      </c>
      <c r="N76" s="369">
        <f t="shared" si="7"/>
        <v>584872.36120000004</v>
      </c>
      <c r="P76" s="132">
        <f t="shared" si="8"/>
        <v>0</v>
      </c>
    </row>
    <row r="77" spans="2:16" ht="14.25" customHeight="1" x14ac:dyDescent="0.25">
      <c r="B77" s="355" t="str">
        <f>IF(ISBLANK('4. Billing Determinants'!B26), "", '4. Billing Determinants'!B26)</f>
        <v>LARGE USE SERVICE CLASSIFICATION</v>
      </c>
      <c r="C77" s="61" t="s">
        <v>3950</v>
      </c>
      <c r="D77" s="130">
        <f>IF(C77="", 0, IF(C77="kWh", '6.2 CBR B'!I22, IF(C77="kVA", '6.2 CBR B'!J22,'4. Billing Determinants'!D26)))</f>
        <v>279269.86028765282</v>
      </c>
      <c r="E77" s="341">
        <f>HLOOKUP($B77, '5. Allocation of Balances'!$D$4:$Z$77, 62,FALSE)</f>
        <v>50382.826917044171</v>
      </c>
      <c r="F77" s="132">
        <f>ROUND(IF(ISERROR(E77/D77), 0, IF(C77="# of Customers", E77/D77/$D$13, (E77/D77)/($D$13/12)*($D$13)/($D$13/12*365)*30)),4)</f>
        <v>0.1779</v>
      </c>
      <c r="G77" s="780"/>
      <c r="H77" s="122" t="str">
        <f t="shared" si="5"/>
        <v>$/kVA</v>
      </c>
      <c r="I77" s="347"/>
      <c r="J77" s="347"/>
      <c r="K77" s="347"/>
      <c r="L77" s="347"/>
      <c r="M77" s="369">
        <f t="shared" si="6"/>
        <v>0.1779</v>
      </c>
      <c r="N77" s="369">
        <f t="shared" si="7"/>
        <v>50382.8269</v>
      </c>
      <c r="P77" s="132">
        <f t="shared" si="8"/>
        <v>0</v>
      </c>
    </row>
    <row r="78" spans="2:16" ht="14.25" customHeight="1" x14ac:dyDescent="0.25">
      <c r="B78" s="355" t="str">
        <f>IF(ISBLANK('4. Billing Determinants'!B27), "", '4. Billing Determinants'!B27)</f>
        <v>STREET LIGHTING SERVICE CLASSIFICATION</v>
      </c>
      <c r="C78" s="61" t="s">
        <v>3950</v>
      </c>
      <c r="D78" s="130">
        <f>IF(C78="", 0, IF(C78="kWh", '6.2 CBR B'!I23, IF(C78="kVA", '6.2 CBR B'!J23,'4. Billing Determinants'!D27)))</f>
        <v>363522.1495074734</v>
      </c>
      <c r="E78" s="341">
        <f>HLOOKUP($B78, '5. Allocation of Balances'!$D$4:$Z$77, 62,FALSE)</f>
        <v>20843.181501059757</v>
      </c>
      <c r="F78" s="132">
        <f>ROUND(IF(ISERROR(E78/D78), 0, IF(C78="# of Customers", E78/D78/$D$13, (E78/D78)/($D$13/12)*($D$13)/($D$13/12*365)*30)),4)</f>
        <v>5.6599999999999998E-2</v>
      </c>
      <c r="G78" s="780"/>
      <c r="H78" s="122" t="str">
        <f t="shared" si="5"/>
        <v>$/kVA</v>
      </c>
      <c r="I78" s="347"/>
      <c r="J78" s="347"/>
      <c r="K78" s="347"/>
      <c r="L78" s="347"/>
      <c r="M78" s="369">
        <f t="shared" si="6"/>
        <v>5.6599999999999998E-2</v>
      </c>
      <c r="N78" s="369">
        <f t="shared" si="7"/>
        <v>20843.181499999999</v>
      </c>
      <c r="P78" s="132">
        <f t="shared" si="8"/>
        <v>0</v>
      </c>
    </row>
    <row r="79" spans="2:16" ht="14.25" customHeight="1" x14ac:dyDescent="0.25">
      <c r="B79" s="355" t="str">
        <f>IF(ISBLANK('4. Billing Determinants'!B28), "", '4. Billing Determinants'!B28)</f>
        <v>UNMETERED SCATTERED LOAD SERVICE CLASSIFICATION</v>
      </c>
      <c r="C79" s="61" t="s">
        <v>139</v>
      </c>
      <c r="D79" s="130">
        <f>IF(C79="", 0, IF(C79="kWh", '6.2 CBR B'!I24, IF(C79="kW", '6.2 CBR B'!J24,'4. Billing Determinants'!D28)))</f>
        <v>42090115.886468768</v>
      </c>
      <c r="E79" s="341">
        <f>HLOOKUP($B79, '5. Allocation of Balances'!$D$4:$Z$77, 62,FALSE)</f>
        <v>7421.3341167204417</v>
      </c>
      <c r="F79" s="781">
        <f>ROUND(IF(ISERROR(E79/D79), 0, IF(C79="# of Customers", E79/D79/$D$13, (E79/D79)/($D$13/12))),5)</f>
        <v>1.8000000000000001E-4</v>
      </c>
      <c r="G79" s="775"/>
      <c r="H79" s="122" t="str">
        <f t="shared" si="5"/>
        <v>$/kWh</v>
      </c>
      <c r="I79" s="347"/>
      <c r="J79" s="347"/>
      <c r="K79" s="347"/>
      <c r="L79" s="347"/>
      <c r="M79" s="369">
        <f t="shared" si="6"/>
        <v>2.0000000000000001E-4</v>
      </c>
      <c r="N79" s="369">
        <f t="shared" si="7"/>
        <v>7421.3341</v>
      </c>
      <c r="P79" s="132">
        <f t="shared" si="8"/>
        <v>0</v>
      </c>
    </row>
    <row r="80" spans="2:16" ht="14.25" customHeight="1" x14ac:dyDescent="0.25">
      <c r="B80" s="355" t="str">
        <f>IF(ISBLANK('4. Billing Determinants'!B29), "", '4. Billing Determinants'!B29)</f>
        <v/>
      </c>
      <c r="C80" s="61"/>
      <c r="D80" s="130">
        <f>IF(C80="", 0, IF(C80="kWh", '6.2 CBR B'!I25, IF(C80="kW", '6.2 CBR B'!J25,'4. Billing Determinants'!D29)))</f>
        <v>0</v>
      </c>
      <c r="E80" s="341">
        <f>HLOOKUP($B80, '5. Allocation of Balances'!$D$4:$Z$77, 62,FALSE)</f>
        <v>0</v>
      </c>
      <c r="F80" s="132">
        <f t="shared" ref="F80:F91" si="9">IF(ISERROR(E80/D80), 0, IF(C80="# of Customers", E80/D80/$D$13, (E80/D80)/($D$13/12)))</f>
        <v>0</v>
      </c>
      <c r="G80" s="368"/>
      <c r="H80" s="122" t="str">
        <f t="shared" si="5"/>
        <v/>
      </c>
      <c r="M80" s="369">
        <f t="shared" si="6"/>
        <v>0</v>
      </c>
      <c r="N80" s="369">
        <f t="shared" si="7"/>
        <v>0</v>
      </c>
      <c r="P80" s="132">
        <f t="shared" si="8"/>
        <v>0</v>
      </c>
    </row>
    <row r="81" spans="2:16" ht="14.25" customHeight="1" x14ac:dyDescent="0.25">
      <c r="B81" s="355" t="str">
        <f>IF(ISBLANK('4. Billing Determinants'!B30), "", '4. Billing Determinants'!B30)</f>
        <v/>
      </c>
      <c r="C81" s="61"/>
      <c r="D81" s="130">
        <f>IF(C81="", 0, IF(C81="kWh", '6.2 CBR B'!I26, IF(C81="kW", '6.2 CBR B'!J26,'4. Billing Determinants'!D30)))</f>
        <v>0</v>
      </c>
      <c r="E81" s="341">
        <f>HLOOKUP($B81, '5. Allocation of Balances'!$D$4:$Z$77, 62,FALSE)</f>
        <v>0</v>
      </c>
      <c r="F81" s="132">
        <f t="shared" si="9"/>
        <v>0</v>
      </c>
      <c r="G81" s="368"/>
      <c r="H81" s="122" t="str">
        <f t="shared" si="5"/>
        <v/>
      </c>
      <c r="M81" s="369">
        <f t="shared" si="6"/>
        <v>0</v>
      </c>
      <c r="N81" s="369">
        <f t="shared" si="7"/>
        <v>0</v>
      </c>
      <c r="P81" s="132">
        <f t="shared" si="8"/>
        <v>0</v>
      </c>
    </row>
    <row r="82" spans="2:16" ht="14.25" customHeight="1" x14ac:dyDescent="0.25">
      <c r="B82" s="355" t="str">
        <f>IF(ISBLANK('4. Billing Determinants'!B31), "", '4. Billing Determinants'!B31)</f>
        <v/>
      </c>
      <c r="C82" s="61"/>
      <c r="D82" s="130">
        <f>IF(C82="", 0, IF(C82="kWh", '6.2 CBR B'!I27, IF(C82="kW", '6.2 CBR B'!J27,'4. Billing Determinants'!D31)))</f>
        <v>0</v>
      </c>
      <c r="E82" s="341">
        <f>HLOOKUP($B82, '5. Allocation of Balances'!$D$4:$Z$77, 62,FALSE)</f>
        <v>0</v>
      </c>
      <c r="F82" s="132">
        <f t="shared" si="9"/>
        <v>0</v>
      </c>
      <c r="G82" s="368"/>
      <c r="H82" s="122" t="str">
        <f t="shared" si="5"/>
        <v/>
      </c>
      <c r="M82" s="369">
        <f t="shared" si="6"/>
        <v>0</v>
      </c>
      <c r="N82" s="369">
        <f t="shared" si="7"/>
        <v>0</v>
      </c>
      <c r="P82" s="132">
        <f t="shared" si="8"/>
        <v>0</v>
      </c>
    </row>
    <row r="83" spans="2:16" ht="14.25" customHeight="1" x14ac:dyDescent="0.25">
      <c r="B83" s="355" t="str">
        <f>IF(ISBLANK('4. Billing Determinants'!B32), "", '4. Billing Determinants'!B32)</f>
        <v/>
      </c>
      <c r="C83" s="61"/>
      <c r="D83" s="130">
        <f>IF(C83="", 0, IF(C83="kWh", '6.2 CBR B'!I28, IF(C83="kW", '6.2 CBR B'!J28,'4. Billing Determinants'!D32)))</f>
        <v>0</v>
      </c>
      <c r="E83" s="341">
        <f>HLOOKUP($B83, '5. Allocation of Balances'!$D$4:$Z$77, 62,FALSE)</f>
        <v>0</v>
      </c>
      <c r="F83" s="132">
        <f t="shared" si="9"/>
        <v>0</v>
      </c>
      <c r="G83" s="368"/>
      <c r="H83" s="122" t="str">
        <f t="shared" si="5"/>
        <v/>
      </c>
      <c r="M83" s="369">
        <f t="shared" si="6"/>
        <v>0</v>
      </c>
      <c r="N83" s="369">
        <f t="shared" si="7"/>
        <v>0</v>
      </c>
      <c r="P83" s="132">
        <f t="shared" si="8"/>
        <v>0</v>
      </c>
    </row>
    <row r="84" spans="2:16" ht="14.25" customHeight="1" x14ac:dyDescent="0.25">
      <c r="B84" s="355" t="str">
        <f>IF(ISBLANK('4. Billing Determinants'!B33), "", '4. Billing Determinants'!B33)</f>
        <v/>
      </c>
      <c r="C84" s="61"/>
      <c r="D84" s="130">
        <f>IF(C84="", 0, IF(C84="kWh", '6.2 CBR B'!I29, IF(C84="kW", '6.2 CBR B'!J29,'4. Billing Determinants'!D33)))</f>
        <v>0</v>
      </c>
      <c r="E84" s="341">
        <f>HLOOKUP($B84, '5. Allocation of Balances'!$D$4:$Z$77, 62,FALSE)</f>
        <v>0</v>
      </c>
      <c r="F84" s="132">
        <f t="shared" si="9"/>
        <v>0</v>
      </c>
      <c r="G84" s="368"/>
      <c r="H84" s="122" t="str">
        <f t="shared" si="5"/>
        <v/>
      </c>
      <c r="M84" s="369">
        <f t="shared" si="6"/>
        <v>0</v>
      </c>
      <c r="N84" s="369">
        <f t="shared" si="7"/>
        <v>0</v>
      </c>
      <c r="P84" s="132">
        <f t="shared" si="8"/>
        <v>0</v>
      </c>
    </row>
    <row r="85" spans="2:16" ht="14.25" customHeight="1" x14ac:dyDescent="0.25">
      <c r="B85" s="355" t="str">
        <f>IF(ISBLANK('4. Billing Determinants'!B34), "", '4. Billing Determinants'!B34)</f>
        <v/>
      </c>
      <c r="C85" s="61"/>
      <c r="D85" s="130">
        <f>IF(C85="", 0, IF(C85="kWh", '6.2 CBR B'!I30, IF(C85="kW", '6.2 CBR B'!J30,'4. Billing Determinants'!D34)))</f>
        <v>0</v>
      </c>
      <c r="E85" s="341">
        <f>HLOOKUP($B85, '5. Allocation of Balances'!$D$4:$Z$77, 62,FALSE)</f>
        <v>0</v>
      </c>
      <c r="F85" s="132">
        <f t="shared" si="9"/>
        <v>0</v>
      </c>
      <c r="G85" s="368"/>
      <c r="H85" s="122" t="str">
        <f t="shared" si="5"/>
        <v/>
      </c>
      <c r="M85" s="369">
        <f t="shared" si="6"/>
        <v>0</v>
      </c>
      <c r="N85" s="369">
        <f t="shared" si="7"/>
        <v>0</v>
      </c>
      <c r="P85" s="132">
        <f t="shared" si="8"/>
        <v>0</v>
      </c>
    </row>
    <row r="86" spans="2:16" ht="14.25" customHeight="1" x14ac:dyDescent="0.25">
      <c r="B86" s="355" t="str">
        <f>IF(ISBLANK('4. Billing Determinants'!B35), "", '4. Billing Determinants'!B35)</f>
        <v/>
      </c>
      <c r="C86" s="61"/>
      <c r="D86" s="130">
        <f>IF(C86="", 0, IF(C86="kWh", '6.2 CBR B'!I31, IF(C86="kW", '6.2 CBR B'!J31,'4. Billing Determinants'!D35)))</f>
        <v>0</v>
      </c>
      <c r="E86" s="341">
        <f>HLOOKUP($B86, '5. Allocation of Balances'!$D$4:$Z$77, 62,FALSE)</f>
        <v>0</v>
      </c>
      <c r="F86" s="132">
        <f t="shared" si="9"/>
        <v>0</v>
      </c>
      <c r="G86" s="368"/>
      <c r="H86" s="122" t="str">
        <f t="shared" si="5"/>
        <v/>
      </c>
      <c r="M86" s="369">
        <f t="shared" si="6"/>
        <v>0</v>
      </c>
      <c r="N86" s="369">
        <f t="shared" si="7"/>
        <v>0</v>
      </c>
      <c r="P86" s="132">
        <f t="shared" si="8"/>
        <v>0</v>
      </c>
    </row>
    <row r="87" spans="2:16" ht="14.25" customHeight="1" x14ac:dyDescent="0.25">
      <c r="B87" s="355" t="str">
        <f>IF(ISBLANK('4. Billing Determinants'!B36), "", '4. Billing Determinants'!B36)</f>
        <v/>
      </c>
      <c r="C87" s="61"/>
      <c r="D87" s="130">
        <f>IF(C87="", 0, IF(C87="kWh", '6.2 CBR B'!I32, IF(C87="kW", '6.2 CBR B'!J32,'4. Billing Determinants'!D36)))</f>
        <v>0</v>
      </c>
      <c r="E87" s="341">
        <f>HLOOKUP($B87, '5. Allocation of Balances'!$D$4:$Z$77, 62,FALSE)</f>
        <v>0</v>
      </c>
      <c r="F87" s="132">
        <f t="shared" si="9"/>
        <v>0</v>
      </c>
      <c r="G87" s="368"/>
      <c r="H87" s="122" t="str">
        <f t="shared" si="5"/>
        <v/>
      </c>
      <c r="M87" s="369">
        <f t="shared" si="6"/>
        <v>0</v>
      </c>
      <c r="N87" s="369">
        <f t="shared" si="7"/>
        <v>0</v>
      </c>
      <c r="P87" s="132">
        <f t="shared" si="8"/>
        <v>0</v>
      </c>
    </row>
    <row r="88" spans="2:16" ht="14.25" customHeight="1" x14ac:dyDescent="0.25">
      <c r="B88" s="355" t="str">
        <f>IF(ISBLANK('4. Billing Determinants'!B37), "", '4. Billing Determinants'!B37)</f>
        <v/>
      </c>
      <c r="C88" s="61"/>
      <c r="D88" s="130">
        <f>IF(C88="", 0, IF(C88="kWh", '6.2 CBR B'!I33, IF(C88="kW", '6.2 CBR B'!J33,'4. Billing Determinants'!D37)))</f>
        <v>0</v>
      </c>
      <c r="E88" s="341">
        <f>HLOOKUP($B88, '5. Allocation of Balances'!$D$4:$Z$77, 62,FALSE)</f>
        <v>0</v>
      </c>
      <c r="F88" s="132">
        <f t="shared" si="9"/>
        <v>0</v>
      </c>
      <c r="G88" s="368"/>
      <c r="H88" s="122" t="str">
        <f t="shared" si="5"/>
        <v/>
      </c>
      <c r="M88" s="369">
        <f t="shared" si="6"/>
        <v>0</v>
      </c>
      <c r="N88" s="369">
        <f t="shared" si="7"/>
        <v>0</v>
      </c>
      <c r="P88" s="132">
        <f t="shared" si="8"/>
        <v>0</v>
      </c>
    </row>
    <row r="89" spans="2:16" ht="14.25" customHeight="1" x14ac:dyDescent="0.25">
      <c r="B89" s="355" t="str">
        <f>IF(ISBLANK('4. Billing Determinants'!B38), "", '4. Billing Determinants'!B38)</f>
        <v/>
      </c>
      <c r="C89" s="61"/>
      <c r="D89" s="130">
        <f>IF(C89="", 0, IF(C89="kWh", '6.2 CBR B'!I34, IF(C89="kW", '6.2 CBR B'!J34,'4. Billing Determinants'!D38)))</f>
        <v>0</v>
      </c>
      <c r="E89" s="341">
        <f>HLOOKUP($B89, '5. Allocation of Balances'!$D$4:$Z$77, 62,FALSE)</f>
        <v>0</v>
      </c>
      <c r="F89" s="132">
        <f t="shared" si="9"/>
        <v>0</v>
      </c>
      <c r="G89" s="368"/>
      <c r="H89" s="122" t="str">
        <f t="shared" si="5"/>
        <v/>
      </c>
      <c r="M89" s="369">
        <f t="shared" si="6"/>
        <v>0</v>
      </c>
      <c r="N89" s="369">
        <f t="shared" si="7"/>
        <v>0</v>
      </c>
      <c r="P89" s="132">
        <f t="shared" si="8"/>
        <v>0</v>
      </c>
    </row>
    <row r="90" spans="2:16" ht="14.25" customHeight="1" x14ac:dyDescent="0.25">
      <c r="B90" s="355" t="str">
        <f>IF(ISBLANK('4. Billing Determinants'!B39), "", '4. Billing Determinants'!B39)</f>
        <v/>
      </c>
      <c r="C90" s="61"/>
      <c r="D90" s="130">
        <f>IF(C90="", 0, IF(C90="kWh", '6.2 CBR B'!I35, IF(C90="kW", '6.2 CBR B'!J35,'4. Billing Determinants'!D39)))</f>
        <v>0</v>
      </c>
      <c r="E90" s="341">
        <f>HLOOKUP($B90, '5. Allocation of Balances'!$D$4:$Z$77, 62,FALSE)</f>
        <v>0</v>
      </c>
      <c r="F90" s="132">
        <f t="shared" si="9"/>
        <v>0</v>
      </c>
      <c r="G90" s="368"/>
      <c r="H90" s="122" t="str">
        <f t="shared" si="5"/>
        <v/>
      </c>
      <c r="M90" s="369">
        <f t="shared" si="6"/>
        <v>0</v>
      </c>
      <c r="N90" s="369">
        <f t="shared" si="7"/>
        <v>0</v>
      </c>
      <c r="P90" s="132">
        <f t="shared" si="8"/>
        <v>0</v>
      </c>
    </row>
    <row r="91" spans="2:16" ht="14.25" customHeight="1" x14ac:dyDescent="0.25">
      <c r="B91" s="355" t="str">
        <f>IF(ISBLANK('4. Billing Determinants'!B40), "", '4. Billing Determinants'!B40)</f>
        <v/>
      </c>
      <c r="C91" s="61"/>
      <c r="D91" s="130">
        <f>IF(C91="", 0, IF(C91="kWh", '6.2 CBR B'!I36, IF(C91="kW", '6.2 CBR B'!J36,'4. Billing Determinants'!D40)))</f>
        <v>0</v>
      </c>
      <c r="E91" s="341">
        <f>HLOOKUP($B91, '5. Allocation of Balances'!$D$4:$Z$77, 62,FALSE)</f>
        <v>0</v>
      </c>
      <c r="F91" s="132">
        <f t="shared" si="9"/>
        <v>0</v>
      </c>
      <c r="G91" s="368"/>
      <c r="H91" s="122" t="str">
        <f t="shared" si="5"/>
        <v/>
      </c>
      <c r="M91" s="369">
        <f t="shared" si="6"/>
        <v>0</v>
      </c>
      <c r="N91" s="369">
        <f t="shared" si="7"/>
        <v>0</v>
      </c>
      <c r="P91" s="132">
        <f t="shared" si="8"/>
        <v>0</v>
      </c>
    </row>
    <row r="92" spans="2:16" ht="14.25" customHeight="1" x14ac:dyDescent="0.3">
      <c r="B92" s="134" t="s">
        <v>52</v>
      </c>
      <c r="C92" s="135"/>
      <c r="D92" s="136"/>
      <c r="E92" s="137">
        <f>SUM(E72:E91)</f>
        <v>3039929.7146033766</v>
      </c>
      <c r="F92" s="134"/>
      <c r="G92" s="134"/>
    </row>
    <row r="93" spans="2:16" ht="24.75" customHeight="1" x14ac:dyDescent="0.25">
      <c r="B93" s="342" t="s">
        <v>382</v>
      </c>
      <c r="C93" s="343"/>
      <c r="D93" s="343"/>
      <c r="E93" s="343"/>
      <c r="F93" s="343"/>
      <c r="G93" s="339"/>
    </row>
    <row r="94" spans="2:16" ht="49.75" customHeight="1" x14ac:dyDescent="0.25">
      <c r="B94" s="342"/>
      <c r="C94" s="343"/>
      <c r="D94" s="343"/>
      <c r="E94" s="343"/>
      <c r="F94" s="343"/>
      <c r="G94" s="339"/>
    </row>
    <row r="95" spans="2:16" ht="18" x14ac:dyDescent="0.4">
      <c r="B95" s="127" t="s">
        <v>3441</v>
      </c>
    </row>
    <row r="96" spans="2:16" x14ac:dyDescent="0.25">
      <c r="B96" s="128" t="s">
        <v>154</v>
      </c>
    </row>
    <row r="97" spans="2:10" x14ac:dyDescent="0.25">
      <c r="B97" s="1193" t="s">
        <v>60</v>
      </c>
      <c r="C97" s="1192" t="s">
        <v>51</v>
      </c>
      <c r="D97" s="1251" t="s">
        <v>139</v>
      </c>
      <c r="E97" s="1251" t="s">
        <v>410</v>
      </c>
      <c r="F97" s="1250" t="s">
        <v>127</v>
      </c>
      <c r="G97" s="1250"/>
    </row>
    <row r="98" spans="2:10" ht="55" customHeight="1" x14ac:dyDescent="0.25">
      <c r="B98" s="1194"/>
      <c r="C98" s="1192"/>
      <c r="D98" s="1252"/>
      <c r="E98" s="1252"/>
      <c r="F98" s="1250"/>
      <c r="G98" s="1250"/>
      <c r="H98" s="371"/>
      <c r="I98" s="139"/>
    </row>
    <row r="99" spans="2:10" ht="13" x14ac:dyDescent="0.25">
      <c r="B99" s="129" t="str">
        <f t="shared" ref="B99:B118" si="10">B20</f>
        <v>RESIDENTIAL SERVICE CLASSIFICATION</v>
      </c>
      <c r="C99" s="675" t="s">
        <v>139</v>
      </c>
      <c r="D99" s="130">
        <f>IF(C99="", 0, IF(C99="kWh", '4. Billing Determinants'!S21, IF(C99="kW", '4. Billing Determinants'!S21, '4. Billing Determinants'!D21)))</f>
        <v>47334167.563008793</v>
      </c>
      <c r="E99" s="131">
        <f>HLOOKUP($B99, '5. Allocation of Balances'!$D$4:$Z$77, 66,FALSE)</f>
        <v>59577.825387000106</v>
      </c>
      <c r="F99" s="781">
        <f>ROUND(IF(ISERROR(E99/D99), 0, IF(C99="# of Customers", E99/D99/$D$13, (E99/D99)/($D$13/12))),5)</f>
        <v>1.2600000000000001E-3</v>
      </c>
      <c r="G99" s="775"/>
      <c r="H99" s="122" t="str">
        <f t="shared" ref="H99:H118" si="11">IF(C99="", "", IF(C99="# of Customers", "per customer per month", "$/"&amp;C99))</f>
        <v>$/kWh</v>
      </c>
      <c r="I99" s="166"/>
      <c r="J99" s="166"/>
    </row>
    <row r="100" spans="2:10" ht="13" x14ac:dyDescent="0.25">
      <c r="B100" s="129" t="str">
        <f t="shared" si="10"/>
        <v>COMPETITIVE SECTOR MULTI-UNIT RESIDENTIAL SERVICE CLASSIFICATION</v>
      </c>
      <c r="C100" s="675" t="s">
        <v>139</v>
      </c>
      <c r="D100" s="130">
        <f>IF(C100="", 0, IF(C100="kWh", '4. Billing Determinants'!S22, IF(C100="kW", '4. Billing Determinants'!S22, '4. Billing Determinants'!D22)))</f>
        <v>251226.04274433391</v>
      </c>
      <c r="E100" s="131">
        <f>HLOOKUP($B100, '5. Allocation of Balances'!$D$4:$Z$77, 66,FALSE)</f>
        <v>316.20924329903949</v>
      </c>
      <c r="F100" s="781">
        <f t="shared" ref="F100:F106" si="12">ROUND(IF(ISERROR(E100/D100), 0, IF(C100="# of Customers", E100/D100/$D$13, (E100/D100)/($D$13/12))),5)</f>
        <v>1.2600000000000001E-3</v>
      </c>
      <c r="G100" s="775"/>
      <c r="H100" s="122" t="str">
        <f t="shared" si="11"/>
        <v>$/kWh</v>
      </c>
      <c r="I100" s="166"/>
      <c r="J100" s="166"/>
    </row>
    <row r="101" spans="2:10" ht="13" x14ac:dyDescent="0.25">
      <c r="B101" s="129" t="str">
        <f t="shared" si="10"/>
        <v>GENERAL SERVICE LESS THAN 50 KW SERVICE CLASSIFICATION</v>
      </c>
      <c r="C101" s="675" t="s">
        <v>139</v>
      </c>
      <c r="D101" s="130">
        <f>IF(C101="", 0, IF(C101="kWh", '4. Billing Determinants'!S23, IF(C101="kW", '4. Billing Determinants'!S23, '4. Billing Determinants'!D23)))</f>
        <v>312265681.90016401</v>
      </c>
      <c r="E101" s="131">
        <f>HLOOKUP($B101, '5. Allocation of Balances'!$D$4:$Z$77, 66,FALSE)</f>
        <v>393037.65606177959</v>
      </c>
      <c r="F101" s="781">
        <f t="shared" si="12"/>
        <v>1.2600000000000001E-3</v>
      </c>
      <c r="G101" s="775"/>
      <c r="H101" s="122" t="str">
        <f t="shared" si="11"/>
        <v>$/kWh</v>
      </c>
      <c r="I101" s="166"/>
      <c r="J101" s="166"/>
    </row>
    <row r="102" spans="2:10" ht="13" x14ac:dyDescent="0.25">
      <c r="B102" s="129" t="str">
        <f t="shared" si="10"/>
        <v>GENERAL SERVICE 50 TO 999 KW SERVICE CLASSIFICATION</v>
      </c>
      <c r="C102" s="675" t="s">
        <v>139</v>
      </c>
      <c r="D102" s="130">
        <f>IF(C102="", 0, IF(C102="kWh", '4. Billing Determinants'!S24, IF(C102="kW", '4. Billing Determinants'!S24, '4. Billing Determinants'!D24)))</f>
        <v>2716085161.4325094</v>
      </c>
      <c r="E102" s="131">
        <f>HLOOKUP($B102, '5. Allocation of Balances'!$D$4:$Z$77, 66,FALSE)</f>
        <v>3418639.3426829297</v>
      </c>
      <c r="F102" s="781">
        <f t="shared" si="12"/>
        <v>1.2600000000000001E-3</v>
      </c>
      <c r="G102" s="775"/>
      <c r="H102" s="122" t="str">
        <f t="shared" si="11"/>
        <v>$/kWh</v>
      </c>
      <c r="I102" s="166"/>
      <c r="J102" s="166"/>
    </row>
    <row r="103" spans="2:10" ht="13" x14ac:dyDescent="0.25">
      <c r="B103" s="129" t="str">
        <f t="shared" si="10"/>
        <v>GENERAL SERVICE 1,000 TO 4,999 KW SERVICE CLASSIFICATION</v>
      </c>
      <c r="C103" s="675" t="s">
        <v>139</v>
      </c>
      <c r="D103" s="130">
        <f>IF(C103="", 0, IF(C103="kWh", '4. Billing Determinants'!S25, IF(C103="kW", '4. Billing Determinants'!S25, '4. Billing Determinants'!D25)))</f>
        <v>3172057217.5998635</v>
      </c>
      <c r="E103" s="131">
        <f>HLOOKUP($B103, '5. Allocation of Balances'!$D$4:$Z$77, 66,FALSE)</f>
        <v>3992555.0771791223</v>
      </c>
      <c r="F103" s="781">
        <f t="shared" si="12"/>
        <v>1.2600000000000001E-3</v>
      </c>
      <c r="G103" s="775"/>
      <c r="H103" s="122" t="str">
        <f t="shared" si="11"/>
        <v>$/kWh</v>
      </c>
      <c r="I103" s="166"/>
      <c r="J103" s="166"/>
    </row>
    <row r="104" spans="2:10" ht="13" x14ac:dyDescent="0.25">
      <c r="B104" s="129" t="str">
        <f t="shared" si="10"/>
        <v>LARGE USE SERVICE CLASSIFICATION</v>
      </c>
      <c r="C104" s="675" t="s">
        <v>139</v>
      </c>
      <c r="D104" s="130">
        <f>IF(C104="", 0, IF(C104="kWh", '4. Billing Determinants'!S26, IF(C104="kW", '4. Billing Determinants'!S26, '4. Billing Determinants'!D26)))</f>
        <v>62410575.139893055</v>
      </c>
      <c r="E104" s="131">
        <f>HLOOKUP($B104, '5. Allocation of Balances'!$D$4:$Z$77, 66,FALSE)</f>
        <v>78553.960900172329</v>
      </c>
      <c r="F104" s="781">
        <f t="shared" si="12"/>
        <v>1.2600000000000001E-3</v>
      </c>
      <c r="G104" s="775"/>
      <c r="H104" s="122" t="str">
        <f t="shared" si="11"/>
        <v>$/kWh</v>
      </c>
      <c r="I104" s="166"/>
      <c r="J104" s="166"/>
    </row>
    <row r="105" spans="2:10" ht="13" x14ac:dyDescent="0.25">
      <c r="B105" s="129" t="str">
        <f t="shared" si="10"/>
        <v>STREET LIGHTING SERVICE CLASSIFICATION</v>
      </c>
      <c r="C105" s="675" t="s">
        <v>139</v>
      </c>
      <c r="D105" s="130">
        <f>IF(C105="", 0, IF(C105="kWh", '4. Billing Determinants'!S27, IF(C105="kW", '4. Billing Determinants'!S27, '4. Billing Determinants'!D27)))</f>
        <v>118212158.49125397</v>
      </c>
      <c r="E105" s="131">
        <f>HLOOKUP($B105, '5. Allocation of Balances'!$D$4:$Z$77, 66,FALSE)</f>
        <v>148789.41998583305</v>
      </c>
      <c r="F105" s="781">
        <f t="shared" si="12"/>
        <v>1.2600000000000001E-3</v>
      </c>
      <c r="G105" s="775"/>
      <c r="H105" s="122" t="str">
        <f t="shared" si="11"/>
        <v>$/kWh</v>
      </c>
    </row>
    <row r="106" spans="2:10" ht="13" x14ac:dyDescent="0.25">
      <c r="B106" s="129" t="str">
        <f t="shared" si="10"/>
        <v>UNMETERED SCATTERED LOAD SERVICE CLASSIFICATION</v>
      </c>
      <c r="C106" s="675" t="s">
        <v>139</v>
      </c>
      <c r="D106" s="130">
        <f>IF(C106="", 0, IF(C106="kWh", '4. Billing Determinants'!S28, IF(C106="kW", '4. Billing Determinants'!S28, '4. Billing Determinants'!D28)))</f>
        <v>43095.673018670699</v>
      </c>
      <c r="E106" s="131">
        <f>HLOOKUP($B106, '5. Allocation of Balances'!$D$4:$Z$77, 66,FALSE)</f>
        <v>54.24298375214542</v>
      </c>
      <c r="F106" s="781">
        <f t="shared" si="12"/>
        <v>1.2600000000000001E-3</v>
      </c>
      <c r="G106" s="775"/>
      <c r="H106" s="122" t="str">
        <f t="shared" si="11"/>
        <v>$/kWh</v>
      </c>
    </row>
    <row r="107" spans="2:10" ht="13" x14ac:dyDescent="0.25">
      <c r="B107" s="129" t="str">
        <f t="shared" si="10"/>
        <v/>
      </c>
      <c r="C107" s="675" t="s">
        <v>139</v>
      </c>
      <c r="D107" s="130">
        <f>IF(C107="", 0, IF(C107="kWh", '4. Billing Determinants'!S29, IF(C107="kW", '4. Billing Determinants'!S29, '4. Billing Determinants'!D29)))</f>
        <v>0</v>
      </c>
      <c r="E107" s="131">
        <f>HLOOKUP($B107, '5. Allocation of Balances'!$D$4:$Z$77, 66,FALSE)</f>
        <v>0</v>
      </c>
      <c r="F107" s="132">
        <f t="shared" ref="F107:F118" si="13">IF(ISERROR(E107/D107), 0, IF(C107="# of Customers", E107/D107/$D$13, (E107/D107)/($D$13/12)))</f>
        <v>0</v>
      </c>
      <c r="G107" s="368"/>
      <c r="H107" s="122" t="str">
        <f t="shared" si="11"/>
        <v>$/kWh</v>
      </c>
    </row>
    <row r="108" spans="2:10" ht="13" x14ac:dyDescent="0.25">
      <c r="B108" s="129" t="str">
        <f t="shared" si="10"/>
        <v/>
      </c>
      <c r="C108" s="675" t="s">
        <v>139</v>
      </c>
      <c r="D108" s="130">
        <f>IF(C108="", 0, IF(C108="kWh", '4. Billing Determinants'!S30, IF(C108="kW", '4. Billing Determinants'!S30, '4. Billing Determinants'!D30)))</f>
        <v>0</v>
      </c>
      <c r="E108" s="131">
        <f>HLOOKUP($B108, '5. Allocation of Balances'!$D$4:$Z$77, 66,FALSE)</f>
        <v>0</v>
      </c>
      <c r="F108" s="132">
        <f t="shared" si="13"/>
        <v>0</v>
      </c>
      <c r="G108" s="368"/>
      <c r="H108" s="122" t="str">
        <f t="shared" si="11"/>
        <v>$/kWh</v>
      </c>
    </row>
    <row r="109" spans="2:10" ht="13" x14ac:dyDescent="0.25">
      <c r="B109" s="129" t="str">
        <f t="shared" si="10"/>
        <v/>
      </c>
      <c r="C109" s="675" t="s">
        <v>139</v>
      </c>
      <c r="D109" s="130">
        <f>IF(C109="", 0, IF(C109="kWh", '4. Billing Determinants'!S31, IF(C109="kW", '4. Billing Determinants'!S31, '4. Billing Determinants'!D31)))</f>
        <v>0</v>
      </c>
      <c r="E109" s="131">
        <f>HLOOKUP($B109, '5. Allocation of Balances'!$D$4:$Z$77, 66,FALSE)</f>
        <v>0</v>
      </c>
      <c r="F109" s="132">
        <f t="shared" si="13"/>
        <v>0</v>
      </c>
      <c r="G109" s="368"/>
      <c r="H109" s="122" t="str">
        <f t="shared" si="11"/>
        <v>$/kWh</v>
      </c>
    </row>
    <row r="110" spans="2:10" ht="13" x14ac:dyDescent="0.25">
      <c r="B110" s="129" t="str">
        <f t="shared" si="10"/>
        <v/>
      </c>
      <c r="C110" s="675" t="s">
        <v>139</v>
      </c>
      <c r="D110" s="130">
        <f>IF(C110="", 0, IF(C110="kWh", '4. Billing Determinants'!S32, IF(C110="kW", '4. Billing Determinants'!S32, '4. Billing Determinants'!D32)))</f>
        <v>0</v>
      </c>
      <c r="E110" s="131">
        <f>HLOOKUP($B110, '5. Allocation of Balances'!$D$4:$Z$77, 66,FALSE)</f>
        <v>0</v>
      </c>
      <c r="F110" s="132">
        <f t="shared" si="13"/>
        <v>0</v>
      </c>
      <c r="G110" s="368"/>
      <c r="H110" s="122" t="str">
        <f t="shared" si="11"/>
        <v>$/kWh</v>
      </c>
    </row>
    <row r="111" spans="2:10" ht="13" x14ac:dyDescent="0.25">
      <c r="B111" s="129" t="str">
        <f t="shared" si="10"/>
        <v/>
      </c>
      <c r="C111" s="675" t="s">
        <v>139</v>
      </c>
      <c r="D111" s="130">
        <f>IF(C111="", 0, IF(C111="kWh", '4. Billing Determinants'!S33, IF(C111="kW", '4. Billing Determinants'!S33, '4. Billing Determinants'!D33)))</f>
        <v>0</v>
      </c>
      <c r="E111" s="131">
        <f>HLOOKUP($B111, '5. Allocation of Balances'!$D$4:$Z$77, 66,FALSE)</f>
        <v>0</v>
      </c>
      <c r="F111" s="132">
        <f t="shared" si="13"/>
        <v>0</v>
      </c>
      <c r="G111" s="368"/>
      <c r="H111" s="122" t="str">
        <f t="shared" si="11"/>
        <v>$/kWh</v>
      </c>
    </row>
    <row r="112" spans="2:10" ht="13" x14ac:dyDescent="0.25">
      <c r="B112" s="129" t="str">
        <f t="shared" si="10"/>
        <v/>
      </c>
      <c r="C112" s="675" t="s">
        <v>139</v>
      </c>
      <c r="D112" s="130">
        <f>IF(C112="", 0, IF(C112="kWh", '4. Billing Determinants'!S34, IF(C112="kW", '4. Billing Determinants'!S34, '4. Billing Determinants'!D34)))</f>
        <v>0</v>
      </c>
      <c r="E112" s="131">
        <f>HLOOKUP($B112, '5. Allocation of Balances'!$D$4:$Z$77, 66,FALSE)</f>
        <v>0</v>
      </c>
      <c r="F112" s="132">
        <f t="shared" si="13"/>
        <v>0</v>
      </c>
      <c r="G112" s="368"/>
      <c r="H112" s="122" t="str">
        <f t="shared" si="11"/>
        <v>$/kWh</v>
      </c>
    </row>
    <row r="113" spans="1:9" ht="13" x14ac:dyDescent="0.25">
      <c r="B113" s="129" t="str">
        <f t="shared" si="10"/>
        <v/>
      </c>
      <c r="C113" s="675" t="s">
        <v>139</v>
      </c>
      <c r="D113" s="130">
        <f>IF(C113="", 0, IF(C113="kWh", '4. Billing Determinants'!S35, IF(C113="kW", '4. Billing Determinants'!S35, '4. Billing Determinants'!D35)))</f>
        <v>0</v>
      </c>
      <c r="E113" s="131">
        <f>HLOOKUP($B113, '5. Allocation of Balances'!$D$4:$Z$77, 66,FALSE)</f>
        <v>0</v>
      </c>
      <c r="F113" s="132">
        <f t="shared" si="13"/>
        <v>0</v>
      </c>
      <c r="G113" s="368"/>
      <c r="H113" s="122" t="str">
        <f t="shared" si="11"/>
        <v>$/kWh</v>
      </c>
    </row>
    <row r="114" spans="1:9" ht="13" x14ac:dyDescent="0.25">
      <c r="B114" s="129" t="str">
        <f t="shared" si="10"/>
        <v/>
      </c>
      <c r="C114" s="675" t="s">
        <v>139</v>
      </c>
      <c r="D114" s="130">
        <f>IF(C114="", 0, IF(C114="kWh", '4. Billing Determinants'!S36, IF(C114="kW", '4. Billing Determinants'!S36, '4. Billing Determinants'!D36)))</f>
        <v>0</v>
      </c>
      <c r="E114" s="131">
        <f>HLOOKUP($B114, '5. Allocation of Balances'!$D$4:$Z$77, 66,FALSE)</f>
        <v>0</v>
      </c>
      <c r="F114" s="132">
        <f t="shared" si="13"/>
        <v>0</v>
      </c>
      <c r="G114" s="368"/>
      <c r="H114" s="122" t="str">
        <f t="shared" si="11"/>
        <v>$/kWh</v>
      </c>
    </row>
    <row r="115" spans="1:9" ht="13" x14ac:dyDescent="0.25">
      <c r="B115" s="129" t="str">
        <f t="shared" si="10"/>
        <v/>
      </c>
      <c r="C115" s="675" t="s">
        <v>139</v>
      </c>
      <c r="D115" s="130">
        <f>IF(C115="", 0, IF(C115="kWh", '4. Billing Determinants'!S37, IF(C115="kW", '4. Billing Determinants'!S37, '4. Billing Determinants'!D37)))</f>
        <v>0</v>
      </c>
      <c r="E115" s="131">
        <f>HLOOKUP($B115, '5. Allocation of Balances'!$D$4:$Z$77, 66,FALSE)</f>
        <v>0</v>
      </c>
      <c r="F115" s="132">
        <f t="shared" si="13"/>
        <v>0</v>
      </c>
      <c r="G115" s="368"/>
      <c r="H115" s="122" t="str">
        <f t="shared" si="11"/>
        <v>$/kWh</v>
      </c>
    </row>
    <row r="116" spans="1:9" ht="13" x14ac:dyDescent="0.25">
      <c r="B116" s="129" t="str">
        <f t="shared" si="10"/>
        <v/>
      </c>
      <c r="C116" s="675" t="s">
        <v>139</v>
      </c>
      <c r="D116" s="130">
        <f>IF(C116="", 0, IF(C116="kWh", '4. Billing Determinants'!S38, IF(C116="kW", '4. Billing Determinants'!S38, '4. Billing Determinants'!D38)))</f>
        <v>0</v>
      </c>
      <c r="E116" s="131">
        <f>HLOOKUP($B116, '5. Allocation of Balances'!$D$4:$Z$77, 66,FALSE)</f>
        <v>0</v>
      </c>
      <c r="F116" s="132">
        <f t="shared" si="13"/>
        <v>0</v>
      </c>
      <c r="G116" s="368"/>
      <c r="H116" s="122" t="str">
        <f t="shared" si="11"/>
        <v>$/kWh</v>
      </c>
    </row>
    <row r="117" spans="1:9" ht="13" x14ac:dyDescent="0.25">
      <c r="B117" s="129" t="str">
        <f t="shared" si="10"/>
        <v/>
      </c>
      <c r="C117" s="675" t="s">
        <v>139</v>
      </c>
      <c r="D117" s="130">
        <f>IF(C117="", 0, IF(C117="kWh", '4. Billing Determinants'!S39, IF(C117="kW", '4. Billing Determinants'!S39, '4. Billing Determinants'!D39)))</f>
        <v>0</v>
      </c>
      <c r="E117" s="131">
        <f>HLOOKUP($B117, '5. Allocation of Balances'!$D$4:$Z$77, 66,FALSE)</f>
        <v>0</v>
      </c>
      <c r="F117" s="132">
        <f t="shared" si="13"/>
        <v>0</v>
      </c>
      <c r="G117" s="368"/>
      <c r="H117" s="122" t="str">
        <f t="shared" si="11"/>
        <v>$/kWh</v>
      </c>
    </row>
    <row r="118" spans="1:9" ht="13" x14ac:dyDescent="0.25">
      <c r="B118" s="129" t="str">
        <f t="shared" si="10"/>
        <v/>
      </c>
      <c r="C118" s="675" t="s">
        <v>139</v>
      </c>
      <c r="D118" s="130">
        <f>IF(C118="", 0, IF(C118="kWh", '4. Billing Determinants'!S40, IF(C118="kW", '4. Billing Determinants'!S40, '4. Billing Determinants'!D40)))</f>
        <v>0</v>
      </c>
      <c r="E118" s="131">
        <f>HLOOKUP($B118, '5. Allocation of Balances'!$D$4:$Z$77, 66,FALSE)</f>
        <v>0</v>
      </c>
      <c r="F118" s="132">
        <f t="shared" si="13"/>
        <v>0</v>
      </c>
      <c r="G118" s="368"/>
      <c r="H118" s="122" t="str">
        <f t="shared" si="11"/>
        <v>$/kWh</v>
      </c>
    </row>
    <row r="119" spans="1:9" ht="13" x14ac:dyDescent="0.3">
      <c r="B119" s="134" t="s">
        <v>52</v>
      </c>
      <c r="C119" s="135"/>
      <c r="D119" s="136"/>
      <c r="E119" s="137">
        <f>SUM(E99:E118)</f>
        <v>8091523.7344238879</v>
      </c>
      <c r="F119" s="134"/>
      <c r="G119" s="134"/>
    </row>
    <row r="121" spans="1:9" ht="18" hidden="1" x14ac:dyDescent="0.4">
      <c r="A121" s="250"/>
      <c r="B121" s="261" t="s">
        <v>155</v>
      </c>
      <c r="C121" s="250"/>
      <c r="D121" s="250"/>
      <c r="E121" s="250"/>
      <c r="F121" s="250"/>
      <c r="G121" s="250"/>
      <c r="H121" s="272"/>
    </row>
    <row r="122" spans="1:9" hidden="1" x14ac:dyDescent="0.25">
      <c r="A122" s="250"/>
      <c r="B122" s="262" t="s">
        <v>152</v>
      </c>
      <c r="C122" s="250"/>
      <c r="D122" s="250"/>
      <c r="E122" s="250"/>
      <c r="F122" s="250"/>
      <c r="G122" s="250"/>
      <c r="H122" s="272"/>
    </row>
    <row r="123" spans="1:9" hidden="1" x14ac:dyDescent="0.25">
      <c r="A123" s="250"/>
      <c r="B123" s="1260" t="s">
        <v>60</v>
      </c>
      <c r="C123" s="1261" t="s">
        <v>51</v>
      </c>
      <c r="D123" s="1262" t="s">
        <v>128</v>
      </c>
      <c r="E123" s="1262" t="s">
        <v>126</v>
      </c>
      <c r="F123" s="1260" t="s">
        <v>127</v>
      </c>
      <c r="G123" s="250"/>
      <c r="H123" s="272"/>
    </row>
    <row r="124" spans="1:9" ht="55" hidden="1" customHeight="1" x14ac:dyDescent="0.25">
      <c r="A124" s="250"/>
      <c r="B124" s="1261"/>
      <c r="C124" s="1261"/>
      <c r="D124" s="1263"/>
      <c r="E124" s="1263"/>
      <c r="F124" s="1260"/>
      <c r="G124" s="250"/>
      <c r="H124" s="372"/>
      <c r="I124" s="139"/>
    </row>
    <row r="125" spans="1:9" ht="13" hidden="1" x14ac:dyDescent="0.25">
      <c r="A125" s="250"/>
      <c r="B125" s="263"/>
      <c r="C125" s="264"/>
      <c r="D125" s="265"/>
      <c r="E125" s="266"/>
      <c r="F125" s="267"/>
      <c r="G125" s="250" t="str">
        <f>IF(C125="", "", IF(C125="# of Customers", "per customer per month", "$/"&amp;C125))</f>
        <v/>
      </c>
      <c r="H125" s="272"/>
    </row>
    <row r="126" spans="1:9" ht="13" hidden="1" x14ac:dyDescent="0.25">
      <c r="A126" s="250"/>
      <c r="B126" s="263"/>
      <c r="C126" s="264"/>
      <c r="D126" s="265"/>
      <c r="E126" s="266"/>
      <c r="F126" s="267"/>
      <c r="G126" s="250" t="str">
        <f t="shared" ref="G126:G144" si="14">IF(C126="", "", IF(C126="# of Customers", "per customer per month", "$/"&amp;C126))</f>
        <v/>
      </c>
      <c r="H126" s="272"/>
    </row>
    <row r="127" spans="1:9" ht="13" hidden="1" x14ac:dyDescent="0.25">
      <c r="A127" s="250"/>
      <c r="B127" s="263"/>
      <c r="C127" s="264"/>
      <c r="D127" s="265"/>
      <c r="E127" s="266"/>
      <c r="F127" s="267"/>
      <c r="G127" s="250" t="str">
        <f t="shared" si="14"/>
        <v/>
      </c>
      <c r="H127" s="272"/>
    </row>
    <row r="128" spans="1:9" ht="13" hidden="1" x14ac:dyDescent="0.25">
      <c r="A128" s="250"/>
      <c r="B128" s="263"/>
      <c r="C128" s="264"/>
      <c r="D128" s="265"/>
      <c r="E128" s="266"/>
      <c r="F128" s="267"/>
      <c r="G128" s="250" t="str">
        <f t="shared" si="14"/>
        <v/>
      </c>
      <c r="H128" s="272"/>
    </row>
    <row r="129" spans="1:8" ht="13" hidden="1" x14ac:dyDescent="0.25">
      <c r="A129" s="250"/>
      <c r="B129" s="263"/>
      <c r="C129" s="264"/>
      <c r="D129" s="265"/>
      <c r="E129" s="266"/>
      <c r="F129" s="267"/>
      <c r="G129" s="250" t="str">
        <f t="shared" si="14"/>
        <v/>
      </c>
      <c r="H129" s="272"/>
    </row>
    <row r="130" spans="1:8" ht="13" hidden="1" x14ac:dyDescent="0.25">
      <c r="A130" s="250"/>
      <c r="B130" s="263"/>
      <c r="C130" s="264"/>
      <c r="D130" s="265"/>
      <c r="E130" s="266"/>
      <c r="F130" s="267"/>
      <c r="G130" s="250" t="str">
        <f t="shared" si="14"/>
        <v/>
      </c>
      <c r="H130" s="272"/>
    </row>
    <row r="131" spans="1:8" ht="13" hidden="1" x14ac:dyDescent="0.25">
      <c r="A131" s="250"/>
      <c r="B131" s="263"/>
      <c r="C131" s="264"/>
      <c r="D131" s="265"/>
      <c r="E131" s="266"/>
      <c r="F131" s="267"/>
      <c r="G131" s="250" t="str">
        <f t="shared" si="14"/>
        <v/>
      </c>
      <c r="H131" s="272"/>
    </row>
    <row r="132" spans="1:8" ht="13" hidden="1" x14ac:dyDescent="0.25">
      <c r="A132" s="250"/>
      <c r="B132" s="263"/>
      <c r="C132" s="264"/>
      <c r="D132" s="265"/>
      <c r="E132" s="266"/>
      <c r="F132" s="267"/>
      <c r="G132" s="250" t="str">
        <f t="shared" si="14"/>
        <v/>
      </c>
      <c r="H132" s="272"/>
    </row>
    <row r="133" spans="1:8" ht="13" hidden="1" x14ac:dyDescent="0.25">
      <c r="A133" s="250"/>
      <c r="B133" s="263"/>
      <c r="C133" s="264"/>
      <c r="D133" s="265"/>
      <c r="E133" s="266"/>
      <c r="F133" s="267"/>
      <c r="G133" s="250" t="str">
        <f t="shared" si="14"/>
        <v/>
      </c>
      <c r="H133" s="272"/>
    </row>
    <row r="134" spans="1:8" ht="13" hidden="1" x14ac:dyDescent="0.25">
      <c r="A134" s="250"/>
      <c r="B134" s="263" t="str">
        <f t="shared" ref="B134:B144" si="15">B29</f>
        <v/>
      </c>
      <c r="C134" s="264"/>
      <c r="D134" s="265"/>
      <c r="E134" s="266"/>
      <c r="F134" s="267"/>
      <c r="G134" s="250" t="str">
        <f t="shared" si="14"/>
        <v/>
      </c>
      <c r="H134" s="272"/>
    </row>
    <row r="135" spans="1:8" ht="13" hidden="1" x14ac:dyDescent="0.25">
      <c r="A135" s="250"/>
      <c r="B135" s="263" t="str">
        <f t="shared" si="15"/>
        <v/>
      </c>
      <c r="C135" s="264"/>
      <c r="D135" s="265"/>
      <c r="E135" s="266"/>
      <c r="F135" s="267"/>
      <c r="G135" s="250" t="str">
        <f t="shared" si="14"/>
        <v/>
      </c>
      <c r="H135" s="272"/>
    </row>
    <row r="136" spans="1:8" ht="13" hidden="1" x14ac:dyDescent="0.25">
      <c r="A136" s="250"/>
      <c r="B136" s="263" t="str">
        <f t="shared" si="15"/>
        <v/>
      </c>
      <c r="C136" s="264" t="str">
        <f>IF(ISBLANK('4. Billing Determinants'!C32), "", '4. Billing Determinants'!C32)</f>
        <v/>
      </c>
      <c r="D136" s="265"/>
      <c r="E136" s="266"/>
      <c r="F136" s="267"/>
      <c r="G136" s="250" t="str">
        <f t="shared" si="14"/>
        <v/>
      </c>
      <c r="H136" s="272"/>
    </row>
    <row r="137" spans="1:8" ht="13" hidden="1" x14ac:dyDescent="0.25">
      <c r="A137" s="250"/>
      <c r="B137" s="263" t="str">
        <f t="shared" si="15"/>
        <v/>
      </c>
      <c r="C137" s="264" t="str">
        <f>IF(ISBLANK('4. Billing Determinants'!C33), "", '4. Billing Determinants'!C33)</f>
        <v/>
      </c>
      <c r="D137" s="265"/>
      <c r="E137" s="266"/>
      <c r="F137" s="267"/>
      <c r="G137" s="250" t="str">
        <f t="shared" si="14"/>
        <v/>
      </c>
      <c r="H137" s="272"/>
    </row>
    <row r="138" spans="1:8" ht="13" hidden="1" x14ac:dyDescent="0.25">
      <c r="A138" s="250"/>
      <c r="B138" s="263" t="str">
        <f t="shared" si="15"/>
        <v/>
      </c>
      <c r="C138" s="264" t="str">
        <f>IF(ISBLANK('4. Billing Determinants'!C34), "", '4. Billing Determinants'!C34)</f>
        <v/>
      </c>
      <c r="D138" s="265"/>
      <c r="E138" s="266"/>
      <c r="F138" s="267"/>
      <c r="G138" s="250" t="str">
        <f t="shared" si="14"/>
        <v/>
      </c>
      <c r="H138" s="272"/>
    </row>
    <row r="139" spans="1:8" ht="13" hidden="1" x14ac:dyDescent="0.25">
      <c r="A139" s="250"/>
      <c r="B139" s="263" t="str">
        <f t="shared" si="15"/>
        <v/>
      </c>
      <c r="C139" s="264" t="str">
        <f>IF(ISBLANK('4. Billing Determinants'!C35), "", '4. Billing Determinants'!C35)</f>
        <v/>
      </c>
      <c r="D139" s="265"/>
      <c r="E139" s="266"/>
      <c r="F139" s="267"/>
      <c r="G139" s="250" t="str">
        <f t="shared" si="14"/>
        <v/>
      </c>
      <c r="H139" s="272"/>
    </row>
    <row r="140" spans="1:8" ht="13" hidden="1" x14ac:dyDescent="0.25">
      <c r="A140" s="250"/>
      <c r="B140" s="263" t="str">
        <f t="shared" si="15"/>
        <v/>
      </c>
      <c r="C140" s="264" t="str">
        <f>IF(ISBLANK('4. Billing Determinants'!C36), "", '4. Billing Determinants'!C36)</f>
        <v/>
      </c>
      <c r="D140" s="265"/>
      <c r="E140" s="266"/>
      <c r="F140" s="267"/>
      <c r="G140" s="250" t="str">
        <f t="shared" si="14"/>
        <v/>
      </c>
      <c r="H140" s="272"/>
    </row>
    <row r="141" spans="1:8" ht="13" hidden="1" x14ac:dyDescent="0.25">
      <c r="A141" s="250"/>
      <c r="B141" s="263" t="str">
        <f t="shared" si="15"/>
        <v/>
      </c>
      <c r="C141" s="264" t="str">
        <f>IF(ISBLANK('4. Billing Determinants'!C37), "", '4. Billing Determinants'!C37)</f>
        <v/>
      </c>
      <c r="D141" s="265"/>
      <c r="E141" s="266"/>
      <c r="F141" s="267"/>
      <c r="G141" s="250" t="str">
        <f t="shared" si="14"/>
        <v/>
      </c>
      <c r="H141" s="272"/>
    </row>
    <row r="142" spans="1:8" ht="13" hidden="1" x14ac:dyDescent="0.25">
      <c r="A142" s="250"/>
      <c r="B142" s="263" t="str">
        <f t="shared" si="15"/>
        <v/>
      </c>
      <c r="C142" s="264" t="str">
        <f>IF(ISBLANK('4. Billing Determinants'!C38), "", '4. Billing Determinants'!C38)</f>
        <v/>
      </c>
      <c r="D142" s="265"/>
      <c r="E142" s="266"/>
      <c r="F142" s="267"/>
      <c r="G142" s="250" t="str">
        <f t="shared" si="14"/>
        <v/>
      </c>
      <c r="H142" s="272"/>
    </row>
    <row r="143" spans="1:8" ht="13" hidden="1" x14ac:dyDescent="0.25">
      <c r="A143" s="250"/>
      <c r="B143" s="263" t="str">
        <f t="shared" si="15"/>
        <v/>
      </c>
      <c r="C143" s="264" t="str">
        <f>IF(ISBLANK('4. Billing Determinants'!C39), "", '4. Billing Determinants'!C39)</f>
        <v/>
      </c>
      <c r="D143" s="265"/>
      <c r="E143" s="266"/>
      <c r="F143" s="267"/>
      <c r="G143" s="250" t="str">
        <f t="shared" si="14"/>
        <v/>
      </c>
      <c r="H143" s="272"/>
    </row>
    <row r="144" spans="1:8" ht="13" hidden="1" x14ac:dyDescent="0.25">
      <c r="A144" s="250"/>
      <c r="B144" s="263" t="str">
        <f t="shared" si="15"/>
        <v/>
      </c>
      <c r="C144" s="264" t="str">
        <f>IF(ISBLANK('4. Billing Determinants'!C40), "", '4. Billing Determinants'!C40)</f>
        <v/>
      </c>
      <c r="D144" s="265"/>
      <c r="E144" s="266"/>
      <c r="F144" s="267"/>
      <c r="G144" s="250" t="str">
        <f t="shared" si="14"/>
        <v/>
      </c>
      <c r="H144" s="272"/>
    </row>
    <row r="145" spans="1:9" ht="13" hidden="1" x14ac:dyDescent="0.3">
      <c r="A145" s="250"/>
      <c r="B145" s="268" t="s">
        <v>52</v>
      </c>
      <c r="C145" s="269"/>
      <c r="D145" s="270"/>
      <c r="E145" s="271"/>
      <c r="F145" s="268"/>
      <c r="G145" s="250"/>
      <c r="H145" s="272"/>
    </row>
    <row r="146" spans="1:9" hidden="1" x14ac:dyDescent="0.25"/>
    <row r="147" spans="1:9" hidden="1" x14ac:dyDescent="0.25"/>
    <row r="148" spans="1:9" ht="18" x14ac:dyDescent="0.4">
      <c r="B148" s="127" t="s">
        <v>156</v>
      </c>
    </row>
    <row r="149" spans="1:9" x14ac:dyDescent="0.25">
      <c r="B149" s="128"/>
    </row>
    <row r="150" spans="1:9" x14ac:dyDescent="0.25">
      <c r="B150" s="1193" t="s">
        <v>60</v>
      </c>
      <c r="C150" s="1192" t="s">
        <v>51</v>
      </c>
      <c r="D150" s="1251" t="s">
        <v>65</v>
      </c>
      <c r="E150" s="1251" t="s">
        <v>411</v>
      </c>
      <c r="F150" s="1250" t="s">
        <v>371</v>
      </c>
    </row>
    <row r="151" spans="1:9" ht="55" customHeight="1" x14ac:dyDescent="0.25">
      <c r="B151" s="1194"/>
      <c r="C151" s="1192"/>
      <c r="D151" s="1252"/>
      <c r="E151" s="1252"/>
      <c r="F151" s="1250"/>
      <c r="H151" s="371"/>
      <c r="I151" s="139"/>
    </row>
    <row r="152" spans="1:9" ht="13" x14ac:dyDescent="0.25">
      <c r="B152" s="129" t="str">
        <f t="shared" ref="B152:B171" si="16">B20</f>
        <v>RESIDENTIAL SERVICE CLASSIFICATION</v>
      </c>
      <c r="C152" s="629" t="s">
        <v>59</v>
      </c>
      <c r="D152" s="130">
        <f>IF(C152="",0,IF(ISNUMBER(SEARCH("RESIDENTIAL",UPPER(B152),1)),'4. Billing Determinants'!D21, IF(C152="kWh",'4. Billing Determinants'!E21, IF(C152="kW",'4. Billing Determinants'!F21,'4. Billing Determinants'!D21))))</f>
        <v>618693.20407326764</v>
      </c>
      <c r="E152" s="131">
        <f>HLOOKUP($B152, '5. Allocation of Balances_'!$D$4:$Z$77, 70,FALSE)</f>
        <v>0</v>
      </c>
      <c r="F152" s="140">
        <f>IF(ISERROR(E152/D152), 0, IF(C152="# of Customers", E152/D152/$D$13, (E152/D152)/($D$13/12)))</f>
        <v>0</v>
      </c>
      <c r="H152" s="122" t="str">
        <f t="shared" ref="H152:H171" si="17">IF(C152="", "", IF(C152="# of Customers", "per customer per month", "$/"&amp;C152))</f>
        <v>per customer per month</v>
      </c>
    </row>
    <row r="153" spans="1:9" ht="13" x14ac:dyDescent="0.25">
      <c r="B153" s="129" t="str">
        <f t="shared" si="16"/>
        <v>COMPETITIVE SECTOR MULTI-UNIT RESIDENTIAL SERVICE CLASSIFICATION</v>
      </c>
      <c r="C153" s="61"/>
      <c r="D153" s="130">
        <f>IF(C153="",0,IF(ISNUMBER(SEARCH("RESIDENTIAL",UPPER(B153),1)),'4. Billing Determinants'!D22, IF(C153="kWh",'4. Billing Determinants'!E22, IF(C153="kW",'4. Billing Determinants'!F22,'4. Billing Determinants'!D22))))</f>
        <v>0</v>
      </c>
      <c r="E153" s="131">
        <f>HLOOKUP($B153, '5. Allocation of Balances_'!$D$4:$Z$77, 70,FALSE)</f>
        <v>0</v>
      </c>
      <c r="F153" s="165">
        <f t="shared" ref="F153:F171" si="18">IF(ISERROR(E153/D153), 0, IF(C153="# of Customers", E153/D153/$D$13, (E153/D153)/($D$13/12)))</f>
        <v>0</v>
      </c>
      <c r="H153" s="122" t="str">
        <f t="shared" si="17"/>
        <v/>
      </c>
    </row>
    <row r="154" spans="1:9" ht="13" x14ac:dyDescent="0.25">
      <c r="B154" s="129" t="str">
        <f t="shared" si="16"/>
        <v>GENERAL SERVICE LESS THAN 50 KW SERVICE CLASSIFICATION</v>
      </c>
      <c r="C154" s="61"/>
      <c r="D154" s="130">
        <f>IF(C154="",0,IF(ISNUMBER(SEARCH("RESIDENTIAL",UPPER(B154),1)),'4. Billing Determinants'!D23, IF(C154="kWh",'4. Billing Determinants'!E23, IF(C154="kW",'4. Billing Determinants'!F23,'4. Billing Determinants'!D23))))</f>
        <v>0</v>
      </c>
      <c r="E154" s="131">
        <f>HLOOKUP($B154, '5. Allocation of Balances_'!$D$4:$Z$77, 70,FALSE)</f>
        <v>0</v>
      </c>
      <c r="F154" s="165">
        <f t="shared" si="18"/>
        <v>0</v>
      </c>
      <c r="H154" s="122" t="str">
        <f t="shared" si="17"/>
        <v/>
      </c>
    </row>
    <row r="155" spans="1:9" ht="13" x14ac:dyDescent="0.25">
      <c r="B155" s="129" t="str">
        <f t="shared" si="16"/>
        <v>GENERAL SERVICE 50 TO 999 KW SERVICE CLASSIFICATION</v>
      </c>
      <c r="C155" s="61"/>
      <c r="D155" s="130">
        <f>IF(C155="",0,IF(ISNUMBER(SEARCH("RESIDENTIAL",UPPER(B155),1)),'4. Billing Determinants'!D24, IF(C155="kWh",'4. Billing Determinants'!E24, IF(C155="kW",'4. Billing Determinants'!F24,'4. Billing Determinants'!D24))))</f>
        <v>0</v>
      </c>
      <c r="E155" s="131">
        <f>HLOOKUP($B155, '5. Allocation of Balances_'!$D$4:$Z$77, 70,FALSE)</f>
        <v>0</v>
      </c>
      <c r="F155" s="165">
        <f t="shared" si="18"/>
        <v>0</v>
      </c>
      <c r="H155" s="122" t="str">
        <f t="shared" si="17"/>
        <v/>
      </c>
    </row>
    <row r="156" spans="1:9" ht="13" x14ac:dyDescent="0.25">
      <c r="B156" s="129" t="str">
        <f t="shared" si="16"/>
        <v>GENERAL SERVICE 1,000 TO 4,999 KW SERVICE CLASSIFICATION</v>
      </c>
      <c r="C156" s="61"/>
      <c r="D156" s="130">
        <f>IF(C156="",0,IF(ISNUMBER(SEARCH("RESIDENTIAL",UPPER(B156),1)),'4. Billing Determinants'!D25, IF(C156="kWh",'4. Billing Determinants'!E25, IF(C156="kW",'4. Billing Determinants'!F25,'4. Billing Determinants'!D25))))</f>
        <v>0</v>
      </c>
      <c r="E156" s="131">
        <f>HLOOKUP($B156, '5. Allocation of Balances_'!$D$4:$Z$77, 70,FALSE)</f>
        <v>0</v>
      </c>
      <c r="F156" s="165">
        <f t="shared" si="18"/>
        <v>0</v>
      </c>
      <c r="H156" s="122" t="str">
        <f t="shared" si="17"/>
        <v/>
      </c>
    </row>
    <row r="157" spans="1:9" ht="13" x14ac:dyDescent="0.25">
      <c r="B157" s="129" t="str">
        <f t="shared" si="16"/>
        <v>LARGE USE SERVICE CLASSIFICATION</v>
      </c>
      <c r="C157" s="61"/>
      <c r="D157" s="130">
        <f>IF(C157="",0,IF(ISNUMBER(SEARCH("RESIDENTIAL",UPPER(B157),1)),'4. Billing Determinants'!D26, IF(C157="kWh",'4. Billing Determinants'!E26, IF(C157="kW",'4. Billing Determinants'!F26,'4. Billing Determinants'!D26))))</f>
        <v>0</v>
      </c>
      <c r="E157" s="131">
        <f>HLOOKUP($B157, '5. Allocation of Balances_'!$D$4:$Z$77, 70,FALSE)</f>
        <v>0</v>
      </c>
      <c r="F157" s="165">
        <f t="shared" si="18"/>
        <v>0</v>
      </c>
      <c r="H157" s="122" t="str">
        <f t="shared" si="17"/>
        <v/>
      </c>
    </row>
    <row r="158" spans="1:9" ht="13" x14ac:dyDescent="0.25">
      <c r="B158" s="129" t="str">
        <f t="shared" si="16"/>
        <v>STREET LIGHTING SERVICE CLASSIFICATION</v>
      </c>
      <c r="C158" s="61"/>
      <c r="D158" s="130">
        <f>IF(C158="",0,IF(ISNUMBER(SEARCH("RESIDENTIAL",UPPER(B158),1)),'4. Billing Determinants'!D27, IF(C158="kWh",'4. Billing Determinants'!E27, IF(C158="kW",'4. Billing Determinants'!F27,'4. Billing Determinants'!D27))))</f>
        <v>0</v>
      </c>
      <c r="E158" s="131">
        <f>HLOOKUP($B158, '5. Allocation of Balances_'!$D$4:$Z$77, 70,FALSE)</f>
        <v>0</v>
      </c>
      <c r="F158" s="165">
        <f t="shared" si="18"/>
        <v>0</v>
      </c>
      <c r="H158" s="122" t="str">
        <f t="shared" si="17"/>
        <v/>
      </c>
    </row>
    <row r="159" spans="1:9" ht="13" x14ac:dyDescent="0.25">
      <c r="B159" s="129" t="str">
        <f t="shared" si="16"/>
        <v>UNMETERED SCATTERED LOAD SERVICE CLASSIFICATION</v>
      </c>
      <c r="C159" s="61"/>
      <c r="D159" s="130">
        <f>IF(C159="",0,IF(ISNUMBER(SEARCH("RESIDENTIAL",UPPER(B159),1)),'4. Billing Determinants'!D28, IF(C159="kWh",'4. Billing Determinants'!E28, IF(C159="kW",'4. Billing Determinants'!F28,'4. Billing Determinants'!D28))))</f>
        <v>0</v>
      </c>
      <c r="E159" s="131">
        <f>HLOOKUP($B159, '5. Allocation of Balances_'!$D$4:$Z$77, 70,FALSE)</f>
        <v>0</v>
      </c>
      <c r="F159" s="165">
        <f t="shared" si="18"/>
        <v>0</v>
      </c>
      <c r="H159" s="122" t="str">
        <f t="shared" si="17"/>
        <v/>
      </c>
    </row>
    <row r="160" spans="1:9" ht="13" x14ac:dyDescent="0.25">
      <c r="B160" s="129" t="str">
        <f t="shared" si="16"/>
        <v/>
      </c>
      <c r="C160" s="61"/>
      <c r="D160" s="130">
        <f>IF(C160="",0,IF(ISNUMBER(SEARCH("RESIDENTIAL",UPPER(B160),1)),'4. Billing Determinants'!D29, IF(C160="kWh",'4. Billing Determinants'!E29, IF(C160="kW",'4. Billing Determinants'!F29,'4. Billing Determinants'!D29))))</f>
        <v>0</v>
      </c>
      <c r="E160" s="131">
        <f>HLOOKUP($B160, '5. Allocation of Balances_'!$D$4:$Z$77, 70,FALSE)</f>
        <v>0</v>
      </c>
      <c r="F160" s="165">
        <f t="shared" si="18"/>
        <v>0</v>
      </c>
      <c r="H160" s="122" t="str">
        <f t="shared" si="17"/>
        <v/>
      </c>
    </row>
    <row r="161" spans="2:8" ht="13" x14ac:dyDescent="0.25">
      <c r="B161" s="129" t="str">
        <f t="shared" si="16"/>
        <v/>
      </c>
      <c r="C161" s="61"/>
      <c r="D161" s="130">
        <f>IF(C161="",0,IF(ISNUMBER(SEARCH("RESIDENTIAL",UPPER(B161),1)),'4. Billing Determinants'!D30, IF(C161="kWh",'4. Billing Determinants'!E30, IF(C161="kW",'4. Billing Determinants'!F30,'4. Billing Determinants'!D30))))</f>
        <v>0</v>
      </c>
      <c r="E161" s="131">
        <f>HLOOKUP($B161, '5. Allocation of Balances_'!$D$4:$Z$77, 70,FALSE)</f>
        <v>0</v>
      </c>
      <c r="F161" s="165">
        <f t="shared" si="18"/>
        <v>0</v>
      </c>
      <c r="H161" s="122" t="str">
        <f t="shared" si="17"/>
        <v/>
      </c>
    </row>
    <row r="162" spans="2:8" ht="13" x14ac:dyDescent="0.25">
      <c r="B162" s="129" t="str">
        <f t="shared" si="16"/>
        <v/>
      </c>
      <c r="C162" s="61"/>
      <c r="D162" s="130">
        <f>IF(C162="",0,IF(ISNUMBER(SEARCH("RESIDENTIAL",UPPER(B162),1)),'4. Billing Determinants'!D31, IF(C162="kWh",'4. Billing Determinants'!E31, IF(C162="kW",'4. Billing Determinants'!F31,'4. Billing Determinants'!D31))))</f>
        <v>0</v>
      </c>
      <c r="E162" s="131">
        <f>HLOOKUP($B162, '5. Allocation of Balances_'!$D$4:$Z$77, 70,FALSE)</f>
        <v>0</v>
      </c>
      <c r="F162" s="165">
        <f t="shared" si="18"/>
        <v>0</v>
      </c>
      <c r="H162" s="122" t="str">
        <f t="shared" si="17"/>
        <v/>
      </c>
    </row>
    <row r="163" spans="2:8" ht="13" x14ac:dyDescent="0.25">
      <c r="B163" s="129" t="str">
        <f t="shared" si="16"/>
        <v/>
      </c>
      <c r="C163" s="61"/>
      <c r="D163" s="130">
        <f>IF(C163="",0,IF(ISNUMBER(SEARCH("RESIDENTIAL",UPPER(B163),1)),'4. Billing Determinants'!D32, IF(C163="kWh",'4. Billing Determinants'!E32, IF(C163="kW",'4. Billing Determinants'!F32,'4. Billing Determinants'!D32))))</f>
        <v>0</v>
      </c>
      <c r="E163" s="131">
        <f>HLOOKUP($B163, '5. Allocation of Balances_'!$D$4:$Z$77, 70,FALSE)</f>
        <v>0</v>
      </c>
      <c r="F163" s="165">
        <f t="shared" si="18"/>
        <v>0</v>
      </c>
      <c r="H163" s="122" t="str">
        <f t="shared" si="17"/>
        <v/>
      </c>
    </row>
    <row r="164" spans="2:8" ht="13" x14ac:dyDescent="0.25">
      <c r="B164" s="129" t="str">
        <f t="shared" si="16"/>
        <v/>
      </c>
      <c r="C164" s="61"/>
      <c r="D164" s="130">
        <f>IF(C164="",0,IF(ISNUMBER(SEARCH("RESIDENTIAL",UPPER(B164),1)),'4. Billing Determinants'!D33, IF(C164="kWh",'4. Billing Determinants'!E33, IF(C164="kW",'4. Billing Determinants'!F33,'4. Billing Determinants'!D33))))</f>
        <v>0</v>
      </c>
      <c r="E164" s="131">
        <f>HLOOKUP($B164, '5. Allocation of Balances_'!$D$4:$Z$77, 70,FALSE)</f>
        <v>0</v>
      </c>
      <c r="F164" s="165">
        <f t="shared" si="18"/>
        <v>0</v>
      </c>
      <c r="H164" s="122" t="str">
        <f t="shared" si="17"/>
        <v/>
      </c>
    </row>
    <row r="165" spans="2:8" ht="13" x14ac:dyDescent="0.25">
      <c r="B165" s="129" t="str">
        <f t="shared" si="16"/>
        <v/>
      </c>
      <c r="C165" s="61"/>
      <c r="D165" s="130">
        <f>IF(C165="",0,IF(ISNUMBER(SEARCH("RESIDENTIAL",UPPER(B165),1)),'4. Billing Determinants'!D34, IF(C165="kWh",'4. Billing Determinants'!E34, IF(C165="kW",'4. Billing Determinants'!F34,'4. Billing Determinants'!D34))))</f>
        <v>0</v>
      </c>
      <c r="E165" s="131">
        <f>HLOOKUP($B165, '5. Allocation of Balances_'!$D$4:$Z$77, 70,FALSE)</f>
        <v>0</v>
      </c>
      <c r="F165" s="165">
        <f t="shared" si="18"/>
        <v>0</v>
      </c>
      <c r="H165" s="122" t="str">
        <f t="shared" si="17"/>
        <v/>
      </c>
    </row>
    <row r="166" spans="2:8" ht="13" x14ac:dyDescent="0.25">
      <c r="B166" s="129" t="str">
        <f t="shared" si="16"/>
        <v/>
      </c>
      <c r="C166" s="61"/>
      <c r="D166" s="130">
        <f>IF(C166="",0,IF(ISNUMBER(SEARCH("RESIDENTIAL",UPPER(B166),1)),'4. Billing Determinants'!D35, IF(C166="kWh",'4. Billing Determinants'!E35, IF(C166="kW",'4. Billing Determinants'!F35,'4. Billing Determinants'!D35))))</f>
        <v>0</v>
      </c>
      <c r="E166" s="131">
        <f>HLOOKUP($B166, '5. Allocation of Balances_'!$D$4:$Z$77, 70,FALSE)</f>
        <v>0</v>
      </c>
      <c r="F166" s="165">
        <f t="shared" si="18"/>
        <v>0</v>
      </c>
      <c r="H166" s="122" t="str">
        <f t="shared" si="17"/>
        <v/>
      </c>
    </row>
    <row r="167" spans="2:8" ht="13" x14ac:dyDescent="0.25">
      <c r="B167" s="129" t="str">
        <f t="shared" si="16"/>
        <v/>
      </c>
      <c r="C167" s="61"/>
      <c r="D167" s="130">
        <f>IF(C167="",0,IF(ISNUMBER(SEARCH("RESIDENTIAL",UPPER(B167),1)),'4. Billing Determinants'!D36, IF(C167="kWh",'4. Billing Determinants'!E36, IF(C167="kW",'4. Billing Determinants'!F36,'4. Billing Determinants'!D36))))</f>
        <v>0</v>
      </c>
      <c r="E167" s="131">
        <f>HLOOKUP($B167, '5. Allocation of Balances_'!$D$4:$Z$77, 70,FALSE)</f>
        <v>0</v>
      </c>
      <c r="F167" s="165">
        <f t="shared" si="18"/>
        <v>0</v>
      </c>
      <c r="H167" s="122" t="str">
        <f t="shared" si="17"/>
        <v/>
      </c>
    </row>
    <row r="168" spans="2:8" ht="13" x14ac:dyDescent="0.25">
      <c r="B168" s="129" t="str">
        <f t="shared" si="16"/>
        <v/>
      </c>
      <c r="C168" s="61"/>
      <c r="D168" s="130">
        <f>IF(C168="",0,IF(ISNUMBER(SEARCH("RESIDENTIAL",UPPER(B168),1)),'4. Billing Determinants'!D37, IF(C168="kWh",'4. Billing Determinants'!E37, IF(C168="kW",'4. Billing Determinants'!F37,'4. Billing Determinants'!D37))))</f>
        <v>0</v>
      </c>
      <c r="E168" s="131">
        <f>HLOOKUP($B168, '5. Allocation of Balances_'!$D$4:$Z$77, 70,FALSE)</f>
        <v>0</v>
      </c>
      <c r="F168" s="165">
        <f t="shared" si="18"/>
        <v>0</v>
      </c>
      <c r="H168" s="122" t="str">
        <f t="shared" si="17"/>
        <v/>
      </c>
    </row>
    <row r="169" spans="2:8" ht="13" x14ac:dyDescent="0.25">
      <c r="B169" s="129" t="str">
        <f t="shared" si="16"/>
        <v/>
      </c>
      <c r="C169" s="61"/>
      <c r="D169" s="130">
        <f>IF(C169="",0,IF(ISNUMBER(SEARCH("RESIDENTIAL",UPPER(B169),1)),'4. Billing Determinants'!D38, IF(C169="kWh",'4. Billing Determinants'!E38, IF(C169="kW",'4. Billing Determinants'!F38,'4. Billing Determinants'!D38))))</f>
        <v>0</v>
      </c>
      <c r="E169" s="131">
        <f>HLOOKUP($B169, '5. Allocation of Balances_'!$D$4:$Z$77, 70,FALSE)</f>
        <v>0</v>
      </c>
      <c r="F169" s="165">
        <f t="shared" si="18"/>
        <v>0</v>
      </c>
      <c r="H169" s="122" t="str">
        <f t="shared" si="17"/>
        <v/>
      </c>
    </row>
    <row r="170" spans="2:8" ht="13" x14ac:dyDescent="0.25">
      <c r="B170" s="129" t="str">
        <f t="shared" si="16"/>
        <v/>
      </c>
      <c r="C170" s="61"/>
      <c r="D170" s="130">
        <f>IF(C170="",0,IF(ISNUMBER(SEARCH("RESIDENTIAL",UPPER(B170),1)),'4. Billing Determinants'!D39, IF(C170="kWh",'4. Billing Determinants'!E39, IF(C170="kW",'4. Billing Determinants'!F39,'4. Billing Determinants'!D39))))</f>
        <v>0</v>
      </c>
      <c r="E170" s="131">
        <f>HLOOKUP($B170, '5. Allocation of Balances_'!$D$4:$Z$77, 70,FALSE)</f>
        <v>0</v>
      </c>
      <c r="F170" s="165">
        <f t="shared" si="18"/>
        <v>0</v>
      </c>
      <c r="H170" s="122" t="str">
        <f t="shared" si="17"/>
        <v/>
      </c>
    </row>
    <row r="171" spans="2:8" ht="13" x14ac:dyDescent="0.25">
      <c r="B171" s="129" t="str">
        <f t="shared" si="16"/>
        <v/>
      </c>
      <c r="C171" s="61"/>
      <c r="D171" s="130">
        <f>IF(C171="",0,IF(ISNUMBER(SEARCH("RESIDENTIAL",UPPER(B171),1)),'4. Billing Determinants'!D40, IF(C171="kWh",'4. Billing Determinants'!E40, IF(C171="kW",'4. Billing Determinants'!F40,'4. Billing Determinants'!D40))))</f>
        <v>0</v>
      </c>
      <c r="E171" s="131">
        <f>HLOOKUP($B171, '5. Allocation of Balances_'!$D$4:$Z$77, 70,FALSE)</f>
        <v>0</v>
      </c>
      <c r="F171" s="165">
        <f t="shared" si="18"/>
        <v>0</v>
      </c>
      <c r="H171" s="122" t="str">
        <f t="shared" si="17"/>
        <v/>
      </c>
    </row>
    <row r="172" spans="2:8" ht="13" x14ac:dyDescent="0.3">
      <c r="B172" s="134" t="s">
        <v>52</v>
      </c>
      <c r="C172" s="135"/>
      <c r="D172" s="136"/>
      <c r="E172" s="137">
        <f>SUM(E152:E171)</f>
        <v>0</v>
      </c>
      <c r="F172" s="134"/>
    </row>
    <row r="174" spans="2:8" ht="18" x14ac:dyDescent="0.4">
      <c r="B174" s="127" t="s">
        <v>75</v>
      </c>
    </row>
    <row r="175" spans="2:8" ht="18" x14ac:dyDescent="0.4">
      <c r="B175" s="127"/>
    </row>
    <row r="176" spans="2:8" ht="13" x14ac:dyDescent="0.3">
      <c r="B176" s="53" t="s">
        <v>424</v>
      </c>
      <c r="C176" s="54"/>
      <c r="D176" s="377">
        <v>12</v>
      </c>
    </row>
    <row r="177" spans="2:8" ht="12.75" customHeight="1" x14ac:dyDescent="0.25">
      <c r="C177" s="128"/>
    </row>
    <row r="178" spans="2:8" x14ac:dyDescent="0.25">
      <c r="B178" s="1193" t="s">
        <v>60</v>
      </c>
      <c r="C178" s="1192" t="s">
        <v>51</v>
      </c>
      <c r="D178" s="1251" t="s">
        <v>65</v>
      </c>
      <c r="E178" s="1251" t="s">
        <v>412</v>
      </c>
      <c r="F178" s="1250" t="s">
        <v>76</v>
      </c>
    </row>
    <row r="179" spans="2:8" ht="25.5" customHeight="1" x14ac:dyDescent="0.25">
      <c r="B179" s="1194"/>
      <c r="C179" s="1192"/>
      <c r="D179" s="1252"/>
      <c r="E179" s="1252"/>
      <c r="F179" s="1250"/>
    </row>
    <row r="180" spans="2:8" ht="13" x14ac:dyDescent="0.25">
      <c r="B180" s="129" t="str">
        <f t="shared" ref="B180:B199" si="19">B20</f>
        <v>RESIDENTIAL SERVICE CLASSIFICATION</v>
      </c>
      <c r="C180" s="61"/>
      <c r="D180" s="130">
        <f>IF(C180="",0, IF(C180="kWh",'4. Billing Determinants'!E21, IF(C180="kW",'4. Billing Determinants'!F21,'4. Billing Determinants'!D21)))</f>
        <v>0</v>
      </c>
      <c r="E180" s="131">
        <f>HLOOKUP($B180, '5. Allocation of Balances_'!$C$4:$Y$77, 74,FALSE)</f>
        <v>0</v>
      </c>
      <c r="F180" s="132">
        <f>IF(ISERROR(E180/D180), 0, IF(C180="# of Customers", E180/D180/$D$176, (E180/D180)/($D$176/12)))</f>
        <v>0</v>
      </c>
      <c r="H180" s="122" t="str">
        <f t="shared" ref="H180:H199" si="20">IF(C180="", "", IF(C180="# of Customers", "per customer per month", "$/"&amp;C180))</f>
        <v/>
      </c>
    </row>
    <row r="181" spans="2:8" ht="13" x14ac:dyDescent="0.25">
      <c r="B181" s="129" t="str">
        <f t="shared" si="19"/>
        <v>COMPETITIVE SECTOR MULTI-UNIT RESIDENTIAL SERVICE CLASSIFICATION</v>
      </c>
      <c r="C181" s="61"/>
      <c r="D181" s="130">
        <f>IF(C181="",0,IF(ISNUMBER(SEARCH("RESIDENTIAL",UPPER(B181),1)),'4. Billing Determinants'!D22, IF(C181="kWh",'4. Billing Determinants'!E22, IF(C181="kW",'4. Billing Determinants'!F22,'4. Billing Determinants'!D22))))</f>
        <v>0</v>
      </c>
      <c r="E181" s="131">
        <f>HLOOKUP($B181, '5. Allocation of Balances_'!$C$4:$Y$77, 74,FALSE)</f>
        <v>0</v>
      </c>
      <c r="F181" s="132">
        <f t="shared" ref="F181:F199" si="21">IF(ISERROR(E181/D181), 0, IF(C181="# of Customers", E181/D181/$D$176, (E181/D181)/($D$176/12)))</f>
        <v>0</v>
      </c>
      <c r="H181" s="122" t="str">
        <f t="shared" si="20"/>
        <v/>
      </c>
    </row>
    <row r="182" spans="2:8" ht="13" x14ac:dyDescent="0.25">
      <c r="B182" s="129" t="str">
        <f t="shared" si="19"/>
        <v>GENERAL SERVICE LESS THAN 50 KW SERVICE CLASSIFICATION</v>
      </c>
      <c r="C182" s="61"/>
      <c r="D182" s="130">
        <f>IF(C182="",0,IF(ISNUMBER(SEARCH("RESIDENTIAL",UPPER(B182),1)),'4. Billing Determinants'!D23, IF(C182="kWh",'4. Billing Determinants'!E23, IF(C182="kW",'4. Billing Determinants'!F23,'4. Billing Determinants'!D23))))</f>
        <v>0</v>
      </c>
      <c r="E182" s="131">
        <f>HLOOKUP($B182, '5. Allocation of Balances_'!$C$4:$Y$77, 74,FALSE)</f>
        <v>0</v>
      </c>
      <c r="F182" s="132">
        <f t="shared" si="21"/>
        <v>0</v>
      </c>
      <c r="H182" s="122" t="str">
        <f t="shared" si="20"/>
        <v/>
      </c>
    </row>
    <row r="183" spans="2:8" ht="13" x14ac:dyDescent="0.25">
      <c r="B183" s="129" t="str">
        <f t="shared" si="19"/>
        <v>GENERAL SERVICE 50 TO 999 KW SERVICE CLASSIFICATION</v>
      </c>
      <c r="C183" s="61"/>
      <c r="D183" s="130">
        <f>IF(C183="",0,IF(ISNUMBER(SEARCH("RESIDENTIAL",UPPER(B183),1)),'4. Billing Determinants'!D24, IF(C183="kWh",'4. Billing Determinants'!E24, IF(C183="kW",'4. Billing Determinants'!F24,'4. Billing Determinants'!D24))))</f>
        <v>0</v>
      </c>
      <c r="E183" s="131">
        <f>HLOOKUP($B183, '5. Allocation of Balances_'!$C$4:$Y$77, 74,FALSE)</f>
        <v>0</v>
      </c>
      <c r="F183" s="132">
        <f t="shared" si="21"/>
        <v>0</v>
      </c>
      <c r="H183" s="122" t="str">
        <f t="shared" si="20"/>
        <v/>
      </c>
    </row>
    <row r="184" spans="2:8" ht="13" x14ac:dyDescent="0.25">
      <c r="B184" s="129" t="str">
        <f t="shared" si="19"/>
        <v>GENERAL SERVICE 1,000 TO 4,999 KW SERVICE CLASSIFICATION</v>
      </c>
      <c r="C184" s="61"/>
      <c r="D184" s="130">
        <f>IF(C184="",0,IF(ISNUMBER(SEARCH("RESIDENTIAL",UPPER(B184),1)),'4. Billing Determinants'!D25, IF(C184="kWh",'4. Billing Determinants'!E25, IF(C184="kW",'4. Billing Determinants'!F25,'4. Billing Determinants'!D25))))</f>
        <v>0</v>
      </c>
      <c r="E184" s="131">
        <f>HLOOKUP($B184, '5. Allocation of Balances_'!$C$4:$Y$77, 74,FALSE)</f>
        <v>0</v>
      </c>
      <c r="F184" s="132">
        <f t="shared" si="21"/>
        <v>0</v>
      </c>
      <c r="H184" s="122" t="str">
        <f t="shared" si="20"/>
        <v/>
      </c>
    </row>
    <row r="185" spans="2:8" ht="13" x14ac:dyDescent="0.25">
      <c r="B185" s="129" t="str">
        <f t="shared" si="19"/>
        <v>LARGE USE SERVICE CLASSIFICATION</v>
      </c>
      <c r="C185" s="61"/>
      <c r="D185" s="130">
        <f>IF(C185="",0,IF(ISNUMBER(SEARCH("RESIDENTIAL",UPPER(B185),1)),'4. Billing Determinants'!D26, IF(C185="kWh",'4. Billing Determinants'!E26, IF(C185="kW",'4. Billing Determinants'!F26,'4. Billing Determinants'!D26))))</f>
        <v>0</v>
      </c>
      <c r="E185" s="131">
        <f>HLOOKUP($B185, '5. Allocation of Balances_'!$C$4:$Y$77, 74,FALSE)</f>
        <v>0</v>
      </c>
      <c r="F185" s="132">
        <f t="shared" si="21"/>
        <v>0</v>
      </c>
      <c r="H185" s="122" t="str">
        <f t="shared" si="20"/>
        <v/>
      </c>
    </row>
    <row r="186" spans="2:8" ht="13" x14ac:dyDescent="0.25">
      <c r="B186" s="129" t="str">
        <f t="shared" si="19"/>
        <v>STREET LIGHTING SERVICE CLASSIFICATION</v>
      </c>
      <c r="C186" s="61"/>
      <c r="D186" s="130">
        <f>IF(C186="",0,IF(ISNUMBER(SEARCH("RESIDENTIAL",UPPER(B186),1)),'4. Billing Determinants'!D27, IF(C186="kWh",'4. Billing Determinants'!E27, IF(C186="kW",'4. Billing Determinants'!F27,'4. Billing Determinants'!D27))))</f>
        <v>0</v>
      </c>
      <c r="E186" s="131">
        <f>HLOOKUP($B186, '5. Allocation of Balances_'!$C$4:$Y$77, 74,FALSE)</f>
        <v>0</v>
      </c>
      <c r="F186" s="132">
        <f t="shared" si="21"/>
        <v>0</v>
      </c>
      <c r="H186" s="122" t="str">
        <f t="shared" si="20"/>
        <v/>
      </c>
    </row>
    <row r="187" spans="2:8" ht="13" x14ac:dyDescent="0.25">
      <c r="B187" s="129" t="str">
        <f t="shared" si="19"/>
        <v>UNMETERED SCATTERED LOAD SERVICE CLASSIFICATION</v>
      </c>
      <c r="C187" s="61"/>
      <c r="D187" s="130">
        <f>IF(C187="",0,IF(ISNUMBER(SEARCH("RESIDENTIAL",UPPER(B187),1)),'4. Billing Determinants'!D28, IF(C187="kWh",'4. Billing Determinants'!E28, IF(C187="kW",'4. Billing Determinants'!F28,'4. Billing Determinants'!D28))))</f>
        <v>0</v>
      </c>
      <c r="E187" s="131">
        <f>HLOOKUP($B187, '5. Allocation of Balances_'!$C$4:$Y$77, 74,FALSE)</f>
        <v>0</v>
      </c>
      <c r="F187" s="132">
        <f t="shared" si="21"/>
        <v>0</v>
      </c>
      <c r="H187" s="122" t="str">
        <f t="shared" si="20"/>
        <v/>
      </c>
    </row>
    <row r="188" spans="2:8" ht="13" x14ac:dyDescent="0.25">
      <c r="B188" s="129" t="str">
        <f t="shared" si="19"/>
        <v/>
      </c>
      <c r="C188" s="61"/>
      <c r="D188" s="130">
        <f>IF(C188="",0,IF(ISNUMBER(SEARCH("RESIDENTIAL",UPPER(B188),1)),'4. Billing Determinants'!D29, IF(C188="kWh",'4. Billing Determinants'!E29, IF(C188="kW",'4. Billing Determinants'!F29,'4. Billing Determinants'!D29))))</f>
        <v>0</v>
      </c>
      <c r="E188" s="131">
        <f>HLOOKUP($B188, '5. Allocation of Balances_'!$C$4:$Y$77, 74,FALSE)</f>
        <v>0</v>
      </c>
      <c r="F188" s="132">
        <f t="shared" si="21"/>
        <v>0</v>
      </c>
      <c r="H188" s="122" t="str">
        <f t="shared" si="20"/>
        <v/>
      </c>
    </row>
    <row r="189" spans="2:8" ht="13" x14ac:dyDescent="0.25">
      <c r="B189" s="129" t="str">
        <f t="shared" si="19"/>
        <v/>
      </c>
      <c r="C189" s="61"/>
      <c r="D189" s="130">
        <f>IF(C189="",0,IF(ISNUMBER(SEARCH("RESIDENTIAL",UPPER(B189),1)),'4. Billing Determinants'!D30, IF(C189="kWh",'4. Billing Determinants'!E30, IF(C189="kW",'4. Billing Determinants'!F30,'4. Billing Determinants'!D30))))</f>
        <v>0</v>
      </c>
      <c r="E189" s="131">
        <f>HLOOKUP($B189, '5. Allocation of Balances_'!$C$4:$Y$77, 74,FALSE)</f>
        <v>0</v>
      </c>
      <c r="F189" s="132">
        <f t="shared" si="21"/>
        <v>0</v>
      </c>
      <c r="H189" s="122" t="str">
        <f t="shared" si="20"/>
        <v/>
      </c>
    </row>
    <row r="190" spans="2:8" ht="13" x14ac:dyDescent="0.25">
      <c r="B190" s="129" t="str">
        <f t="shared" si="19"/>
        <v/>
      </c>
      <c r="C190" s="61"/>
      <c r="D190" s="130">
        <f>IF(C190="",0,IF(ISNUMBER(SEARCH("RESIDENTIAL",UPPER(B190),1)),'4. Billing Determinants'!D31, IF(C190="kWh",'4. Billing Determinants'!E31, IF(C190="kW",'4. Billing Determinants'!F31,'4. Billing Determinants'!D31))))</f>
        <v>0</v>
      </c>
      <c r="E190" s="131">
        <f>HLOOKUP($B190, '5. Allocation of Balances_'!$C$4:$Y$77, 74,FALSE)</f>
        <v>0</v>
      </c>
      <c r="F190" s="132">
        <f t="shared" si="21"/>
        <v>0</v>
      </c>
      <c r="H190" s="122" t="str">
        <f t="shared" si="20"/>
        <v/>
      </c>
    </row>
    <row r="191" spans="2:8" ht="13" x14ac:dyDescent="0.25">
      <c r="B191" s="129" t="str">
        <f t="shared" si="19"/>
        <v/>
      </c>
      <c r="C191" s="61"/>
      <c r="D191" s="130">
        <f>IF(C191="",0,IF(ISNUMBER(SEARCH("RESIDENTIAL",UPPER(B191),1)),'4. Billing Determinants'!D32, IF(C191="kWh",'4. Billing Determinants'!E32, IF(C191="kW",'4. Billing Determinants'!F32,'4. Billing Determinants'!D32))))</f>
        <v>0</v>
      </c>
      <c r="E191" s="131">
        <f>HLOOKUP($B191, '5. Allocation of Balances_'!$C$4:$Y$77, 74,FALSE)</f>
        <v>0</v>
      </c>
      <c r="F191" s="132">
        <f t="shared" si="21"/>
        <v>0</v>
      </c>
      <c r="H191" s="122" t="str">
        <f t="shared" si="20"/>
        <v/>
      </c>
    </row>
    <row r="192" spans="2:8" ht="13" x14ac:dyDescent="0.25">
      <c r="B192" s="129" t="str">
        <f t="shared" si="19"/>
        <v/>
      </c>
      <c r="C192" s="61"/>
      <c r="D192" s="130">
        <f>IF(C192="",0,IF(ISNUMBER(SEARCH("RESIDENTIAL",UPPER(B192),1)),'4. Billing Determinants'!D33, IF(C192="kWh",'4. Billing Determinants'!E33, IF(C192="kW",'4. Billing Determinants'!F33,'4. Billing Determinants'!D33))))</f>
        <v>0</v>
      </c>
      <c r="E192" s="131">
        <f>HLOOKUP($B192, '5. Allocation of Balances_'!$C$4:$Y$77, 74,FALSE)</f>
        <v>0</v>
      </c>
      <c r="F192" s="132">
        <f t="shared" si="21"/>
        <v>0</v>
      </c>
      <c r="H192" s="122" t="str">
        <f t="shared" si="20"/>
        <v/>
      </c>
    </row>
    <row r="193" spans="2:8" ht="13" x14ac:dyDescent="0.25">
      <c r="B193" s="129" t="str">
        <f t="shared" si="19"/>
        <v/>
      </c>
      <c r="C193" s="61"/>
      <c r="D193" s="130">
        <f>IF(C193="",0,IF(ISNUMBER(SEARCH("RESIDENTIAL",UPPER(B193),1)),'4. Billing Determinants'!D34, IF(C193="kWh",'4. Billing Determinants'!E34, IF(C193="kW",'4. Billing Determinants'!F34,'4. Billing Determinants'!D34))))</f>
        <v>0</v>
      </c>
      <c r="E193" s="131">
        <f>HLOOKUP($B193, '5. Allocation of Balances_'!$C$4:$Y$77, 74,FALSE)</f>
        <v>0</v>
      </c>
      <c r="F193" s="132">
        <f t="shared" si="21"/>
        <v>0</v>
      </c>
      <c r="H193" s="122" t="str">
        <f t="shared" si="20"/>
        <v/>
      </c>
    </row>
    <row r="194" spans="2:8" ht="13" x14ac:dyDescent="0.25">
      <c r="B194" s="129" t="str">
        <f t="shared" si="19"/>
        <v/>
      </c>
      <c r="C194" s="61"/>
      <c r="D194" s="130">
        <f>IF(C194="",0,IF(ISNUMBER(SEARCH("RESIDENTIAL",UPPER(B194),1)),'4. Billing Determinants'!D35, IF(C194="kWh",'4. Billing Determinants'!E35, IF(C194="kW",'4. Billing Determinants'!F35,'4. Billing Determinants'!D35))))</f>
        <v>0</v>
      </c>
      <c r="E194" s="131">
        <f>HLOOKUP($B194, '5. Allocation of Balances_'!$C$4:$Y$77, 74,FALSE)</f>
        <v>0</v>
      </c>
      <c r="F194" s="132">
        <f t="shared" si="21"/>
        <v>0</v>
      </c>
      <c r="H194" s="122" t="str">
        <f t="shared" si="20"/>
        <v/>
      </c>
    </row>
    <row r="195" spans="2:8" ht="13" x14ac:dyDescent="0.25">
      <c r="B195" s="129" t="str">
        <f t="shared" si="19"/>
        <v/>
      </c>
      <c r="C195" s="61"/>
      <c r="D195" s="130">
        <f>IF(C195="",0,IF(ISNUMBER(SEARCH("RESIDENTIAL",UPPER(B195),1)),'4. Billing Determinants'!D36, IF(C195="kWh",'4. Billing Determinants'!E36, IF(C195="kW",'4. Billing Determinants'!F36,'4. Billing Determinants'!D36))))</f>
        <v>0</v>
      </c>
      <c r="E195" s="131">
        <f>HLOOKUP($B195, '5. Allocation of Balances_'!$C$4:$Y$77, 74,FALSE)</f>
        <v>0</v>
      </c>
      <c r="F195" s="132">
        <f t="shared" si="21"/>
        <v>0</v>
      </c>
      <c r="H195" s="122" t="str">
        <f t="shared" si="20"/>
        <v/>
      </c>
    </row>
    <row r="196" spans="2:8" ht="13" x14ac:dyDescent="0.25">
      <c r="B196" s="129" t="str">
        <f t="shared" si="19"/>
        <v/>
      </c>
      <c r="C196" s="61"/>
      <c r="D196" s="130">
        <f>IF(C196="",0,IF(ISNUMBER(SEARCH("RESIDENTIAL",UPPER(B196),1)),'4. Billing Determinants'!D37, IF(C196="kWh",'4. Billing Determinants'!E37, IF(C196="kW",'4. Billing Determinants'!F37,'4. Billing Determinants'!D37))))</f>
        <v>0</v>
      </c>
      <c r="E196" s="131">
        <f>HLOOKUP($B196, '5. Allocation of Balances_'!$C$4:$Y$77, 74,FALSE)</f>
        <v>0</v>
      </c>
      <c r="F196" s="132">
        <f t="shared" si="21"/>
        <v>0</v>
      </c>
      <c r="H196" s="122" t="str">
        <f t="shared" si="20"/>
        <v/>
      </c>
    </row>
    <row r="197" spans="2:8" ht="13" x14ac:dyDescent="0.25">
      <c r="B197" s="129" t="str">
        <f t="shared" si="19"/>
        <v/>
      </c>
      <c r="C197" s="61"/>
      <c r="D197" s="130">
        <f>IF(C197="",0,IF(ISNUMBER(SEARCH("RESIDENTIAL",UPPER(B197),1)),'4. Billing Determinants'!D38, IF(C197="kWh",'4. Billing Determinants'!E38, IF(C197="kW",'4. Billing Determinants'!F38,'4. Billing Determinants'!D38))))</f>
        <v>0</v>
      </c>
      <c r="E197" s="131">
        <f>HLOOKUP($B197, '5. Allocation of Balances_'!$C$4:$Y$77, 74,FALSE)</f>
        <v>0</v>
      </c>
      <c r="F197" s="132">
        <f t="shared" si="21"/>
        <v>0</v>
      </c>
      <c r="H197" s="122" t="str">
        <f t="shared" si="20"/>
        <v/>
      </c>
    </row>
    <row r="198" spans="2:8" ht="13" x14ac:dyDescent="0.25">
      <c r="B198" s="129" t="str">
        <f t="shared" si="19"/>
        <v/>
      </c>
      <c r="C198" s="61"/>
      <c r="D198" s="130">
        <f>IF(C198="",0,IF(ISNUMBER(SEARCH("RESIDENTIAL",UPPER(B198),1)),'4. Billing Determinants'!D39, IF(C198="kWh",'4. Billing Determinants'!E39, IF(C198="kW",'4. Billing Determinants'!F39,'4. Billing Determinants'!D39))))</f>
        <v>0</v>
      </c>
      <c r="E198" s="131">
        <f>HLOOKUP($B198, '5. Allocation of Balances_'!$C$4:$Y$77, 74,FALSE)</f>
        <v>0</v>
      </c>
      <c r="F198" s="132">
        <f t="shared" si="21"/>
        <v>0</v>
      </c>
      <c r="H198" s="122" t="str">
        <f t="shared" si="20"/>
        <v/>
      </c>
    </row>
    <row r="199" spans="2:8" ht="13" x14ac:dyDescent="0.25">
      <c r="B199" s="129" t="str">
        <f t="shared" si="19"/>
        <v/>
      </c>
      <c r="C199" s="61"/>
      <c r="D199" s="130">
        <f>IF(C199="",0,IF(ISNUMBER(SEARCH("RESIDENTIAL",UPPER(B199),1)),'4. Billing Determinants'!D40, IF(C199="kWh",'4. Billing Determinants'!E40, IF(C199="kW",'4. Billing Determinants'!F40,'4. Billing Determinants'!D40))))</f>
        <v>0</v>
      </c>
      <c r="E199" s="131">
        <f>HLOOKUP($B199, '5. Allocation of Balances_'!$C$4:$Y$77, 74,FALSE)</f>
        <v>0</v>
      </c>
      <c r="F199" s="132">
        <f t="shared" si="21"/>
        <v>0</v>
      </c>
      <c r="H199" s="122" t="str">
        <f t="shared" si="20"/>
        <v/>
      </c>
    </row>
    <row r="200" spans="2:8" ht="13" x14ac:dyDescent="0.3">
      <c r="B200" s="134" t="s">
        <v>52</v>
      </c>
      <c r="C200" s="135"/>
      <c r="D200" s="136"/>
      <c r="E200" s="137">
        <f>SUM(E180:E199)</f>
        <v>0</v>
      </c>
      <c r="F200" s="134"/>
    </row>
    <row r="202" spans="2:8" ht="18" x14ac:dyDescent="0.4">
      <c r="B202" s="127" t="s">
        <v>140</v>
      </c>
    </row>
    <row r="203" spans="2:8" ht="18" x14ac:dyDescent="0.4">
      <c r="B203" s="127"/>
    </row>
    <row r="204" spans="2:8" ht="13" x14ac:dyDescent="0.3">
      <c r="B204" s="53" t="s">
        <v>424</v>
      </c>
      <c r="C204" s="54"/>
      <c r="D204" s="377">
        <v>12</v>
      </c>
    </row>
    <row r="206" spans="2:8" x14ac:dyDescent="0.25">
      <c r="B206" s="1193" t="s">
        <v>60</v>
      </c>
      <c r="C206" s="1192" t="s">
        <v>51</v>
      </c>
      <c r="D206" s="1251" t="s">
        <v>65</v>
      </c>
      <c r="E206" s="1251" t="s">
        <v>413</v>
      </c>
      <c r="F206" s="1250" t="s">
        <v>141</v>
      </c>
    </row>
    <row r="207" spans="2:8" ht="28.5" customHeight="1" x14ac:dyDescent="0.25">
      <c r="B207" s="1194"/>
      <c r="C207" s="1192"/>
      <c r="D207" s="1252"/>
      <c r="E207" s="1252"/>
      <c r="F207" s="1250"/>
    </row>
    <row r="208" spans="2:8" ht="13" x14ac:dyDescent="0.25">
      <c r="B208" s="129" t="str">
        <f t="shared" ref="B208:B227" si="22">B20</f>
        <v>RESIDENTIAL SERVICE CLASSIFICATION</v>
      </c>
      <c r="C208" s="61"/>
      <c r="D208" s="130">
        <f>IF(C208="",0, IF(C208="kWh",'4. Billing Determinants'!E21, IF(C208="kW",'4. Billing Determinants'!F21,'4. Billing Determinants'!D21)))</f>
        <v>0</v>
      </c>
      <c r="E208" s="131">
        <f>HLOOKUP($B208, '5. Allocation of Balances_'!$D$4:$Z$77, 56,FALSE)</f>
        <v>0</v>
      </c>
      <c r="F208" s="132">
        <f>IF(ISERROR(E208/D208), 0, IF(C208="# of Customers", E208/D208/$D$204, (E208/D208)/($D$204/12)))</f>
        <v>0</v>
      </c>
      <c r="H208" s="122" t="str">
        <f t="shared" ref="H208:H227" si="23">IF(C208="", "", IF(C208="# of Customers", "per customer per month", "$/"&amp;C208))</f>
        <v/>
      </c>
    </row>
    <row r="209" spans="2:8" ht="13" x14ac:dyDescent="0.25">
      <c r="B209" s="129" t="str">
        <f t="shared" si="22"/>
        <v>COMPETITIVE SECTOR MULTI-UNIT RESIDENTIAL SERVICE CLASSIFICATION</v>
      </c>
      <c r="C209" s="61"/>
      <c r="D209" s="130">
        <f>IF(C209="",0, IF(C209="kWh",'4. Billing Determinants'!E22, IF(C209="kW",'4. Billing Determinants'!F22,'4. Billing Determinants'!D22)))</f>
        <v>0</v>
      </c>
      <c r="E209" s="131">
        <f>HLOOKUP($B209, '5. Allocation of Balances_'!$D$4:$Z$77, 56,FALSE)</f>
        <v>0</v>
      </c>
      <c r="F209" s="132">
        <f t="shared" ref="F209:F227" si="24">IF(ISERROR(E209/D209), 0, IF(C209="# of Customers", E209/D209/$D$204, (E209/D209)/($D$204/12)))</f>
        <v>0</v>
      </c>
      <c r="H209" s="122" t="str">
        <f t="shared" si="23"/>
        <v/>
      </c>
    </row>
    <row r="210" spans="2:8" ht="13" x14ac:dyDescent="0.25">
      <c r="B210" s="129" t="str">
        <f t="shared" si="22"/>
        <v>GENERAL SERVICE LESS THAN 50 KW SERVICE CLASSIFICATION</v>
      </c>
      <c r="C210" s="61"/>
      <c r="D210" s="130">
        <f>IF(C210="",0, IF(C210="kWh",'4. Billing Determinants'!E23, IF(C210="kW",'4. Billing Determinants'!F23,'4. Billing Determinants'!D23)))</f>
        <v>0</v>
      </c>
      <c r="E210" s="131">
        <f>HLOOKUP($B210, '5. Allocation of Balances_'!$D$4:$Z$77, 56,FALSE)</f>
        <v>0</v>
      </c>
      <c r="F210" s="132">
        <f t="shared" si="24"/>
        <v>0</v>
      </c>
      <c r="H210" s="122" t="str">
        <f t="shared" si="23"/>
        <v/>
      </c>
    </row>
    <row r="211" spans="2:8" ht="13" x14ac:dyDescent="0.25">
      <c r="B211" s="129" t="str">
        <f t="shared" si="22"/>
        <v>GENERAL SERVICE 50 TO 999 KW SERVICE CLASSIFICATION</v>
      </c>
      <c r="C211" s="61"/>
      <c r="D211" s="130">
        <f>IF(C211="",0, IF(C211="kWh",'4. Billing Determinants'!E24, IF(C211="kW",'4. Billing Determinants'!F24,'4. Billing Determinants'!D24)))</f>
        <v>0</v>
      </c>
      <c r="E211" s="131">
        <f>HLOOKUP($B211, '5. Allocation of Balances_'!$D$4:$Z$77, 56,FALSE)</f>
        <v>0</v>
      </c>
      <c r="F211" s="132">
        <f t="shared" si="24"/>
        <v>0</v>
      </c>
      <c r="H211" s="122" t="str">
        <f t="shared" si="23"/>
        <v/>
      </c>
    </row>
    <row r="212" spans="2:8" ht="13" x14ac:dyDescent="0.25">
      <c r="B212" s="129" t="str">
        <f t="shared" si="22"/>
        <v>GENERAL SERVICE 1,000 TO 4,999 KW SERVICE CLASSIFICATION</v>
      </c>
      <c r="C212" s="61"/>
      <c r="D212" s="130">
        <f>IF(C212="",0, IF(C212="kWh",'4. Billing Determinants'!E25, IF(C212="kW",'4. Billing Determinants'!F25,'4. Billing Determinants'!D25)))</f>
        <v>0</v>
      </c>
      <c r="E212" s="131">
        <f>HLOOKUP($B212, '5. Allocation of Balances_'!$D$4:$Z$77, 56,FALSE)</f>
        <v>0</v>
      </c>
      <c r="F212" s="132">
        <f t="shared" si="24"/>
        <v>0</v>
      </c>
      <c r="H212" s="122" t="str">
        <f t="shared" si="23"/>
        <v/>
      </c>
    </row>
    <row r="213" spans="2:8" ht="13" x14ac:dyDescent="0.25">
      <c r="B213" s="129" t="str">
        <f t="shared" si="22"/>
        <v>LARGE USE SERVICE CLASSIFICATION</v>
      </c>
      <c r="C213" s="61"/>
      <c r="D213" s="130">
        <f>IF(C213="",0, IF(C213="kWh",'4. Billing Determinants'!E26, IF(C213="kW",'4. Billing Determinants'!F26,'4. Billing Determinants'!D26)))</f>
        <v>0</v>
      </c>
      <c r="E213" s="131">
        <f>HLOOKUP($B213, '5. Allocation of Balances_'!$D$4:$Z$77, 56,FALSE)</f>
        <v>0</v>
      </c>
      <c r="F213" s="132">
        <f t="shared" si="24"/>
        <v>0</v>
      </c>
      <c r="H213" s="122" t="str">
        <f t="shared" si="23"/>
        <v/>
      </c>
    </row>
    <row r="214" spans="2:8" ht="13" x14ac:dyDescent="0.25">
      <c r="B214" s="129" t="str">
        <f t="shared" si="22"/>
        <v>STREET LIGHTING SERVICE CLASSIFICATION</v>
      </c>
      <c r="C214" s="61"/>
      <c r="D214" s="130">
        <f>IF(C214="",0, IF(C214="kWh",'4. Billing Determinants'!E27, IF(C214="kW",'4. Billing Determinants'!F27,'4. Billing Determinants'!D27)))</f>
        <v>0</v>
      </c>
      <c r="E214" s="131">
        <f>HLOOKUP($B214, '5. Allocation of Balances_'!$D$4:$Z$77, 56,FALSE)</f>
        <v>0</v>
      </c>
      <c r="F214" s="132">
        <f t="shared" si="24"/>
        <v>0</v>
      </c>
      <c r="H214" s="122" t="str">
        <f t="shared" si="23"/>
        <v/>
      </c>
    </row>
    <row r="215" spans="2:8" ht="13" x14ac:dyDescent="0.25">
      <c r="B215" s="129" t="str">
        <f t="shared" si="22"/>
        <v>UNMETERED SCATTERED LOAD SERVICE CLASSIFICATION</v>
      </c>
      <c r="C215" s="61"/>
      <c r="D215" s="130">
        <f>IF(C215="",0, IF(C215="kWh",'4. Billing Determinants'!E28, IF(C215="kW",'4. Billing Determinants'!F28,'4. Billing Determinants'!D28)))</f>
        <v>0</v>
      </c>
      <c r="E215" s="131">
        <f>HLOOKUP($B215, '5. Allocation of Balances_'!$D$4:$Z$77, 56,FALSE)</f>
        <v>0</v>
      </c>
      <c r="F215" s="132">
        <f t="shared" si="24"/>
        <v>0</v>
      </c>
      <c r="H215" s="122" t="str">
        <f t="shared" si="23"/>
        <v/>
      </c>
    </row>
    <row r="216" spans="2:8" ht="13" x14ac:dyDescent="0.25">
      <c r="B216" s="129" t="str">
        <f t="shared" si="22"/>
        <v/>
      </c>
      <c r="C216" s="61"/>
      <c r="D216" s="130">
        <f>IF(C216="",0, IF(C216="kWh",'4. Billing Determinants'!E29, IF(C216="kW",'4. Billing Determinants'!F29,'4. Billing Determinants'!D29)))</f>
        <v>0</v>
      </c>
      <c r="E216" s="131">
        <f>HLOOKUP($B216, '5. Allocation of Balances_'!$D$4:$Z$77, 56,FALSE)</f>
        <v>0</v>
      </c>
      <c r="F216" s="132">
        <f t="shared" si="24"/>
        <v>0</v>
      </c>
      <c r="H216" s="122" t="str">
        <f t="shared" si="23"/>
        <v/>
      </c>
    </row>
    <row r="217" spans="2:8" ht="13" x14ac:dyDescent="0.25">
      <c r="B217" s="129" t="str">
        <f t="shared" si="22"/>
        <v/>
      </c>
      <c r="C217" s="61"/>
      <c r="D217" s="130">
        <f>IF(C217="",0, IF(C217="kWh",'4. Billing Determinants'!E30, IF(C217="kW",'4. Billing Determinants'!F30,'4. Billing Determinants'!D30)))</f>
        <v>0</v>
      </c>
      <c r="E217" s="131">
        <f>HLOOKUP($B217, '5. Allocation of Balances_'!$D$4:$Z$77, 56,FALSE)</f>
        <v>0</v>
      </c>
      <c r="F217" s="132">
        <f t="shared" si="24"/>
        <v>0</v>
      </c>
      <c r="H217" s="122" t="str">
        <f t="shared" si="23"/>
        <v/>
      </c>
    </row>
    <row r="218" spans="2:8" ht="13" x14ac:dyDescent="0.25">
      <c r="B218" s="129" t="str">
        <f t="shared" si="22"/>
        <v/>
      </c>
      <c r="C218" s="61"/>
      <c r="D218" s="130">
        <f>IF(C218="",0, IF(C218="kWh",'4. Billing Determinants'!E31, IF(C218="kW",'4. Billing Determinants'!F31,'4. Billing Determinants'!D31)))</f>
        <v>0</v>
      </c>
      <c r="E218" s="131">
        <f>HLOOKUP($B218, '5. Allocation of Balances_'!$D$4:$Z$77, 56,FALSE)</f>
        <v>0</v>
      </c>
      <c r="F218" s="132">
        <f t="shared" si="24"/>
        <v>0</v>
      </c>
      <c r="H218" s="122" t="str">
        <f t="shared" si="23"/>
        <v/>
      </c>
    </row>
    <row r="219" spans="2:8" ht="13" x14ac:dyDescent="0.25">
      <c r="B219" s="129" t="str">
        <f t="shared" si="22"/>
        <v/>
      </c>
      <c r="C219" s="61"/>
      <c r="D219" s="130">
        <f>IF(C219="",0, IF(C219="kWh",'4. Billing Determinants'!E32, IF(C219="kW",'4. Billing Determinants'!F32,'4. Billing Determinants'!D32)))</f>
        <v>0</v>
      </c>
      <c r="E219" s="131">
        <f>HLOOKUP($B219, '5. Allocation of Balances_'!$D$4:$Z$77, 56,FALSE)</f>
        <v>0</v>
      </c>
      <c r="F219" s="132">
        <f t="shared" si="24"/>
        <v>0</v>
      </c>
      <c r="H219" s="122" t="str">
        <f t="shared" si="23"/>
        <v/>
      </c>
    </row>
    <row r="220" spans="2:8" ht="13" x14ac:dyDescent="0.25">
      <c r="B220" s="129" t="str">
        <f t="shared" si="22"/>
        <v/>
      </c>
      <c r="C220" s="61"/>
      <c r="D220" s="130">
        <f>IF(C220="",0, IF(C220="kWh",'4. Billing Determinants'!E33, IF(C220="kW",'4. Billing Determinants'!F33,'4. Billing Determinants'!D33)))</f>
        <v>0</v>
      </c>
      <c r="E220" s="131">
        <f>HLOOKUP($B220, '5. Allocation of Balances_'!$D$4:$Z$77, 56,FALSE)</f>
        <v>0</v>
      </c>
      <c r="F220" s="132">
        <f t="shared" si="24"/>
        <v>0</v>
      </c>
      <c r="H220" s="122" t="str">
        <f t="shared" si="23"/>
        <v/>
      </c>
    </row>
    <row r="221" spans="2:8" ht="13" x14ac:dyDescent="0.25">
      <c r="B221" s="129" t="str">
        <f t="shared" si="22"/>
        <v/>
      </c>
      <c r="C221" s="61"/>
      <c r="D221" s="130">
        <f>IF(C221="",0, IF(C221="kWh",'4. Billing Determinants'!E34, IF(C221="kW",'4. Billing Determinants'!F34,'4. Billing Determinants'!D34)))</f>
        <v>0</v>
      </c>
      <c r="E221" s="131">
        <f>HLOOKUP($B221, '5. Allocation of Balances_'!$D$4:$Z$77, 56,FALSE)</f>
        <v>0</v>
      </c>
      <c r="F221" s="132">
        <f t="shared" si="24"/>
        <v>0</v>
      </c>
      <c r="H221" s="122" t="str">
        <f t="shared" si="23"/>
        <v/>
      </c>
    </row>
    <row r="222" spans="2:8" ht="13" x14ac:dyDescent="0.25">
      <c r="B222" s="129" t="str">
        <f t="shared" si="22"/>
        <v/>
      </c>
      <c r="C222" s="61"/>
      <c r="D222" s="130">
        <f>IF(C222="",0, IF(C222="kWh",'4. Billing Determinants'!E35, IF(C222="kW",'4. Billing Determinants'!F35,'4. Billing Determinants'!D35)))</f>
        <v>0</v>
      </c>
      <c r="E222" s="131">
        <f>HLOOKUP($B222, '5. Allocation of Balances_'!$D$4:$Z$77, 56,FALSE)</f>
        <v>0</v>
      </c>
      <c r="F222" s="132">
        <f t="shared" si="24"/>
        <v>0</v>
      </c>
      <c r="H222" s="122" t="str">
        <f t="shared" si="23"/>
        <v/>
      </c>
    </row>
    <row r="223" spans="2:8" ht="13" x14ac:dyDescent="0.25">
      <c r="B223" s="129" t="str">
        <f t="shared" si="22"/>
        <v/>
      </c>
      <c r="C223" s="61"/>
      <c r="D223" s="130">
        <f>IF(C223="",0, IF(C223="kWh",'4. Billing Determinants'!E36, IF(C223="kW",'4. Billing Determinants'!F36,'4. Billing Determinants'!D36)))</f>
        <v>0</v>
      </c>
      <c r="E223" s="131">
        <f>HLOOKUP($B223, '5. Allocation of Balances_'!$D$4:$Z$77, 56,FALSE)</f>
        <v>0</v>
      </c>
      <c r="F223" s="132">
        <f t="shared" si="24"/>
        <v>0</v>
      </c>
      <c r="H223" s="122" t="str">
        <f t="shared" si="23"/>
        <v/>
      </c>
    </row>
    <row r="224" spans="2:8" ht="13" x14ac:dyDescent="0.25">
      <c r="B224" s="129" t="str">
        <f t="shared" si="22"/>
        <v/>
      </c>
      <c r="C224" s="61"/>
      <c r="D224" s="130">
        <f>IF(C224="",0, IF(C224="kWh",'4. Billing Determinants'!E37, IF(C224="kW",'4. Billing Determinants'!F37,'4. Billing Determinants'!D37)))</f>
        <v>0</v>
      </c>
      <c r="E224" s="131">
        <f>HLOOKUP($B224, '5. Allocation of Balances_'!$D$4:$Z$77, 56,FALSE)</f>
        <v>0</v>
      </c>
      <c r="F224" s="132">
        <f t="shared" si="24"/>
        <v>0</v>
      </c>
      <c r="H224" s="122" t="str">
        <f t="shared" si="23"/>
        <v/>
      </c>
    </row>
    <row r="225" spans="2:8" ht="13" x14ac:dyDescent="0.25">
      <c r="B225" s="129" t="str">
        <f t="shared" si="22"/>
        <v/>
      </c>
      <c r="C225" s="61"/>
      <c r="D225" s="130">
        <f>IF(C225="",0, IF(C225="kWh",'4. Billing Determinants'!E38, IF(C225="kW",'4. Billing Determinants'!F38,'4. Billing Determinants'!D38)))</f>
        <v>0</v>
      </c>
      <c r="E225" s="131">
        <f>HLOOKUP($B225, '5. Allocation of Balances_'!$D$4:$Z$77, 56,FALSE)</f>
        <v>0</v>
      </c>
      <c r="F225" s="132">
        <f t="shared" si="24"/>
        <v>0</v>
      </c>
      <c r="H225" s="122" t="str">
        <f t="shared" si="23"/>
        <v/>
      </c>
    </row>
    <row r="226" spans="2:8" ht="13" x14ac:dyDescent="0.25">
      <c r="B226" s="129" t="str">
        <f t="shared" si="22"/>
        <v/>
      </c>
      <c r="C226" s="61"/>
      <c r="D226" s="130">
        <f>IF(C226="",0, IF(C226="kWh",'4. Billing Determinants'!E39, IF(C226="kW",'4. Billing Determinants'!F39,'4. Billing Determinants'!D39)))</f>
        <v>0</v>
      </c>
      <c r="E226" s="131">
        <f>HLOOKUP($B226, '5. Allocation of Balances_'!$D$4:$Z$77, 56,FALSE)</f>
        <v>0</v>
      </c>
      <c r="F226" s="132">
        <f t="shared" si="24"/>
        <v>0</v>
      </c>
      <c r="H226" s="122" t="str">
        <f t="shared" si="23"/>
        <v/>
      </c>
    </row>
    <row r="227" spans="2:8" ht="13" x14ac:dyDescent="0.25">
      <c r="B227" s="129" t="str">
        <f t="shared" si="22"/>
        <v/>
      </c>
      <c r="C227" s="61"/>
      <c r="D227" s="130">
        <f>IF(C227="",0, IF(C227="kWh",'4. Billing Determinants'!E40, IF(C227="kW",'4. Billing Determinants'!F40,'4. Billing Determinants'!D40)))</f>
        <v>0</v>
      </c>
      <c r="E227" s="131">
        <f>HLOOKUP($B227, '5. Allocation of Balances_'!$D$4:$Z$77, 56,FALSE)</f>
        <v>0</v>
      </c>
      <c r="F227" s="132">
        <f t="shared" si="24"/>
        <v>0</v>
      </c>
      <c r="H227" s="122" t="str">
        <f t="shared" si="23"/>
        <v/>
      </c>
    </row>
    <row r="228" spans="2:8" ht="13" x14ac:dyDescent="0.3">
      <c r="B228" s="134" t="s">
        <v>52</v>
      </c>
      <c r="C228" s="135"/>
      <c r="D228" s="136"/>
      <c r="E228" s="137">
        <f>SUM(E208:E227)</f>
        <v>0</v>
      </c>
      <c r="F228" s="134"/>
    </row>
    <row r="230" spans="2:8" ht="18" x14ac:dyDescent="0.4">
      <c r="B230" s="127" t="s">
        <v>3450</v>
      </c>
    </row>
    <row r="231" spans="2:8" ht="12.75" customHeight="1" x14ac:dyDescent="0.4">
      <c r="B231" s="127"/>
    </row>
    <row r="232" spans="2:8" ht="13" x14ac:dyDescent="0.3">
      <c r="B232" s="53" t="s">
        <v>424</v>
      </c>
      <c r="C232" s="54"/>
      <c r="D232" s="377">
        <v>12</v>
      </c>
    </row>
    <row r="233" spans="2:8" ht="13" x14ac:dyDescent="0.25">
      <c r="B233" s="53"/>
      <c r="C233" s="54"/>
      <c r="D233" s="54"/>
    </row>
    <row r="234" spans="2:8" x14ac:dyDescent="0.25">
      <c r="B234" s="1193" t="s">
        <v>60</v>
      </c>
      <c r="C234" s="1192" t="s">
        <v>51</v>
      </c>
      <c r="D234" s="1251" t="s">
        <v>65</v>
      </c>
      <c r="E234" s="1251" t="s">
        <v>3451</v>
      </c>
      <c r="F234" s="1250" t="s">
        <v>3452</v>
      </c>
    </row>
    <row r="235" spans="2:8" ht="22.75" customHeight="1" x14ac:dyDescent="0.25">
      <c r="B235" s="1194"/>
      <c r="C235" s="1192"/>
      <c r="D235" s="1252"/>
      <c r="E235" s="1252"/>
      <c r="F235" s="1250"/>
    </row>
    <row r="236" spans="2:8" ht="13" x14ac:dyDescent="0.25">
      <c r="B236" s="129" t="str">
        <f>B20</f>
        <v>RESIDENTIAL SERVICE CLASSIFICATION</v>
      </c>
      <c r="C236" s="629" t="s">
        <v>59</v>
      </c>
      <c r="D236" s="130">
        <f>IF(C236="",0, IF(C236="kWh",'4. Billing Determinants'!E21, IF(C236="kW",'4. Billing Determinants'!F21,'4. Billing Determinants'!D21)))</f>
        <v>618693.20407326764</v>
      </c>
      <c r="E236" s="131">
        <f>HLOOKUP($B236, '5. Allocation of Balances_'!$D$4:$Z$84, 81,FALSE)</f>
        <v>0</v>
      </c>
      <c r="F236" s="744">
        <f>IF(ISERROR(E236/D236), 0, IF(C236="# of Customers", E236/D236/$D$232, (E236/D236)/($D$232/12)))</f>
        <v>0</v>
      </c>
    </row>
    <row r="237" spans="2:8" ht="13" x14ac:dyDescent="0.25">
      <c r="B237" s="129" t="str">
        <f t="shared" ref="B237:B255" si="25">B21</f>
        <v>COMPETITIVE SECTOR MULTI-UNIT RESIDENTIAL SERVICE CLASSIFICATION</v>
      </c>
      <c r="C237" s="629" t="s">
        <v>59</v>
      </c>
      <c r="D237" s="130">
        <f>IF(C237="",0, IF(C237="kWh",'4. Billing Determinants'!E22, IF(C237="kW",'4. Billing Determinants'!F22,'4. Billing Determinants'!D22)))</f>
        <v>97539.337729479594</v>
      </c>
      <c r="E237" s="131">
        <f>HLOOKUP($B237, '5. Allocation of Balances_'!$D$4:$Z$84, 81,FALSE)</f>
        <v>0</v>
      </c>
      <c r="F237" s="744">
        <f t="shared" ref="F237:F255" si="26">IF(ISERROR(E237/D237), 0, IF(C237="# of Customers", E237/D237/$D$232, (E237/D237)/($D$232/12)))</f>
        <v>0</v>
      </c>
    </row>
    <row r="238" spans="2:8" ht="13" x14ac:dyDescent="0.25">
      <c r="B238" s="129" t="str">
        <f t="shared" si="25"/>
        <v>GENERAL SERVICE LESS THAN 50 KW SERVICE CLASSIFICATION</v>
      </c>
      <c r="C238" s="629" t="s">
        <v>59</v>
      </c>
      <c r="D238" s="130">
        <f>IF(C238="",0, IF(C238="kWh",'4. Billing Determinants'!E23, IF(C238="kW",'4. Billing Determinants'!F23,'4. Billing Determinants'!D23)))</f>
        <v>72948.191725379045</v>
      </c>
      <c r="E238" s="131">
        <f>HLOOKUP($B238, '5. Allocation of Balances_'!$D$4:$Z$84, 81,FALSE)</f>
        <v>0</v>
      </c>
      <c r="F238" s="744">
        <f t="shared" si="26"/>
        <v>0</v>
      </c>
    </row>
    <row r="239" spans="2:8" ht="13" x14ac:dyDescent="0.25">
      <c r="B239" s="129" t="str">
        <f t="shared" si="25"/>
        <v>GENERAL SERVICE 50 TO 999 KW SERVICE CLASSIFICATION</v>
      </c>
      <c r="C239" s="629" t="s">
        <v>59</v>
      </c>
      <c r="D239" s="130">
        <f>IF(C239="",0, IF(C239="kWh",'4. Billing Determinants'!E24, IF(C239="kW",'4. Billing Determinants'!F24,'4. Billing Determinants'!D24)))</f>
        <v>9941.3975355386228</v>
      </c>
      <c r="E239" s="131">
        <f>HLOOKUP($B239, '5. Allocation of Balances_'!$D$4:$Z$84, 81,FALSE)</f>
        <v>0</v>
      </c>
      <c r="F239" s="744">
        <f t="shared" si="26"/>
        <v>0</v>
      </c>
    </row>
    <row r="240" spans="2:8" ht="13" x14ac:dyDescent="0.25">
      <c r="B240" s="129" t="str">
        <f t="shared" si="25"/>
        <v>GENERAL SERVICE 1,000 TO 4,999 KW SERVICE CLASSIFICATION</v>
      </c>
      <c r="C240" s="629" t="s">
        <v>59</v>
      </c>
      <c r="D240" s="130">
        <f>IF(C240="",0, IF(C240="kWh",'4. Billing Determinants'!E25, IF(C240="kW",'4. Billing Determinants'!F25,'4. Billing Determinants'!D25)))</f>
        <v>472.58333333333331</v>
      </c>
      <c r="E240" s="131">
        <f>HLOOKUP($B240, '5. Allocation of Balances_'!$D$4:$Z$84, 81,FALSE)</f>
        <v>0</v>
      </c>
      <c r="F240" s="744">
        <f t="shared" si="26"/>
        <v>0</v>
      </c>
    </row>
    <row r="241" spans="2:6" ht="13" x14ac:dyDescent="0.25">
      <c r="B241" s="129" t="str">
        <f t="shared" si="25"/>
        <v>LARGE USE SERVICE CLASSIFICATION</v>
      </c>
      <c r="C241" s="629" t="s">
        <v>59</v>
      </c>
      <c r="D241" s="130">
        <f>IF(C241="",0, IF(C241="kWh",'4. Billing Determinants'!E26, IF(C241="kW",'4. Billing Determinants'!F26,'4. Billing Determinants'!D26)))</f>
        <v>44.416666666666664</v>
      </c>
      <c r="E241" s="131">
        <f>HLOOKUP($B241, '5. Allocation of Balances_'!$D$4:$Z$84, 81,FALSE)</f>
        <v>0</v>
      </c>
      <c r="F241" s="744">
        <f t="shared" si="26"/>
        <v>0</v>
      </c>
    </row>
    <row r="242" spans="2:6" ht="13" x14ac:dyDescent="0.25">
      <c r="B242" s="129" t="str">
        <f t="shared" si="25"/>
        <v>STREET LIGHTING SERVICE CLASSIFICATION</v>
      </c>
      <c r="C242" s="629" t="s">
        <v>59</v>
      </c>
      <c r="D242" s="130">
        <f>IF(C242="",0, IF(C242="kWh",'4. Billing Determinants'!E27, IF(C242="kW",'4. Billing Determinants'!F27,'4. Billing Determinants'!D27)))</f>
        <v>1</v>
      </c>
      <c r="E242" s="131">
        <f>HLOOKUP($B242, '5. Allocation of Balances_'!$D$4:$Z$84, 81,FALSE)</f>
        <v>0</v>
      </c>
      <c r="F242" s="744">
        <f t="shared" si="26"/>
        <v>0</v>
      </c>
    </row>
    <row r="243" spans="2:6" ht="13" x14ac:dyDescent="0.25">
      <c r="B243" s="129" t="str">
        <f t="shared" si="25"/>
        <v>UNMETERED SCATTERED LOAD SERVICE CLASSIFICATION</v>
      </c>
      <c r="C243" s="629" t="s">
        <v>59</v>
      </c>
      <c r="D243" s="130">
        <f>IF(C243="",0, IF(C243="kWh",'4. Billing Determinants'!E28, IF(C243="kW",'4. Billing Determinants'!F28,'4. Billing Determinants'!D28)))</f>
        <v>791</v>
      </c>
      <c r="E243" s="131">
        <f>HLOOKUP($B243, '5. Allocation of Balances_'!$D$4:$Z$84, 81,FALSE)</f>
        <v>0</v>
      </c>
      <c r="F243" s="744">
        <f t="shared" si="26"/>
        <v>0</v>
      </c>
    </row>
    <row r="244" spans="2:6" ht="13" x14ac:dyDescent="0.25">
      <c r="B244" s="129" t="str">
        <f t="shared" si="25"/>
        <v/>
      </c>
      <c r="C244" s="629" t="s">
        <v>59</v>
      </c>
      <c r="D244" s="130">
        <f>IF(C244="",0, IF(C244="kWh",'4. Billing Determinants'!E29, IF(C244="kW",'4. Billing Determinants'!F29,'4. Billing Determinants'!D29)))</f>
        <v>0</v>
      </c>
      <c r="E244" s="131">
        <f>HLOOKUP($B244, '5. Allocation of Balances_'!$D$4:$Z$84, 81,FALSE)</f>
        <v>0</v>
      </c>
      <c r="F244" s="744">
        <f t="shared" si="26"/>
        <v>0</v>
      </c>
    </row>
    <row r="245" spans="2:6" ht="13" x14ac:dyDescent="0.25">
      <c r="B245" s="129" t="str">
        <f t="shared" si="25"/>
        <v/>
      </c>
      <c r="C245" s="629" t="s">
        <v>59</v>
      </c>
      <c r="D245" s="130">
        <f>IF(C245="",0, IF(C245="kWh",'4. Billing Determinants'!E30, IF(C245="kW",'4. Billing Determinants'!F30,'4. Billing Determinants'!D30)))</f>
        <v>0</v>
      </c>
      <c r="E245" s="131">
        <f>HLOOKUP($B245, '5. Allocation of Balances_'!$D$4:$Z$84, 81,FALSE)</f>
        <v>0</v>
      </c>
      <c r="F245" s="744">
        <f t="shared" si="26"/>
        <v>0</v>
      </c>
    </row>
    <row r="246" spans="2:6" ht="13" x14ac:dyDescent="0.25">
      <c r="B246" s="129" t="str">
        <f t="shared" si="25"/>
        <v/>
      </c>
      <c r="C246" s="629" t="s">
        <v>59</v>
      </c>
      <c r="D246" s="130">
        <f>IF(C246="",0, IF(C246="kWh",'4. Billing Determinants'!E31, IF(C246="kW",'4. Billing Determinants'!F31,'4. Billing Determinants'!D31)))</f>
        <v>0</v>
      </c>
      <c r="E246" s="131">
        <f>HLOOKUP($B246, '5. Allocation of Balances_'!$D$4:$Z$84, 81,FALSE)</f>
        <v>0</v>
      </c>
      <c r="F246" s="744">
        <f t="shared" si="26"/>
        <v>0</v>
      </c>
    </row>
    <row r="247" spans="2:6" ht="13" x14ac:dyDescent="0.25">
      <c r="B247" s="129" t="str">
        <f t="shared" si="25"/>
        <v/>
      </c>
      <c r="C247" s="629" t="s">
        <v>59</v>
      </c>
      <c r="D247" s="130">
        <f>IF(C247="",0, IF(C247="kWh",'4. Billing Determinants'!E32, IF(C247="kW",'4. Billing Determinants'!F32,'4. Billing Determinants'!D32)))</f>
        <v>0</v>
      </c>
      <c r="E247" s="131">
        <f>HLOOKUP($B247, '5. Allocation of Balances_'!$D$4:$Z$84, 81,FALSE)</f>
        <v>0</v>
      </c>
      <c r="F247" s="744">
        <f t="shared" si="26"/>
        <v>0</v>
      </c>
    </row>
    <row r="248" spans="2:6" ht="13" x14ac:dyDescent="0.25">
      <c r="B248" s="129" t="str">
        <f t="shared" si="25"/>
        <v/>
      </c>
      <c r="C248" s="629" t="s">
        <v>59</v>
      </c>
      <c r="D248" s="130">
        <f>IF(C248="",0, IF(C248="kWh",'4. Billing Determinants'!E33, IF(C248="kW",'4. Billing Determinants'!F33,'4. Billing Determinants'!D33)))</f>
        <v>0</v>
      </c>
      <c r="E248" s="131">
        <f>HLOOKUP($B248, '5. Allocation of Balances_'!$D$4:$Z$84, 81,FALSE)</f>
        <v>0</v>
      </c>
      <c r="F248" s="744">
        <f t="shared" si="26"/>
        <v>0</v>
      </c>
    </row>
    <row r="249" spans="2:6" ht="13" x14ac:dyDescent="0.25">
      <c r="B249" s="129" t="str">
        <f t="shared" si="25"/>
        <v/>
      </c>
      <c r="C249" s="629" t="s">
        <v>59</v>
      </c>
      <c r="D249" s="130">
        <f>IF(C249="",0, IF(C249="kWh",'4. Billing Determinants'!E34, IF(C249="kW",'4. Billing Determinants'!F34,'4. Billing Determinants'!D34)))</f>
        <v>0</v>
      </c>
      <c r="E249" s="131">
        <f>HLOOKUP($B249, '5. Allocation of Balances_'!$D$4:$Z$84, 81,FALSE)</f>
        <v>0</v>
      </c>
      <c r="F249" s="744">
        <f t="shared" si="26"/>
        <v>0</v>
      </c>
    </row>
    <row r="250" spans="2:6" ht="13" x14ac:dyDescent="0.25">
      <c r="B250" s="129" t="str">
        <f t="shared" si="25"/>
        <v/>
      </c>
      <c r="C250" s="629" t="s">
        <v>59</v>
      </c>
      <c r="D250" s="130">
        <f>IF(C250="",0, IF(C250="kWh",'4. Billing Determinants'!E35, IF(C250="kW",'4. Billing Determinants'!F35,'4. Billing Determinants'!D35)))</f>
        <v>0</v>
      </c>
      <c r="E250" s="131">
        <f>HLOOKUP($B250, '5. Allocation of Balances_'!$D$4:$Z$84, 81,FALSE)</f>
        <v>0</v>
      </c>
      <c r="F250" s="744">
        <f t="shared" si="26"/>
        <v>0</v>
      </c>
    </row>
    <row r="251" spans="2:6" ht="13" x14ac:dyDescent="0.25">
      <c r="B251" s="129" t="str">
        <f t="shared" si="25"/>
        <v/>
      </c>
      <c r="C251" s="629" t="s">
        <v>59</v>
      </c>
      <c r="D251" s="130">
        <f>IF(C251="",0, IF(C251="kWh",'4. Billing Determinants'!E36, IF(C251="kW",'4. Billing Determinants'!F36,'4. Billing Determinants'!D36)))</f>
        <v>0</v>
      </c>
      <c r="E251" s="131">
        <f>HLOOKUP($B251, '5. Allocation of Balances_'!$D$4:$Z$84, 81,FALSE)</f>
        <v>0</v>
      </c>
      <c r="F251" s="744">
        <f t="shared" si="26"/>
        <v>0</v>
      </c>
    </row>
    <row r="252" spans="2:6" ht="13" x14ac:dyDescent="0.25">
      <c r="B252" s="129" t="str">
        <f t="shared" si="25"/>
        <v/>
      </c>
      <c r="C252" s="629" t="s">
        <v>59</v>
      </c>
      <c r="D252" s="130">
        <f>IF(C252="",0, IF(C252="kWh",'4. Billing Determinants'!E37, IF(C252="kW",'4. Billing Determinants'!F37,'4. Billing Determinants'!D37)))</f>
        <v>0</v>
      </c>
      <c r="E252" s="131">
        <f>HLOOKUP($B252, '5. Allocation of Balances_'!$D$4:$Z$84, 81,FALSE)</f>
        <v>0</v>
      </c>
      <c r="F252" s="744">
        <f t="shared" si="26"/>
        <v>0</v>
      </c>
    </row>
    <row r="253" spans="2:6" ht="13" x14ac:dyDescent="0.25">
      <c r="B253" s="129" t="str">
        <f t="shared" si="25"/>
        <v/>
      </c>
      <c r="C253" s="629" t="s">
        <v>59</v>
      </c>
      <c r="D253" s="130">
        <f>IF(C253="",0, IF(C253="kWh",'4. Billing Determinants'!E38, IF(C253="kW",'4. Billing Determinants'!F38,'4. Billing Determinants'!D38)))</f>
        <v>0</v>
      </c>
      <c r="E253" s="131">
        <f>HLOOKUP($B253, '5. Allocation of Balances_'!$D$4:$Z$84, 81,FALSE)</f>
        <v>0</v>
      </c>
      <c r="F253" s="744">
        <f t="shared" si="26"/>
        <v>0</v>
      </c>
    </row>
    <row r="254" spans="2:6" ht="13" x14ac:dyDescent="0.25">
      <c r="B254" s="129" t="str">
        <f t="shared" si="25"/>
        <v/>
      </c>
      <c r="C254" s="629" t="s">
        <v>59</v>
      </c>
      <c r="D254" s="130">
        <f>IF(C254="",0, IF(C254="kWh",'4. Billing Determinants'!E39, IF(C254="kW",'4. Billing Determinants'!F39,'4. Billing Determinants'!D39)))</f>
        <v>0</v>
      </c>
      <c r="E254" s="131">
        <f>HLOOKUP($B254, '5. Allocation of Balances_'!$D$4:$Z$84, 81,FALSE)</f>
        <v>0</v>
      </c>
      <c r="F254" s="744">
        <f t="shared" si="26"/>
        <v>0</v>
      </c>
    </row>
    <row r="255" spans="2:6" ht="13" x14ac:dyDescent="0.25">
      <c r="B255" s="129" t="str">
        <f t="shared" si="25"/>
        <v/>
      </c>
      <c r="C255" s="629" t="s">
        <v>59</v>
      </c>
      <c r="D255" s="130">
        <f>IF(C255="",0, IF(C255="kWh",'4. Billing Determinants'!E40, IF(C255="kW",'4. Billing Determinants'!F40,'4. Billing Determinants'!D40)))</f>
        <v>0</v>
      </c>
      <c r="E255" s="131">
        <f>HLOOKUP($B255, '5. Allocation of Balances_'!$D$4:$Z$84, 81,FALSE)</f>
        <v>0</v>
      </c>
      <c r="F255" s="744">
        <f t="shared" si="26"/>
        <v>0</v>
      </c>
    </row>
    <row r="256" spans="2:6" ht="13" x14ac:dyDescent="0.3">
      <c r="B256" s="134" t="s">
        <v>52</v>
      </c>
      <c r="C256" s="135"/>
      <c r="D256" s="136"/>
      <c r="E256" s="137">
        <f>SUM(E236:E255)</f>
        <v>0</v>
      </c>
      <c r="F256" s="134"/>
    </row>
  </sheetData>
  <sheetProtection algorithmName="SHA-512" hashValue="CfcZIXifBh9906yRDbsS7ppDvYt96u7FEzSvY8/wKNFHHt64aJBs2DswHAO8adcDRaF4V9YOLLGBjb/Ya7BYgw==" saltValue="Uw0tvzSBBH00aMcJPMfsSg==" spinCount="100000" sheet="1" objects="1" scenarios="1"/>
  <mergeCells count="51">
    <mergeCell ref="B97:B98"/>
    <mergeCell ref="C97:C98"/>
    <mergeCell ref="E97:E98"/>
    <mergeCell ref="F97:F98"/>
    <mergeCell ref="D97:D98"/>
    <mergeCell ref="B206:B207"/>
    <mergeCell ref="C206:C207"/>
    <mergeCell ref="D206:D207"/>
    <mergeCell ref="E206:E207"/>
    <mergeCell ref="F206:F207"/>
    <mergeCell ref="C150:C151"/>
    <mergeCell ref="D150:D151"/>
    <mergeCell ref="E150:E151"/>
    <mergeCell ref="F150:F151"/>
    <mergeCell ref="B123:B124"/>
    <mergeCell ref="C123:C124"/>
    <mergeCell ref="D123:D124"/>
    <mergeCell ref="E123:E124"/>
    <mergeCell ref="F123:F124"/>
    <mergeCell ref="I70:K76"/>
    <mergeCell ref="E18:E19"/>
    <mergeCell ref="F18:F19"/>
    <mergeCell ref="E44:E45"/>
    <mergeCell ref="F44:F45"/>
    <mergeCell ref="B67:F67"/>
    <mergeCell ref="C44:C45"/>
    <mergeCell ref="D44:D45"/>
    <mergeCell ref="B18:B19"/>
    <mergeCell ref="C18:C19"/>
    <mergeCell ref="B44:B45"/>
    <mergeCell ref="D18:D19"/>
    <mergeCell ref="B70:B71"/>
    <mergeCell ref="C70:C71"/>
    <mergeCell ref="D70:D71"/>
    <mergeCell ref="E70:E71"/>
    <mergeCell ref="G18:G19"/>
    <mergeCell ref="G44:G45"/>
    <mergeCell ref="G97:G98"/>
    <mergeCell ref="B234:B235"/>
    <mergeCell ref="C234:C235"/>
    <mergeCell ref="D234:D235"/>
    <mergeCell ref="E234:E235"/>
    <mergeCell ref="F234:F235"/>
    <mergeCell ref="G70:G71"/>
    <mergeCell ref="F70:F71"/>
    <mergeCell ref="B178:B179"/>
    <mergeCell ref="C178:C179"/>
    <mergeCell ref="D178:D179"/>
    <mergeCell ref="E178:E179"/>
    <mergeCell ref="F178:F179"/>
    <mergeCell ref="B150:B151"/>
  </mergeCells>
  <conditionalFormatting sqref="C20:C22 C27:C39">
    <cfRule type="cellIs" dxfId="18" priority="36" operator="equal">
      <formula>"kW"</formula>
    </cfRule>
  </conditionalFormatting>
  <conditionalFormatting sqref="H20:H39">
    <cfRule type="cellIs" dxfId="17" priority="33" operator="equal">
      <formula>"$/kW"</formula>
    </cfRule>
  </conditionalFormatting>
  <conditionalFormatting sqref="H180:H199">
    <cfRule type="cellIs" dxfId="16" priority="28" operator="equal">
      <formula>"$/kW"</formula>
    </cfRule>
  </conditionalFormatting>
  <conditionalFormatting sqref="G125:G144">
    <cfRule type="cellIs" dxfId="15" priority="24" operator="equal">
      <formula>"$/kW"</formula>
    </cfRule>
  </conditionalFormatting>
  <conditionalFormatting sqref="H152:H171">
    <cfRule type="cellIs" dxfId="14" priority="22" operator="equal">
      <formula>"$/kW"</formula>
    </cfRule>
  </conditionalFormatting>
  <conditionalFormatting sqref="H46:H65">
    <cfRule type="cellIs" dxfId="13" priority="20" operator="equal">
      <formula>"$/kW"</formula>
    </cfRule>
  </conditionalFormatting>
  <conditionalFormatting sqref="H99:H118">
    <cfRule type="cellIs" dxfId="12" priority="19" operator="equal">
      <formula>"$/kW"</formula>
    </cfRule>
  </conditionalFormatting>
  <conditionalFormatting sqref="H208:H227">
    <cfRule type="cellIs" dxfId="11" priority="18" operator="equal">
      <formula>"$/kW"</formula>
    </cfRule>
  </conditionalFormatting>
  <conditionalFormatting sqref="C46:C48 C53:C65">
    <cfRule type="cellIs" dxfId="10" priority="17" operator="equal">
      <formula>"kW"</formula>
    </cfRule>
  </conditionalFormatting>
  <conditionalFormatting sqref="C125:C144">
    <cfRule type="cellIs" dxfId="9" priority="15" operator="equal">
      <formula>"kW"</formula>
    </cfRule>
  </conditionalFormatting>
  <conditionalFormatting sqref="C181:C199">
    <cfRule type="cellIs" dxfId="8" priority="14" operator="equal">
      <formula>"kW"</formula>
    </cfRule>
  </conditionalFormatting>
  <conditionalFormatting sqref="C153:C171">
    <cfRule type="cellIs" dxfId="7" priority="11" operator="equal">
      <formula>"kW"</formula>
    </cfRule>
  </conditionalFormatting>
  <conditionalFormatting sqref="C72:C74 C79:C91">
    <cfRule type="cellIs" dxfId="6" priority="10" operator="equal">
      <formula>"kW"</formula>
    </cfRule>
  </conditionalFormatting>
  <conditionalFormatting sqref="H72:H91">
    <cfRule type="cellIs" dxfId="5" priority="9" operator="equal">
      <formula>"$/kW"</formula>
    </cfRule>
  </conditionalFormatting>
  <conditionalFormatting sqref="C208:C227">
    <cfRule type="cellIs" dxfId="4" priority="5" operator="equal">
      <formula>"kW"</formula>
    </cfRule>
  </conditionalFormatting>
  <conditionalFormatting sqref="C180">
    <cfRule type="cellIs" dxfId="3" priority="4" operator="equal">
      <formula>"kW"</formula>
    </cfRule>
  </conditionalFormatting>
  <conditionalFormatting sqref="C23:C26">
    <cfRule type="cellIs" dxfId="2" priority="3" operator="equal">
      <formula>"kW"</formula>
    </cfRule>
  </conditionalFormatting>
  <conditionalFormatting sqref="C49:C52">
    <cfRule type="cellIs" dxfId="1" priority="2" operator="equal">
      <formula>"kW"</formula>
    </cfRule>
  </conditionalFormatting>
  <conditionalFormatting sqref="C75:C78">
    <cfRule type="cellIs" dxfId="0" priority="1" operator="equal">
      <formula>"kW"</formula>
    </cfRule>
  </conditionalFormatting>
  <dataValidations disablePrompts="1" count="1">
    <dataValidation type="list" allowBlank="1" showInputMessage="1" showErrorMessage="1" sqref="C180:C199 C27:C39 C208:C227 C125:C144 C53:C65 C153:C171 C20:C22 C46:C48 C72:C74 C79:C91" xr:uid="{00000000-0002-0000-0D00-000000000000}">
      <formula1>"kWh, kW, # of Customers"</formula1>
    </dataValidation>
  </dataValidations>
  <pageMargins left="0.70866141732283472" right="0.70866141732283472" top="0.74803149606299213" bottom="0.74803149606299213" header="0.31496062992125984" footer="0.31496062992125984"/>
  <pageSetup scale="49" fitToHeight="2" orientation="portrait" r:id="rId1"/>
  <colBreaks count="1" manualBreakCount="1">
    <brk id="1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B71"/>
  <sheetViews>
    <sheetView workbookViewId="0">
      <selection activeCell="A72" sqref="A72:XFD76"/>
    </sheetView>
  </sheetViews>
  <sheetFormatPr defaultRowHeight="12.5" x14ac:dyDescent="0.25"/>
  <cols>
    <col min="1" max="1" width="72" bestFit="1" customWidth="1"/>
    <col min="2" max="2" width="11" bestFit="1" customWidth="1"/>
  </cols>
  <sheetData>
    <row r="1" spans="1:2" x14ac:dyDescent="0.25">
      <c r="A1" s="576" t="s">
        <v>2925</v>
      </c>
      <c r="B1" s="576" t="s">
        <v>3014</v>
      </c>
    </row>
    <row r="2" spans="1:2" x14ac:dyDescent="0.25">
      <c r="A2" s="576" t="s">
        <v>2926</v>
      </c>
      <c r="B2" s="576" t="s">
        <v>3014</v>
      </c>
    </row>
    <row r="3" spans="1:2" x14ac:dyDescent="0.25">
      <c r="A3" s="576" t="s">
        <v>2927</v>
      </c>
      <c r="B3" s="576" t="s">
        <v>3014</v>
      </c>
    </row>
    <row r="4" spans="1:2" x14ac:dyDescent="0.25">
      <c r="A4" s="576" t="s">
        <v>2928</v>
      </c>
      <c r="B4" s="576" t="s">
        <v>3014</v>
      </c>
    </row>
    <row r="5" spans="1:2" x14ac:dyDescent="0.25">
      <c r="A5" s="576" t="s">
        <v>2929</v>
      </c>
      <c r="B5" s="576" t="s">
        <v>3014</v>
      </c>
    </row>
    <row r="6" spans="1:2" x14ac:dyDescent="0.25">
      <c r="A6" s="576" t="s">
        <v>77</v>
      </c>
      <c r="B6" s="576" t="s">
        <v>2956</v>
      </c>
    </row>
    <row r="7" spans="1:2" x14ac:dyDescent="0.25">
      <c r="A7" s="576" t="s">
        <v>78</v>
      </c>
      <c r="B7" s="576" t="s">
        <v>2957</v>
      </c>
    </row>
    <row r="8" spans="1:2" x14ac:dyDescent="0.25">
      <c r="A8" s="576" t="s">
        <v>79</v>
      </c>
      <c r="B8" s="576" t="s">
        <v>2958</v>
      </c>
    </row>
    <row r="9" spans="1:2" x14ac:dyDescent="0.25">
      <c r="A9" s="576" t="s">
        <v>81</v>
      </c>
      <c r="B9" s="576" t="s">
        <v>2959</v>
      </c>
    </row>
    <row r="10" spans="1:2" x14ac:dyDescent="0.25">
      <c r="A10" s="576" t="s">
        <v>82</v>
      </c>
      <c r="B10" s="576" t="s">
        <v>2960</v>
      </c>
    </row>
    <row r="11" spans="1:2" x14ac:dyDescent="0.25">
      <c r="A11" s="576" t="s">
        <v>83</v>
      </c>
      <c r="B11" s="576" t="s">
        <v>2961</v>
      </c>
    </row>
    <row r="12" spans="1:2" x14ac:dyDescent="0.25">
      <c r="A12" s="576" t="s">
        <v>84</v>
      </c>
      <c r="B12" s="576" t="s">
        <v>2962</v>
      </c>
    </row>
    <row r="13" spans="1:2" x14ac:dyDescent="0.25">
      <c r="A13" s="577" t="s">
        <v>85</v>
      </c>
      <c r="B13" s="576" t="s">
        <v>2963</v>
      </c>
    </row>
    <row r="14" spans="1:2" x14ac:dyDescent="0.25">
      <c r="A14" s="576" t="s">
        <v>86</v>
      </c>
      <c r="B14" s="576" t="s">
        <v>2964</v>
      </c>
    </row>
    <row r="15" spans="1:2" x14ac:dyDescent="0.25">
      <c r="A15" s="576" t="s">
        <v>2930</v>
      </c>
      <c r="B15" s="576" t="s">
        <v>2965</v>
      </c>
    </row>
    <row r="16" spans="1:2" x14ac:dyDescent="0.25">
      <c r="A16" s="576" t="s">
        <v>2931</v>
      </c>
      <c r="B16" s="576" t="s">
        <v>3013</v>
      </c>
    </row>
    <row r="17" spans="1:2" x14ac:dyDescent="0.25">
      <c r="A17" s="576" t="s">
        <v>3934</v>
      </c>
      <c r="B17" s="576" t="s">
        <v>3013</v>
      </c>
    </row>
    <row r="18" spans="1:2" x14ac:dyDescent="0.25">
      <c r="A18" s="576" t="s">
        <v>3935</v>
      </c>
      <c r="B18" s="576" t="s">
        <v>2966</v>
      </c>
    </row>
    <row r="19" spans="1:2" x14ac:dyDescent="0.25">
      <c r="A19" s="576" t="s">
        <v>2932</v>
      </c>
      <c r="B19" s="576" t="s">
        <v>3012</v>
      </c>
    </row>
    <row r="20" spans="1:2" x14ac:dyDescent="0.25">
      <c r="A20" s="576" t="s">
        <v>2933</v>
      </c>
      <c r="B20" s="576" t="s">
        <v>3012</v>
      </c>
    </row>
    <row r="21" spans="1:2" x14ac:dyDescent="0.25">
      <c r="A21" s="576" t="s">
        <v>433</v>
      </c>
      <c r="B21" s="576" t="s">
        <v>2967</v>
      </c>
    </row>
    <row r="22" spans="1:2" x14ac:dyDescent="0.25">
      <c r="A22" s="576" t="s">
        <v>434</v>
      </c>
      <c r="B22" s="576" t="s">
        <v>2968</v>
      </c>
    </row>
    <row r="23" spans="1:2" x14ac:dyDescent="0.25">
      <c r="A23" s="576" t="s">
        <v>435</v>
      </c>
      <c r="B23" s="576" t="s">
        <v>2969</v>
      </c>
    </row>
    <row r="24" spans="1:2" x14ac:dyDescent="0.25">
      <c r="A24" s="576" t="s">
        <v>436</v>
      </c>
      <c r="B24" s="576" t="s">
        <v>2970</v>
      </c>
    </row>
    <row r="25" spans="1:2" x14ac:dyDescent="0.25">
      <c r="A25" s="577" t="s">
        <v>89</v>
      </c>
      <c r="B25" s="576" t="s">
        <v>2971</v>
      </c>
    </row>
    <row r="26" spans="1:2" x14ac:dyDescent="0.25">
      <c r="A26" s="576" t="s">
        <v>90</v>
      </c>
      <c r="B26" s="576" t="s">
        <v>2972</v>
      </c>
    </row>
    <row r="27" spans="1:2" x14ac:dyDescent="0.25">
      <c r="A27" s="576" t="s">
        <v>91</v>
      </c>
      <c r="B27" s="576" t="s">
        <v>2973</v>
      </c>
    </row>
    <row r="28" spans="1:2" x14ac:dyDescent="0.25">
      <c r="A28" s="576" t="s">
        <v>3936</v>
      </c>
      <c r="B28" s="576" t="s">
        <v>2974</v>
      </c>
    </row>
    <row r="29" spans="1:2" x14ac:dyDescent="0.25">
      <c r="A29" s="576" t="s">
        <v>3937</v>
      </c>
      <c r="B29" s="576" t="s">
        <v>2975</v>
      </c>
    </row>
    <row r="30" spans="1:2" x14ac:dyDescent="0.25">
      <c r="A30" s="576" t="s">
        <v>92</v>
      </c>
      <c r="B30" s="576" t="s">
        <v>2976</v>
      </c>
    </row>
    <row r="31" spans="1:2" x14ac:dyDescent="0.25">
      <c r="A31" s="576" t="s">
        <v>199</v>
      </c>
      <c r="B31" s="576" t="s">
        <v>2977</v>
      </c>
    </row>
    <row r="32" spans="1:2" x14ac:dyDescent="0.25">
      <c r="A32" s="576" t="s">
        <v>93</v>
      </c>
      <c r="B32" s="576" t="s">
        <v>2978</v>
      </c>
    </row>
    <row r="33" spans="1:2" x14ac:dyDescent="0.25">
      <c r="A33" s="577" t="s">
        <v>437</v>
      </c>
      <c r="B33" s="576" t="s">
        <v>2979</v>
      </c>
    </row>
    <row r="34" spans="1:2" x14ac:dyDescent="0.25">
      <c r="A34" s="576" t="s">
        <v>94</v>
      </c>
      <c r="B34" s="576" t="s">
        <v>2980</v>
      </c>
    </row>
    <row r="35" spans="1:2" x14ac:dyDescent="0.25">
      <c r="A35" s="576" t="s">
        <v>95</v>
      </c>
      <c r="B35" s="576" t="s">
        <v>2981</v>
      </c>
    </row>
    <row r="36" spans="1:2" x14ac:dyDescent="0.25">
      <c r="A36" s="576" t="s">
        <v>96</v>
      </c>
      <c r="B36" s="576" t="s">
        <v>2981</v>
      </c>
    </row>
    <row r="37" spans="1:2" x14ac:dyDescent="0.25">
      <c r="A37" s="576" t="s">
        <v>3938</v>
      </c>
      <c r="B37" s="576" t="s">
        <v>2981</v>
      </c>
    </row>
    <row r="38" spans="1:2" x14ac:dyDescent="0.25">
      <c r="A38" s="576" t="s">
        <v>3939</v>
      </c>
      <c r="B38" s="576" t="s">
        <v>2981</v>
      </c>
    </row>
    <row r="39" spans="1:2" x14ac:dyDescent="0.25">
      <c r="A39" s="576" t="s">
        <v>2934</v>
      </c>
      <c r="B39" s="576" t="s">
        <v>2982</v>
      </c>
    </row>
    <row r="40" spans="1:2" x14ac:dyDescent="0.25">
      <c r="A40" s="576" t="s">
        <v>2935</v>
      </c>
      <c r="B40" s="576" t="s">
        <v>2983</v>
      </c>
    </row>
    <row r="41" spans="1:2" x14ac:dyDescent="0.25">
      <c r="A41" s="576" t="s">
        <v>2936</v>
      </c>
      <c r="B41" s="576" t="s">
        <v>2984</v>
      </c>
    </row>
    <row r="42" spans="1:2" x14ac:dyDescent="0.25">
      <c r="A42" s="576" t="s">
        <v>2937</v>
      </c>
      <c r="B42" s="576" t="s">
        <v>2985</v>
      </c>
    </row>
    <row r="43" spans="1:2" x14ac:dyDescent="0.25">
      <c r="A43" s="576" t="s">
        <v>97</v>
      </c>
      <c r="B43" s="576" t="s">
        <v>2986</v>
      </c>
    </row>
    <row r="44" spans="1:2" x14ac:dyDescent="0.25">
      <c r="A44" s="576" t="s">
        <v>200</v>
      </c>
      <c r="B44" s="576" t="s">
        <v>2987</v>
      </c>
    </row>
    <row r="45" spans="1:2" x14ac:dyDescent="0.25">
      <c r="A45" s="576" t="s">
        <v>98</v>
      </c>
      <c r="B45" s="576" t="s">
        <v>2988</v>
      </c>
    </row>
    <row r="46" spans="1:2" x14ac:dyDescent="0.25">
      <c r="A46" s="576" t="s">
        <v>100</v>
      </c>
      <c r="B46" s="576" t="s">
        <v>2988</v>
      </c>
    </row>
    <row r="47" spans="1:2" x14ac:dyDescent="0.25">
      <c r="A47" s="576" t="s">
        <v>101</v>
      </c>
      <c r="B47" s="576" t="s">
        <v>2989</v>
      </c>
    </row>
    <row r="48" spans="1:2" x14ac:dyDescent="0.25">
      <c r="A48" s="576" t="s">
        <v>102</v>
      </c>
      <c r="B48" s="576" t="s">
        <v>2990</v>
      </c>
    </row>
    <row r="49" spans="1:2" x14ac:dyDescent="0.25">
      <c r="A49" s="576" t="s">
        <v>129</v>
      </c>
      <c r="B49" s="576" t="s">
        <v>3011</v>
      </c>
    </row>
    <row r="50" spans="1:2" x14ac:dyDescent="0.25">
      <c r="A50" s="576" t="s">
        <v>2939</v>
      </c>
      <c r="B50" s="576" t="s">
        <v>3011</v>
      </c>
    </row>
    <row r="51" spans="1:2" x14ac:dyDescent="0.25">
      <c r="A51" s="576" t="s">
        <v>2940</v>
      </c>
      <c r="B51" s="576" t="s">
        <v>2991</v>
      </c>
    </row>
    <row r="52" spans="1:2" x14ac:dyDescent="0.25">
      <c r="A52" s="576" t="s">
        <v>103</v>
      </c>
      <c r="B52" s="576" t="s">
        <v>2992</v>
      </c>
    </row>
    <row r="53" spans="1:2" x14ac:dyDescent="0.25">
      <c r="A53" s="576" t="s">
        <v>104</v>
      </c>
      <c r="B53" s="576" t="s">
        <v>2993</v>
      </c>
    </row>
    <row r="54" spans="1:2" x14ac:dyDescent="0.25">
      <c r="A54" s="576" t="s">
        <v>105</v>
      </c>
      <c r="B54" s="576" t="s">
        <v>2994</v>
      </c>
    </row>
    <row r="55" spans="1:2" x14ac:dyDescent="0.25">
      <c r="A55" s="576" t="s">
        <v>106</v>
      </c>
      <c r="B55" s="576" t="s">
        <v>2995</v>
      </c>
    </row>
    <row r="56" spans="1:2" x14ac:dyDescent="0.25">
      <c r="A56" s="576" t="s">
        <v>107</v>
      </c>
      <c r="B56" s="576" t="s">
        <v>2996</v>
      </c>
    </row>
    <row r="57" spans="1:2" x14ac:dyDescent="0.25">
      <c r="A57" s="576" t="s">
        <v>108</v>
      </c>
      <c r="B57" s="576" t="s">
        <v>2997</v>
      </c>
    </row>
    <row r="58" spans="1:2" x14ac:dyDescent="0.25">
      <c r="A58" s="576" t="s">
        <v>110</v>
      </c>
      <c r="B58" s="576" t="s">
        <v>2998</v>
      </c>
    </row>
    <row r="59" spans="1:2" x14ac:dyDescent="0.25">
      <c r="A59" s="576" t="s">
        <v>111</v>
      </c>
      <c r="B59" s="576" t="s">
        <v>2999</v>
      </c>
    </row>
    <row r="60" spans="1:2" x14ac:dyDescent="0.25">
      <c r="A60" s="576" t="s">
        <v>113</v>
      </c>
      <c r="B60" s="576" t="s">
        <v>3000</v>
      </c>
    </row>
    <row r="61" spans="1:2" x14ac:dyDescent="0.25">
      <c r="A61" s="576" t="s">
        <v>114</v>
      </c>
      <c r="B61" s="576" t="s">
        <v>3001</v>
      </c>
    </row>
    <row r="62" spans="1:2" x14ac:dyDescent="0.25">
      <c r="A62" s="576" t="s">
        <v>438</v>
      </c>
      <c r="B62" s="576" t="s">
        <v>3002</v>
      </c>
    </row>
    <row r="63" spans="1:2" x14ac:dyDescent="0.25">
      <c r="A63" s="576" t="s">
        <v>115</v>
      </c>
      <c r="B63" s="576" t="s">
        <v>3003</v>
      </c>
    </row>
    <row r="64" spans="1:2" x14ac:dyDescent="0.25">
      <c r="A64" s="576" t="s">
        <v>2941</v>
      </c>
      <c r="B64" s="576" t="s">
        <v>3004</v>
      </c>
    </row>
    <row r="65" spans="1:2" x14ac:dyDescent="0.25">
      <c r="A65" s="576" t="s">
        <v>2942</v>
      </c>
      <c r="B65" s="576" t="s">
        <v>3010</v>
      </c>
    </row>
    <row r="66" spans="1:2" x14ac:dyDescent="0.25">
      <c r="A66" s="576" t="s">
        <v>116</v>
      </c>
      <c r="B66" s="576" t="s">
        <v>3010</v>
      </c>
    </row>
    <row r="67" spans="1:2" x14ac:dyDescent="0.25">
      <c r="A67" s="576" t="s">
        <v>117</v>
      </c>
      <c r="B67" s="576" t="s">
        <v>3005</v>
      </c>
    </row>
    <row r="68" spans="1:2" x14ac:dyDescent="0.25">
      <c r="A68" s="576" t="s">
        <v>118</v>
      </c>
      <c r="B68" s="576" t="s">
        <v>3006</v>
      </c>
    </row>
    <row r="69" spans="1:2" x14ac:dyDescent="0.25">
      <c r="A69" s="576" t="s">
        <v>201</v>
      </c>
      <c r="B69" s="576" t="s">
        <v>3007</v>
      </c>
    </row>
    <row r="70" spans="1:2" x14ac:dyDescent="0.25">
      <c r="A70" s="576" t="s">
        <v>120</v>
      </c>
      <c r="B70" s="576" t="s">
        <v>3008</v>
      </c>
    </row>
    <row r="71" spans="1:2" x14ac:dyDescent="0.25">
      <c r="A71" s="576" t="s">
        <v>121</v>
      </c>
      <c r="B71" s="576" t="s">
        <v>3009</v>
      </c>
    </row>
  </sheetData>
  <sheetProtection algorithmName="SHA-512" hashValue="TM0nI3ODLSes9Z3bSKl+Vw7CyDsUHNlOJqi4keK9eGuDQpwYcJ7wJWgDdA87Dss9x94CpWLwmr4WMiI5T5xAig==" saltValue="7i8uHniUm0t1LI3qvcso8g==" spinCount="100000"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L2874"/>
  <sheetViews>
    <sheetView showGridLines="0" workbookViewId="0">
      <selection activeCell="D39" sqref="D39"/>
    </sheetView>
  </sheetViews>
  <sheetFormatPr defaultRowHeight="12.5" x14ac:dyDescent="0.25"/>
  <cols>
    <col min="1" max="1" width="29" bestFit="1" customWidth="1"/>
    <col min="2" max="2" width="6.26953125" customWidth="1"/>
    <col min="3" max="3" width="9.81640625" bestFit="1" customWidth="1"/>
    <col min="4" max="4" width="24.26953125" customWidth="1"/>
    <col min="5" max="5" width="15" bestFit="1" customWidth="1"/>
    <col min="6" max="6" width="9.54296875" bestFit="1" customWidth="1"/>
    <col min="7" max="8" width="7" bestFit="1" customWidth="1"/>
    <col min="9" max="9" width="8.26953125" bestFit="1" customWidth="1"/>
    <col min="10" max="10" width="7" bestFit="1" customWidth="1"/>
    <col min="11" max="11" width="10.7265625" bestFit="1" customWidth="1"/>
    <col min="12" max="12" width="12.54296875" bestFit="1" customWidth="1"/>
    <col min="13" max="13" width="0.7265625" customWidth="1"/>
  </cols>
  <sheetData>
    <row r="1" spans="1:12" ht="14.5" x14ac:dyDescent="0.35">
      <c r="A1" s="646" t="s">
        <v>2906</v>
      </c>
      <c r="B1" s="645"/>
      <c r="C1" s="645"/>
      <c r="D1" s="645"/>
      <c r="E1" s="645"/>
      <c r="F1" s="645"/>
      <c r="G1" s="645"/>
      <c r="H1" s="645"/>
      <c r="I1" s="645"/>
      <c r="J1" s="645"/>
      <c r="K1" s="645"/>
      <c r="L1" s="645"/>
    </row>
    <row r="2" spans="1:12" ht="14.5" x14ac:dyDescent="0.35">
      <c r="A2" s="647" t="s">
        <v>3336</v>
      </c>
      <c r="B2" s="645"/>
      <c r="C2" s="645"/>
      <c r="D2" s="645"/>
      <c r="E2" s="645"/>
      <c r="F2" s="645"/>
      <c r="G2" s="645"/>
      <c r="H2" s="645"/>
      <c r="I2" s="645"/>
      <c r="J2" s="645"/>
      <c r="K2" s="645"/>
      <c r="L2" s="645"/>
    </row>
    <row r="3" spans="1:12" ht="14.5" x14ac:dyDescent="0.35">
      <c r="A3" s="648" t="s">
        <v>372</v>
      </c>
      <c r="B3" s="645"/>
      <c r="C3" s="645"/>
      <c r="D3" s="645"/>
      <c r="E3" s="645"/>
      <c r="F3" s="645"/>
      <c r="G3" s="645"/>
      <c r="H3" s="645"/>
      <c r="I3" s="645"/>
      <c r="J3" s="645"/>
      <c r="K3" s="645"/>
      <c r="L3" s="645"/>
    </row>
    <row r="4" spans="1:12" ht="21" x14ac:dyDescent="0.25">
      <c r="A4" s="649" t="s">
        <v>635</v>
      </c>
      <c r="B4" s="649" t="s">
        <v>636</v>
      </c>
      <c r="C4" s="649" t="s">
        <v>637</v>
      </c>
      <c r="D4" s="649" t="s">
        <v>638</v>
      </c>
      <c r="E4" s="649" t="s">
        <v>639</v>
      </c>
      <c r="F4" s="649" t="s">
        <v>640</v>
      </c>
      <c r="G4" s="649" t="s">
        <v>641</v>
      </c>
      <c r="H4" s="649" t="s">
        <v>642</v>
      </c>
      <c r="I4" s="649" t="s">
        <v>643</v>
      </c>
      <c r="J4" s="649" t="s">
        <v>644</v>
      </c>
      <c r="K4" s="649" t="s">
        <v>645</v>
      </c>
      <c r="L4" s="650" t="s">
        <v>646</v>
      </c>
    </row>
    <row r="5" spans="1:12" ht="21" x14ac:dyDescent="0.25">
      <c r="A5" s="651" t="s">
        <v>3337</v>
      </c>
      <c r="B5" s="652">
        <v>2021</v>
      </c>
      <c r="C5" s="651" t="s">
        <v>647</v>
      </c>
      <c r="D5" s="651" t="s">
        <v>3338</v>
      </c>
      <c r="E5" s="651" t="s">
        <v>649</v>
      </c>
      <c r="F5" s="653">
        <v>-364884.26</v>
      </c>
      <c r="G5" s="654"/>
      <c r="H5" s="651" t="s">
        <v>650</v>
      </c>
      <c r="I5" s="655"/>
      <c r="J5" s="655"/>
      <c r="K5" s="653">
        <v>0</v>
      </c>
      <c r="L5" s="656">
        <v>-364884.26</v>
      </c>
    </row>
    <row r="6" spans="1:12" ht="14.5" x14ac:dyDescent="0.25">
      <c r="A6" s="651" t="s">
        <v>3337</v>
      </c>
      <c r="B6" s="652">
        <v>2021</v>
      </c>
      <c r="C6" s="651" t="s">
        <v>651</v>
      </c>
      <c r="D6" s="651" t="s">
        <v>3339</v>
      </c>
      <c r="E6" s="651" t="s">
        <v>653</v>
      </c>
      <c r="F6" s="653">
        <v>0</v>
      </c>
      <c r="G6" s="654"/>
      <c r="H6" s="651" t="s">
        <v>650</v>
      </c>
      <c r="I6" s="655"/>
      <c r="J6" s="655"/>
      <c r="K6" s="653">
        <v>0</v>
      </c>
      <c r="L6" s="656">
        <v>0</v>
      </c>
    </row>
    <row r="7" spans="1:12" ht="42" x14ac:dyDescent="0.25">
      <c r="A7" s="651" t="s">
        <v>3337</v>
      </c>
      <c r="B7" s="652">
        <v>2021</v>
      </c>
      <c r="C7" s="651" t="s">
        <v>654</v>
      </c>
      <c r="D7" s="651" t="s">
        <v>3340</v>
      </c>
      <c r="E7" s="651" t="s">
        <v>445</v>
      </c>
      <c r="F7" s="653">
        <v>0</v>
      </c>
      <c r="G7" s="654"/>
      <c r="H7" s="651" t="s">
        <v>650</v>
      </c>
      <c r="I7" s="655"/>
      <c r="J7" s="655"/>
      <c r="K7" s="653">
        <v>0</v>
      </c>
      <c r="L7" s="656">
        <v>0</v>
      </c>
    </row>
    <row r="8" spans="1:12" ht="21" x14ac:dyDescent="0.25">
      <c r="A8" s="651" t="s">
        <v>3337</v>
      </c>
      <c r="B8" s="652">
        <v>2021</v>
      </c>
      <c r="C8" s="651" t="s">
        <v>656</v>
      </c>
      <c r="D8" s="651" t="s">
        <v>3341</v>
      </c>
      <c r="E8" s="651" t="s">
        <v>658</v>
      </c>
      <c r="F8" s="653">
        <v>0</v>
      </c>
      <c r="G8" s="654"/>
      <c r="H8" s="651" t="s">
        <v>650</v>
      </c>
      <c r="I8" s="655"/>
      <c r="J8" s="655"/>
      <c r="K8" s="653">
        <v>0</v>
      </c>
      <c r="L8" s="656">
        <v>0</v>
      </c>
    </row>
    <row r="9" spans="1:12" ht="31.5" x14ac:dyDescent="0.25">
      <c r="A9" s="651" t="s">
        <v>3337</v>
      </c>
      <c r="B9" s="652">
        <v>2021</v>
      </c>
      <c r="C9" s="651" t="s">
        <v>659</v>
      </c>
      <c r="D9" s="651" t="s">
        <v>3342</v>
      </c>
      <c r="E9" s="651" t="s">
        <v>661</v>
      </c>
      <c r="F9" s="653">
        <v>95928.79</v>
      </c>
      <c r="G9" s="654"/>
      <c r="H9" s="651" t="s">
        <v>650</v>
      </c>
      <c r="I9" s="655"/>
      <c r="J9" s="655"/>
      <c r="K9" s="653">
        <v>0</v>
      </c>
      <c r="L9" s="656">
        <v>95928.79</v>
      </c>
    </row>
    <row r="10" spans="1:12" ht="21" x14ac:dyDescent="0.25">
      <c r="A10" s="651" t="s">
        <v>3337</v>
      </c>
      <c r="B10" s="652">
        <v>2021</v>
      </c>
      <c r="C10" s="651" t="s">
        <v>662</v>
      </c>
      <c r="D10" s="651" t="s">
        <v>3343</v>
      </c>
      <c r="E10" s="651" t="s">
        <v>664</v>
      </c>
      <c r="F10" s="653">
        <v>0</v>
      </c>
      <c r="G10" s="654"/>
      <c r="H10" s="651" t="s">
        <v>650</v>
      </c>
      <c r="I10" s="655"/>
      <c r="J10" s="655"/>
      <c r="K10" s="653">
        <v>0</v>
      </c>
      <c r="L10" s="656">
        <v>0</v>
      </c>
    </row>
    <row r="11" spans="1:12" ht="31.5" x14ac:dyDescent="0.25">
      <c r="A11" s="651" t="s">
        <v>3337</v>
      </c>
      <c r="B11" s="652">
        <v>2021</v>
      </c>
      <c r="C11" s="651" t="s">
        <v>665</v>
      </c>
      <c r="D11" s="651" t="s">
        <v>3344</v>
      </c>
      <c r="E11" s="651" t="s">
        <v>667</v>
      </c>
      <c r="F11" s="653">
        <v>0</v>
      </c>
      <c r="G11" s="654"/>
      <c r="H11" s="651" t="s">
        <v>650</v>
      </c>
      <c r="I11" s="655"/>
      <c r="J11" s="655"/>
      <c r="K11" s="653">
        <v>0</v>
      </c>
      <c r="L11" s="656">
        <v>0</v>
      </c>
    </row>
    <row r="12" spans="1:12" ht="21" x14ac:dyDescent="0.25">
      <c r="A12" s="651" t="s">
        <v>3337</v>
      </c>
      <c r="B12" s="652">
        <v>2021</v>
      </c>
      <c r="C12" s="651" t="s">
        <v>668</v>
      </c>
      <c r="D12" s="651" t="s">
        <v>3345</v>
      </c>
      <c r="E12" s="651" t="s">
        <v>12</v>
      </c>
      <c r="F12" s="653">
        <v>0</v>
      </c>
      <c r="G12" s="654"/>
      <c r="H12" s="651" t="s">
        <v>650</v>
      </c>
      <c r="I12" s="655"/>
      <c r="J12" s="655"/>
      <c r="K12" s="653">
        <v>0</v>
      </c>
      <c r="L12" s="656">
        <v>0</v>
      </c>
    </row>
    <row r="13" spans="1:12" ht="21" x14ac:dyDescent="0.25">
      <c r="A13" s="651" t="s">
        <v>3337</v>
      </c>
      <c r="B13" s="652">
        <v>2021</v>
      </c>
      <c r="C13" s="651" t="s">
        <v>670</v>
      </c>
      <c r="D13" s="651" t="s">
        <v>3346</v>
      </c>
      <c r="E13" s="651" t="s">
        <v>13</v>
      </c>
      <c r="F13" s="653">
        <v>0</v>
      </c>
      <c r="G13" s="654"/>
      <c r="H13" s="651" t="s">
        <v>650</v>
      </c>
      <c r="I13" s="655"/>
      <c r="J13" s="655"/>
      <c r="K13" s="653">
        <v>0</v>
      </c>
      <c r="L13" s="656">
        <v>0</v>
      </c>
    </row>
    <row r="14" spans="1:12" ht="21" x14ac:dyDescent="0.25">
      <c r="A14" s="651" t="s">
        <v>3337</v>
      </c>
      <c r="B14" s="652">
        <v>2021</v>
      </c>
      <c r="C14" s="651" t="s">
        <v>672</v>
      </c>
      <c r="D14" s="651" t="s">
        <v>3347</v>
      </c>
      <c r="E14" s="651" t="s">
        <v>15</v>
      </c>
      <c r="F14" s="653">
        <v>0</v>
      </c>
      <c r="G14" s="654"/>
      <c r="H14" s="651" t="s">
        <v>650</v>
      </c>
      <c r="I14" s="655"/>
      <c r="J14" s="655"/>
      <c r="K14" s="653">
        <v>0</v>
      </c>
      <c r="L14" s="656">
        <v>0</v>
      </c>
    </row>
    <row r="15" spans="1:12" ht="14.5" x14ac:dyDescent="0.25">
      <c r="A15" s="651" t="s">
        <v>3337</v>
      </c>
      <c r="B15" s="652">
        <v>2021</v>
      </c>
      <c r="C15" s="651" t="s">
        <v>674</v>
      </c>
      <c r="D15" s="651" t="s">
        <v>3348</v>
      </c>
      <c r="E15" s="651" t="s">
        <v>676</v>
      </c>
      <c r="F15" s="653">
        <v>0</v>
      </c>
      <c r="G15" s="654"/>
      <c r="H15" s="651" t="s">
        <v>650</v>
      </c>
      <c r="I15" s="655"/>
      <c r="J15" s="655"/>
      <c r="K15" s="653">
        <v>0</v>
      </c>
      <c r="L15" s="656">
        <v>0</v>
      </c>
    </row>
    <row r="16" spans="1:12" ht="14.5" x14ac:dyDescent="0.25">
      <c r="A16" s="651" t="s">
        <v>3337</v>
      </c>
      <c r="B16" s="652">
        <v>2021</v>
      </c>
      <c r="C16" s="651" t="s">
        <v>677</v>
      </c>
      <c r="D16" s="651" t="s">
        <v>3349</v>
      </c>
      <c r="E16" s="651" t="s">
        <v>23</v>
      </c>
      <c r="F16" s="653">
        <v>1477239.14</v>
      </c>
      <c r="G16" s="651" t="s">
        <v>650</v>
      </c>
      <c r="H16" s="654"/>
      <c r="I16" s="653">
        <v>1430841.375</v>
      </c>
      <c r="J16" s="653">
        <v>46397.80078125</v>
      </c>
      <c r="K16" s="653">
        <v>1477239.125</v>
      </c>
      <c r="L16" s="656">
        <v>1477239.14</v>
      </c>
    </row>
    <row r="17" spans="1:12" ht="31.5" x14ac:dyDescent="0.25">
      <c r="A17" s="651" t="s">
        <v>3337</v>
      </c>
      <c r="B17" s="652">
        <v>2021</v>
      </c>
      <c r="C17" s="651" t="s">
        <v>679</v>
      </c>
      <c r="D17" s="651" t="s">
        <v>3350</v>
      </c>
      <c r="E17" s="651" t="s">
        <v>131</v>
      </c>
      <c r="F17" s="653">
        <v>-29539.14</v>
      </c>
      <c r="G17" s="651" t="s">
        <v>650</v>
      </c>
      <c r="H17" s="654"/>
      <c r="I17" s="653">
        <v>-28274.83984375</v>
      </c>
      <c r="J17" s="653">
        <v>-1264.30004882813</v>
      </c>
      <c r="K17" s="653">
        <v>-29539.140625</v>
      </c>
      <c r="L17" s="656">
        <v>-29539.14</v>
      </c>
    </row>
    <row r="18" spans="1:12" ht="31.5" x14ac:dyDescent="0.25">
      <c r="A18" s="651" t="s">
        <v>3337</v>
      </c>
      <c r="B18" s="652">
        <v>2021</v>
      </c>
      <c r="C18" s="651" t="s">
        <v>681</v>
      </c>
      <c r="D18" s="651" t="s">
        <v>3351</v>
      </c>
      <c r="E18" s="651" t="s">
        <v>683</v>
      </c>
      <c r="F18" s="653">
        <v>42930.41</v>
      </c>
      <c r="G18" s="654"/>
      <c r="H18" s="651" t="s">
        <v>650</v>
      </c>
      <c r="I18" s="655"/>
      <c r="J18" s="655"/>
      <c r="K18" s="653">
        <v>0</v>
      </c>
      <c r="L18" s="656">
        <v>42930.41</v>
      </c>
    </row>
    <row r="19" spans="1:12" ht="21" x14ac:dyDescent="0.25">
      <c r="A19" s="651" t="s">
        <v>3337</v>
      </c>
      <c r="B19" s="652">
        <v>2021</v>
      </c>
      <c r="C19" s="651" t="s">
        <v>681</v>
      </c>
      <c r="D19" s="651" t="s">
        <v>3351</v>
      </c>
      <c r="E19" s="651" t="s">
        <v>684</v>
      </c>
      <c r="F19" s="653">
        <v>42930.41</v>
      </c>
      <c r="G19" s="654"/>
      <c r="H19" s="651" t="s">
        <v>650</v>
      </c>
      <c r="I19" s="655"/>
      <c r="J19" s="655"/>
      <c r="K19" s="653">
        <v>0</v>
      </c>
      <c r="L19" s="656">
        <v>42930.41</v>
      </c>
    </row>
    <row r="20" spans="1:12" ht="21" x14ac:dyDescent="0.25">
      <c r="A20" s="651" t="s">
        <v>3337</v>
      </c>
      <c r="B20" s="652">
        <v>2021</v>
      </c>
      <c r="C20" s="651" t="s">
        <v>685</v>
      </c>
      <c r="D20" s="651" t="s">
        <v>3352</v>
      </c>
      <c r="E20" s="651" t="s">
        <v>687</v>
      </c>
      <c r="F20" s="653">
        <v>0</v>
      </c>
      <c r="G20" s="654"/>
      <c r="H20" s="651" t="s">
        <v>650</v>
      </c>
      <c r="I20" s="655"/>
      <c r="J20" s="655"/>
      <c r="K20" s="653">
        <v>0</v>
      </c>
      <c r="L20" s="656">
        <v>0</v>
      </c>
    </row>
    <row r="21" spans="1:12" ht="14.5" x14ac:dyDescent="0.25">
      <c r="A21" s="651" t="s">
        <v>3337</v>
      </c>
      <c r="B21" s="652">
        <v>2021</v>
      </c>
      <c r="C21" s="651" t="s">
        <v>688</v>
      </c>
      <c r="D21" s="651" t="s">
        <v>3353</v>
      </c>
      <c r="E21" s="651" t="s">
        <v>50</v>
      </c>
      <c r="F21" s="653">
        <v>79857.84</v>
      </c>
      <c r="G21" s="654"/>
      <c r="H21" s="651" t="s">
        <v>650</v>
      </c>
      <c r="I21" s="655"/>
      <c r="J21" s="655"/>
      <c r="K21" s="653">
        <v>0</v>
      </c>
      <c r="L21" s="656">
        <v>79857.84</v>
      </c>
    </row>
    <row r="22" spans="1:12" ht="21" x14ac:dyDescent="0.25">
      <c r="A22" s="651" t="s">
        <v>3337</v>
      </c>
      <c r="B22" s="652">
        <v>2021</v>
      </c>
      <c r="C22" s="651" t="s">
        <v>690</v>
      </c>
      <c r="D22" s="651" t="s">
        <v>3354</v>
      </c>
      <c r="E22" s="651" t="s">
        <v>692</v>
      </c>
      <c r="F22" s="653">
        <v>0</v>
      </c>
      <c r="G22" s="654"/>
      <c r="H22" s="651" t="s">
        <v>650</v>
      </c>
      <c r="I22" s="655"/>
      <c r="J22" s="655"/>
      <c r="K22" s="653">
        <v>0</v>
      </c>
      <c r="L22" s="656">
        <v>0</v>
      </c>
    </row>
    <row r="23" spans="1:12" ht="21" x14ac:dyDescent="0.25">
      <c r="A23" s="651" t="s">
        <v>3337</v>
      </c>
      <c r="B23" s="652">
        <v>2021</v>
      </c>
      <c r="C23" s="651" t="s">
        <v>693</v>
      </c>
      <c r="D23" s="651" t="s">
        <v>3355</v>
      </c>
      <c r="E23" s="651" t="s">
        <v>6</v>
      </c>
      <c r="F23" s="653">
        <v>0</v>
      </c>
      <c r="G23" s="654"/>
      <c r="H23" s="651" t="s">
        <v>650</v>
      </c>
      <c r="I23" s="655"/>
      <c r="J23" s="655"/>
      <c r="K23" s="653">
        <v>0</v>
      </c>
      <c r="L23" s="656">
        <v>0</v>
      </c>
    </row>
    <row r="24" spans="1:12" ht="31.5" x14ac:dyDescent="0.25">
      <c r="A24" s="651" t="s">
        <v>3337</v>
      </c>
      <c r="B24" s="652">
        <v>2021</v>
      </c>
      <c r="C24" s="651" t="s">
        <v>695</v>
      </c>
      <c r="D24" s="651" t="s">
        <v>3356</v>
      </c>
      <c r="E24" s="651" t="s">
        <v>697</v>
      </c>
      <c r="F24" s="653">
        <v>0</v>
      </c>
      <c r="G24" s="654"/>
      <c r="H24" s="651" t="s">
        <v>650</v>
      </c>
      <c r="I24" s="655"/>
      <c r="J24" s="655"/>
      <c r="K24" s="653">
        <v>0</v>
      </c>
      <c r="L24" s="656">
        <v>0</v>
      </c>
    </row>
    <row r="25" spans="1:12" ht="21" x14ac:dyDescent="0.25">
      <c r="A25" s="651" t="s">
        <v>3337</v>
      </c>
      <c r="B25" s="652">
        <v>2021</v>
      </c>
      <c r="C25" s="651" t="s">
        <v>698</v>
      </c>
      <c r="D25" s="651" t="s">
        <v>3357</v>
      </c>
      <c r="E25" s="651" t="s">
        <v>700</v>
      </c>
      <c r="F25" s="653">
        <v>9997.9699999999993</v>
      </c>
      <c r="G25" s="654"/>
      <c r="H25" s="651" t="s">
        <v>650</v>
      </c>
      <c r="I25" s="655"/>
      <c r="J25" s="655"/>
      <c r="K25" s="653">
        <v>0</v>
      </c>
      <c r="L25" s="656">
        <v>9997.9699999999993</v>
      </c>
    </row>
    <row r="26" spans="1:12" ht="21" x14ac:dyDescent="0.25">
      <c r="A26" s="651" t="s">
        <v>3337</v>
      </c>
      <c r="B26" s="652">
        <v>2021</v>
      </c>
      <c r="C26" s="651" t="s">
        <v>701</v>
      </c>
      <c r="D26" s="651" t="s">
        <v>3358</v>
      </c>
      <c r="E26" s="651" t="s">
        <v>1</v>
      </c>
      <c r="F26" s="653">
        <v>-2678632.48</v>
      </c>
      <c r="G26" s="651" t="s">
        <v>650</v>
      </c>
      <c r="H26" s="654"/>
      <c r="I26" s="653">
        <v>-2578702.25</v>
      </c>
      <c r="J26" s="653">
        <v>-99930.2421875</v>
      </c>
      <c r="K26" s="653">
        <v>-2678632.5</v>
      </c>
      <c r="L26" s="656">
        <v>-2678632.48</v>
      </c>
    </row>
    <row r="27" spans="1:12" ht="21" x14ac:dyDescent="0.25">
      <c r="A27" s="651" t="s">
        <v>3337</v>
      </c>
      <c r="B27" s="652">
        <v>2021</v>
      </c>
      <c r="C27" s="651" t="s">
        <v>701</v>
      </c>
      <c r="D27" s="651" t="s">
        <v>3358</v>
      </c>
      <c r="E27" s="651" t="s">
        <v>703</v>
      </c>
      <c r="F27" s="653">
        <v>0</v>
      </c>
      <c r="G27" s="654"/>
      <c r="H27" s="654"/>
      <c r="I27" s="655"/>
      <c r="J27" s="655"/>
      <c r="K27" s="653">
        <v>0</v>
      </c>
      <c r="L27" s="656">
        <v>0</v>
      </c>
    </row>
    <row r="28" spans="1:12" ht="21" x14ac:dyDescent="0.25">
      <c r="A28" s="651" t="s">
        <v>3337</v>
      </c>
      <c r="B28" s="652">
        <v>2021</v>
      </c>
      <c r="C28" s="651" t="s">
        <v>701</v>
      </c>
      <c r="D28" s="651" t="s">
        <v>3358</v>
      </c>
      <c r="E28" s="651" t="s">
        <v>704</v>
      </c>
      <c r="F28" s="653">
        <v>0</v>
      </c>
      <c r="G28" s="654"/>
      <c r="H28" s="654"/>
      <c r="I28" s="655"/>
      <c r="J28" s="655"/>
      <c r="K28" s="653">
        <v>0</v>
      </c>
      <c r="L28" s="656">
        <v>0</v>
      </c>
    </row>
    <row r="29" spans="1:12" ht="21" x14ac:dyDescent="0.25">
      <c r="A29" s="651" t="s">
        <v>3337</v>
      </c>
      <c r="B29" s="652">
        <v>2021</v>
      </c>
      <c r="C29" s="651" t="s">
        <v>701</v>
      </c>
      <c r="D29" s="651" t="s">
        <v>3358</v>
      </c>
      <c r="E29" s="651" t="s">
        <v>705</v>
      </c>
      <c r="F29" s="653">
        <v>0</v>
      </c>
      <c r="G29" s="654"/>
      <c r="H29" s="654"/>
      <c r="I29" s="655"/>
      <c r="J29" s="655"/>
      <c r="K29" s="653">
        <v>0</v>
      </c>
      <c r="L29" s="656">
        <v>0</v>
      </c>
    </row>
    <row r="30" spans="1:12" ht="21" x14ac:dyDescent="0.25">
      <c r="A30" s="651" t="s">
        <v>3337</v>
      </c>
      <c r="B30" s="652">
        <v>2021</v>
      </c>
      <c r="C30" s="651" t="s">
        <v>701</v>
      </c>
      <c r="D30" s="651" t="s">
        <v>3358</v>
      </c>
      <c r="E30" s="651" t="s">
        <v>706</v>
      </c>
      <c r="F30" s="653">
        <v>0</v>
      </c>
      <c r="G30" s="654"/>
      <c r="H30" s="654"/>
      <c r="I30" s="655"/>
      <c r="J30" s="655"/>
      <c r="K30" s="653">
        <v>0</v>
      </c>
      <c r="L30" s="656">
        <v>0</v>
      </c>
    </row>
    <row r="31" spans="1:12" ht="14.5" x14ac:dyDescent="0.25">
      <c r="A31" s="651" t="s">
        <v>3337</v>
      </c>
      <c r="B31" s="652">
        <v>2021</v>
      </c>
      <c r="C31" s="651" t="s">
        <v>707</v>
      </c>
      <c r="D31" s="651" t="s">
        <v>3359</v>
      </c>
      <c r="E31" s="651" t="s">
        <v>709</v>
      </c>
      <c r="F31" s="653">
        <v>0</v>
      </c>
      <c r="G31" s="654"/>
      <c r="H31" s="651" t="s">
        <v>650</v>
      </c>
      <c r="I31" s="655"/>
      <c r="J31" s="655"/>
      <c r="K31" s="653">
        <v>0</v>
      </c>
      <c r="L31" s="656">
        <v>0</v>
      </c>
    </row>
    <row r="32" spans="1:12" ht="31.5" x14ac:dyDescent="0.25">
      <c r="A32" s="651" t="s">
        <v>3337</v>
      </c>
      <c r="B32" s="652">
        <v>2021</v>
      </c>
      <c r="C32" s="651" t="s">
        <v>710</v>
      </c>
      <c r="D32" s="651" t="s">
        <v>3360</v>
      </c>
      <c r="E32" s="651" t="s">
        <v>2</v>
      </c>
      <c r="F32" s="653">
        <v>274215.13</v>
      </c>
      <c r="G32" s="651" t="s">
        <v>650</v>
      </c>
      <c r="H32" s="654"/>
      <c r="I32" s="653">
        <v>297132.5</v>
      </c>
      <c r="J32" s="653">
        <v>-22917.380859375</v>
      </c>
      <c r="K32" s="653">
        <v>274215.125</v>
      </c>
      <c r="L32" s="656">
        <v>274215.13</v>
      </c>
    </row>
    <row r="33" spans="1:12" ht="31.5" x14ac:dyDescent="0.25">
      <c r="A33" s="651" t="s">
        <v>3337</v>
      </c>
      <c r="B33" s="652">
        <v>2021</v>
      </c>
      <c r="C33" s="651" t="s">
        <v>712</v>
      </c>
      <c r="D33" s="651" t="s">
        <v>3361</v>
      </c>
      <c r="E33" s="651" t="s">
        <v>3</v>
      </c>
      <c r="F33" s="653">
        <v>572044.57999999996</v>
      </c>
      <c r="G33" s="651" t="s">
        <v>650</v>
      </c>
      <c r="H33" s="654"/>
      <c r="I33" s="653">
        <v>575812.8125</v>
      </c>
      <c r="J33" s="653">
        <v>-3768.25</v>
      </c>
      <c r="K33" s="653">
        <v>572044.5625</v>
      </c>
      <c r="L33" s="656">
        <v>572044.57999999996</v>
      </c>
    </row>
    <row r="34" spans="1:12" ht="31.5" x14ac:dyDescent="0.25">
      <c r="A34" s="651" t="s">
        <v>3337</v>
      </c>
      <c r="B34" s="652">
        <v>2021</v>
      </c>
      <c r="C34" s="651" t="s">
        <v>714</v>
      </c>
      <c r="D34" s="651" t="s">
        <v>3362</v>
      </c>
      <c r="E34" s="651" t="s">
        <v>38</v>
      </c>
      <c r="F34" s="653">
        <v>-745640.5</v>
      </c>
      <c r="G34" s="651" t="s">
        <v>650</v>
      </c>
      <c r="H34" s="654"/>
      <c r="I34" s="653">
        <v>-747854.6875</v>
      </c>
      <c r="J34" s="653">
        <v>2214.18994140625</v>
      </c>
      <c r="K34" s="653">
        <v>-745640.5</v>
      </c>
      <c r="L34" s="656">
        <v>-745640.5</v>
      </c>
    </row>
    <row r="35" spans="1:12" ht="21" x14ac:dyDescent="0.25">
      <c r="A35" s="651" t="s">
        <v>3337</v>
      </c>
      <c r="B35" s="652">
        <v>2021</v>
      </c>
      <c r="C35" s="651" t="s">
        <v>716</v>
      </c>
      <c r="D35" s="651" t="s">
        <v>3363</v>
      </c>
      <c r="E35" s="651" t="s">
        <v>66</v>
      </c>
      <c r="F35" s="653">
        <v>2636283.65</v>
      </c>
      <c r="G35" s="651" t="s">
        <v>650</v>
      </c>
      <c r="H35" s="654"/>
      <c r="I35" s="653">
        <v>2607701.75</v>
      </c>
      <c r="J35" s="653">
        <v>28581.9296875</v>
      </c>
      <c r="K35" s="653">
        <v>2636283.75</v>
      </c>
      <c r="L35" s="656">
        <v>2636283.65</v>
      </c>
    </row>
    <row r="36" spans="1:12" ht="31.5" x14ac:dyDescent="0.25">
      <c r="A36" s="651" t="s">
        <v>3337</v>
      </c>
      <c r="B36" s="652">
        <v>2021</v>
      </c>
      <c r="C36" s="651" t="s">
        <v>718</v>
      </c>
      <c r="D36" s="651" t="s">
        <v>3364</v>
      </c>
      <c r="E36" s="651" t="s">
        <v>720</v>
      </c>
      <c r="F36" s="653">
        <v>-150123.82</v>
      </c>
      <c r="G36" s="654"/>
      <c r="H36" s="651" t="s">
        <v>650</v>
      </c>
      <c r="I36" s="655"/>
      <c r="J36" s="655"/>
      <c r="K36" s="653">
        <v>0</v>
      </c>
      <c r="L36" s="656">
        <v>-150123.82</v>
      </c>
    </row>
    <row r="37" spans="1:12" ht="42" x14ac:dyDescent="0.25">
      <c r="A37" s="651" t="s">
        <v>3337</v>
      </c>
      <c r="B37" s="652">
        <v>2021</v>
      </c>
      <c r="C37" s="651" t="s">
        <v>721</v>
      </c>
      <c r="D37" s="651" t="s">
        <v>3365</v>
      </c>
      <c r="E37" s="651" t="s">
        <v>3016</v>
      </c>
      <c r="F37" s="653">
        <v>0</v>
      </c>
      <c r="G37" s="651" t="s">
        <v>650</v>
      </c>
      <c r="H37" s="654"/>
      <c r="I37" s="653">
        <v>30802</v>
      </c>
      <c r="J37" s="655"/>
      <c r="K37" s="653">
        <v>30802</v>
      </c>
      <c r="L37" s="656">
        <v>30802</v>
      </c>
    </row>
    <row r="38" spans="1:12" ht="42" x14ac:dyDescent="0.25">
      <c r="A38" s="651" t="s">
        <v>3337</v>
      </c>
      <c r="B38" s="652">
        <v>2021</v>
      </c>
      <c r="C38" s="651" t="s">
        <v>721</v>
      </c>
      <c r="D38" s="651" t="s">
        <v>3365</v>
      </c>
      <c r="E38" s="651" t="s">
        <v>3058</v>
      </c>
      <c r="F38" s="653">
        <v>0</v>
      </c>
      <c r="G38" s="651" t="s">
        <v>650</v>
      </c>
      <c r="H38" s="654"/>
      <c r="I38" s="655"/>
      <c r="J38" s="655"/>
      <c r="K38" s="653">
        <v>0</v>
      </c>
      <c r="L38" s="656">
        <v>0</v>
      </c>
    </row>
    <row r="39" spans="1:12" ht="42" x14ac:dyDescent="0.25">
      <c r="A39" s="651" t="s">
        <v>3337</v>
      </c>
      <c r="B39" s="652">
        <v>2021</v>
      </c>
      <c r="C39" s="651" t="s">
        <v>721</v>
      </c>
      <c r="D39" s="651" t="s">
        <v>3366</v>
      </c>
      <c r="E39" s="651" t="s">
        <v>724</v>
      </c>
      <c r="F39" s="653">
        <v>0</v>
      </c>
      <c r="G39" s="651" t="s">
        <v>650</v>
      </c>
      <c r="H39" s="654"/>
      <c r="I39" s="655"/>
      <c r="J39" s="655"/>
      <c r="K39" s="653">
        <v>0</v>
      </c>
      <c r="L39" s="656">
        <v>0</v>
      </c>
    </row>
    <row r="40" spans="1:12" ht="42" x14ac:dyDescent="0.25">
      <c r="A40" s="651" t="s">
        <v>3337</v>
      </c>
      <c r="B40" s="652">
        <v>2021</v>
      </c>
      <c r="C40" s="651" t="s">
        <v>721</v>
      </c>
      <c r="D40" s="651" t="s">
        <v>3367</v>
      </c>
      <c r="E40" s="651" t="s">
        <v>55</v>
      </c>
      <c r="F40" s="653">
        <v>0</v>
      </c>
      <c r="G40" s="651" t="s">
        <v>650</v>
      </c>
      <c r="H40" s="654"/>
      <c r="I40" s="655"/>
      <c r="J40" s="655"/>
      <c r="K40" s="653">
        <v>0</v>
      </c>
      <c r="L40" s="656">
        <v>0</v>
      </c>
    </row>
    <row r="41" spans="1:12" ht="42" x14ac:dyDescent="0.25">
      <c r="A41" s="651" t="s">
        <v>3337</v>
      </c>
      <c r="B41" s="652">
        <v>2021</v>
      </c>
      <c r="C41" s="651" t="s">
        <v>721</v>
      </c>
      <c r="D41" s="651" t="s">
        <v>3368</v>
      </c>
      <c r="E41" s="651" t="s">
        <v>56</v>
      </c>
      <c r="F41" s="653">
        <v>0</v>
      </c>
      <c r="G41" s="651" t="s">
        <v>650</v>
      </c>
      <c r="H41" s="654"/>
      <c r="I41" s="655"/>
      <c r="J41" s="655"/>
      <c r="K41" s="653">
        <v>0</v>
      </c>
      <c r="L41" s="656">
        <v>0</v>
      </c>
    </row>
    <row r="42" spans="1:12" ht="42" x14ac:dyDescent="0.25">
      <c r="A42" s="651" t="s">
        <v>3337</v>
      </c>
      <c r="B42" s="652">
        <v>2021</v>
      </c>
      <c r="C42" s="651" t="s">
        <v>721</v>
      </c>
      <c r="D42" s="651" t="s">
        <v>3369</v>
      </c>
      <c r="E42" s="651" t="s">
        <v>728</v>
      </c>
      <c r="F42" s="653">
        <v>0</v>
      </c>
      <c r="G42" s="651" t="s">
        <v>650</v>
      </c>
      <c r="H42" s="654"/>
      <c r="I42" s="655"/>
      <c r="J42" s="655"/>
      <c r="K42" s="653">
        <v>0</v>
      </c>
      <c r="L42" s="656">
        <v>0</v>
      </c>
    </row>
    <row r="43" spans="1:12" ht="42" x14ac:dyDescent="0.25">
      <c r="A43" s="651" t="s">
        <v>3337</v>
      </c>
      <c r="B43" s="652">
        <v>2021</v>
      </c>
      <c r="C43" s="651" t="s">
        <v>721</v>
      </c>
      <c r="D43" s="651" t="s">
        <v>3370</v>
      </c>
      <c r="E43" s="651" t="s">
        <v>730</v>
      </c>
      <c r="F43" s="653">
        <v>0</v>
      </c>
      <c r="G43" s="651" t="s">
        <v>650</v>
      </c>
      <c r="H43" s="654"/>
      <c r="I43" s="655"/>
      <c r="J43" s="653">
        <v>-21.469999313354499</v>
      </c>
      <c r="K43" s="653">
        <v>-21.469999313354499</v>
      </c>
      <c r="L43" s="656">
        <v>-21.47</v>
      </c>
    </row>
    <row r="44" spans="1:12" ht="42" x14ac:dyDescent="0.25">
      <c r="A44" s="651" t="s">
        <v>3337</v>
      </c>
      <c r="B44" s="652">
        <v>2021</v>
      </c>
      <c r="C44" s="651" t="s">
        <v>721</v>
      </c>
      <c r="D44" s="651" t="s">
        <v>3371</v>
      </c>
      <c r="E44" s="651" t="s">
        <v>142</v>
      </c>
      <c r="F44" s="653">
        <v>0</v>
      </c>
      <c r="G44" s="651" t="s">
        <v>650</v>
      </c>
      <c r="H44" s="654"/>
      <c r="I44" s="655"/>
      <c r="J44" s="653">
        <v>0.46000000834464999</v>
      </c>
      <c r="K44" s="653">
        <v>0.46000000834464999</v>
      </c>
      <c r="L44" s="656">
        <v>0.46</v>
      </c>
    </row>
    <row r="45" spans="1:12" ht="42" x14ac:dyDescent="0.25">
      <c r="A45" s="651" t="s">
        <v>3337</v>
      </c>
      <c r="B45" s="652">
        <v>2021</v>
      </c>
      <c r="C45" s="651" t="s">
        <v>721</v>
      </c>
      <c r="D45" s="651" t="s">
        <v>3372</v>
      </c>
      <c r="E45" s="651" t="s">
        <v>143</v>
      </c>
      <c r="F45" s="653">
        <v>0</v>
      </c>
      <c r="G45" s="651" t="s">
        <v>650</v>
      </c>
      <c r="H45" s="654"/>
      <c r="I45" s="655"/>
      <c r="J45" s="655"/>
      <c r="K45" s="653">
        <v>0</v>
      </c>
      <c r="L45" s="656">
        <v>0</v>
      </c>
    </row>
    <row r="46" spans="1:12" ht="42" x14ac:dyDescent="0.25">
      <c r="A46" s="651" t="s">
        <v>3337</v>
      </c>
      <c r="B46" s="652">
        <v>2021</v>
      </c>
      <c r="C46" s="651" t="s">
        <v>721</v>
      </c>
      <c r="D46" s="651" t="s">
        <v>3373</v>
      </c>
      <c r="E46" s="651" t="s">
        <v>182</v>
      </c>
      <c r="F46" s="653">
        <v>0</v>
      </c>
      <c r="G46" s="651" t="s">
        <v>650</v>
      </c>
      <c r="H46" s="654"/>
      <c r="I46" s="653">
        <v>260634.375</v>
      </c>
      <c r="J46" s="653">
        <v>83735.7734375</v>
      </c>
      <c r="K46" s="653">
        <v>344370.125</v>
      </c>
      <c r="L46" s="656">
        <v>344370.14</v>
      </c>
    </row>
    <row r="47" spans="1:12" ht="42" x14ac:dyDescent="0.25">
      <c r="A47" s="651" t="s">
        <v>3337</v>
      </c>
      <c r="B47" s="652">
        <v>2021</v>
      </c>
      <c r="C47" s="651" t="s">
        <v>721</v>
      </c>
      <c r="D47" s="651" t="s">
        <v>3374</v>
      </c>
      <c r="E47" s="651" t="s">
        <v>394</v>
      </c>
      <c r="F47" s="653">
        <v>0</v>
      </c>
      <c r="G47" s="651" t="s">
        <v>650</v>
      </c>
      <c r="H47" s="654"/>
      <c r="I47" s="653">
        <v>64938.94921875</v>
      </c>
      <c r="J47" s="653">
        <v>82897.921875</v>
      </c>
      <c r="K47" s="653">
        <v>147836.875</v>
      </c>
      <c r="L47" s="656">
        <v>147836.87</v>
      </c>
    </row>
    <row r="48" spans="1:12" ht="42" x14ac:dyDescent="0.25">
      <c r="A48" s="651" t="s">
        <v>3337</v>
      </c>
      <c r="B48" s="652">
        <v>2021</v>
      </c>
      <c r="C48" s="651" t="s">
        <v>721</v>
      </c>
      <c r="D48" s="651" t="s">
        <v>3375</v>
      </c>
      <c r="E48" s="651" t="s">
        <v>423</v>
      </c>
      <c r="F48" s="653">
        <v>0</v>
      </c>
      <c r="G48" s="651" t="s">
        <v>650</v>
      </c>
      <c r="H48" s="654"/>
      <c r="I48" s="655"/>
      <c r="J48" s="655"/>
      <c r="K48" s="653">
        <v>0</v>
      </c>
      <c r="L48" s="656">
        <v>0</v>
      </c>
    </row>
    <row r="49" spans="1:12" ht="42" x14ac:dyDescent="0.25">
      <c r="A49" s="651" t="s">
        <v>3337</v>
      </c>
      <c r="B49" s="652">
        <v>2021</v>
      </c>
      <c r="C49" s="651" t="s">
        <v>721</v>
      </c>
      <c r="D49" s="651" t="s">
        <v>3376</v>
      </c>
      <c r="E49" s="651" t="s">
        <v>441</v>
      </c>
      <c r="F49" s="653">
        <v>0</v>
      </c>
      <c r="G49" s="651" t="s">
        <v>650</v>
      </c>
      <c r="H49" s="654"/>
      <c r="I49" s="653">
        <v>33871.26953125</v>
      </c>
      <c r="J49" s="653">
        <v>-7370.85009765625</v>
      </c>
      <c r="K49" s="653">
        <v>26500.419921875</v>
      </c>
      <c r="L49" s="656">
        <v>26500.42</v>
      </c>
    </row>
    <row r="50" spans="1:12" ht="42" x14ac:dyDescent="0.25">
      <c r="A50" s="651" t="s">
        <v>3337</v>
      </c>
      <c r="B50" s="652">
        <v>2021</v>
      </c>
      <c r="C50" s="651" t="s">
        <v>721</v>
      </c>
      <c r="D50" s="651" t="s">
        <v>3377</v>
      </c>
      <c r="E50" s="651" t="s">
        <v>737</v>
      </c>
      <c r="F50" s="653">
        <v>549488.42000000004</v>
      </c>
      <c r="G50" s="654"/>
      <c r="H50" s="654"/>
      <c r="I50" s="655"/>
      <c r="J50" s="655"/>
      <c r="K50" s="653">
        <v>0</v>
      </c>
      <c r="L50" s="656">
        <v>549488.42000000004</v>
      </c>
    </row>
    <row r="51" spans="1:12" ht="14.5" x14ac:dyDescent="0.25">
      <c r="A51" s="651" t="s">
        <v>3337</v>
      </c>
      <c r="B51" s="652">
        <v>2021</v>
      </c>
      <c r="C51" s="651" t="s">
        <v>738</v>
      </c>
      <c r="D51" s="651" t="s">
        <v>3378</v>
      </c>
      <c r="E51" s="651" t="s">
        <v>7</v>
      </c>
      <c r="F51" s="653">
        <v>0</v>
      </c>
      <c r="G51" s="654"/>
      <c r="H51" s="651" t="s">
        <v>650</v>
      </c>
      <c r="I51" s="655"/>
      <c r="J51" s="655"/>
      <c r="K51" s="653">
        <v>0</v>
      </c>
      <c r="L51" s="656">
        <v>0</v>
      </c>
    </row>
    <row r="52" spans="1:12" ht="21" x14ac:dyDescent="0.25">
      <c r="A52" s="651" t="s">
        <v>197</v>
      </c>
      <c r="B52" s="652">
        <v>2021</v>
      </c>
      <c r="C52" s="651" t="s">
        <v>647</v>
      </c>
      <c r="D52" s="651" t="s">
        <v>648</v>
      </c>
      <c r="E52" s="651" t="s">
        <v>649</v>
      </c>
      <c r="F52" s="653">
        <v>-3656851.93</v>
      </c>
      <c r="G52" s="654"/>
      <c r="H52" s="651" t="s">
        <v>650</v>
      </c>
      <c r="I52" s="655"/>
      <c r="J52" s="655"/>
      <c r="K52" s="653">
        <v>0</v>
      </c>
      <c r="L52" s="656">
        <v>-3656851.93</v>
      </c>
    </row>
    <row r="53" spans="1:12" ht="14.5" x14ac:dyDescent="0.25">
      <c r="A53" s="651" t="s">
        <v>197</v>
      </c>
      <c r="B53" s="652">
        <v>2021</v>
      </c>
      <c r="C53" s="651" t="s">
        <v>651</v>
      </c>
      <c r="D53" s="651" t="s">
        <v>652</v>
      </c>
      <c r="E53" s="651" t="s">
        <v>653</v>
      </c>
      <c r="F53" s="653">
        <v>1529234.6</v>
      </c>
      <c r="G53" s="654"/>
      <c r="H53" s="651" t="s">
        <v>650</v>
      </c>
      <c r="I53" s="655"/>
      <c r="J53" s="655"/>
      <c r="K53" s="653">
        <v>0</v>
      </c>
      <c r="L53" s="656">
        <v>1529234.6</v>
      </c>
    </row>
    <row r="54" spans="1:12" ht="42" x14ac:dyDescent="0.25">
      <c r="A54" s="651" t="s">
        <v>197</v>
      </c>
      <c r="B54" s="652">
        <v>2021</v>
      </c>
      <c r="C54" s="651" t="s">
        <v>654</v>
      </c>
      <c r="D54" s="651" t="s">
        <v>655</v>
      </c>
      <c r="E54" s="651" t="s">
        <v>445</v>
      </c>
      <c r="F54" s="653">
        <v>-161252.03</v>
      </c>
      <c r="G54" s="654"/>
      <c r="H54" s="651" t="s">
        <v>650</v>
      </c>
      <c r="I54" s="655"/>
      <c r="J54" s="655"/>
      <c r="K54" s="653">
        <v>0</v>
      </c>
      <c r="L54" s="656">
        <v>-161252.03</v>
      </c>
    </row>
    <row r="55" spans="1:12" ht="21" x14ac:dyDescent="0.25">
      <c r="A55" s="651" t="s">
        <v>197</v>
      </c>
      <c r="B55" s="652">
        <v>2021</v>
      </c>
      <c r="C55" s="651" t="s">
        <v>656</v>
      </c>
      <c r="D55" s="651" t="s">
        <v>657</v>
      </c>
      <c r="E55" s="651" t="s">
        <v>658</v>
      </c>
      <c r="F55" s="653">
        <v>4552.82</v>
      </c>
      <c r="G55" s="654"/>
      <c r="H55" s="651" t="s">
        <v>650</v>
      </c>
      <c r="I55" s="655"/>
      <c r="J55" s="655"/>
      <c r="K55" s="653">
        <v>0</v>
      </c>
      <c r="L55" s="656">
        <v>4552.82</v>
      </c>
    </row>
    <row r="56" spans="1:12" ht="31.5" x14ac:dyDescent="0.25">
      <c r="A56" s="651" t="s">
        <v>197</v>
      </c>
      <c r="B56" s="652">
        <v>2021</v>
      </c>
      <c r="C56" s="651" t="s">
        <v>659</v>
      </c>
      <c r="D56" s="651" t="s">
        <v>660</v>
      </c>
      <c r="E56" s="651" t="s">
        <v>661</v>
      </c>
      <c r="F56" s="653">
        <v>942564.33</v>
      </c>
      <c r="G56" s="654"/>
      <c r="H56" s="651" t="s">
        <v>650</v>
      </c>
      <c r="I56" s="655"/>
      <c r="J56" s="655"/>
      <c r="K56" s="653">
        <v>0</v>
      </c>
      <c r="L56" s="656">
        <v>942564.33</v>
      </c>
    </row>
    <row r="57" spans="1:12" ht="21" x14ac:dyDescent="0.25">
      <c r="A57" s="651" t="s">
        <v>197</v>
      </c>
      <c r="B57" s="652">
        <v>2021</v>
      </c>
      <c r="C57" s="651" t="s">
        <v>662</v>
      </c>
      <c r="D57" s="651" t="s">
        <v>663</v>
      </c>
      <c r="E57" s="651" t="s">
        <v>664</v>
      </c>
      <c r="F57" s="653">
        <v>710817.25</v>
      </c>
      <c r="G57" s="654"/>
      <c r="H57" s="651" t="s">
        <v>650</v>
      </c>
      <c r="I57" s="655"/>
      <c r="J57" s="655"/>
      <c r="K57" s="653">
        <v>0</v>
      </c>
      <c r="L57" s="656">
        <v>710817.25</v>
      </c>
    </row>
    <row r="58" spans="1:12" ht="31.5" x14ac:dyDescent="0.25">
      <c r="A58" s="651" t="s">
        <v>197</v>
      </c>
      <c r="B58" s="652">
        <v>2021</v>
      </c>
      <c r="C58" s="651" t="s">
        <v>665</v>
      </c>
      <c r="D58" s="651" t="s">
        <v>666</v>
      </c>
      <c r="E58" s="651" t="s">
        <v>667</v>
      </c>
      <c r="F58" s="653">
        <v>-747029.25</v>
      </c>
      <c r="G58" s="654"/>
      <c r="H58" s="651" t="s">
        <v>650</v>
      </c>
      <c r="I58" s="655"/>
      <c r="J58" s="655"/>
      <c r="K58" s="653">
        <v>0</v>
      </c>
      <c r="L58" s="656">
        <v>-747029.25</v>
      </c>
    </row>
    <row r="59" spans="1:12" ht="21" x14ac:dyDescent="0.25">
      <c r="A59" s="651" t="s">
        <v>197</v>
      </c>
      <c r="B59" s="652">
        <v>2021</v>
      </c>
      <c r="C59" s="651" t="s">
        <v>668</v>
      </c>
      <c r="D59" s="651" t="s">
        <v>669</v>
      </c>
      <c r="E59" s="651" t="s">
        <v>12</v>
      </c>
      <c r="F59" s="653">
        <v>0</v>
      </c>
      <c r="G59" s="654"/>
      <c r="H59" s="651" t="s">
        <v>650</v>
      </c>
      <c r="I59" s="655"/>
      <c r="J59" s="655"/>
      <c r="K59" s="653">
        <v>0</v>
      </c>
      <c r="L59" s="656">
        <v>0</v>
      </c>
    </row>
    <row r="60" spans="1:12" ht="21" x14ac:dyDescent="0.25">
      <c r="A60" s="651" t="s">
        <v>197</v>
      </c>
      <c r="B60" s="652">
        <v>2021</v>
      </c>
      <c r="C60" s="651" t="s">
        <v>670</v>
      </c>
      <c r="D60" s="651" t="s">
        <v>671</v>
      </c>
      <c r="E60" s="651" t="s">
        <v>13</v>
      </c>
      <c r="F60" s="653">
        <v>2937825.65</v>
      </c>
      <c r="G60" s="654"/>
      <c r="H60" s="651" t="s">
        <v>650</v>
      </c>
      <c r="I60" s="655"/>
      <c r="J60" s="655"/>
      <c r="K60" s="653">
        <v>0</v>
      </c>
      <c r="L60" s="656">
        <v>2937825.65</v>
      </c>
    </row>
    <row r="61" spans="1:12" ht="21" x14ac:dyDescent="0.25">
      <c r="A61" s="651" t="s">
        <v>197</v>
      </c>
      <c r="B61" s="652">
        <v>2021</v>
      </c>
      <c r="C61" s="651" t="s">
        <v>672</v>
      </c>
      <c r="D61" s="651" t="s">
        <v>673</v>
      </c>
      <c r="E61" s="651" t="s">
        <v>15</v>
      </c>
      <c r="F61" s="653">
        <v>-6886.18</v>
      </c>
      <c r="G61" s="654"/>
      <c r="H61" s="651" t="s">
        <v>650</v>
      </c>
      <c r="I61" s="655"/>
      <c r="J61" s="655"/>
      <c r="K61" s="653">
        <v>0</v>
      </c>
      <c r="L61" s="656">
        <v>-6886.18</v>
      </c>
    </row>
    <row r="62" spans="1:12" ht="14.5" x14ac:dyDescent="0.25">
      <c r="A62" s="651" t="s">
        <v>197</v>
      </c>
      <c r="B62" s="652">
        <v>2021</v>
      </c>
      <c r="C62" s="651" t="s">
        <v>674</v>
      </c>
      <c r="D62" s="651" t="s">
        <v>675</v>
      </c>
      <c r="E62" s="651" t="s">
        <v>676</v>
      </c>
      <c r="F62" s="653">
        <v>564138.35</v>
      </c>
      <c r="G62" s="654"/>
      <c r="H62" s="651" t="s">
        <v>650</v>
      </c>
      <c r="I62" s="655"/>
      <c r="J62" s="655"/>
      <c r="K62" s="653">
        <v>0</v>
      </c>
      <c r="L62" s="656">
        <v>564138.35</v>
      </c>
    </row>
    <row r="63" spans="1:12" ht="14.5" x14ac:dyDescent="0.25">
      <c r="A63" s="651" t="s">
        <v>197</v>
      </c>
      <c r="B63" s="652">
        <v>2021</v>
      </c>
      <c r="C63" s="651" t="s">
        <v>677</v>
      </c>
      <c r="D63" s="651" t="s">
        <v>678</v>
      </c>
      <c r="E63" s="651" t="s">
        <v>23</v>
      </c>
      <c r="F63" s="653">
        <v>16749267.369999999</v>
      </c>
      <c r="G63" s="651" t="s">
        <v>650</v>
      </c>
      <c r="H63" s="654"/>
      <c r="I63" s="653">
        <v>16541152</v>
      </c>
      <c r="J63" s="653">
        <v>208115.28125</v>
      </c>
      <c r="K63" s="653">
        <v>16749267</v>
      </c>
      <c r="L63" s="656">
        <v>16749267.369999999</v>
      </c>
    </row>
    <row r="64" spans="1:12" ht="31.5" x14ac:dyDescent="0.25">
      <c r="A64" s="651" t="s">
        <v>197</v>
      </c>
      <c r="B64" s="652">
        <v>2021</v>
      </c>
      <c r="C64" s="651" t="s">
        <v>679</v>
      </c>
      <c r="D64" s="651" t="s">
        <v>680</v>
      </c>
      <c r="E64" s="651" t="s">
        <v>131</v>
      </c>
      <c r="F64" s="653">
        <v>-696333.35</v>
      </c>
      <c r="G64" s="651" t="s">
        <v>650</v>
      </c>
      <c r="H64" s="654"/>
      <c r="I64" s="653">
        <v>-671806.4375</v>
      </c>
      <c r="J64" s="653">
        <v>-24526.9296875</v>
      </c>
      <c r="K64" s="653">
        <v>-696333.375</v>
      </c>
      <c r="L64" s="656">
        <v>-696333.35</v>
      </c>
    </row>
    <row r="65" spans="1:12" ht="31.5" x14ac:dyDescent="0.25">
      <c r="A65" s="651" t="s">
        <v>197</v>
      </c>
      <c r="B65" s="652">
        <v>2021</v>
      </c>
      <c r="C65" s="651" t="s">
        <v>681</v>
      </c>
      <c r="D65" s="651" t="s">
        <v>682</v>
      </c>
      <c r="E65" s="651" t="s">
        <v>683</v>
      </c>
      <c r="F65" s="653">
        <v>433596.72</v>
      </c>
      <c r="G65" s="654"/>
      <c r="H65" s="651" t="s">
        <v>650</v>
      </c>
      <c r="I65" s="655"/>
      <c r="J65" s="655"/>
      <c r="K65" s="653">
        <v>0</v>
      </c>
      <c r="L65" s="656">
        <v>433596.72</v>
      </c>
    </row>
    <row r="66" spans="1:12" ht="21" x14ac:dyDescent="0.25">
      <c r="A66" s="651" t="s">
        <v>197</v>
      </c>
      <c r="B66" s="652">
        <v>2021</v>
      </c>
      <c r="C66" s="651" t="s">
        <v>681</v>
      </c>
      <c r="D66" s="651" t="s">
        <v>682</v>
      </c>
      <c r="E66" s="651" t="s">
        <v>684</v>
      </c>
      <c r="F66" s="653">
        <v>433596.72</v>
      </c>
      <c r="G66" s="654"/>
      <c r="H66" s="651" t="s">
        <v>650</v>
      </c>
      <c r="I66" s="655"/>
      <c r="J66" s="655"/>
      <c r="K66" s="653">
        <v>0</v>
      </c>
      <c r="L66" s="656">
        <v>433596.72</v>
      </c>
    </row>
    <row r="67" spans="1:12" ht="21" x14ac:dyDescent="0.25">
      <c r="A67" s="651" t="s">
        <v>197</v>
      </c>
      <c r="B67" s="652">
        <v>2021</v>
      </c>
      <c r="C67" s="651" t="s">
        <v>685</v>
      </c>
      <c r="D67" s="651" t="s">
        <v>686</v>
      </c>
      <c r="E67" s="651" t="s">
        <v>687</v>
      </c>
      <c r="F67" s="653">
        <v>10045651.58</v>
      </c>
      <c r="G67" s="654"/>
      <c r="H67" s="651" t="s">
        <v>650</v>
      </c>
      <c r="I67" s="655"/>
      <c r="J67" s="655"/>
      <c r="K67" s="653">
        <v>0</v>
      </c>
      <c r="L67" s="656">
        <v>10045651.58</v>
      </c>
    </row>
    <row r="68" spans="1:12" ht="14.5" x14ac:dyDescent="0.25">
      <c r="A68" s="651" t="s">
        <v>197</v>
      </c>
      <c r="B68" s="652">
        <v>2021</v>
      </c>
      <c r="C68" s="651" t="s">
        <v>688</v>
      </c>
      <c r="D68" s="651" t="s">
        <v>689</v>
      </c>
      <c r="E68" s="651" t="s">
        <v>50</v>
      </c>
      <c r="F68" s="653">
        <v>26814937.09</v>
      </c>
      <c r="G68" s="654"/>
      <c r="H68" s="651" t="s">
        <v>650</v>
      </c>
      <c r="I68" s="655"/>
      <c r="J68" s="655"/>
      <c r="K68" s="653">
        <v>0</v>
      </c>
      <c r="L68" s="656">
        <v>26814937.09</v>
      </c>
    </row>
    <row r="69" spans="1:12" ht="21" x14ac:dyDescent="0.25">
      <c r="A69" s="651" t="s">
        <v>197</v>
      </c>
      <c r="B69" s="652">
        <v>2021</v>
      </c>
      <c r="C69" s="651" t="s">
        <v>690</v>
      </c>
      <c r="D69" s="651" t="s">
        <v>691</v>
      </c>
      <c r="E69" s="651" t="s">
        <v>692</v>
      </c>
      <c r="F69" s="653">
        <v>0</v>
      </c>
      <c r="G69" s="654"/>
      <c r="H69" s="651" t="s">
        <v>650</v>
      </c>
      <c r="I69" s="655"/>
      <c r="J69" s="655"/>
      <c r="K69" s="653">
        <v>0</v>
      </c>
      <c r="L69" s="656">
        <v>0</v>
      </c>
    </row>
    <row r="70" spans="1:12" ht="21" x14ac:dyDescent="0.25">
      <c r="A70" s="651" t="s">
        <v>197</v>
      </c>
      <c r="B70" s="652">
        <v>2021</v>
      </c>
      <c r="C70" s="651" t="s">
        <v>693</v>
      </c>
      <c r="D70" s="651" t="s">
        <v>694</v>
      </c>
      <c r="E70" s="651" t="s">
        <v>6</v>
      </c>
      <c r="F70" s="653">
        <v>0</v>
      </c>
      <c r="G70" s="654"/>
      <c r="H70" s="651" t="s">
        <v>650</v>
      </c>
      <c r="I70" s="655"/>
      <c r="J70" s="655"/>
      <c r="K70" s="653">
        <v>0</v>
      </c>
      <c r="L70" s="656">
        <v>0</v>
      </c>
    </row>
    <row r="71" spans="1:12" ht="31.5" x14ac:dyDescent="0.25">
      <c r="A71" s="651" t="s">
        <v>197</v>
      </c>
      <c r="B71" s="652">
        <v>2021</v>
      </c>
      <c r="C71" s="651" t="s">
        <v>695</v>
      </c>
      <c r="D71" s="651" t="s">
        <v>696</v>
      </c>
      <c r="E71" s="651" t="s">
        <v>697</v>
      </c>
      <c r="F71" s="653">
        <v>0</v>
      </c>
      <c r="G71" s="654"/>
      <c r="H71" s="651" t="s">
        <v>650</v>
      </c>
      <c r="I71" s="655"/>
      <c r="J71" s="655"/>
      <c r="K71" s="653">
        <v>0</v>
      </c>
      <c r="L71" s="656">
        <v>0</v>
      </c>
    </row>
    <row r="72" spans="1:12" ht="21" x14ac:dyDescent="0.25">
      <c r="A72" s="651" t="s">
        <v>197</v>
      </c>
      <c r="B72" s="652">
        <v>2021</v>
      </c>
      <c r="C72" s="651" t="s">
        <v>698</v>
      </c>
      <c r="D72" s="651" t="s">
        <v>699</v>
      </c>
      <c r="E72" s="651" t="s">
        <v>700</v>
      </c>
      <c r="F72" s="653">
        <v>0</v>
      </c>
      <c r="G72" s="654"/>
      <c r="H72" s="651" t="s">
        <v>650</v>
      </c>
      <c r="I72" s="655"/>
      <c r="J72" s="655"/>
      <c r="K72" s="653">
        <v>0</v>
      </c>
      <c r="L72" s="656">
        <v>0</v>
      </c>
    </row>
    <row r="73" spans="1:12" ht="21" x14ac:dyDescent="0.25">
      <c r="A73" s="651" t="s">
        <v>197</v>
      </c>
      <c r="B73" s="652">
        <v>2021</v>
      </c>
      <c r="C73" s="651" t="s">
        <v>701</v>
      </c>
      <c r="D73" s="651" t="s">
        <v>702</v>
      </c>
      <c r="E73" s="651" t="s">
        <v>1</v>
      </c>
      <c r="F73" s="653">
        <v>-22839244.23</v>
      </c>
      <c r="G73" s="651" t="s">
        <v>650</v>
      </c>
      <c r="H73" s="654"/>
      <c r="I73" s="653">
        <v>-22575748</v>
      </c>
      <c r="J73" s="653">
        <v>-263497.21875</v>
      </c>
      <c r="K73" s="653">
        <v>-22839244</v>
      </c>
      <c r="L73" s="656">
        <v>-22839244.23</v>
      </c>
    </row>
    <row r="74" spans="1:12" ht="21" x14ac:dyDescent="0.25">
      <c r="A74" s="651" t="s">
        <v>197</v>
      </c>
      <c r="B74" s="652">
        <v>2021</v>
      </c>
      <c r="C74" s="651" t="s">
        <v>701</v>
      </c>
      <c r="D74" s="651" t="s">
        <v>702</v>
      </c>
      <c r="E74" s="651" t="s">
        <v>703</v>
      </c>
      <c r="F74" s="653">
        <v>0</v>
      </c>
      <c r="G74" s="654"/>
      <c r="H74" s="654"/>
      <c r="I74" s="655"/>
      <c r="J74" s="655"/>
      <c r="K74" s="653">
        <v>0</v>
      </c>
      <c r="L74" s="656">
        <v>0</v>
      </c>
    </row>
    <row r="75" spans="1:12" ht="21" x14ac:dyDescent="0.25">
      <c r="A75" s="651" t="s">
        <v>197</v>
      </c>
      <c r="B75" s="652">
        <v>2021</v>
      </c>
      <c r="C75" s="651" t="s">
        <v>701</v>
      </c>
      <c r="D75" s="651" t="s">
        <v>702</v>
      </c>
      <c r="E75" s="651" t="s">
        <v>704</v>
      </c>
      <c r="F75" s="653">
        <v>0</v>
      </c>
      <c r="G75" s="654"/>
      <c r="H75" s="654"/>
      <c r="I75" s="655"/>
      <c r="J75" s="655"/>
      <c r="K75" s="653">
        <v>0</v>
      </c>
      <c r="L75" s="656">
        <v>0</v>
      </c>
    </row>
    <row r="76" spans="1:12" ht="21" x14ac:dyDescent="0.25">
      <c r="A76" s="651" t="s">
        <v>197</v>
      </c>
      <c r="B76" s="652">
        <v>2021</v>
      </c>
      <c r="C76" s="651" t="s">
        <v>701</v>
      </c>
      <c r="D76" s="651" t="s">
        <v>702</v>
      </c>
      <c r="E76" s="651" t="s">
        <v>705</v>
      </c>
      <c r="F76" s="653">
        <v>-68675.69</v>
      </c>
      <c r="G76" s="654"/>
      <c r="H76" s="654"/>
      <c r="I76" s="655"/>
      <c r="J76" s="655"/>
      <c r="K76" s="653">
        <v>0</v>
      </c>
      <c r="L76" s="656">
        <v>-68675.69</v>
      </c>
    </row>
    <row r="77" spans="1:12" ht="21" x14ac:dyDescent="0.25">
      <c r="A77" s="651" t="s">
        <v>197</v>
      </c>
      <c r="B77" s="652">
        <v>2021</v>
      </c>
      <c r="C77" s="651" t="s">
        <v>701</v>
      </c>
      <c r="D77" s="651" t="s">
        <v>702</v>
      </c>
      <c r="E77" s="651" t="s">
        <v>706</v>
      </c>
      <c r="F77" s="653">
        <v>-2534364.37</v>
      </c>
      <c r="G77" s="654"/>
      <c r="H77" s="654"/>
      <c r="I77" s="655"/>
      <c r="J77" s="655"/>
      <c r="K77" s="653">
        <v>0</v>
      </c>
      <c r="L77" s="656">
        <v>-2534364.37</v>
      </c>
    </row>
    <row r="78" spans="1:12" ht="14.5" x14ac:dyDescent="0.25">
      <c r="A78" s="651" t="s">
        <v>197</v>
      </c>
      <c r="B78" s="652">
        <v>2021</v>
      </c>
      <c r="C78" s="651" t="s">
        <v>707</v>
      </c>
      <c r="D78" s="651" t="s">
        <v>708</v>
      </c>
      <c r="E78" s="651" t="s">
        <v>709</v>
      </c>
      <c r="F78" s="653">
        <v>0</v>
      </c>
      <c r="G78" s="654"/>
      <c r="H78" s="651" t="s">
        <v>650</v>
      </c>
      <c r="I78" s="655"/>
      <c r="J78" s="655"/>
      <c r="K78" s="653">
        <v>0</v>
      </c>
      <c r="L78" s="656">
        <v>0</v>
      </c>
    </row>
    <row r="79" spans="1:12" ht="31.5" x14ac:dyDescent="0.25">
      <c r="A79" s="651" t="s">
        <v>197</v>
      </c>
      <c r="B79" s="652">
        <v>2021</v>
      </c>
      <c r="C79" s="651" t="s">
        <v>710</v>
      </c>
      <c r="D79" s="651" t="s">
        <v>711</v>
      </c>
      <c r="E79" s="651" t="s">
        <v>2</v>
      </c>
      <c r="F79" s="653">
        <v>7175509.5599999996</v>
      </c>
      <c r="G79" s="651" t="s">
        <v>650</v>
      </c>
      <c r="H79" s="654"/>
      <c r="I79" s="653">
        <v>7075810.5</v>
      </c>
      <c r="J79" s="653">
        <v>99698.8984375</v>
      </c>
      <c r="K79" s="653">
        <v>7175509.5</v>
      </c>
      <c r="L79" s="656">
        <v>7175509.5599999996</v>
      </c>
    </row>
    <row r="80" spans="1:12" ht="31.5" x14ac:dyDescent="0.25">
      <c r="A80" s="651" t="s">
        <v>197</v>
      </c>
      <c r="B80" s="652">
        <v>2021</v>
      </c>
      <c r="C80" s="651" t="s">
        <v>712</v>
      </c>
      <c r="D80" s="651" t="s">
        <v>713</v>
      </c>
      <c r="E80" s="651" t="s">
        <v>3</v>
      </c>
      <c r="F80" s="653">
        <v>-3228245.43</v>
      </c>
      <c r="G80" s="651" t="s">
        <v>650</v>
      </c>
      <c r="H80" s="654"/>
      <c r="I80" s="653">
        <v>-3290332.75</v>
      </c>
      <c r="J80" s="653">
        <v>62087.2109375</v>
      </c>
      <c r="K80" s="653">
        <v>-3228245.5</v>
      </c>
      <c r="L80" s="656">
        <v>-3228245.43</v>
      </c>
    </row>
    <row r="81" spans="1:12" ht="31.5" x14ac:dyDescent="0.25">
      <c r="A81" s="651" t="s">
        <v>197</v>
      </c>
      <c r="B81" s="652">
        <v>2021</v>
      </c>
      <c r="C81" s="651" t="s">
        <v>714</v>
      </c>
      <c r="D81" s="651" t="s">
        <v>715</v>
      </c>
      <c r="E81" s="651" t="s">
        <v>38</v>
      </c>
      <c r="F81" s="653">
        <v>5426990.2699999996</v>
      </c>
      <c r="G81" s="651" t="s">
        <v>650</v>
      </c>
      <c r="H81" s="654"/>
      <c r="I81" s="653">
        <v>5520916</v>
      </c>
      <c r="J81" s="653">
        <v>-93925.5</v>
      </c>
      <c r="K81" s="653">
        <v>5426990.5</v>
      </c>
      <c r="L81" s="656">
        <v>5426990.2699999996</v>
      </c>
    </row>
    <row r="82" spans="1:12" ht="21" x14ac:dyDescent="0.25">
      <c r="A82" s="651" t="s">
        <v>197</v>
      </c>
      <c r="B82" s="652">
        <v>2021</v>
      </c>
      <c r="C82" s="651" t="s">
        <v>716</v>
      </c>
      <c r="D82" s="651" t="s">
        <v>717</v>
      </c>
      <c r="E82" s="651" t="s">
        <v>66</v>
      </c>
      <c r="F82" s="653">
        <v>27357055.399999999</v>
      </c>
      <c r="G82" s="651" t="s">
        <v>650</v>
      </c>
      <c r="H82" s="654"/>
      <c r="I82" s="653">
        <v>26629974</v>
      </c>
      <c r="J82" s="653">
        <v>727080.4375</v>
      </c>
      <c r="K82" s="653">
        <v>27357056</v>
      </c>
      <c r="L82" s="656">
        <v>27357055.399999999</v>
      </c>
    </row>
    <row r="83" spans="1:12" ht="31.5" x14ac:dyDescent="0.25">
      <c r="A83" s="651" t="s">
        <v>197</v>
      </c>
      <c r="B83" s="652">
        <v>2021</v>
      </c>
      <c r="C83" s="651" t="s">
        <v>718</v>
      </c>
      <c r="D83" s="651" t="s">
        <v>719</v>
      </c>
      <c r="E83" s="651" t="s">
        <v>720</v>
      </c>
      <c r="F83" s="653">
        <v>-16111300.74</v>
      </c>
      <c r="G83" s="654"/>
      <c r="H83" s="651" t="s">
        <v>650</v>
      </c>
      <c r="I83" s="655"/>
      <c r="J83" s="655"/>
      <c r="K83" s="653">
        <v>0</v>
      </c>
      <c r="L83" s="656">
        <v>-16111300.74</v>
      </c>
    </row>
    <row r="84" spans="1:12" ht="42" x14ac:dyDescent="0.25">
      <c r="A84" s="651" t="s">
        <v>197</v>
      </c>
      <c r="B84" s="652">
        <v>2021</v>
      </c>
      <c r="C84" s="651" t="s">
        <v>721</v>
      </c>
      <c r="D84" s="651" t="s">
        <v>722</v>
      </c>
      <c r="E84" s="651" t="s">
        <v>3016</v>
      </c>
      <c r="F84" s="653">
        <v>0</v>
      </c>
      <c r="G84" s="651" t="s">
        <v>650</v>
      </c>
      <c r="H84" s="654"/>
      <c r="I84" s="653">
        <v>-431702.0625</v>
      </c>
      <c r="J84" s="653">
        <v>-132460.203125</v>
      </c>
      <c r="K84" s="653">
        <v>-564162.25</v>
      </c>
      <c r="L84" s="656">
        <v>-564162.27</v>
      </c>
    </row>
    <row r="85" spans="1:12" ht="42" x14ac:dyDescent="0.25">
      <c r="A85" s="651" t="s">
        <v>197</v>
      </c>
      <c r="B85" s="652">
        <v>2021</v>
      </c>
      <c r="C85" s="651" t="s">
        <v>721</v>
      </c>
      <c r="D85" s="651" t="s">
        <v>722</v>
      </c>
      <c r="E85" s="651" t="s">
        <v>3058</v>
      </c>
      <c r="F85" s="653">
        <v>0</v>
      </c>
      <c r="G85" s="651" t="s">
        <v>650</v>
      </c>
      <c r="H85" s="654"/>
      <c r="I85" s="653">
        <v>-585169.9375</v>
      </c>
      <c r="J85" s="653">
        <v>-564287.8125</v>
      </c>
      <c r="K85" s="653">
        <v>-1149457.75</v>
      </c>
      <c r="L85" s="656">
        <v>-1149457.79</v>
      </c>
    </row>
    <row r="86" spans="1:12" ht="42" x14ac:dyDescent="0.25">
      <c r="A86" s="651" t="s">
        <v>197</v>
      </c>
      <c r="B86" s="652">
        <v>2021</v>
      </c>
      <c r="C86" s="651" t="s">
        <v>721</v>
      </c>
      <c r="D86" s="651" t="s">
        <v>723</v>
      </c>
      <c r="E86" s="651" t="s">
        <v>724</v>
      </c>
      <c r="F86" s="653">
        <v>0</v>
      </c>
      <c r="G86" s="651" t="s">
        <v>650</v>
      </c>
      <c r="H86" s="654"/>
      <c r="I86" s="655"/>
      <c r="J86" s="655"/>
      <c r="K86" s="653">
        <v>0</v>
      </c>
      <c r="L86" s="656">
        <v>0</v>
      </c>
    </row>
    <row r="87" spans="1:12" ht="42" x14ac:dyDescent="0.25">
      <c r="A87" s="651" t="s">
        <v>197</v>
      </c>
      <c r="B87" s="652">
        <v>2021</v>
      </c>
      <c r="C87" s="651" t="s">
        <v>721</v>
      </c>
      <c r="D87" s="651" t="s">
        <v>725</v>
      </c>
      <c r="E87" s="651" t="s">
        <v>55</v>
      </c>
      <c r="F87" s="653">
        <v>0</v>
      </c>
      <c r="G87" s="651" t="s">
        <v>650</v>
      </c>
      <c r="H87" s="654"/>
      <c r="I87" s="655"/>
      <c r="J87" s="655"/>
      <c r="K87" s="653">
        <v>0</v>
      </c>
      <c r="L87" s="656">
        <v>0</v>
      </c>
    </row>
    <row r="88" spans="1:12" ht="42" x14ac:dyDescent="0.25">
      <c r="A88" s="651" t="s">
        <v>197</v>
      </c>
      <c r="B88" s="652">
        <v>2021</v>
      </c>
      <c r="C88" s="651" t="s">
        <v>721</v>
      </c>
      <c r="D88" s="651" t="s">
        <v>726</v>
      </c>
      <c r="E88" s="651" t="s">
        <v>56</v>
      </c>
      <c r="F88" s="653">
        <v>0</v>
      </c>
      <c r="G88" s="651" t="s">
        <v>650</v>
      </c>
      <c r="H88" s="654"/>
      <c r="I88" s="655"/>
      <c r="J88" s="655"/>
      <c r="K88" s="653">
        <v>0</v>
      </c>
      <c r="L88" s="656">
        <v>0</v>
      </c>
    </row>
    <row r="89" spans="1:12" ht="42" x14ac:dyDescent="0.25">
      <c r="A89" s="651" t="s">
        <v>197</v>
      </c>
      <c r="B89" s="652">
        <v>2021</v>
      </c>
      <c r="C89" s="651" t="s">
        <v>721</v>
      </c>
      <c r="D89" s="651" t="s">
        <v>727</v>
      </c>
      <c r="E89" s="651" t="s">
        <v>728</v>
      </c>
      <c r="F89" s="653">
        <v>0</v>
      </c>
      <c r="G89" s="651" t="s">
        <v>650</v>
      </c>
      <c r="H89" s="654"/>
      <c r="I89" s="655"/>
      <c r="J89" s="655"/>
      <c r="K89" s="653">
        <v>0</v>
      </c>
      <c r="L89" s="656">
        <v>0</v>
      </c>
    </row>
    <row r="90" spans="1:12" ht="42" x14ac:dyDescent="0.25">
      <c r="A90" s="651" t="s">
        <v>197</v>
      </c>
      <c r="B90" s="652">
        <v>2021</v>
      </c>
      <c r="C90" s="651" t="s">
        <v>721</v>
      </c>
      <c r="D90" s="651" t="s">
        <v>729</v>
      </c>
      <c r="E90" s="651" t="s">
        <v>730</v>
      </c>
      <c r="F90" s="653">
        <v>0</v>
      </c>
      <c r="G90" s="651" t="s">
        <v>650</v>
      </c>
      <c r="H90" s="654"/>
      <c r="I90" s="655"/>
      <c r="J90" s="655"/>
      <c r="K90" s="653">
        <v>0</v>
      </c>
      <c r="L90" s="656">
        <v>0</v>
      </c>
    </row>
    <row r="91" spans="1:12" ht="42" x14ac:dyDescent="0.25">
      <c r="A91" s="651" t="s">
        <v>197</v>
      </c>
      <c r="B91" s="652">
        <v>2021</v>
      </c>
      <c r="C91" s="651" t="s">
        <v>721</v>
      </c>
      <c r="D91" s="651" t="s">
        <v>731</v>
      </c>
      <c r="E91" s="651" t="s">
        <v>142</v>
      </c>
      <c r="F91" s="653">
        <v>0</v>
      </c>
      <c r="G91" s="651" t="s">
        <v>650</v>
      </c>
      <c r="H91" s="654"/>
      <c r="I91" s="655"/>
      <c r="J91" s="655"/>
      <c r="K91" s="653">
        <v>0</v>
      </c>
      <c r="L91" s="656">
        <v>0</v>
      </c>
    </row>
    <row r="92" spans="1:12" ht="42" x14ac:dyDescent="0.25">
      <c r="A92" s="651" t="s">
        <v>197</v>
      </c>
      <c r="B92" s="652">
        <v>2021</v>
      </c>
      <c r="C92" s="651" t="s">
        <v>721</v>
      </c>
      <c r="D92" s="651" t="s">
        <v>732</v>
      </c>
      <c r="E92" s="651" t="s">
        <v>143</v>
      </c>
      <c r="F92" s="653">
        <v>0</v>
      </c>
      <c r="G92" s="651" t="s">
        <v>650</v>
      </c>
      <c r="H92" s="654"/>
      <c r="I92" s="655"/>
      <c r="J92" s="655"/>
      <c r="K92" s="653">
        <v>0</v>
      </c>
      <c r="L92" s="656">
        <v>0</v>
      </c>
    </row>
    <row r="93" spans="1:12" ht="42" x14ac:dyDescent="0.25">
      <c r="A93" s="651" t="s">
        <v>197</v>
      </c>
      <c r="B93" s="652">
        <v>2021</v>
      </c>
      <c r="C93" s="651" t="s">
        <v>721</v>
      </c>
      <c r="D93" s="651" t="s">
        <v>733</v>
      </c>
      <c r="E93" s="651" t="s">
        <v>182</v>
      </c>
      <c r="F93" s="653">
        <v>0</v>
      </c>
      <c r="G93" s="651" t="s">
        <v>650</v>
      </c>
      <c r="H93" s="654"/>
      <c r="I93" s="655"/>
      <c r="J93" s="655"/>
      <c r="K93" s="653">
        <v>0</v>
      </c>
      <c r="L93" s="656">
        <v>0</v>
      </c>
    </row>
    <row r="94" spans="1:12" ht="42" x14ac:dyDescent="0.25">
      <c r="A94" s="651" t="s">
        <v>197</v>
      </c>
      <c r="B94" s="652">
        <v>2021</v>
      </c>
      <c r="C94" s="651" t="s">
        <v>721</v>
      </c>
      <c r="D94" s="651" t="s">
        <v>734</v>
      </c>
      <c r="E94" s="651" t="s">
        <v>394</v>
      </c>
      <c r="F94" s="653">
        <v>0</v>
      </c>
      <c r="G94" s="651" t="s">
        <v>650</v>
      </c>
      <c r="H94" s="654"/>
      <c r="I94" s="653">
        <v>0</v>
      </c>
      <c r="J94" s="653">
        <v>-2461.64990234375</v>
      </c>
      <c r="K94" s="653">
        <v>-2461.64990234375</v>
      </c>
      <c r="L94" s="656">
        <v>-2461.65</v>
      </c>
    </row>
    <row r="95" spans="1:12" ht="42" x14ac:dyDescent="0.25">
      <c r="A95" s="651" t="s">
        <v>197</v>
      </c>
      <c r="B95" s="652">
        <v>2021</v>
      </c>
      <c r="C95" s="651" t="s">
        <v>721</v>
      </c>
      <c r="D95" s="651" t="s">
        <v>735</v>
      </c>
      <c r="E95" s="651" t="s">
        <v>423</v>
      </c>
      <c r="F95" s="653">
        <v>0</v>
      </c>
      <c r="G95" s="651" t="s">
        <v>650</v>
      </c>
      <c r="H95" s="654"/>
      <c r="I95" s="653">
        <v>-1181378.875</v>
      </c>
      <c r="J95" s="653">
        <v>323024.84375</v>
      </c>
      <c r="K95" s="653">
        <v>-858354.0625</v>
      </c>
      <c r="L95" s="656">
        <v>-858354.07</v>
      </c>
    </row>
    <row r="96" spans="1:12" ht="42" x14ac:dyDescent="0.25">
      <c r="A96" s="651" t="s">
        <v>197</v>
      </c>
      <c r="B96" s="652">
        <v>2021</v>
      </c>
      <c r="C96" s="651" t="s">
        <v>721</v>
      </c>
      <c r="D96" s="651" t="s">
        <v>3072</v>
      </c>
      <c r="E96" s="651" t="s">
        <v>441</v>
      </c>
      <c r="F96" s="653">
        <v>0</v>
      </c>
      <c r="G96" s="651" t="s">
        <v>650</v>
      </c>
      <c r="H96" s="654"/>
      <c r="I96" s="653">
        <v>1413315.125</v>
      </c>
      <c r="J96" s="653">
        <v>-1167492.375</v>
      </c>
      <c r="K96" s="653">
        <v>245822.65625</v>
      </c>
      <c r="L96" s="656">
        <v>245822.66</v>
      </c>
    </row>
    <row r="97" spans="1:12" ht="42" x14ac:dyDescent="0.25">
      <c r="A97" s="651" t="s">
        <v>197</v>
      </c>
      <c r="B97" s="652">
        <v>2021</v>
      </c>
      <c r="C97" s="651" t="s">
        <v>721</v>
      </c>
      <c r="D97" s="651" t="s">
        <v>736</v>
      </c>
      <c r="E97" s="651" t="s">
        <v>737</v>
      </c>
      <c r="F97" s="653">
        <v>-2328613.12</v>
      </c>
      <c r="G97" s="654"/>
      <c r="H97" s="654"/>
      <c r="I97" s="655"/>
      <c r="J97" s="655"/>
      <c r="K97" s="653">
        <v>0</v>
      </c>
      <c r="L97" s="656">
        <v>-2328613.12</v>
      </c>
    </row>
    <row r="98" spans="1:12" ht="14.5" x14ac:dyDescent="0.25">
      <c r="A98" s="651" t="s">
        <v>197</v>
      </c>
      <c r="B98" s="652">
        <v>2021</v>
      </c>
      <c r="C98" s="651" t="s">
        <v>738</v>
      </c>
      <c r="D98" s="651" t="s">
        <v>739</v>
      </c>
      <c r="E98" s="651" t="s">
        <v>7</v>
      </c>
      <c r="F98" s="653">
        <v>0</v>
      </c>
      <c r="G98" s="654"/>
      <c r="H98" s="651" t="s">
        <v>650</v>
      </c>
      <c r="I98" s="655"/>
      <c r="J98" s="655"/>
      <c r="K98" s="653">
        <v>0</v>
      </c>
      <c r="L98" s="656">
        <v>0</v>
      </c>
    </row>
    <row r="99" spans="1:12" ht="21" x14ac:dyDescent="0.25">
      <c r="A99" s="651" t="s">
        <v>77</v>
      </c>
      <c r="B99" s="652">
        <v>2021</v>
      </c>
      <c r="C99" s="651" t="s">
        <v>647</v>
      </c>
      <c r="D99" s="651" t="s">
        <v>740</v>
      </c>
      <c r="E99" s="651" t="s">
        <v>649</v>
      </c>
      <c r="F99" s="653">
        <v>-5725192.8700000001</v>
      </c>
      <c r="G99" s="654"/>
      <c r="H99" s="651" t="s">
        <v>650</v>
      </c>
      <c r="I99" s="655"/>
      <c r="J99" s="655"/>
      <c r="K99" s="653">
        <v>0</v>
      </c>
      <c r="L99" s="656">
        <v>-5725192.8700000001</v>
      </c>
    </row>
    <row r="100" spans="1:12" ht="14.5" x14ac:dyDescent="0.25">
      <c r="A100" s="651" t="s">
        <v>77</v>
      </c>
      <c r="B100" s="652">
        <v>2021</v>
      </c>
      <c r="C100" s="651" t="s">
        <v>651</v>
      </c>
      <c r="D100" s="651" t="s">
        <v>741</v>
      </c>
      <c r="E100" s="651" t="s">
        <v>653</v>
      </c>
      <c r="F100" s="653">
        <v>0</v>
      </c>
      <c r="G100" s="654"/>
      <c r="H100" s="651" t="s">
        <v>650</v>
      </c>
      <c r="I100" s="655"/>
      <c r="J100" s="655"/>
      <c r="K100" s="653">
        <v>0</v>
      </c>
      <c r="L100" s="656">
        <v>0</v>
      </c>
    </row>
    <row r="101" spans="1:12" ht="42" x14ac:dyDescent="0.25">
      <c r="A101" s="651" t="s">
        <v>77</v>
      </c>
      <c r="B101" s="652">
        <v>2021</v>
      </c>
      <c r="C101" s="651" t="s">
        <v>654</v>
      </c>
      <c r="D101" s="651" t="s">
        <v>742</v>
      </c>
      <c r="E101" s="651" t="s">
        <v>445</v>
      </c>
      <c r="F101" s="653">
        <v>-40763.449999999997</v>
      </c>
      <c r="G101" s="654"/>
      <c r="H101" s="651" t="s">
        <v>650</v>
      </c>
      <c r="I101" s="655"/>
      <c r="J101" s="655"/>
      <c r="K101" s="653">
        <v>0</v>
      </c>
      <c r="L101" s="656">
        <v>-40763.449999999997</v>
      </c>
    </row>
    <row r="102" spans="1:12" ht="21" x14ac:dyDescent="0.25">
      <c r="A102" s="651" t="s">
        <v>77</v>
      </c>
      <c r="B102" s="652">
        <v>2021</v>
      </c>
      <c r="C102" s="651" t="s">
        <v>656</v>
      </c>
      <c r="D102" s="651" t="s">
        <v>743</v>
      </c>
      <c r="E102" s="651" t="s">
        <v>658</v>
      </c>
      <c r="F102" s="653">
        <v>0</v>
      </c>
      <c r="G102" s="654"/>
      <c r="H102" s="651" t="s">
        <v>650</v>
      </c>
      <c r="I102" s="655"/>
      <c r="J102" s="655"/>
      <c r="K102" s="653">
        <v>0</v>
      </c>
      <c r="L102" s="656">
        <v>0</v>
      </c>
    </row>
    <row r="103" spans="1:12" ht="31.5" x14ac:dyDescent="0.25">
      <c r="A103" s="651" t="s">
        <v>77</v>
      </c>
      <c r="B103" s="652">
        <v>2021</v>
      </c>
      <c r="C103" s="651" t="s">
        <v>659</v>
      </c>
      <c r="D103" s="651" t="s">
        <v>744</v>
      </c>
      <c r="E103" s="651" t="s">
        <v>661</v>
      </c>
      <c r="F103" s="653">
        <v>0</v>
      </c>
      <c r="G103" s="654"/>
      <c r="H103" s="651" t="s">
        <v>650</v>
      </c>
      <c r="I103" s="655"/>
      <c r="J103" s="655"/>
      <c r="K103" s="653">
        <v>0</v>
      </c>
      <c r="L103" s="656">
        <v>0</v>
      </c>
    </row>
    <row r="104" spans="1:12" ht="21" x14ac:dyDescent="0.25">
      <c r="A104" s="651" t="s">
        <v>77</v>
      </c>
      <c r="B104" s="652">
        <v>2021</v>
      </c>
      <c r="C104" s="651" t="s">
        <v>662</v>
      </c>
      <c r="D104" s="651" t="s">
        <v>745</v>
      </c>
      <c r="E104" s="651" t="s">
        <v>664</v>
      </c>
      <c r="F104" s="653">
        <v>0</v>
      </c>
      <c r="G104" s="654"/>
      <c r="H104" s="651" t="s">
        <v>650</v>
      </c>
      <c r="I104" s="655"/>
      <c r="J104" s="655"/>
      <c r="K104" s="653">
        <v>0</v>
      </c>
      <c r="L104" s="656">
        <v>0</v>
      </c>
    </row>
    <row r="105" spans="1:12" ht="31.5" x14ac:dyDescent="0.25">
      <c r="A105" s="651" t="s">
        <v>77</v>
      </c>
      <c r="B105" s="652">
        <v>2021</v>
      </c>
      <c r="C105" s="651" t="s">
        <v>665</v>
      </c>
      <c r="D105" s="651" t="s">
        <v>746</v>
      </c>
      <c r="E105" s="651" t="s">
        <v>667</v>
      </c>
      <c r="F105" s="653">
        <v>0</v>
      </c>
      <c r="G105" s="654"/>
      <c r="H105" s="651" t="s">
        <v>650</v>
      </c>
      <c r="I105" s="655"/>
      <c r="J105" s="655"/>
      <c r="K105" s="653">
        <v>0</v>
      </c>
      <c r="L105" s="656">
        <v>0</v>
      </c>
    </row>
    <row r="106" spans="1:12" ht="21" x14ac:dyDescent="0.25">
      <c r="A106" s="651" t="s">
        <v>77</v>
      </c>
      <c r="B106" s="652">
        <v>2021</v>
      </c>
      <c r="C106" s="651" t="s">
        <v>668</v>
      </c>
      <c r="D106" s="651" t="s">
        <v>747</v>
      </c>
      <c r="E106" s="651" t="s">
        <v>12</v>
      </c>
      <c r="F106" s="653">
        <v>0</v>
      </c>
      <c r="G106" s="654"/>
      <c r="H106" s="651" t="s">
        <v>650</v>
      </c>
      <c r="I106" s="655"/>
      <c r="J106" s="655"/>
      <c r="K106" s="653">
        <v>0</v>
      </c>
      <c r="L106" s="656">
        <v>0</v>
      </c>
    </row>
    <row r="107" spans="1:12" ht="21" x14ac:dyDescent="0.25">
      <c r="A107" s="651" t="s">
        <v>77</v>
      </c>
      <c r="B107" s="652">
        <v>2021</v>
      </c>
      <c r="C107" s="651" t="s">
        <v>670</v>
      </c>
      <c r="D107" s="651" t="s">
        <v>748</v>
      </c>
      <c r="E107" s="651" t="s">
        <v>749</v>
      </c>
      <c r="F107" s="653">
        <v>0</v>
      </c>
      <c r="G107" s="654"/>
      <c r="H107" s="651" t="s">
        <v>650</v>
      </c>
      <c r="I107" s="655"/>
      <c r="J107" s="655"/>
      <c r="K107" s="653">
        <v>0</v>
      </c>
      <c r="L107" s="656">
        <v>0</v>
      </c>
    </row>
    <row r="108" spans="1:12" ht="21" x14ac:dyDescent="0.25">
      <c r="A108" s="651" t="s">
        <v>77</v>
      </c>
      <c r="B108" s="652">
        <v>2021</v>
      </c>
      <c r="C108" s="651" t="s">
        <v>672</v>
      </c>
      <c r="D108" s="651" t="s">
        <v>750</v>
      </c>
      <c r="E108" s="651" t="s">
        <v>15</v>
      </c>
      <c r="F108" s="653">
        <v>0</v>
      </c>
      <c r="G108" s="654"/>
      <c r="H108" s="651" t="s">
        <v>650</v>
      </c>
      <c r="I108" s="655"/>
      <c r="J108" s="655"/>
      <c r="K108" s="653">
        <v>0</v>
      </c>
      <c r="L108" s="656">
        <v>0</v>
      </c>
    </row>
    <row r="109" spans="1:12" ht="14.5" x14ac:dyDescent="0.25">
      <c r="A109" s="651" t="s">
        <v>77</v>
      </c>
      <c r="B109" s="652">
        <v>2021</v>
      </c>
      <c r="C109" s="651" t="s">
        <v>674</v>
      </c>
      <c r="D109" s="651" t="s">
        <v>751</v>
      </c>
      <c r="E109" s="651" t="s">
        <v>676</v>
      </c>
      <c r="F109" s="653">
        <v>0</v>
      </c>
      <c r="G109" s="654"/>
      <c r="H109" s="651" t="s">
        <v>650</v>
      </c>
      <c r="I109" s="655"/>
      <c r="J109" s="655"/>
      <c r="K109" s="653">
        <v>0</v>
      </c>
      <c r="L109" s="656">
        <v>0</v>
      </c>
    </row>
    <row r="110" spans="1:12" ht="14.5" x14ac:dyDescent="0.25">
      <c r="A110" s="651" t="s">
        <v>77</v>
      </c>
      <c r="B110" s="652">
        <v>2021</v>
      </c>
      <c r="C110" s="651" t="s">
        <v>677</v>
      </c>
      <c r="D110" s="651" t="s">
        <v>752</v>
      </c>
      <c r="E110" s="651" t="s">
        <v>23</v>
      </c>
      <c r="F110" s="653">
        <v>0</v>
      </c>
      <c r="G110" s="651" t="s">
        <v>650</v>
      </c>
      <c r="H110" s="654"/>
      <c r="I110" s="655"/>
      <c r="J110" s="655"/>
      <c r="K110" s="653">
        <v>0</v>
      </c>
      <c r="L110" s="656">
        <v>0</v>
      </c>
    </row>
    <row r="111" spans="1:12" ht="31.5" x14ac:dyDescent="0.25">
      <c r="A111" s="651" t="s">
        <v>77</v>
      </c>
      <c r="B111" s="652">
        <v>2021</v>
      </c>
      <c r="C111" s="651" t="s">
        <v>679</v>
      </c>
      <c r="D111" s="651" t="s">
        <v>753</v>
      </c>
      <c r="E111" s="651" t="s">
        <v>131</v>
      </c>
      <c r="F111" s="653">
        <v>-6901.31</v>
      </c>
      <c r="G111" s="651" t="s">
        <v>650</v>
      </c>
      <c r="H111" s="654"/>
      <c r="I111" s="653">
        <v>-6855.77001953125</v>
      </c>
      <c r="J111" s="653">
        <v>-45.540000915527301</v>
      </c>
      <c r="K111" s="653">
        <v>-6901.31005859375</v>
      </c>
      <c r="L111" s="656">
        <v>-6901.31</v>
      </c>
    </row>
    <row r="112" spans="1:12" ht="31.5" x14ac:dyDescent="0.25">
      <c r="A112" s="651" t="s">
        <v>77</v>
      </c>
      <c r="B112" s="652">
        <v>2021</v>
      </c>
      <c r="C112" s="651" t="s">
        <v>681</v>
      </c>
      <c r="D112" s="651" t="s">
        <v>754</v>
      </c>
      <c r="E112" s="651" t="s">
        <v>683</v>
      </c>
      <c r="F112" s="653">
        <v>0</v>
      </c>
      <c r="G112" s="654"/>
      <c r="H112" s="651" t="s">
        <v>650</v>
      </c>
      <c r="I112" s="655"/>
      <c r="J112" s="655"/>
      <c r="K112" s="653">
        <v>0</v>
      </c>
      <c r="L112" s="656">
        <v>0</v>
      </c>
    </row>
    <row r="113" spans="1:12" ht="21" x14ac:dyDescent="0.25">
      <c r="A113" s="651" t="s">
        <v>77</v>
      </c>
      <c r="B113" s="652">
        <v>2021</v>
      </c>
      <c r="C113" s="651" t="s">
        <v>681</v>
      </c>
      <c r="D113" s="651" t="s">
        <v>754</v>
      </c>
      <c r="E113" s="651" t="s">
        <v>684</v>
      </c>
      <c r="F113" s="653">
        <v>0</v>
      </c>
      <c r="G113" s="654"/>
      <c r="H113" s="651" t="s">
        <v>650</v>
      </c>
      <c r="I113" s="655"/>
      <c r="J113" s="655"/>
      <c r="K113" s="653">
        <v>0</v>
      </c>
      <c r="L113" s="656">
        <v>0</v>
      </c>
    </row>
    <row r="114" spans="1:12" ht="21" x14ac:dyDescent="0.25">
      <c r="A114" s="651" t="s">
        <v>77</v>
      </c>
      <c r="B114" s="652">
        <v>2021</v>
      </c>
      <c r="C114" s="651" t="s">
        <v>685</v>
      </c>
      <c r="D114" s="651" t="s">
        <v>755</v>
      </c>
      <c r="E114" s="651" t="s">
        <v>687</v>
      </c>
      <c r="F114" s="653">
        <v>0</v>
      </c>
      <c r="G114" s="654"/>
      <c r="H114" s="651" t="s">
        <v>650</v>
      </c>
      <c r="I114" s="655"/>
      <c r="J114" s="655"/>
      <c r="K114" s="653">
        <v>0</v>
      </c>
      <c r="L114" s="656">
        <v>0</v>
      </c>
    </row>
    <row r="115" spans="1:12" ht="14.5" x14ac:dyDescent="0.25">
      <c r="A115" s="651" t="s">
        <v>77</v>
      </c>
      <c r="B115" s="652">
        <v>2021</v>
      </c>
      <c r="C115" s="651" t="s">
        <v>688</v>
      </c>
      <c r="D115" s="651" t="s">
        <v>756</v>
      </c>
      <c r="E115" s="651" t="s">
        <v>50</v>
      </c>
      <c r="F115" s="653">
        <v>737.32</v>
      </c>
      <c r="G115" s="654"/>
      <c r="H115" s="651" t="s">
        <v>650</v>
      </c>
      <c r="I115" s="655"/>
      <c r="J115" s="655"/>
      <c r="K115" s="653">
        <v>0</v>
      </c>
      <c r="L115" s="656">
        <v>737.32</v>
      </c>
    </row>
    <row r="116" spans="1:12" ht="21" x14ac:dyDescent="0.25">
      <c r="A116" s="651" t="s">
        <v>77</v>
      </c>
      <c r="B116" s="652">
        <v>2021</v>
      </c>
      <c r="C116" s="651" t="s">
        <v>690</v>
      </c>
      <c r="D116" s="651" t="s">
        <v>757</v>
      </c>
      <c r="E116" s="651" t="s">
        <v>692</v>
      </c>
      <c r="F116" s="653">
        <v>0</v>
      </c>
      <c r="G116" s="654"/>
      <c r="H116" s="651" t="s">
        <v>650</v>
      </c>
      <c r="I116" s="655"/>
      <c r="J116" s="655"/>
      <c r="K116" s="653">
        <v>0</v>
      </c>
      <c r="L116" s="656">
        <v>0</v>
      </c>
    </row>
    <row r="117" spans="1:12" ht="21" x14ac:dyDescent="0.25">
      <c r="A117" s="651" t="s">
        <v>77</v>
      </c>
      <c r="B117" s="652">
        <v>2021</v>
      </c>
      <c r="C117" s="651" t="s">
        <v>693</v>
      </c>
      <c r="D117" s="651" t="s">
        <v>758</v>
      </c>
      <c r="E117" s="651" t="s">
        <v>6</v>
      </c>
      <c r="F117" s="653">
        <v>0</v>
      </c>
      <c r="G117" s="654"/>
      <c r="H117" s="651" t="s">
        <v>650</v>
      </c>
      <c r="I117" s="655"/>
      <c r="J117" s="655"/>
      <c r="K117" s="653">
        <v>0</v>
      </c>
      <c r="L117" s="656">
        <v>0</v>
      </c>
    </row>
    <row r="118" spans="1:12" ht="31.5" x14ac:dyDescent="0.25">
      <c r="A118" s="651" t="s">
        <v>77</v>
      </c>
      <c r="B118" s="652">
        <v>2021</v>
      </c>
      <c r="C118" s="651" t="s">
        <v>695</v>
      </c>
      <c r="D118" s="651" t="s">
        <v>759</v>
      </c>
      <c r="E118" s="651" t="s">
        <v>697</v>
      </c>
      <c r="F118" s="653">
        <v>0</v>
      </c>
      <c r="G118" s="654"/>
      <c r="H118" s="651" t="s">
        <v>650</v>
      </c>
      <c r="I118" s="655"/>
      <c r="J118" s="655"/>
      <c r="K118" s="653">
        <v>0</v>
      </c>
      <c r="L118" s="656">
        <v>0</v>
      </c>
    </row>
    <row r="119" spans="1:12" ht="21" x14ac:dyDescent="0.25">
      <c r="A119" s="651" t="s">
        <v>77</v>
      </c>
      <c r="B119" s="652">
        <v>2021</v>
      </c>
      <c r="C119" s="651" t="s">
        <v>698</v>
      </c>
      <c r="D119" s="651" t="s">
        <v>760</v>
      </c>
      <c r="E119" s="651" t="s">
        <v>700</v>
      </c>
      <c r="F119" s="653">
        <v>84971.53</v>
      </c>
      <c r="G119" s="654"/>
      <c r="H119" s="651" t="s">
        <v>650</v>
      </c>
      <c r="I119" s="655"/>
      <c r="J119" s="655"/>
      <c r="K119" s="653">
        <v>0</v>
      </c>
      <c r="L119" s="656">
        <v>84971.53</v>
      </c>
    </row>
    <row r="120" spans="1:12" ht="21" x14ac:dyDescent="0.25">
      <c r="A120" s="651" t="s">
        <v>77</v>
      </c>
      <c r="B120" s="652">
        <v>2021</v>
      </c>
      <c r="C120" s="651" t="s">
        <v>701</v>
      </c>
      <c r="D120" s="651" t="s">
        <v>761</v>
      </c>
      <c r="E120" s="651" t="s">
        <v>1</v>
      </c>
      <c r="F120" s="653">
        <v>-226585.75</v>
      </c>
      <c r="G120" s="651" t="s">
        <v>650</v>
      </c>
      <c r="H120" s="654"/>
      <c r="I120" s="653">
        <v>-225003.734375</v>
      </c>
      <c r="J120" s="653">
        <v>-1582.01000976563</v>
      </c>
      <c r="K120" s="653">
        <v>-226585.75</v>
      </c>
      <c r="L120" s="656">
        <v>-226585.75</v>
      </c>
    </row>
    <row r="121" spans="1:12" ht="21" x14ac:dyDescent="0.25">
      <c r="A121" s="651" t="s">
        <v>77</v>
      </c>
      <c r="B121" s="652">
        <v>2021</v>
      </c>
      <c r="C121" s="651" t="s">
        <v>701</v>
      </c>
      <c r="D121" s="651" t="s">
        <v>761</v>
      </c>
      <c r="E121" s="651" t="s">
        <v>703</v>
      </c>
      <c r="F121" s="653">
        <v>0</v>
      </c>
      <c r="G121" s="654"/>
      <c r="H121" s="654"/>
      <c r="I121" s="655"/>
      <c r="J121" s="655"/>
      <c r="K121" s="653">
        <v>0</v>
      </c>
      <c r="L121" s="656">
        <v>0</v>
      </c>
    </row>
    <row r="122" spans="1:12" ht="21" x14ac:dyDescent="0.25">
      <c r="A122" s="651" t="s">
        <v>77</v>
      </c>
      <c r="B122" s="652">
        <v>2021</v>
      </c>
      <c r="C122" s="651" t="s">
        <v>701</v>
      </c>
      <c r="D122" s="651" t="s">
        <v>761</v>
      </c>
      <c r="E122" s="651" t="s">
        <v>704</v>
      </c>
      <c r="F122" s="653">
        <v>0</v>
      </c>
      <c r="G122" s="654"/>
      <c r="H122" s="654"/>
      <c r="I122" s="655"/>
      <c r="J122" s="655"/>
      <c r="K122" s="653">
        <v>0</v>
      </c>
      <c r="L122" s="656">
        <v>0</v>
      </c>
    </row>
    <row r="123" spans="1:12" ht="21" x14ac:dyDescent="0.25">
      <c r="A123" s="651" t="s">
        <v>77</v>
      </c>
      <c r="B123" s="652">
        <v>2021</v>
      </c>
      <c r="C123" s="651" t="s">
        <v>701</v>
      </c>
      <c r="D123" s="651" t="s">
        <v>761</v>
      </c>
      <c r="E123" s="651" t="s">
        <v>705</v>
      </c>
      <c r="F123" s="653">
        <v>-523.73</v>
      </c>
      <c r="G123" s="654"/>
      <c r="H123" s="654"/>
      <c r="I123" s="655"/>
      <c r="J123" s="655"/>
      <c r="K123" s="653">
        <v>0</v>
      </c>
      <c r="L123" s="656">
        <v>-523.73</v>
      </c>
    </row>
    <row r="124" spans="1:12" ht="21" x14ac:dyDescent="0.25">
      <c r="A124" s="651" t="s">
        <v>77</v>
      </c>
      <c r="B124" s="652">
        <v>2021</v>
      </c>
      <c r="C124" s="651" t="s">
        <v>701</v>
      </c>
      <c r="D124" s="651" t="s">
        <v>761</v>
      </c>
      <c r="E124" s="651" t="s">
        <v>706</v>
      </c>
      <c r="F124" s="653">
        <v>-26695.040000000001</v>
      </c>
      <c r="G124" s="654"/>
      <c r="H124" s="654"/>
      <c r="I124" s="655"/>
      <c r="J124" s="655"/>
      <c r="K124" s="653">
        <v>0</v>
      </c>
      <c r="L124" s="656">
        <v>-26695.040000000001</v>
      </c>
    </row>
    <row r="125" spans="1:12" ht="14.5" x14ac:dyDescent="0.25">
      <c r="A125" s="651" t="s">
        <v>77</v>
      </c>
      <c r="B125" s="652">
        <v>2021</v>
      </c>
      <c r="C125" s="651" t="s">
        <v>707</v>
      </c>
      <c r="D125" s="651" t="s">
        <v>762</v>
      </c>
      <c r="E125" s="651" t="s">
        <v>709</v>
      </c>
      <c r="F125" s="653">
        <v>0</v>
      </c>
      <c r="G125" s="654"/>
      <c r="H125" s="651" t="s">
        <v>650</v>
      </c>
      <c r="I125" s="655"/>
      <c r="J125" s="655"/>
      <c r="K125" s="653">
        <v>0</v>
      </c>
      <c r="L125" s="656">
        <v>0</v>
      </c>
    </row>
    <row r="126" spans="1:12" ht="31.5" x14ac:dyDescent="0.25">
      <c r="A126" s="651" t="s">
        <v>77</v>
      </c>
      <c r="B126" s="652">
        <v>2021</v>
      </c>
      <c r="C126" s="651" t="s">
        <v>710</v>
      </c>
      <c r="D126" s="651" t="s">
        <v>763</v>
      </c>
      <c r="E126" s="651" t="s">
        <v>2</v>
      </c>
      <c r="F126" s="653">
        <v>166751.1</v>
      </c>
      <c r="G126" s="651" t="s">
        <v>650</v>
      </c>
      <c r="H126" s="654"/>
      <c r="I126" s="653">
        <v>163665.84375</v>
      </c>
      <c r="J126" s="653">
        <v>3085.26000976563</v>
      </c>
      <c r="K126" s="653">
        <v>166751.09375</v>
      </c>
      <c r="L126" s="656">
        <v>166751.1</v>
      </c>
    </row>
    <row r="127" spans="1:12" ht="31.5" x14ac:dyDescent="0.25">
      <c r="A127" s="651" t="s">
        <v>77</v>
      </c>
      <c r="B127" s="652">
        <v>2021</v>
      </c>
      <c r="C127" s="651" t="s">
        <v>712</v>
      </c>
      <c r="D127" s="651" t="s">
        <v>764</v>
      </c>
      <c r="E127" s="651" t="s">
        <v>3</v>
      </c>
      <c r="F127" s="653">
        <v>33462.129999999997</v>
      </c>
      <c r="G127" s="651" t="s">
        <v>650</v>
      </c>
      <c r="H127" s="654"/>
      <c r="I127" s="653">
        <v>32902.859375</v>
      </c>
      <c r="J127" s="653">
        <v>559.27001953125</v>
      </c>
      <c r="K127" s="653">
        <v>33462.12890625</v>
      </c>
      <c r="L127" s="656">
        <v>33462.129999999997</v>
      </c>
    </row>
    <row r="128" spans="1:12" ht="31.5" x14ac:dyDescent="0.25">
      <c r="A128" s="651" t="s">
        <v>77</v>
      </c>
      <c r="B128" s="652">
        <v>2021</v>
      </c>
      <c r="C128" s="651" t="s">
        <v>714</v>
      </c>
      <c r="D128" s="651" t="s">
        <v>765</v>
      </c>
      <c r="E128" s="651" t="s">
        <v>38</v>
      </c>
      <c r="F128" s="653">
        <v>382213.84</v>
      </c>
      <c r="G128" s="651" t="s">
        <v>650</v>
      </c>
      <c r="H128" s="654"/>
      <c r="I128" s="653">
        <v>379456.59375</v>
      </c>
      <c r="J128" s="653">
        <v>2757.26000976563</v>
      </c>
      <c r="K128" s="653">
        <v>382213.84375</v>
      </c>
      <c r="L128" s="656">
        <v>382213.84</v>
      </c>
    </row>
    <row r="129" spans="1:12" ht="21" x14ac:dyDescent="0.25">
      <c r="A129" s="651" t="s">
        <v>77</v>
      </c>
      <c r="B129" s="652">
        <v>2021</v>
      </c>
      <c r="C129" s="651" t="s">
        <v>716</v>
      </c>
      <c r="D129" s="651" t="s">
        <v>766</v>
      </c>
      <c r="E129" s="651" t="s">
        <v>66</v>
      </c>
      <c r="F129" s="653">
        <v>-99790.88</v>
      </c>
      <c r="G129" s="651" t="s">
        <v>650</v>
      </c>
      <c r="H129" s="654"/>
      <c r="I129" s="653">
        <v>-99666.3203125</v>
      </c>
      <c r="J129" s="653">
        <v>-124.55999755859401</v>
      </c>
      <c r="K129" s="653">
        <v>-99790.8828125</v>
      </c>
      <c r="L129" s="656">
        <v>-99790.88</v>
      </c>
    </row>
    <row r="130" spans="1:12" ht="21" x14ac:dyDescent="0.25">
      <c r="A130" s="651" t="s">
        <v>77</v>
      </c>
      <c r="B130" s="652">
        <v>2021</v>
      </c>
      <c r="C130" s="651" t="s">
        <v>718</v>
      </c>
      <c r="D130" s="651" t="s">
        <v>767</v>
      </c>
      <c r="E130" s="651" t="s">
        <v>768</v>
      </c>
      <c r="F130" s="653">
        <v>-275611.37</v>
      </c>
      <c r="G130" s="654"/>
      <c r="H130" s="651" t="s">
        <v>650</v>
      </c>
      <c r="I130" s="655"/>
      <c r="J130" s="655"/>
      <c r="K130" s="653">
        <v>0</v>
      </c>
      <c r="L130" s="656">
        <v>-275611.37</v>
      </c>
    </row>
    <row r="131" spans="1:12" ht="42" x14ac:dyDescent="0.25">
      <c r="A131" s="651" t="s">
        <v>77</v>
      </c>
      <c r="B131" s="652">
        <v>2021</v>
      </c>
      <c r="C131" s="651" t="s">
        <v>721</v>
      </c>
      <c r="D131" s="651" t="s">
        <v>769</v>
      </c>
      <c r="E131" s="651" t="s">
        <v>3016</v>
      </c>
      <c r="F131" s="653">
        <v>0</v>
      </c>
      <c r="G131" s="651" t="s">
        <v>650</v>
      </c>
      <c r="H131" s="654"/>
      <c r="I131" s="653">
        <v>45600.41015625</v>
      </c>
      <c r="J131" s="653">
        <v>1817.27001953125</v>
      </c>
      <c r="K131" s="653">
        <v>47417.6796875</v>
      </c>
      <c r="L131" s="656">
        <v>47417.68</v>
      </c>
    </row>
    <row r="132" spans="1:12" ht="42" x14ac:dyDescent="0.25">
      <c r="A132" s="651" t="s">
        <v>77</v>
      </c>
      <c r="B132" s="652">
        <v>2021</v>
      </c>
      <c r="C132" s="651" t="s">
        <v>721</v>
      </c>
      <c r="D132" s="651" t="s">
        <v>769</v>
      </c>
      <c r="E132" s="651" t="s">
        <v>3058</v>
      </c>
      <c r="F132" s="653">
        <v>0</v>
      </c>
      <c r="G132" s="651" t="s">
        <v>650</v>
      </c>
      <c r="H132" s="654"/>
      <c r="I132" s="653">
        <v>11276.0400390625</v>
      </c>
      <c r="J132" s="653">
        <v>192483.328125</v>
      </c>
      <c r="K132" s="653">
        <v>203759.375</v>
      </c>
      <c r="L132" s="656">
        <v>203759.37</v>
      </c>
    </row>
    <row r="133" spans="1:12" ht="42" x14ac:dyDescent="0.25">
      <c r="A133" s="651" t="s">
        <v>77</v>
      </c>
      <c r="B133" s="652">
        <v>2021</v>
      </c>
      <c r="C133" s="651" t="s">
        <v>721</v>
      </c>
      <c r="D133" s="651" t="s">
        <v>770</v>
      </c>
      <c r="E133" s="651" t="s">
        <v>724</v>
      </c>
      <c r="F133" s="653">
        <v>0</v>
      </c>
      <c r="G133" s="651" t="s">
        <v>650</v>
      </c>
      <c r="H133" s="654"/>
      <c r="I133" s="655"/>
      <c r="J133" s="655"/>
      <c r="K133" s="653">
        <v>0</v>
      </c>
      <c r="L133" s="656">
        <v>0</v>
      </c>
    </row>
    <row r="134" spans="1:12" ht="42" x14ac:dyDescent="0.25">
      <c r="A134" s="651" t="s">
        <v>77</v>
      </c>
      <c r="B134" s="652">
        <v>2021</v>
      </c>
      <c r="C134" s="651" t="s">
        <v>721</v>
      </c>
      <c r="D134" s="651" t="s">
        <v>771</v>
      </c>
      <c r="E134" s="651" t="s">
        <v>55</v>
      </c>
      <c r="F134" s="653">
        <v>0</v>
      </c>
      <c r="G134" s="651" t="s">
        <v>650</v>
      </c>
      <c r="H134" s="654"/>
      <c r="I134" s="655"/>
      <c r="J134" s="655"/>
      <c r="K134" s="653">
        <v>0</v>
      </c>
      <c r="L134" s="656">
        <v>0</v>
      </c>
    </row>
    <row r="135" spans="1:12" ht="42" x14ac:dyDescent="0.25">
      <c r="A135" s="651" t="s">
        <v>77</v>
      </c>
      <c r="B135" s="652">
        <v>2021</v>
      </c>
      <c r="C135" s="651" t="s">
        <v>721</v>
      </c>
      <c r="D135" s="651" t="s">
        <v>772</v>
      </c>
      <c r="E135" s="651" t="s">
        <v>56</v>
      </c>
      <c r="F135" s="653">
        <v>0</v>
      </c>
      <c r="G135" s="651" t="s">
        <v>650</v>
      </c>
      <c r="H135" s="654"/>
      <c r="I135" s="653">
        <v>455387.375</v>
      </c>
      <c r="J135" s="653">
        <v>0</v>
      </c>
      <c r="K135" s="653">
        <v>455387.375</v>
      </c>
      <c r="L135" s="656">
        <v>455387.36</v>
      </c>
    </row>
    <row r="136" spans="1:12" ht="42" x14ac:dyDescent="0.25">
      <c r="A136" s="651" t="s">
        <v>77</v>
      </c>
      <c r="B136" s="652">
        <v>2021</v>
      </c>
      <c r="C136" s="651" t="s">
        <v>721</v>
      </c>
      <c r="D136" s="651" t="s">
        <v>773</v>
      </c>
      <c r="E136" s="651" t="s">
        <v>728</v>
      </c>
      <c r="F136" s="653">
        <v>0</v>
      </c>
      <c r="G136" s="651" t="s">
        <v>650</v>
      </c>
      <c r="H136" s="654"/>
      <c r="I136" s="655"/>
      <c r="J136" s="655"/>
      <c r="K136" s="653">
        <v>0</v>
      </c>
      <c r="L136" s="656">
        <v>0</v>
      </c>
    </row>
    <row r="137" spans="1:12" ht="42" x14ac:dyDescent="0.25">
      <c r="A137" s="651" t="s">
        <v>77</v>
      </c>
      <c r="B137" s="652">
        <v>2021</v>
      </c>
      <c r="C137" s="651" t="s">
        <v>721</v>
      </c>
      <c r="D137" s="651" t="s">
        <v>774</v>
      </c>
      <c r="E137" s="651" t="s">
        <v>730</v>
      </c>
      <c r="F137" s="653">
        <v>0</v>
      </c>
      <c r="G137" s="651" t="s">
        <v>650</v>
      </c>
      <c r="H137" s="654"/>
      <c r="I137" s="655"/>
      <c r="J137" s="655"/>
      <c r="K137" s="653">
        <v>0</v>
      </c>
      <c r="L137" s="656">
        <v>0</v>
      </c>
    </row>
    <row r="138" spans="1:12" ht="42" x14ac:dyDescent="0.25">
      <c r="A138" s="651" t="s">
        <v>77</v>
      </c>
      <c r="B138" s="652">
        <v>2021</v>
      </c>
      <c r="C138" s="651" t="s">
        <v>721</v>
      </c>
      <c r="D138" s="651" t="s">
        <v>775</v>
      </c>
      <c r="E138" s="651" t="s">
        <v>142</v>
      </c>
      <c r="F138" s="653">
        <v>0</v>
      </c>
      <c r="G138" s="651" t="s">
        <v>650</v>
      </c>
      <c r="H138" s="654"/>
      <c r="I138" s="655"/>
      <c r="J138" s="655"/>
      <c r="K138" s="653">
        <v>0</v>
      </c>
      <c r="L138" s="656">
        <v>0</v>
      </c>
    </row>
    <row r="139" spans="1:12" ht="42" x14ac:dyDescent="0.25">
      <c r="A139" s="651" t="s">
        <v>77</v>
      </c>
      <c r="B139" s="652">
        <v>2021</v>
      </c>
      <c r="C139" s="651" t="s">
        <v>721</v>
      </c>
      <c r="D139" s="651" t="s">
        <v>776</v>
      </c>
      <c r="E139" s="651" t="s">
        <v>143</v>
      </c>
      <c r="F139" s="653">
        <v>0</v>
      </c>
      <c r="G139" s="651" t="s">
        <v>650</v>
      </c>
      <c r="H139" s="654"/>
      <c r="I139" s="655"/>
      <c r="J139" s="655"/>
      <c r="K139" s="653">
        <v>0</v>
      </c>
      <c r="L139" s="656">
        <v>0</v>
      </c>
    </row>
    <row r="140" spans="1:12" ht="42" x14ac:dyDescent="0.25">
      <c r="A140" s="651" t="s">
        <v>77</v>
      </c>
      <c r="B140" s="652">
        <v>2021</v>
      </c>
      <c r="C140" s="651" t="s">
        <v>721</v>
      </c>
      <c r="D140" s="651" t="s">
        <v>777</v>
      </c>
      <c r="E140" s="651" t="s">
        <v>182</v>
      </c>
      <c r="F140" s="653">
        <v>0</v>
      </c>
      <c r="G140" s="651" t="s">
        <v>650</v>
      </c>
      <c r="H140" s="654"/>
      <c r="I140" s="655"/>
      <c r="J140" s="655"/>
      <c r="K140" s="653">
        <v>0</v>
      </c>
      <c r="L140" s="656">
        <v>0</v>
      </c>
    </row>
    <row r="141" spans="1:12" ht="42" x14ac:dyDescent="0.25">
      <c r="A141" s="651" t="s">
        <v>77</v>
      </c>
      <c r="B141" s="652">
        <v>2021</v>
      </c>
      <c r="C141" s="651" t="s">
        <v>721</v>
      </c>
      <c r="D141" s="651" t="s">
        <v>778</v>
      </c>
      <c r="E141" s="651" t="s">
        <v>394</v>
      </c>
      <c r="F141" s="653">
        <v>0</v>
      </c>
      <c r="G141" s="651" t="s">
        <v>650</v>
      </c>
      <c r="H141" s="654"/>
      <c r="I141" s="655"/>
      <c r="J141" s="655"/>
      <c r="K141" s="653">
        <v>0</v>
      </c>
      <c r="L141" s="656">
        <v>0</v>
      </c>
    </row>
    <row r="142" spans="1:12" ht="42" x14ac:dyDescent="0.25">
      <c r="A142" s="651" t="s">
        <v>77</v>
      </c>
      <c r="B142" s="652">
        <v>2021</v>
      </c>
      <c r="C142" s="651" t="s">
        <v>721</v>
      </c>
      <c r="D142" s="651" t="s">
        <v>779</v>
      </c>
      <c r="E142" s="651" t="s">
        <v>423</v>
      </c>
      <c r="F142" s="653">
        <v>0</v>
      </c>
      <c r="G142" s="651" t="s">
        <v>650</v>
      </c>
      <c r="H142" s="654"/>
      <c r="I142" s="653">
        <v>13.199999809265099</v>
      </c>
      <c r="J142" s="653">
        <v>-404.760009765625</v>
      </c>
      <c r="K142" s="653">
        <v>-391.55999755859398</v>
      </c>
      <c r="L142" s="656">
        <v>-391.56</v>
      </c>
    </row>
    <row r="143" spans="1:12" ht="42" x14ac:dyDescent="0.25">
      <c r="A143" s="651" t="s">
        <v>77</v>
      </c>
      <c r="B143" s="652">
        <v>2021</v>
      </c>
      <c r="C143" s="651" t="s">
        <v>721</v>
      </c>
      <c r="D143" s="651" t="s">
        <v>3073</v>
      </c>
      <c r="E143" s="651" t="s">
        <v>441</v>
      </c>
      <c r="F143" s="653">
        <v>0</v>
      </c>
      <c r="G143" s="651" t="s">
        <v>650</v>
      </c>
      <c r="H143" s="654"/>
      <c r="I143" s="653">
        <v>41534.26171875</v>
      </c>
      <c r="J143" s="653">
        <v>1507.14001464844</v>
      </c>
      <c r="K143" s="653">
        <v>43041.3984375</v>
      </c>
      <c r="L143" s="656">
        <v>43041.4</v>
      </c>
    </row>
    <row r="144" spans="1:12" ht="42" x14ac:dyDescent="0.25">
      <c r="A144" s="651" t="s">
        <v>77</v>
      </c>
      <c r="B144" s="652">
        <v>2021</v>
      </c>
      <c r="C144" s="651" t="s">
        <v>721</v>
      </c>
      <c r="D144" s="651" t="s">
        <v>780</v>
      </c>
      <c r="E144" s="651" t="s">
        <v>737</v>
      </c>
      <c r="F144" s="653">
        <v>749214.25</v>
      </c>
      <c r="G144" s="654"/>
      <c r="H144" s="654"/>
      <c r="I144" s="655"/>
      <c r="J144" s="655"/>
      <c r="K144" s="653">
        <v>0</v>
      </c>
      <c r="L144" s="656">
        <v>749214.25</v>
      </c>
    </row>
    <row r="145" spans="1:12" ht="14.5" x14ac:dyDescent="0.25">
      <c r="A145" s="651" t="s">
        <v>77</v>
      </c>
      <c r="B145" s="652">
        <v>2021</v>
      </c>
      <c r="C145" s="651" t="s">
        <v>738</v>
      </c>
      <c r="D145" s="651" t="s">
        <v>781</v>
      </c>
      <c r="E145" s="651" t="s">
        <v>7</v>
      </c>
      <c r="F145" s="653">
        <v>-418429.52</v>
      </c>
      <c r="G145" s="654"/>
      <c r="H145" s="651" t="s">
        <v>650</v>
      </c>
      <c r="I145" s="655"/>
      <c r="J145" s="655"/>
      <c r="K145" s="653">
        <v>0</v>
      </c>
      <c r="L145" s="656">
        <v>-418429.52</v>
      </c>
    </row>
    <row r="146" spans="1:12" ht="21" x14ac:dyDescent="0.25">
      <c r="A146" s="651" t="s">
        <v>78</v>
      </c>
      <c r="B146" s="652">
        <v>2021</v>
      </c>
      <c r="C146" s="651" t="s">
        <v>647</v>
      </c>
      <c r="D146" s="651" t="s">
        <v>782</v>
      </c>
      <c r="E146" s="651" t="s">
        <v>649</v>
      </c>
      <c r="F146" s="653">
        <v>-66775.759999999995</v>
      </c>
      <c r="G146" s="654"/>
      <c r="H146" s="651" t="s">
        <v>650</v>
      </c>
      <c r="I146" s="655"/>
      <c r="J146" s="655"/>
      <c r="K146" s="653">
        <v>0</v>
      </c>
      <c r="L146" s="656">
        <v>-66775.759999999995</v>
      </c>
    </row>
    <row r="147" spans="1:12" ht="14.5" x14ac:dyDescent="0.25">
      <c r="A147" s="651" t="s">
        <v>78</v>
      </c>
      <c r="B147" s="652">
        <v>2021</v>
      </c>
      <c r="C147" s="651" t="s">
        <v>651</v>
      </c>
      <c r="D147" s="651" t="s">
        <v>783</v>
      </c>
      <c r="E147" s="651" t="s">
        <v>653</v>
      </c>
      <c r="F147" s="653">
        <v>-7650.07</v>
      </c>
      <c r="G147" s="654"/>
      <c r="H147" s="651" t="s">
        <v>650</v>
      </c>
      <c r="I147" s="655"/>
      <c r="J147" s="655"/>
      <c r="K147" s="653">
        <v>0</v>
      </c>
      <c r="L147" s="656">
        <v>-7650.07</v>
      </c>
    </row>
    <row r="148" spans="1:12" ht="42" x14ac:dyDescent="0.25">
      <c r="A148" s="651" t="s">
        <v>78</v>
      </c>
      <c r="B148" s="652">
        <v>2021</v>
      </c>
      <c r="C148" s="651" t="s">
        <v>654</v>
      </c>
      <c r="D148" s="651" t="s">
        <v>784</v>
      </c>
      <c r="E148" s="651" t="s">
        <v>445</v>
      </c>
      <c r="F148" s="653">
        <v>0</v>
      </c>
      <c r="G148" s="654"/>
      <c r="H148" s="651" t="s">
        <v>650</v>
      </c>
      <c r="I148" s="655"/>
      <c r="J148" s="655"/>
      <c r="K148" s="653">
        <v>0</v>
      </c>
      <c r="L148" s="656">
        <v>0</v>
      </c>
    </row>
    <row r="149" spans="1:12" ht="21" x14ac:dyDescent="0.25">
      <c r="A149" s="651" t="s">
        <v>78</v>
      </c>
      <c r="B149" s="652">
        <v>2021</v>
      </c>
      <c r="C149" s="651" t="s">
        <v>656</v>
      </c>
      <c r="D149" s="651" t="s">
        <v>785</v>
      </c>
      <c r="E149" s="651" t="s">
        <v>658</v>
      </c>
      <c r="F149" s="653">
        <v>0</v>
      </c>
      <c r="G149" s="654"/>
      <c r="H149" s="651" t="s">
        <v>650</v>
      </c>
      <c r="I149" s="655"/>
      <c r="J149" s="655"/>
      <c r="K149" s="653">
        <v>0</v>
      </c>
      <c r="L149" s="656">
        <v>0</v>
      </c>
    </row>
    <row r="150" spans="1:12" ht="31.5" x14ac:dyDescent="0.25">
      <c r="A150" s="651" t="s">
        <v>78</v>
      </c>
      <c r="B150" s="652">
        <v>2021</v>
      </c>
      <c r="C150" s="651" t="s">
        <v>659</v>
      </c>
      <c r="D150" s="651" t="s">
        <v>786</v>
      </c>
      <c r="E150" s="651" t="s">
        <v>661</v>
      </c>
      <c r="F150" s="653">
        <v>0</v>
      </c>
      <c r="G150" s="654"/>
      <c r="H150" s="651" t="s">
        <v>650</v>
      </c>
      <c r="I150" s="655"/>
      <c r="J150" s="655"/>
      <c r="K150" s="653">
        <v>0</v>
      </c>
      <c r="L150" s="656">
        <v>0</v>
      </c>
    </row>
    <row r="151" spans="1:12" ht="21" x14ac:dyDescent="0.25">
      <c r="A151" s="651" t="s">
        <v>78</v>
      </c>
      <c r="B151" s="652">
        <v>2021</v>
      </c>
      <c r="C151" s="651" t="s">
        <v>662</v>
      </c>
      <c r="D151" s="651" t="s">
        <v>787</v>
      </c>
      <c r="E151" s="651" t="s">
        <v>664</v>
      </c>
      <c r="F151" s="653">
        <v>0</v>
      </c>
      <c r="G151" s="654"/>
      <c r="H151" s="651" t="s">
        <v>650</v>
      </c>
      <c r="I151" s="655"/>
      <c r="J151" s="655"/>
      <c r="K151" s="653">
        <v>0</v>
      </c>
      <c r="L151" s="656">
        <v>0</v>
      </c>
    </row>
    <row r="152" spans="1:12" ht="31.5" x14ac:dyDescent="0.25">
      <c r="A152" s="651" t="s">
        <v>78</v>
      </c>
      <c r="B152" s="652">
        <v>2021</v>
      </c>
      <c r="C152" s="651" t="s">
        <v>665</v>
      </c>
      <c r="D152" s="651" t="s">
        <v>788</v>
      </c>
      <c r="E152" s="651" t="s">
        <v>667</v>
      </c>
      <c r="F152" s="653">
        <v>0</v>
      </c>
      <c r="G152" s="654"/>
      <c r="H152" s="651" t="s">
        <v>650</v>
      </c>
      <c r="I152" s="655"/>
      <c r="J152" s="655"/>
      <c r="K152" s="653">
        <v>0</v>
      </c>
      <c r="L152" s="656">
        <v>0</v>
      </c>
    </row>
    <row r="153" spans="1:12" ht="21" x14ac:dyDescent="0.25">
      <c r="A153" s="651" t="s">
        <v>78</v>
      </c>
      <c r="B153" s="652">
        <v>2021</v>
      </c>
      <c r="C153" s="651" t="s">
        <v>668</v>
      </c>
      <c r="D153" s="651" t="s">
        <v>789</v>
      </c>
      <c r="E153" s="651" t="s">
        <v>12</v>
      </c>
      <c r="F153" s="653">
        <v>0</v>
      </c>
      <c r="G153" s="654"/>
      <c r="H153" s="651" t="s">
        <v>650</v>
      </c>
      <c r="I153" s="655"/>
      <c r="J153" s="655"/>
      <c r="K153" s="653">
        <v>0</v>
      </c>
      <c r="L153" s="656">
        <v>0</v>
      </c>
    </row>
    <row r="154" spans="1:12" ht="21" x14ac:dyDescent="0.25">
      <c r="A154" s="651" t="s">
        <v>78</v>
      </c>
      <c r="B154" s="652">
        <v>2021</v>
      </c>
      <c r="C154" s="651" t="s">
        <v>670</v>
      </c>
      <c r="D154" s="651" t="s">
        <v>790</v>
      </c>
      <c r="E154" s="651" t="s">
        <v>13</v>
      </c>
      <c r="F154" s="653">
        <v>0</v>
      </c>
      <c r="G154" s="654"/>
      <c r="H154" s="651" t="s">
        <v>650</v>
      </c>
      <c r="I154" s="655"/>
      <c r="J154" s="655"/>
      <c r="K154" s="653">
        <v>0</v>
      </c>
      <c r="L154" s="656">
        <v>0</v>
      </c>
    </row>
    <row r="155" spans="1:12" ht="21" x14ac:dyDescent="0.25">
      <c r="A155" s="651" t="s">
        <v>78</v>
      </c>
      <c r="B155" s="652">
        <v>2021</v>
      </c>
      <c r="C155" s="651" t="s">
        <v>672</v>
      </c>
      <c r="D155" s="651" t="s">
        <v>791</v>
      </c>
      <c r="E155" s="651" t="s">
        <v>15</v>
      </c>
      <c r="F155" s="653">
        <v>0</v>
      </c>
      <c r="G155" s="654"/>
      <c r="H155" s="651" t="s">
        <v>650</v>
      </c>
      <c r="I155" s="655"/>
      <c r="J155" s="655"/>
      <c r="K155" s="653">
        <v>0</v>
      </c>
      <c r="L155" s="656">
        <v>0</v>
      </c>
    </row>
    <row r="156" spans="1:12" ht="14.5" x14ac:dyDescent="0.25">
      <c r="A156" s="651" t="s">
        <v>78</v>
      </c>
      <c r="B156" s="652">
        <v>2021</v>
      </c>
      <c r="C156" s="651" t="s">
        <v>674</v>
      </c>
      <c r="D156" s="651" t="s">
        <v>792</v>
      </c>
      <c r="E156" s="651" t="s">
        <v>676</v>
      </c>
      <c r="F156" s="653">
        <v>6027.41</v>
      </c>
      <c r="G156" s="654"/>
      <c r="H156" s="651" t="s">
        <v>650</v>
      </c>
      <c r="I156" s="655"/>
      <c r="J156" s="655"/>
      <c r="K156" s="653">
        <v>0</v>
      </c>
      <c r="L156" s="656">
        <v>6027.41</v>
      </c>
    </row>
    <row r="157" spans="1:12" ht="14.5" x14ac:dyDescent="0.25">
      <c r="A157" s="651" t="s">
        <v>78</v>
      </c>
      <c r="B157" s="652">
        <v>2021</v>
      </c>
      <c r="C157" s="651" t="s">
        <v>677</v>
      </c>
      <c r="D157" s="651" t="s">
        <v>793</v>
      </c>
      <c r="E157" s="651" t="s">
        <v>23</v>
      </c>
      <c r="F157" s="653">
        <v>0</v>
      </c>
      <c r="G157" s="651" t="s">
        <v>650</v>
      </c>
      <c r="H157" s="654"/>
      <c r="I157" s="655"/>
      <c r="J157" s="655"/>
      <c r="K157" s="653">
        <v>0</v>
      </c>
      <c r="L157" s="656">
        <v>0</v>
      </c>
    </row>
    <row r="158" spans="1:12" ht="31.5" x14ac:dyDescent="0.25">
      <c r="A158" s="651" t="s">
        <v>78</v>
      </c>
      <c r="B158" s="652">
        <v>2021</v>
      </c>
      <c r="C158" s="651" t="s">
        <v>679</v>
      </c>
      <c r="D158" s="651" t="s">
        <v>794</v>
      </c>
      <c r="E158" s="651" t="s">
        <v>131</v>
      </c>
      <c r="F158" s="653">
        <v>-103.52</v>
      </c>
      <c r="G158" s="651" t="s">
        <v>650</v>
      </c>
      <c r="H158" s="654"/>
      <c r="I158" s="653">
        <v>-103.51999664306599</v>
      </c>
      <c r="J158" s="655"/>
      <c r="K158" s="653">
        <v>-103.51999664306599</v>
      </c>
      <c r="L158" s="656">
        <v>-103.52</v>
      </c>
    </row>
    <row r="159" spans="1:12" ht="31.5" x14ac:dyDescent="0.25">
      <c r="A159" s="651" t="s">
        <v>78</v>
      </c>
      <c r="B159" s="652">
        <v>2021</v>
      </c>
      <c r="C159" s="651" t="s">
        <v>681</v>
      </c>
      <c r="D159" s="651" t="s">
        <v>795</v>
      </c>
      <c r="E159" s="651" t="s">
        <v>683</v>
      </c>
      <c r="F159" s="653">
        <v>0</v>
      </c>
      <c r="G159" s="654"/>
      <c r="H159" s="651" t="s">
        <v>650</v>
      </c>
      <c r="I159" s="655"/>
      <c r="J159" s="655"/>
      <c r="K159" s="653">
        <v>0</v>
      </c>
      <c r="L159" s="656">
        <v>0</v>
      </c>
    </row>
    <row r="160" spans="1:12" ht="21" x14ac:dyDescent="0.25">
      <c r="A160" s="651" t="s">
        <v>78</v>
      </c>
      <c r="B160" s="652">
        <v>2021</v>
      </c>
      <c r="C160" s="651" t="s">
        <v>681</v>
      </c>
      <c r="D160" s="651" t="s">
        <v>795</v>
      </c>
      <c r="E160" s="651" t="s">
        <v>684</v>
      </c>
      <c r="F160" s="653">
        <v>0</v>
      </c>
      <c r="G160" s="654"/>
      <c r="H160" s="651" t="s">
        <v>650</v>
      </c>
      <c r="I160" s="655"/>
      <c r="J160" s="655"/>
      <c r="K160" s="653">
        <v>0</v>
      </c>
      <c r="L160" s="656">
        <v>0</v>
      </c>
    </row>
    <row r="161" spans="1:12" ht="21" x14ac:dyDescent="0.25">
      <c r="A161" s="651" t="s">
        <v>78</v>
      </c>
      <c r="B161" s="652">
        <v>2021</v>
      </c>
      <c r="C161" s="651" t="s">
        <v>685</v>
      </c>
      <c r="D161" s="651" t="s">
        <v>796</v>
      </c>
      <c r="E161" s="651" t="s">
        <v>687</v>
      </c>
      <c r="F161" s="653">
        <v>0</v>
      </c>
      <c r="G161" s="654"/>
      <c r="H161" s="651" t="s">
        <v>650</v>
      </c>
      <c r="I161" s="655"/>
      <c r="J161" s="655"/>
      <c r="K161" s="653">
        <v>0</v>
      </c>
      <c r="L161" s="656">
        <v>0</v>
      </c>
    </row>
    <row r="162" spans="1:12" ht="14.5" x14ac:dyDescent="0.25">
      <c r="A162" s="651" t="s">
        <v>78</v>
      </c>
      <c r="B162" s="652">
        <v>2021</v>
      </c>
      <c r="C162" s="651" t="s">
        <v>688</v>
      </c>
      <c r="D162" s="651" t="s">
        <v>797</v>
      </c>
      <c r="E162" s="651" t="s">
        <v>50</v>
      </c>
      <c r="F162" s="653">
        <v>1910.27</v>
      </c>
      <c r="G162" s="654"/>
      <c r="H162" s="651" t="s">
        <v>650</v>
      </c>
      <c r="I162" s="655"/>
      <c r="J162" s="655"/>
      <c r="K162" s="653">
        <v>0</v>
      </c>
      <c r="L162" s="656">
        <v>1910.27</v>
      </c>
    </row>
    <row r="163" spans="1:12" ht="21" x14ac:dyDescent="0.25">
      <c r="A163" s="651" t="s">
        <v>78</v>
      </c>
      <c r="B163" s="652">
        <v>2021</v>
      </c>
      <c r="C163" s="651" t="s">
        <v>690</v>
      </c>
      <c r="D163" s="651" t="s">
        <v>798</v>
      </c>
      <c r="E163" s="651" t="s">
        <v>692</v>
      </c>
      <c r="F163" s="653">
        <v>0</v>
      </c>
      <c r="G163" s="654"/>
      <c r="H163" s="651" t="s">
        <v>650</v>
      </c>
      <c r="I163" s="655"/>
      <c r="J163" s="655"/>
      <c r="K163" s="653">
        <v>0</v>
      </c>
      <c r="L163" s="656">
        <v>0</v>
      </c>
    </row>
    <row r="164" spans="1:12" ht="21" x14ac:dyDescent="0.25">
      <c r="A164" s="651" t="s">
        <v>78</v>
      </c>
      <c r="B164" s="652">
        <v>2021</v>
      </c>
      <c r="C164" s="651" t="s">
        <v>693</v>
      </c>
      <c r="D164" s="651" t="s">
        <v>799</v>
      </c>
      <c r="E164" s="651" t="s">
        <v>6</v>
      </c>
      <c r="F164" s="653">
        <v>0</v>
      </c>
      <c r="G164" s="654"/>
      <c r="H164" s="651" t="s">
        <v>650</v>
      </c>
      <c r="I164" s="655"/>
      <c r="J164" s="655"/>
      <c r="K164" s="653">
        <v>0</v>
      </c>
      <c r="L164" s="656">
        <v>0</v>
      </c>
    </row>
    <row r="165" spans="1:12" ht="31.5" x14ac:dyDescent="0.25">
      <c r="A165" s="651" t="s">
        <v>78</v>
      </c>
      <c r="B165" s="652">
        <v>2021</v>
      </c>
      <c r="C165" s="651" t="s">
        <v>695</v>
      </c>
      <c r="D165" s="651" t="s">
        <v>800</v>
      </c>
      <c r="E165" s="651" t="s">
        <v>697</v>
      </c>
      <c r="F165" s="653">
        <v>0</v>
      </c>
      <c r="G165" s="654"/>
      <c r="H165" s="651" t="s">
        <v>650</v>
      </c>
      <c r="I165" s="655"/>
      <c r="J165" s="655"/>
      <c r="K165" s="653">
        <v>0</v>
      </c>
      <c r="L165" s="656">
        <v>0</v>
      </c>
    </row>
    <row r="166" spans="1:12" ht="21" x14ac:dyDescent="0.25">
      <c r="A166" s="651" t="s">
        <v>78</v>
      </c>
      <c r="B166" s="652">
        <v>2021</v>
      </c>
      <c r="C166" s="651" t="s">
        <v>698</v>
      </c>
      <c r="D166" s="651" t="s">
        <v>801</v>
      </c>
      <c r="E166" s="651" t="s">
        <v>700</v>
      </c>
      <c r="F166" s="653">
        <v>0</v>
      </c>
      <c r="G166" s="654"/>
      <c r="H166" s="651" t="s">
        <v>650</v>
      </c>
      <c r="I166" s="655"/>
      <c r="J166" s="655"/>
      <c r="K166" s="653">
        <v>0</v>
      </c>
      <c r="L166" s="656">
        <v>0</v>
      </c>
    </row>
    <row r="167" spans="1:12" ht="21" x14ac:dyDescent="0.25">
      <c r="A167" s="651" t="s">
        <v>78</v>
      </c>
      <c r="B167" s="652">
        <v>2021</v>
      </c>
      <c r="C167" s="651" t="s">
        <v>701</v>
      </c>
      <c r="D167" s="651" t="s">
        <v>802</v>
      </c>
      <c r="E167" s="651" t="s">
        <v>1</v>
      </c>
      <c r="F167" s="653">
        <v>-26004.07</v>
      </c>
      <c r="G167" s="651" t="s">
        <v>650</v>
      </c>
      <c r="H167" s="654"/>
      <c r="I167" s="653">
        <v>-25086.01953125</v>
      </c>
      <c r="J167" s="653">
        <v>-918.04998779296898</v>
      </c>
      <c r="K167" s="653">
        <v>-26004.0703125</v>
      </c>
      <c r="L167" s="656">
        <v>-26004.07</v>
      </c>
    </row>
    <row r="168" spans="1:12" ht="21" x14ac:dyDescent="0.25">
      <c r="A168" s="651" t="s">
        <v>78</v>
      </c>
      <c r="B168" s="652">
        <v>2021</v>
      </c>
      <c r="C168" s="651" t="s">
        <v>701</v>
      </c>
      <c r="D168" s="651" t="s">
        <v>802</v>
      </c>
      <c r="E168" s="651" t="s">
        <v>703</v>
      </c>
      <c r="F168" s="653">
        <v>0</v>
      </c>
      <c r="G168" s="654"/>
      <c r="H168" s="654"/>
      <c r="I168" s="655"/>
      <c r="J168" s="655"/>
      <c r="K168" s="653">
        <v>0</v>
      </c>
      <c r="L168" s="656">
        <v>0</v>
      </c>
    </row>
    <row r="169" spans="1:12" ht="21" x14ac:dyDescent="0.25">
      <c r="A169" s="651" t="s">
        <v>78</v>
      </c>
      <c r="B169" s="652">
        <v>2021</v>
      </c>
      <c r="C169" s="651" t="s">
        <v>701</v>
      </c>
      <c r="D169" s="651" t="s">
        <v>802</v>
      </c>
      <c r="E169" s="651" t="s">
        <v>704</v>
      </c>
      <c r="F169" s="653">
        <v>-0.03</v>
      </c>
      <c r="G169" s="654"/>
      <c r="H169" s="654"/>
      <c r="I169" s="655"/>
      <c r="J169" s="655"/>
      <c r="K169" s="653">
        <v>0</v>
      </c>
      <c r="L169" s="656">
        <v>-0.03</v>
      </c>
    </row>
    <row r="170" spans="1:12" ht="21" x14ac:dyDescent="0.25">
      <c r="A170" s="651" t="s">
        <v>78</v>
      </c>
      <c r="B170" s="652">
        <v>2021</v>
      </c>
      <c r="C170" s="651" t="s">
        <v>701</v>
      </c>
      <c r="D170" s="651" t="s">
        <v>802</v>
      </c>
      <c r="E170" s="651" t="s">
        <v>705</v>
      </c>
      <c r="F170" s="653">
        <v>152.31</v>
      </c>
      <c r="G170" s="654"/>
      <c r="H170" s="654"/>
      <c r="I170" s="655"/>
      <c r="J170" s="655"/>
      <c r="K170" s="653">
        <v>0</v>
      </c>
      <c r="L170" s="656">
        <v>152.31</v>
      </c>
    </row>
    <row r="171" spans="1:12" ht="21" x14ac:dyDescent="0.25">
      <c r="A171" s="651" t="s">
        <v>78</v>
      </c>
      <c r="B171" s="652">
        <v>2021</v>
      </c>
      <c r="C171" s="651" t="s">
        <v>701</v>
      </c>
      <c r="D171" s="651" t="s">
        <v>802</v>
      </c>
      <c r="E171" s="651" t="s">
        <v>706</v>
      </c>
      <c r="F171" s="653">
        <v>-2972.66</v>
      </c>
      <c r="G171" s="654"/>
      <c r="H171" s="654"/>
      <c r="I171" s="655"/>
      <c r="J171" s="655"/>
      <c r="K171" s="653">
        <v>0</v>
      </c>
      <c r="L171" s="656">
        <v>-2972.66</v>
      </c>
    </row>
    <row r="172" spans="1:12" ht="14.5" x14ac:dyDescent="0.25">
      <c r="A172" s="651" t="s">
        <v>78</v>
      </c>
      <c r="B172" s="652">
        <v>2021</v>
      </c>
      <c r="C172" s="651" t="s">
        <v>707</v>
      </c>
      <c r="D172" s="651" t="s">
        <v>803</v>
      </c>
      <c r="E172" s="651" t="s">
        <v>709</v>
      </c>
      <c r="F172" s="653">
        <v>0</v>
      </c>
      <c r="G172" s="654"/>
      <c r="H172" s="651" t="s">
        <v>650</v>
      </c>
      <c r="I172" s="655"/>
      <c r="J172" s="655"/>
      <c r="K172" s="653">
        <v>0</v>
      </c>
      <c r="L172" s="656">
        <v>0</v>
      </c>
    </row>
    <row r="173" spans="1:12" ht="31.5" x14ac:dyDescent="0.25">
      <c r="A173" s="651" t="s">
        <v>78</v>
      </c>
      <c r="B173" s="652">
        <v>2021</v>
      </c>
      <c r="C173" s="651" t="s">
        <v>710</v>
      </c>
      <c r="D173" s="651" t="s">
        <v>804</v>
      </c>
      <c r="E173" s="651" t="s">
        <v>2</v>
      </c>
      <c r="F173" s="653">
        <v>35086.81</v>
      </c>
      <c r="G173" s="651" t="s">
        <v>650</v>
      </c>
      <c r="H173" s="654"/>
      <c r="I173" s="653">
        <v>34298.91015625</v>
      </c>
      <c r="J173" s="653">
        <v>787.90002441406295</v>
      </c>
      <c r="K173" s="653">
        <v>35086.80859375</v>
      </c>
      <c r="L173" s="656">
        <v>35086.81</v>
      </c>
    </row>
    <row r="174" spans="1:12" ht="31.5" x14ac:dyDescent="0.25">
      <c r="A174" s="651" t="s">
        <v>78</v>
      </c>
      <c r="B174" s="652">
        <v>2021</v>
      </c>
      <c r="C174" s="651" t="s">
        <v>712</v>
      </c>
      <c r="D174" s="651" t="s">
        <v>805</v>
      </c>
      <c r="E174" s="651" t="s">
        <v>3</v>
      </c>
      <c r="F174" s="653">
        <v>10969.87</v>
      </c>
      <c r="G174" s="651" t="s">
        <v>650</v>
      </c>
      <c r="H174" s="654"/>
      <c r="I174" s="653">
        <v>10576.3603515625</v>
      </c>
      <c r="J174" s="653">
        <v>393.510009765625</v>
      </c>
      <c r="K174" s="653">
        <v>10969.8701171875</v>
      </c>
      <c r="L174" s="656">
        <v>10969.87</v>
      </c>
    </row>
    <row r="175" spans="1:12" ht="31.5" x14ac:dyDescent="0.25">
      <c r="A175" s="651" t="s">
        <v>78</v>
      </c>
      <c r="B175" s="652">
        <v>2021</v>
      </c>
      <c r="C175" s="651" t="s">
        <v>714</v>
      </c>
      <c r="D175" s="651" t="s">
        <v>806</v>
      </c>
      <c r="E175" s="651" t="s">
        <v>38</v>
      </c>
      <c r="F175" s="653">
        <v>-119752.97</v>
      </c>
      <c r="G175" s="651" t="s">
        <v>650</v>
      </c>
      <c r="H175" s="654"/>
      <c r="I175" s="653">
        <v>-120729.890625</v>
      </c>
      <c r="J175" s="653">
        <v>976.91998291015602</v>
      </c>
      <c r="K175" s="653">
        <v>-119752.96875</v>
      </c>
      <c r="L175" s="656">
        <v>-119752.97</v>
      </c>
    </row>
    <row r="176" spans="1:12" ht="21" x14ac:dyDescent="0.25">
      <c r="A176" s="651" t="s">
        <v>78</v>
      </c>
      <c r="B176" s="652">
        <v>2021</v>
      </c>
      <c r="C176" s="651" t="s">
        <v>716</v>
      </c>
      <c r="D176" s="651" t="s">
        <v>807</v>
      </c>
      <c r="E176" s="651" t="s">
        <v>66</v>
      </c>
      <c r="F176" s="653">
        <v>176325.34</v>
      </c>
      <c r="G176" s="651" t="s">
        <v>650</v>
      </c>
      <c r="H176" s="654"/>
      <c r="I176" s="653">
        <v>173394.59375</v>
      </c>
      <c r="J176" s="653">
        <v>2930.75</v>
      </c>
      <c r="K176" s="653">
        <v>176325.34375</v>
      </c>
      <c r="L176" s="656">
        <v>176325.34</v>
      </c>
    </row>
    <row r="177" spans="1:12" ht="31.5" x14ac:dyDescent="0.25">
      <c r="A177" s="651" t="s">
        <v>78</v>
      </c>
      <c r="B177" s="652">
        <v>2021</v>
      </c>
      <c r="C177" s="651" t="s">
        <v>718</v>
      </c>
      <c r="D177" s="651" t="s">
        <v>808</v>
      </c>
      <c r="E177" s="651" t="s">
        <v>720</v>
      </c>
      <c r="F177" s="653">
        <v>-2724</v>
      </c>
      <c r="G177" s="654"/>
      <c r="H177" s="651" t="s">
        <v>650</v>
      </c>
      <c r="I177" s="655"/>
      <c r="J177" s="655"/>
      <c r="K177" s="653">
        <v>0</v>
      </c>
      <c r="L177" s="656">
        <v>-2724</v>
      </c>
    </row>
    <row r="178" spans="1:12" ht="42" x14ac:dyDescent="0.25">
      <c r="A178" s="651" t="s">
        <v>78</v>
      </c>
      <c r="B178" s="652">
        <v>2021</v>
      </c>
      <c r="C178" s="651" t="s">
        <v>721</v>
      </c>
      <c r="D178" s="651" t="s">
        <v>809</v>
      </c>
      <c r="E178" s="651" t="s">
        <v>3016</v>
      </c>
      <c r="F178" s="653">
        <v>0</v>
      </c>
      <c r="G178" s="651" t="s">
        <v>650</v>
      </c>
      <c r="H178" s="654"/>
      <c r="I178" s="653">
        <v>77033.640625</v>
      </c>
      <c r="J178" s="653">
        <v>-22885.349609375</v>
      </c>
      <c r="K178" s="653">
        <v>54148.2890625</v>
      </c>
      <c r="L178" s="656">
        <v>54148.29</v>
      </c>
    </row>
    <row r="179" spans="1:12" ht="42" x14ac:dyDescent="0.25">
      <c r="A179" s="651" t="s">
        <v>78</v>
      </c>
      <c r="B179" s="652">
        <v>2021</v>
      </c>
      <c r="C179" s="651" t="s">
        <v>721</v>
      </c>
      <c r="D179" s="651" t="s">
        <v>809</v>
      </c>
      <c r="E179" s="651" t="s">
        <v>3058</v>
      </c>
      <c r="F179" s="653">
        <v>0</v>
      </c>
      <c r="G179" s="651" t="s">
        <v>650</v>
      </c>
      <c r="H179" s="654"/>
      <c r="I179" s="653">
        <v>-21212.48046875</v>
      </c>
      <c r="J179" s="653">
        <v>-2441.82006835938</v>
      </c>
      <c r="K179" s="653">
        <v>-23654.30078125</v>
      </c>
      <c r="L179" s="656">
        <v>-23654.3</v>
      </c>
    </row>
    <row r="180" spans="1:12" ht="42" x14ac:dyDescent="0.25">
      <c r="A180" s="651" t="s">
        <v>78</v>
      </c>
      <c r="B180" s="652">
        <v>2021</v>
      </c>
      <c r="C180" s="651" t="s">
        <v>721</v>
      </c>
      <c r="D180" s="651" t="s">
        <v>810</v>
      </c>
      <c r="E180" s="651" t="s">
        <v>724</v>
      </c>
      <c r="F180" s="653">
        <v>0</v>
      </c>
      <c r="G180" s="651" t="s">
        <v>650</v>
      </c>
      <c r="H180" s="654"/>
      <c r="I180" s="655"/>
      <c r="J180" s="655"/>
      <c r="K180" s="653">
        <v>0</v>
      </c>
      <c r="L180" s="656">
        <v>0</v>
      </c>
    </row>
    <row r="181" spans="1:12" ht="42" x14ac:dyDescent="0.25">
      <c r="A181" s="651" t="s">
        <v>78</v>
      </c>
      <c r="B181" s="652">
        <v>2021</v>
      </c>
      <c r="C181" s="651" t="s">
        <v>721</v>
      </c>
      <c r="D181" s="651" t="s">
        <v>811</v>
      </c>
      <c r="E181" s="651" t="s">
        <v>55</v>
      </c>
      <c r="F181" s="653">
        <v>0</v>
      </c>
      <c r="G181" s="651" t="s">
        <v>650</v>
      </c>
      <c r="H181" s="654"/>
      <c r="I181" s="655"/>
      <c r="J181" s="655"/>
      <c r="K181" s="653">
        <v>0</v>
      </c>
      <c r="L181" s="656">
        <v>0</v>
      </c>
    </row>
    <row r="182" spans="1:12" ht="42" x14ac:dyDescent="0.25">
      <c r="A182" s="651" t="s">
        <v>78</v>
      </c>
      <c r="B182" s="652">
        <v>2021</v>
      </c>
      <c r="C182" s="651" t="s">
        <v>721</v>
      </c>
      <c r="D182" s="651" t="s">
        <v>812</v>
      </c>
      <c r="E182" s="651" t="s">
        <v>56</v>
      </c>
      <c r="F182" s="653">
        <v>0</v>
      </c>
      <c r="G182" s="651" t="s">
        <v>650</v>
      </c>
      <c r="H182" s="654"/>
      <c r="I182" s="655"/>
      <c r="J182" s="655"/>
      <c r="K182" s="653">
        <v>0</v>
      </c>
      <c r="L182" s="656">
        <v>0</v>
      </c>
    </row>
    <row r="183" spans="1:12" ht="42" x14ac:dyDescent="0.25">
      <c r="A183" s="651" t="s">
        <v>78</v>
      </c>
      <c r="B183" s="652">
        <v>2021</v>
      </c>
      <c r="C183" s="651" t="s">
        <v>721</v>
      </c>
      <c r="D183" s="651" t="s">
        <v>813</v>
      </c>
      <c r="E183" s="651" t="s">
        <v>728</v>
      </c>
      <c r="F183" s="653">
        <v>0</v>
      </c>
      <c r="G183" s="651" t="s">
        <v>650</v>
      </c>
      <c r="H183" s="654"/>
      <c r="I183" s="655"/>
      <c r="J183" s="655"/>
      <c r="K183" s="653">
        <v>0</v>
      </c>
      <c r="L183" s="656">
        <v>0</v>
      </c>
    </row>
    <row r="184" spans="1:12" ht="42" x14ac:dyDescent="0.25">
      <c r="A184" s="651" t="s">
        <v>78</v>
      </c>
      <c r="B184" s="652">
        <v>2021</v>
      </c>
      <c r="C184" s="651" t="s">
        <v>721</v>
      </c>
      <c r="D184" s="651" t="s">
        <v>814</v>
      </c>
      <c r="E184" s="651" t="s">
        <v>730</v>
      </c>
      <c r="F184" s="653">
        <v>0</v>
      </c>
      <c r="G184" s="651" t="s">
        <v>650</v>
      </c>
      <c r="H184" s="654"/>
      <c r="I184" s="655"/>
      <c r="J184" s="655"/>
      <c r="K184" s="653">
        <v>0</v>
      </c>
      <c r="L184" s="656">
        <v>0</v>
      </c>
    </row>
    <row r="185" spans="1:12" ht="42" x14ac:dyDescent="0.25">
      <c r="A185" s="651" t="s">
        <v>78</v>
      </c>
      <c r="B185" s="652">
        <v>2021</v>
      </c>
      <c r="C185" s="651" t="s">
        <v>721</v>
      </c>
      <c r="D185" s="651" t="s">
        <v>815</v>
      </c>
      <c r="E185" s="651" t="s">
        <v>142</v>
      </c>
      <c r="F185" s="653">
        <v>0</v>
      </c>
      <c r="G185" s="651" t="s">
        <v>650</v>
      </c>
      <c r="H185" s="654"/>
      <c r="I185" s="655"/>
      <c r="J185" s="655"/>
      <c r="K185" s="653">
        <v>0</v>
      </c>
      <c r="L185" s="656">
        <v>0</v>
      </c>
    </row>
    <row r="186" spans="1:12" ht="42" x14ac:dyDescent="0.25">
      <c r="A186" s="651" t="s">
        <v>78</v>
      </c>
      <c r="B186" s="652">
        <v>2021</v>
      </c>
      <c r="C186" s="651" t="s">
        <v>721</v>
      </c>
      <c r="D186" s="651" t="s">
        <v>816</v>
      </c>
      <c r="E186" s="651" t="s">
        <v>143</v>
      </c>
      <c r="F186" s="653">
        <v>0</v>
      </c>
      <c r="G186" s="651" t="s">
        <v>650</v>
      </c>
      <c r="H186" s="654"/>
      <c r="I186" s="655"/>
      <c r="J186" s="655"/>
      <c r="K186" s="653">
        <v>0</v>
      </c>
      <c r="L186" s="656">
        <v>0</v>
      </c>
    </row>
    <row r="187" spans="1:12" ht="42" x14ac:dyDescent="0.25">
      <c r="A187" s="651" t="s">
        <v>78</v>
      </c>
      <c r="B187" s="652">
        <v>2021</v>
      </c>
      <c r="C187" s="651" t="s">
        <v>721</v>
      </c>
      <c r="D187" s="651" t="s">
        <v>817</v>
      </c>
      <c r="E187" s="651" t="s">
        <v>182</v>
      </c>
      <c r="F187" s="653">
        <v>0</v>
      </c>
      <c r="G187" s="651" t="s">
        <v>650</v>
      </c>
      <c r="H187" s="654"/>
      <c r="I187" s="655"/>
      <c r="J187" s="655"/>
      <c r="K187" s="653">
        <v>0</v>
      </c>
      <c r="L187" s="656">
        <v>0</v>
      </c>
    </row>
    <row r="188" spans="1:12" ht="42" x14ac:dyDescent="0.25">
      <c r="A188" s="651" t="s">
        <v>78</v>
      </c>
      <c r="B188" s="652">
        <v>2021</v>
      </c>
      <c r="C188" s="651" t="s">
        <v>721</v>
      </c>
      <c r="D188" s="651" t="s">
        <v>818</v>
      </c>
      <c r="E188" s="651" t="s">
        <v>394</v>
      </c>
      <c r="F188" s="653">
        <v>0</v>
      </c>
      <c r="G188" s="651" t="s">
        <v>650</v>
      </c>
      <c r="H188" s="654"/>
      <c r="I188" s="655"/>
      <c r="J188" s="655"/>
      <c r="K188" s="653">
        <v>0</v>
      </c>
      <c r="L188" s="656">
        <v>0</v>
      </c>
    </row>
    <row r="189" spans="1:12" ht="42" x14ac:dyDescent="0.25">
      <c r="A189" s="651" t="s">
        <v>78</v>
      </c>
      <c r="B189" s="652">
        <v>2021</v>
      </c>
      <c r="C189" s="651" t="s">
        <v>721</v>
      </c>
      <c r="D189" s="651" t="s">
        <v>819</v>
      </c>
      <c r="E189" s="651" t="s">
        <v>423</v>
      </c>
      <c r="F189" s="653">
        <v>0</v>
      </c>
      <c r="G189" s="651" t="s">
        <v>650</v>
      </c>
      <c r="H189" s="654"/>
      <c r="I189" s="655"/>
      <c r="J189" s="655"/>
      <c r="K189" s="653">
        <v>0</v>
      </c>
      <c r="L189" s="656">
        <v>0</v>
      </c>
    </row>
    <row r="190" spans="1:12" ht="42" x14ac:dyDescent="0.25">
      <c r="A190" s="651" t="s">
        <v>78</v>
      </c>
      <c r="B190" s="652">
        <v>2021</v>
      </c>
      <c r="C190" s="651" t="s">
        <v>721</v>
      </c>
      <c r="D190" s="651" t="s">
        <v>3074</v>
      </c>
      <c r="E190" s="651" t="s">
        <v>441</v>
      </c>
      <c r="F190" s="653">
        <v>0</v>
      </c>
      <c r="G190" s="651" t="s">
        <v>650</v>
      </c>
      <c r="H190" s="654"/>
      <c r="I190" s="653">
        <v>-4098.41015625</v>
      </c>
      <c r="J190" s="653">
        <v>-2206.8701171875</v>
      </c>
      <c r="K190" s="653">
        <v>-6305.27978515625</v>
      </c>
      <c r="L190" s="656">
        <v>-6305.28</v>
      </c>
    </row>
    <row r="191" spans="1:12" ht="42" x14ac:dyDescent="0.25">
      <c r="A191" s="651" t="s">
        <v>78</v>
      </c>
      <c r="B191" s="652">
        <v>2021</v>
      </c>
      <c r="C191" s="651" t="s">
        <v>721</v>
      </c>
      <c r="D191" s="651" t="s">
        <v>820</v>
      </c>
      <c r="E191" s="651" t="s">
        <v>737</v>
      </c>
      <c r="F191" s="653">
        <v>24188.71</v>
      </c>
      <c r="G191" s="654"/>
      <c r="H191" s="654"/>
      <c r="I191" s="655"/>
      <c r="J191" s="655"/>
      <c r="K191" s="653">
        <v>0</v>
      </c>
      <c r="L191" s="656">
        <v>24188.71</v>
      </c>
    </row>
    <row r="192" spans="1:12" ht="14.5" x14ac:dyDescent="0.25">
      <c r="A192" s="651" t="s">
        <v>78</v>
      </c>
      <c r="B192" s="652">
        <v>2021</v>
      </c>
      <c r="C192" s="651" t="s">
        <v>738</v>
      </c>
      <c r="D192" s="651" t="s">
        <v>821</v>
      </c>
      <c r="E192" s="651" t="s">
        <v>7</v>
      </c>
      <c r="F192" s="653">
        <v>0</v>
      </c>
      <c r="G192" s="654"/>
      <c r="H192" s="651" t="s">
        <v>650</v>
      </c>
      <c r="I192" s="655"/>
      <c r="J192" s="655"/>
      <c r="K192" s="653">
        <v>0</v>
      </c>
      <c r="L192" s="656">
        <v>0</v>
      </c>
    </row>
    <row r="193" spans="1:12" ht="21" x14ac:dyDescent="0.25">
      <c r="A193" s="651" t="s">
        <v>79</v>
      </c>
      <c r="B193" s="652">
        <v>2021</v>
      </c>
      <c r="C193" s="651" t="s">
        <v>647</v>
      </c>
      <c r="D193" s="651" t="s">
        <v>822</v>
      </c>
      <c r="E193" s="651" t="s">
        <v>649</v>
      </c>
      <c r="F193" s="653">
        <v>-56653</v>
      </c>
      <c r="G193" s="654"/>
      <c r="H193" s="651" t="s">
        <v>650</v>
      </c>
      <c r="I193" s="655"/>
      <c r="J193" s="655"/>
      <c r="K193" s="653">
        <v>0</v>
      </c>
      <c r="L193" s="656">
        <v>-56653</v>
      </c>
    </row>
    <row r="194" spans="1:12" ht="21" x14ac:dyDescent="0.25">
      <c r="A194" s="651" t="s">
        <v>79</v>
      </c>
      <c r="B194" s="652">
        <v>2021</v>
      </c>
      <c r="C194" s="651" t="s">
        <v>651</v>
      </c>
      <c r="D194" s="651" t="s">
        <v>823</v>
      </c>
      <c r="E194" s="651" t="s">
        <v>653</v>
      </c>
      <c r="F194" s="653">
        <v>0</v>
      </c>
      <c r="G194" s="654"/>
      <c r="H194" s="651" t="s">
        <v>650</v>
      </c>
      <c r="I194" s="655"/>
      <c r="J194" s="655"/>
      <c r="K194" s="653">
        <v>0</v>
      </c>
      <c r="L194" s="656">
        <v>0</v>
      </c>
    </row>
    <row r="195" spans="1:12" ht="42" x14ac:dyDescent="0.25">
      <c r="A195" s="651" t="s">
        <v>79</v>
      </c>
      <c r="B195" s="652">
        <v>2021</v>
      </c>
      <c r="C195" s="651" t="s">
        <v>654</v>
      </c>
      <c r="D195" s="651" t="s">
        <v>824</v>
      </c>
      <c r="E195" s="651" t="s">
        <v>445</v>
      </c>
      <c r="F195" s="653">
        <v>0</v>
      </c>
      <c r="G195" s="654"/>
      <c r="H195" s="651" t="s">
        <v>650</v>
      </c>
      <c r="I195" s="655"/>
      <c r="J195" s="655"/>
      <c r="K195" s="653">
        <v>0</v>
      </c>
      <c r="L195" s="656">
        <v>0</v>
      </c>
    </row>
    <row r="196" spans="1:12" ht="21" x14ac:dyDescent="0.25">
      <c r="A196" s="651" t="s">
        <v>79</v>
      </c>
      <c r="B196" s="652">
        <v>2021</v>
      </c>
      <c r="C196" s="651" t="s">
        <v>656</v>
      </c>
      <c r="D196" s="651" t="s">
        <v>825</v>
      </c>
      <c r="E196" s="651" t="s">
        <v>658</v>
      </c>
      <c r="F196" s="653">
        <v>0</v>
      </c>
      <c r="G196" s="654"/>
      <c r="H196" s="651" t="s">
        <v>650</v>
      </c>
      <c r="I196" s="655"/>
      <c r="J196" s="655"/>
      <c r="K196" s="653">
        <v>0</v>
      </c>
      <c r="L196" s="656">
        <v>0</v>
      </c>
    </row>
    <row r="197" spans="1:12" ht="31.5" x14ac:dyDescent="0.25">
      <c r="A197" s="651" t="s">
        <v>79</v>
      </c>
      <c r="B197" s="652">
        <v>2021</v>
      </c>
      <c r="C197" s="651" t="s">
        <v>659</v>
      </c>
      <c r="D197" s="651" t="s">
        <v>826</v>
      </c>
      <c r="E197" s="651" t="s">
        <v>661</v>
      </c>
      <c r="F197" s="653">
        <v>0</v>
      </c>
      <c r="G197" s="654"/>
      <c r="H197" s="651" t="s">
        <v>650</v>
      </c>
      <c r="I197" s="655"/>
      <c r="J197" s="655"/>
      <c r="K197" s="653">
        <v>0</v>
      </c>
      <c r="L197" s="656">
        <v>0</v>
      </c>
    </row>
    <row r="198" spans="1:12" ht="21" x14ac:dyDescent="0.25">
      <c r="A198" s="651" t="s">
        <v>79</v>
      </c>
      <c r="B198" s="652">
        <v>2021</v>
      </c>
      <c r="C198" s="651" t="s">
        <v>662</v>
      </c>
      <c r="D198" s="651" t="s">
        <v>827</v>
      </c>
      <c r="E198" s="651" t="s">
        <v>664</v>
      </c>
      <c r="F198" s="653">
        <v>0</v>
      </c>
      <c r="G198" s="654"/>
      <c r="H198" s="651" t="s">
        <v>650</v>
      </c>
      <c r="I198" s="655"/>
      <c r="J198" s="655"/>
      <c r="K198" s="653">
        <v>0</v>
      </c>
      <c r="L198" s="656">
        <v>0</v>
      </c>
    </row>
    <row r="199" spans="1:12" ht="31.5" x14ac:dyDescent="0.25">
      <c r="A199" s="651" t="s">
        <v>79</v>
      </c>
      <c r="B199" s="652">
        <v>2021</v>
      </c>
      <c r="C199" s="651" t="s">
        <v>665</v>
      </c>
      <c r="D199" s="651" t="s">
        <v>828</v>
      </c>
      <c r="E199" s="651" t="s">
        <v>667</v>
      </c>
      <c r="F199" s="653">
        <v>0</v>
      </c>
      <c r="G199" s="654"/>
      <c r="H199" s="651" t="s">
        <v>650</v>
      </c>
      <c r="I199" s="655"/>
      <c r="J199" s="655"/>
      <c r="K199" s="653">
        <v>0</v>
      </c>
      <c r="L199" s="656">
        <v>0</v>
      </c>
    </row>
    <row r="200" spans="1:12" ht="21" x14ac:dyDescent="0.25">
      <c r="A200" s="651" t="s">
        <v>79</v>
      </c>
      <c r="B200" s="652">
        <v>2021</v>
      </c>
      <c r="C200" s="651" t="s">
        <v>668</v>
      </c>
      <c r="D200" s="651" t="s">
        <v>829</v>
      </c>
      <c r="E200" s="651" t="s">
        <v>12</v>
      </c>
      <c r="F200" s="653">
        <v>61087</v>
      </c>
      <c r="G200" s="654"/>
      <c r="H200" s="651" t="s">
        <v>650</v>
      </c>
      <c r="I200" s="655"/>
      <c r="J200" s="655"/>
      <c r="K200" s="653">
        <v>0</v>
      </c>
      <c r="L200" s="656">
        <v>61087</v>
      </c>
    </row>
    <row r="201" spans="1:12" ht="21" x14ac:dyDescent="0.25">
      <c r="A201" s="651" t="s">
        <v>79</v>
      </c>
      <c r="B201" s="652">
        <v>2021</v>
      </c>
      <c r="C201" s="651" t="s">
        <v>670</v>
      </c>
      <c r="D201" s="651" t="s">
        <v>830</v>
      </c>
      <c r="E201" s="651" t="s">
        <v>13</v>
      </c>
      <c r="F201" s="653">
        <v>355418</v>
      </c>
      <c r="G201" s="654"/>
      <c r="H201" s="651" t="s">
        <v>650</v>
      </c>
      <c r="I201" s="655"/>
      <c r="J201" s="655"/>
      <c r="K201" s="653">
        <v>0</v>
      </c>
      <c r="L201" s="656">
        <v>355418</v>
      </c>
    </row>
    <row r="202" spans="1:12" ht="21" x14ac:dyDescent="0.25">
      <c r="A202" s="651" t="s">
        <v>79</v>
      </c>
      <c r="B202" s="652">
        <v>2021</v>
      </c>
      <c r="C202" s="651" t="s">
        <v>672</v>
      </c>
      <c r="D202" s="651" t="s">
        <v>831</v>
      </c>
      <c r="E202" s="651" t="s">
        <v>15</v>
      </c>
      <c r="F202" s="653">
        <v>0</v>
      </c>
      <c r="G202" s="654"/>
      <c r="H202" s="651" t="s">
        <v>650</v>
      </c>
      <c r="I202" s="655"/>
      <c r="J202" s="655"/>
      <c r="K202" s="653">
        <v>0</v>
      </c>
      <c r="L202" s="656">
        <v>0</v>
      </c>
    </row>
    <row r="203" spans="1:12" ht="21" x14ac:dyDescent="0.25">
      <c r="A203" s="651" t="s">
        <v>79</v>
      </c>
      <c r="B203" s="652">
        <v>2021</v>
      </c>
      <c r="C203" s="651" t="s">
        <v>674</v>
      </c>
      <c r="D203" s="651" t="s">
        <v>832</v>
      </c>
      <c r="E203" s="651" t="s">
        <v>676</v>
      </c>
      <c r="F203" s="653">
        <v>0</v>
      </c>
      <c r="G203" s="654"/>
      <c r="H203" s="651" t="s">
        <v>650</v>
      </c>
      <c r="I203" s="655"/>
      <c r="J203" s="655"/>
      <c r="K203" s="653">
        <v>0</v>
      </c>
      <c r="L203" s="656">
        <v>0</v>
      </c>
    </row>
    <row r="204" spans="1:12" ht="21" x14ac:dyDescent="0.25">
      <c r="A204" s="651" t="s">
        <v>79</v>
      </c>
      <c r="B204" s="652">
        <v>2021</v>
      </c>
      <c r="C204" s="651" t="s">
        <v>677</v>
      </c>
      <c r="D204" s="651" t="s">
        <v>833</v>
      </c>
      <c r="E204" s="651" t="s">
        <v>23</v>
      </c>
      <c r="F204" s="653">
        <v>187762</v>
      </c>
      <c r="G204" s="651" t="s">
        <v>650</v>
      </c>
      <c r="H204" s="654"/>
      <c r="I204" s="653">
        <v>183214</v>
      </c>
      <c r="J204" s="653">
        <v>4548</v>
      </c>
      <c r="K204" s="653">
        <v>187762</v>
      </c>
      <c r="L204" s="656">
        <v>187762</v>
      </c>
    </row>
    <row r="205" spans="1:12" ht="31.5" x14ac:dyDescent="0.25">
      <c r="A205" s="651" t="s">
        <v>79</v>
      </c>
      <c r="B205" s="652">
        <v>2021</v>
      </c>
      <c r="C205" s="651" t="s">
        <v>679</v>
      </c>
      <c r="D205" s="651" t="s">
        <v>834</v>
      </c>
      <c r="E205" s="651" t="s">
        <v>131</v>
      </c>
      <c r="F205" s="653">
        <v>-5551</v>
      </c>
      <c r="G205" s="651" t="s">
        <v>650</v>
      </c>
      <c r="H205" s="654"/>
      <c r="I205" s="653">
        <v>-5297</v>
      </c>
      <c r="J205" s="653">
        <v>-254</v>
      </c>
      <c r="K205" s="653">
        <v>-5551</v>
      </c>
      <c r="L205" s="656">
        <v>-5551</v>
      </c>
    </row>
    <row r="206" spans="1:12" ht="31.5" x14ac:dyDescent="0.25">
      <c r="A206" s="651" t="s">
        <v>79</v>
      </c>
      <c r="B206" s="652">
        <v>2021</v>
      </c>
      <c r="C206" s="651" t="s">
        <v>681</v>
      </c>
      <c r="D206" s="651" t="s">
        <v>835</v>
      </c>
      <c r="E206" s="651" t="s">
        <v>683</v>
      </c>
      <c r="F206" s="653">
        <v>53322</v>
      </c>
      <c r="G206" s="654"/>
      <c r="H206" s="651" t="s">
        <v>650</v>
      </c>
      <c r="I206" s="655"/>
      <c r="J206" s="655"/>
      <c r="K206" s="653">
        <v>0</v>
      </c>
      <c r="L206" s="656">
        <v>53322</v>
      </c>
    </row>
    <row r="207" spans="1:12" ht="21" x14ac:dyDescent="0.25">
      <c r="A207" s="651" t="s">
        <v>79</v>
      </c>
      <c r="B207" s="652">
        <v>2021</v>
      </c>
      <c r="C207" s="651" t="s">
        <v>681</v>
      </c>
      <c r="D207" s="651" t="s">
        <v>835</v>
      </c>
      <c r="E207" s="651" t="s">
        <v>684</v>
      </c>
      <c r="F207" s="653">
        <v>53322</v>
      </c>
      <c r="G207" s="654"/>
      <c r="H207" s="651" t="s">
        <v>650</v>
      </c>
      <c r="I207" s="655"/>
      <c r="J207" s="655"/>
      <c r="K207" s="653">
        <v>0</v>
      </c>
      <c r="L207" s="656">
        <v>53322</v>
      </c>
    </row>
    <row r="208" spans="1:12" ht="21" x14ac:dyDescent="0.25">
      <c r="A208" s="651" t="s">
        <v>79</v>
      </c>
      <c r="B208" s="652">
        <v>2021</v>
      </c>
      <c r="C208" s="651" t="s">
        <v>685</v>
      </c>
      <c r="D208" s="651" t="s">
        <v>836</v>
      </c>
      <c r="E208" s="651" t="s">
        <v>687</v>
      </c>
      <c r="F208" s="653">
        <v>0</v>
      </c>
      <c r="G208" s="654"/>
      <c r="H208" s="651" t="s">
        <v>650</v>
      </c>
      <c r="I208" s="655"/>
      <c r="J208" s="655"/>
      <c r="K208" s="653">
        <v>0</v>
      </c>
      <c r="L208" s="656">
        <v>0</v>
      </c>
    </row>
    <row r="209" spans="1:12" ht="21" x14ac:dyDescent="0.25">
      <c r="A209" s="651" t="s">
        <v>79</v>
      </c>
      <c r="B209" s="652">
        <v>2021</v>
      </c>
      <c r="C209" s="651" t="s">
        <v>688</v>
      </c>
      <c r="D209" s="651" t="s">
        <v>837</v>
      </c>
      <c r="E209" s="651" t="s">
        <v>50</v>
      </c>
      <c r="F209" s="653">
        <v>0</v>
      </c>
      <c r="G209" s="654"/>
      <c r="H209" s="651" t="s">
        <v>650</v>
      </c>
      <c r="I209" s="655"/>
      <c r="J209" s="655"/>
      <c r="K209" s="653">
        <v>0</v>
      </c>
      <c r="L209" s="656">
        <v>0</v>
      </c>
    </row>
    <row r="210" spans="1:12" ht="21" x14ac:dyDescent="0.25">
      <c r="A210" s="651" t="s">
        <v>79</v>
      </c>
      <c r="B210" s="652">
        <v>2021</v>
      </c>
      <c r="C210" s="651" t="s">
        <v>690</v>
      </c>
      <c r="D210" s="651" t="s">
        <v>838</v>
      </c>
      <c r="E210" s="651" t="s">
        <v>692</v>
      </c>
      <c r="F210" s="653">
        <v>0</v>
      </c>
      <c r="G210" s="654"/>
      <c r="H210" s="651" t="s">
        <v>650</v>
      </c>
      <c r="I210" s="655"/>
      <c r="J210" s="655"/>
      <c r="K210" s="653">
        <v>0</v>
      </c>
      <c r="L210" s="656">
        <v>0</v>
      </c>
    </row>
    <row r="211" spans="1:12" ht="21" x14ac:dyDescent="0.25">
      <c r="A211" s="651" t="s">
        <v>79</v>
      </c>
      <c r="B211" s="652">
        <v>2021</v>
      </c>
      <c r="C211" s="651" t="s">
        <v>693</v>
      </c>
      <c r="D211" s="651" t="s">
        <v>839</v>
      </c>
      <c r="E211" s="651" t="s">
        <v>6</v>
      </c>
      <c r="F211" s="653">
        <v>0</v>
      </c>
      <c r="G211" s="654"/>
      <c r="H211" s="651" t="s">
        <v>650</v>
      </c>
      <c r="I211" s="655"/>
      <c r="J211" s="655"/>
      <c r="K211" s="653">
        <v>0</v>
      </c>
      <c r="L211" s="656">
        <v>0</v>
      </c>
    </row>
    <row r="212" spans="1:12" ht="31.5" x14ac:dyDescent="0.25">
      <c r="A212" s="651" t="s">
        <v>79</v>
      </c>
      <c r="B212" s="652">
        <v>2021</v>
      </c>
      <c r="C212" s="651" t="s">
        <v>695</v>
      </c>
      <c r="D212" s="651" t="s">
        <v>840</v>
      </c>
      <c r="E212" s="651" t="s">
        <v>697</v>
      </c>
      <c r="F212" s="653">
        <v>0</v>
      </c>
      <c r="G212" s="654"/>
      <c r="H212" s="651" t="s">
        <v>650</v>
      </c>
      <c r="I212" s="655"/>
      <c r="J212" s="655"/>
      <c r="K212" s="653">
        <v>0</v>
      </c>
      <c r="L212" s="656">
        <v>0</v>
      </c>
    </row>
    <row r="213" spans="1:12" ht="21" x14ac:dyDescent="0.25">
      <c r="A213" s="651" t="s">
        <v>79</v>
      </c>
      <c r="B213" s="652">
        <v>2021</v>
      </c>
      <c r="C213" s="651" t="s">
        <v>698</v>
      </c>
      <c r="D213" s="651" t="s">
        <v>841</v>
      </c>
      <c r="E213" s="651" t="s">
        <v>700</v>
      </c>
      <c r="F213" s="653">
        <v>0</v>
      </c>
      <c r="G213" s="654"/>
      <c r="H213" s="651" t="s">
        <v>650</v>
      </c>
      <c r="I213" s="655"/>
      <c r="J213" s="655"/>
      <c r="K213" s="653">
        <v>0</v>
      </c>
      <c r="L213" s="656">
        <v>0</v>
      </c>
    </row>
    <row r="214" spans="1:12" ht="21" x14ac:dyDescent="0.25">
      <c r="A214" s="651" t="s">
        <v>79</v>
      </c>
      <c r="B214" s="652">
        <v>2021</v>
      </c>
      <c r="C214" s="651" t="s">
        <v>701</v>
      </c>
      <c r="D214" s="651" t="s">
        <v>842</v>
      </c>
      <c r="E214" s="651" t="s">
        <v>1</v>
      </c>
      <c r="F214" s="653">
        <v>-1188644</v>
      </c>
      <c r="G214" s="651" t="s">
        <v>650</v>
      </c>
      <c r="H214" s="654"/>
      <c r="I214" s="653">
        <v>-1154619</v>
      </c>
      <c r="J214" s="653">
        <v>-34025</v>
      </c>
      <c r="K214" s="653">
        <v>-1188644</v>
      </c>
      <c r="L214" s="656">
        <v>-1188644</v>
      </c>
    </row>
    <row r="215" spans="1:12" ht="21" x14ac:dyDescent="0.25">
      <c r="A215" s="651" t="s">
        <v>79</v>
      </c>
      <c r="B215" s="652">
        <v>2021</v>
      </c>
      <c r="C215" s="651" t="s">
        <v>701</v>
      </c>
      <c r="D215" s="651" t="s">
        <v>842</v>
      </c>
      <c r="E215" s="651" t="s">
        <v>703</v>
      </c>
      <c r="F215" s="653">
        <v>0</v>
      </c>
      <c r="G215" s="654"/>
      <c r="H215" s="654"/>
      <c r="I215" s="655"/>
      <c r="J215" s="655"/>
      <c r="K215" s="653">
        <v>0</v>
      </c>
      <c r="L215" s="656">
        <v>0</v>
      </c>
    </row>
    <row r="216" spans="1:12" ht="21" x14ac:dyDescent="0.25">
      <c r="A216" s="651" t="s">
        <v>79</v>
      </c>
      <c r="B216" s="652">
        <v>2021</v>
      </c>
      <c r="C216" s="651" t="s">
        <v>701</v>
      </c>
      <c r="D216" s="651" t="s">
        <v>842</v>
      </c>
      <c r="E216" s="651" t="s">
        <v>704</v>
      </c>
      <c r="F216" s="653">
        <v>0</v>
      </c>
      <c r="G216" s="654"/>
      <c r="H216" s="654"/>
      <c r="I216" s="655"/>
      <c r="J216" s="655"/>
      <c r="K216" s="653">
        <v>0</v>
      </c>
      <c r="L216" s="656">
        <v>0</v>
      </c>
    </row>
    <row r="217" spans="1:12" ht="21" x14ac:dyDescent="0.25">
      <c r="A217" s="651" t="s">
        <v>79</v>
      </c>
      <c r="B217" s="652">
        <v>2021</v>
      </c>
      <c r="C217" s="651" t="s">
        <v>701</v>
      </c>
      <c r="D217" s="651" t="s">
        <v>842</v>
      </c>
      <c r="E217" s="651" t="s">
        <v>705</v>
      </c>
      <c r="F217" s="653">
        <v>-1815</v>
      </c>
      <c r="G217" s="654"/>
      <c r="H217" s="654"/>
      <c r="I217" s="655"/>
      <c r="J217" s="655"/>
      <c r="K217" s="653">
        <v>0</v>
      </c>
      <c r="L217" s="656">
        <v>-1815</v>
      </c>
    </row>
    <row r="218" spans="1:12" ht="21" x14ac:dyDescent="0.25">
      <c r="A218" s="651" t="s">
        <v>79</v>
      </c>
      <c r="B218" s="652">
        <v>2021</v>
      </c>
      <c r="C218" s="651" t="s">
        <v>701</v>
      </c>
      <c r="D218" s="651" t="s">
        <v>842</v>
      </c>
      <c r="E218" s="651" t="s">
        <v>706</v>
      </c>
      <c r="F218" s="653">
        <v>-109761</v>
      </c>
      <c r="G218" s="654"/>
      <c r="H218" s="654"/>
      <c r="I218" s="655"/>
      <c r="J218" s="655"/>
      <c r="K218" s="653">
        <v>0</v>
      </c>
      <c r="L218" s="656">
        <v>-109761</v>
      </c>
    </row>
    <row r="219" spans="1:12" ht="21" x14ac:dyDescent="0.25">
      <c r="A219" s="651" t="s">
        <v>79</v>
      </c>
      <c r="B219" s="652">
        <v>2021</v>
      </c>
      <c r="C219" s="651" t="s">
        <v>707</v>
      </c>
      <c r="D219" s="651" t="s">
        <v>843</v>
      </c>
      <c r="E219" s="651" t="s">
        <v>709</v>
      </c>
      <c r="F219" s="653">
        <v>0</v>
      </c>
      <c r="G219" s="654"/>
      <c r="H219" s="651" t="s">
        <v>650</v>
      </c>
      <c r="I219" s="655"/>
      <c r="J219" s="655"/>
      <c r="K219" s="653">
        <v>0</v>
      </c>
      <c r="L219" s="656">
        <v>0</v>
      </c>
    </row>
    <row r="220" spans="1:12" ht="31.5" x14ac:dyDescent="0.25">
      <c r="A220" s="651" t="s">
        <v>79</v>
      </c>
      <c r="B220" s="652">
        <v>2021</v>
      </c>
      <c r="C220" s="651" t="s">
        <v>710</v>
      </c>
      <c r="D220" s="651" t="s">
        <v>844</v>
      </c>
      <c r="E220" s="651" t="s">
        <v>2</v>
      </c>
      <c r="F220" s="653">
        <v>532994</v>
      </c>
      <c r="G220" s="651" t="s">
        <v>650</v>
      </c>
      <c r="H220" s="654"/>
      <c r="I220" s="653">
        <v>524388</v>
      </c>
      <c r="J220" s="653">
        <v>8606</v>
      </c>
      <c r="K220" s="653">
        <v>532994</v>
      </c>
      <c r="L220" s="656">
        <v>532994</v>
      </c>
    </row>
    <row r="221" spans="1:12" ht="31.5" x14ac:dyDescent="0.25">
      <c r="A221" s="651" t="s">
        <v>79</v>
      </c>
      <c r="B221" s="652">
        <v>2021</v>
      </c>
      <c r="C221" s="651" t="s">
        <v>712</v>
      </c>
      <c r="D221" s="651" t="s">
        <v>845</v>
      </c>
      <c r="E221" s="651" t="s">
        <v>3</v>
      </c>
      <c r="F221" s="653">
        <v>75951</v>
      </c>
      <c r="G221" s="651" t="s">
        <v>650</v>
      </c>
      <c r="H221" s="654"/>
      <c r="I221" s="653">
        <v>75494</v>
      </c>
      <c r="J221" s="653">
        <v>457</v>
      </c>
      <c r="K221" s="653">
        <v>75951</v>
      </c>
      <c r="L221" s="656">
        <v>75951</v>
      </c>
    </row>
    <row r="222" spans="1:12" ht="31.5" x14ac:dyDescent="0.25">
      <c r="A222" s="651" t="s">
        <v>79</v>
      </c>
      <c r="B222" s="652">
        <v>2021</v>
      </c>
      <c r="C222" s="651" t="s">
        <v>714</v>
      </c>
      <c r="D222" s="651" t="s">
        <v>846</v>
      </c>
      <c r="E222" s="651" t="s">
        <v>38</v>
      </c>
      <c r="F222" s="653">
        <v>-19199</v>
      </c>
      <c r="G222" s="651" t="s">
        <v>650</v>
      </c>
      <c r="H222" s="654"/>
      <c r="I222" s="653">
        <v>-26563</v>
      </c>
      <c r="J222" s="653">
        <v>7364</v>
      </c>
      <c r="K222" s="653">
        <v>-19199</v>
      </c>
      <c r="L222" s="656">
        <v>-19199</v>
      </c>
    </row>
    <row r="223" spans="1:12" ht="21" x14ac:dyDescent="0.25">
      <c r="A223" s="651" t="s">
        <v>79</v>
      </c>
      <c r="B223" s="652">
        <v>2021</v>
      </c>
      <c r="C223" s="651" t="s">
        <v>716</v>
      </c>
      <c r="D223" s="651" t="s">
        <v>847</v>
      </c>
      <c r="E223" s="651" t="s">
        <v>66</v>
      </c>
      <c r="F223" s="653">
        <v>689331</v>
      </c>
      <c r="G223" s="651" t="s">
        <v>650</v>
      </c>
      <c r="H223" s="654"/>
      <c r="I223" s="653">
        <v>670523</v>
      </c>
      <c r="J223" s="653">
        <v>18808</v>
      </c>
      <c r="K223" s="653">
        <v>689331</v>
      </c>
      <c r="L223" s="656">
        <v>689331</v>
      </c>
    </row>
    <row r="224" spans="1:12" ht="31.5" x14ac:dyDescent="0.25">
      <c r="A224" s="651" t="s">
        <v>79</v>
      </c>
      <c r="B224" s="652">
        <v>2021</v>
      </c>
      <c r="C224" s="651" t="s">
        <v>718</v>
      </c>
      <c r="D224" s="651" t="s">
        <v>848</v>
      </c>
      <c r="E224" s="651" t="s">
        <v>720</v>
      </c>
      <c r="F224" s="653">
        <v>-854448</v>
      </c>
      <c r="G224" s="654"/>
      <c r="H224" s="651" t="s">
        <v>650</v>
      </c>
      <c r="I224" s="655"/>
      <c r="J224" s="655"/>
      <c r="K224" s="653">
        <v>0</v>
      </c>
      <c r="L224" s="656">
        <v>-854448</v>
      </c>
    </row>
    <row r="225" spans="1:12" ht="42" x14ac:dyDescent="0.25">
      <c r="A225" s="651" t="s">
        <v>79</v>
      </c>
      <c r="B225" s="652">
        <v>2021</v>
      </c>
      <c r="C225" s="651" t="s">
        <v>721</v>
      </c>
      <c r="D225" s="651" t="s">
        <v>849</v>
      </c>
      <c r="E225" s="651" t="s">
        <v>3016</v>
      </c>
      <c r="F225" s="653">
        <v>0</v>
      </c>
      <c r="G225" s="651" t="s">
        <v>650</v>
      </c>
      <c r="H225" s="654"/>
      <c r="I225" s="653">
        <v>-36662</v>
      </c>
      <c r="J225" s="653">
        <v>-15881</v>
      </c>
      <c r="K225" s="653">
        <v>-52543</v>
      </c>
      <c r="L225" s="656">
        <v>-52543</v>
      </c>
    </row>
    <row r="226" spans="1:12" ht="42" x14ac:dyDescent="0.25">
      <c r="A226" s="651" t="s">
        <v>79</v>
      </c>
      <c r="B226" s="652">
        <v>2021</v>
      </c>
      <c r="C226" s="651" t="s">
        <v>721</v>
      </c>
      <c r="D226" s="651" t="s">
        <v>849</v>
      </c>
      <c r="E226" s="651" t="s">
        <v>3058</v>
      </c>
      <c r="F226" s="653">
        <v>0</v>
      </c>
      <c r="G226" s="651" t="s">
        <v>650</v>
      </c>
      <c r="H226" s="654"/>
      <c r="I226" s="653">
        <v>-992694</v>
      </c>
      <c r="J226" s="653">
        <v>-5183</v>
      </c>
      <c r="K226" s="653">
        <v>-997877</v>
      </c>
      <c r="L226" s="656">
        <v>-997877</v>
      </c>
    </row>
    <row r="227" spans="1:12" ht="42" x14ac:dyDescent="0.25">
      <c r="A227" s="651" t="s">
        <v>79</v>
      </c>
      <c r="B227" s="652">
        <v>2021</v>
      </c>
      <c r="C227" s="651" t="s">
        <v>721</v>
      </c>
      <c r="D227" s="651" t="s">
        <v>850</v>
      </c>
      <c r="E227" s="651" t="s">
        <v>724</v>
      </c>
      <c r="F227" s="653">
        <v>0</v>
      </c>
      <c r="G227" s="651" t="s">
        <v>650</v>
      </c>
      <c r="H227" s="654"/>
      <c r="I227" s="655"/>
      <c r="J227" s="655"/>
      <c r="K227" s="653">
        <v>0</v>
      </c>
      <c r="L227" s="656">
        <v>0</v>
      </c>
    </row>
    <row r="228" spans="1:12" ht="42" x14ac:dyDescent="0.25">
      <c r="A228" s="651" t="s">
        <v>79</v>
      </c>
      <c r="B228" s="652">
        <v>2021</v>
      </c>
      <c r="C228" s="651" t="s">
        <v>721</v>
      </c>
      <c r="D228" s="651" t="s">
        <v>851</v>
      </c>
      <c r="E228" s="651" t="s">
        <v>55</v>
      </c>
      <c r="F228" s="653">
        <v>0</v>
      </c>
      <c r="G228" s="651" t="s">
        <v>650</v>
      </c>
      <c r="H228" s="654"/>
      <c r="I228" s="655"/>
      <c r="J228" s="655"/>
      <c r="K228" s="653">
        <v>0</v>
      </c>
      <c r="L228" s="656">
        <v>0</v>
      </c>
    </row>
    <row r="229" spans="1:12" ht="42" x14ac:dyDescent="0.25">
      <c r="A229" s="651" t="s">
        <v>79</v>
      </c>
      <c r="B229" s="652">
        <v>2021</v>
      </c>
      <c r="C229" s="651" t="s">
        <v>721</v>
      </c>
      <c r="D229" s="651" t="s">
        <v>852</v>
      </c>
      <c r="E229" s="651" t="s">
        <v>56</v>
      </c>
      <c r="F229" s="653">
        <v>0</v>
      </c>
      <c r="G229" s="651" t="s">
        <v>650</v>
      </c>
      <c r="H229" s="654"/>
      <c r="I229" s="655"/>
      <c r="J229" s="655"/>
      <c r="K229" s="653">
        <v>0</v>
      </c>
      <c r="L229" s="656">
        <v>0</v>
      </c>
    </row>
    <row r="230" spans="1:12" ht="42" x14ac:dyDescent="0.25">
      <c r="A230" s="651" t="s">
        <v>79</v>
      </c>
      <c r="B230" s="652">
        <v>2021</v>
      </c>
      <c r="C230" s="651" t="s">
        <v>721</v>
      </c>
      <c r="D230" s="651" t="s">
        <v>853</v>
      </c>
      <c r="E230" s="651" t="s">
        <v>728</v>
      </c>
      <c r="F230" s="653">
        <v>0</v>
      </c>
      <c r="G230" s="651" t="s">
        <v>650</v>
      </c>
      <c r="H230" s="654"/>
      <c r="I230" s="655"/>
      <c r="J230" s="655"/>
      <c r="K230" s="653">
        <v>0</v>
      </c>
      <c r="L230" s="656">
        <v>0</v>
      </c>
    </row>
    <row r="231" spans="1:12" ht="42" x14ac:dyDescent="0.25">
      <c r="A231" s="651" t="s">
        <v>79</v>
      </c>
      <c r="B231" s="652">
        <v>2021</v>
      </c>
      <c r="C231" s="651" t="s">
        <v>721</v>
      </c>
      <c r="D231" s="651" t="s">
        <v>854</v>
      </c>
      <c r="E231" s="651" t="s">
        <v>730</v>
      </c>
      <c r="F231" s="653">
        <v>0</v>
      </c>
      <c r="G231" s="651" t="s">
        <v>650</v>
      </c>
      <c r="H231" s="654"/>
      <c r="I231" s="655"/>
      <c r="J231" s="655"/>
      <c r="K231" s="653">
        <v>0</v>
      </c>
      <c r="L231" s="656">
        <v>0</v>
      </c>
    </row>
    <row r="232" spans="1:12" ht="42" x14ac:dyDescent="0.25">
      <c r="A232" s="651" t="s">
        <v>79</v>
      </c>
      <c r="B232" s="652">
        <v>2021</v>
      </c>
      <c r="C232" s="651" t="s">
        <v>721</v>
      </c>
      <c r="D232" s="651" t="s">
        <v>855</v>
      </c>
      <c r="E232" s="651" t="s">
        <v>142</v>
      </c>
      <c r="F232" s="653">
        <v>0</v>
      </c>
      <c r="G232" s="651" t="s">
        <v>650</v>
      </c>
      <c r="H232" s="654"/>
      <c r="I232" s="655"/>
      <c r="J232" s="655"/>
      <c r="K232" s="653">
        <v>0</v>
      </c>
      <c r="L232" s="656">
        <v>0</v>
      </c>
    </row>
    <row r="233" spans="1:12" ht="42" x14ac:dyDescent="0.25">
      <c r="A233" s="651" t="s">
        <v>79</v>
      </c>
      <c r="B233" s="652">
        <v>2021</v>
      </c>
      <c r="C233" s="651" t="s">
        <v>721</v>
      </c>
      <c r="D233" s="651" t="s">
        <v>856</v>
      </c>
      <c r="E233" s="651" t="s">
        <v>143</v>
      </c>
      <c r="F233" s="653">
        <v>0</v>
      </c>
      <c r="G233" s="651" t="s">
        <v>650</v>
      </c>
      <c r="H233" s="654"/>
      <c r="I233" s="655"/>
      <c r="J233" s="655"/>
      <c r="K233" s="653">
        <v>0</v>
      </c>
      <c r="L233" s="656">
        <v>0</v>
      </c>
    </row>
    <row r="234" spans="1:12" ht="42" x14ac:dyDescent="0.25">
      <c r="A234" s="651" t="s">
        <v>79</v>
      </c>
      <c r="B234" s="652">
        <v>2021</v>
      </c>
      <c r="C234" s="651" t="s">
        <v>721</v>
      </c>
      <c r="D234" s="651" t="s">
        <v>857</v>
      </c>
      <c r="E234" s="651" t="s">
        <v>182</v>
      </c>
      <c r="F234" s="653">
        <v>0</v>
      </c>
      <c r="G234" s="651" t="s">
        <v>650</v>
      </c>
      <c r="H234" s="654"/>
      <c r="I234" s="655"/>
      <c r="J234" s="655"/>
      <c r="K234" s="653">
        <v>0</v>
      </c>
      <c r="L234" s="656">
        <v>0</v>
      </c>
    </row>
    <row r="235" spans="1:12" ht="42" x14ac:dyDescent="0.25">
      <c r="A235" s="651" t="s">
        <v>79</v>
      </c>
      <c r="B235" s="652">
        <v>2021</v>
      </c>
      <c r="C235" s="651" t="s">
        <v>721</v>
      </c>
      <c r="D235" s="651" t="s">
        <v>858</v>
      </c>
      <c r="E235" s="651" t="s">
        <v>394</v>
      </c>
      <c r="F235" s="653">
        <v>0</v>
      </c>
      <c r="G235" s="651" t="s">
        <v>650</v>
      </c>
      <c r="H235" s="654"/>
      <c r="I235" s="655"/>
      <c r="J235" s="655"/>
      <c r="K235" s="653">
        <v>0</v>
      </c>
      <c r="L235" s="656">
        <v>0</v>
      </c>
    </row>
    <row r="236" spans="1:12" ht="42" x14ac:dyDescent="0.25">
      <c r="A236" s="651" t="s">
        <v>79</v>
      </c>
      <c r="B236" s="652">
        <v>2021</v>
      </c>
      <c r="C236" s="651" t="s">
        <v>721</v>
      </c>
      <c r="D236" s="651" t="s">
        <v>859</v>
      </c>
      <c r="E236" s="651" t="s">
        <v>423</v>
      </c>
      <c r="F236" s="653">
        <v>0</v>
      </c>
      <c r="G236" s="651" t="s">
        <v>650</v>
      </c>
      <c r="H236" s="654"/>
      <c r="I236" s="653">
        <v>45471</v>
      </c>
      <c r="J236" s="653">
        <v>-6029</v>
      </c>
      <c r="K236" s="653">
        <v>39442</v>
      </c>
      <c r="L236" s="656">
        <v>39442</v>
      </c>
    </row>
    <row r="237" spans="1:12" ht="42" x14ac:dyDescent="0.25">
      <c r="A237" s="651" t="s">
        <v>79</v>
      </c>
      <c r="B237" s="652">
        <v>2021</v>
      </c>
      <c r="C237" s="651" t="s">
        <v>721</v>
      </c>
      <c r="D237" s="651" t="s">
        <v>3075</v>
      </c>
      <c r="E237" s="651" t="s">
        <v>441</v>
      </c>
      <c r="F237" s="653">
        <v>0</v>
      </c>
      <c r="G237" s="651" t="s">
        <v>650</v>
      </c>
      <c r="H237" s="654"/>
      <c r="I237" s="653">
        <v>30493</v>
      </c>
      <c r="J237" s="653">
        <v>1462</v>
      </c>
      <c r="K237" s="653">
        <v>31955</v>
      </c>
      <c r="L237" s="656">
        <v>31955</v>
      </c>
    </row>
    <row r="238" spans="1:12" ht="42" x14ac:dyDescent="0.25">
      <c r="A238" s="651" t="s">
        <v>79</v>
      </c>
      <c r="B238" s="652">
        <v>2021</v>
      </c>
      <c r="C238" s="651" t="s">
        <v>721</v>
      </c>
      <c r="D238" s="651" t="s">
        <v>860</v>
      </c>
      <c r="E238" s="651" t="s">
        <v>737</v>
      </c>
      <c r="F238" s="653">
        <v>-979023</v>
      </c>
      <c r="G238" s="654"/>
      <c r="H238" s="654"/>
      <c r="I238" s="655"/>
      <c r="J238" s="655"/>
      <c r="K238" s="653">
        <v>0</v>
      </c>
      <c r="L238" s="656">
        <v>-979023</v>
      </c>
    </row>
    <row r="239" spans="1:12" ht="21" x14ac:dyDescent="0.25">
      <c r="A239" s="651" t="s">
        <v>79</v>
      </c>
      <c r="B239" s="652">
        <v>2021</v>
      </c>
      <c r="C239" s="651" t="s">
        <v>738</v>
      </c>
      <c r="D239" s="651" t="s">
        <v>861</v>
      </c>
      <c r="E239" s="651" t="s">
        <v>7</v>
      </c>
      <c r="F239" s="653">
        <v>0</v>
      </c>
      <c r="G239" s="654"/>
      <c r="H239" s="651" t="s">
        <v>650</v>
      </c>
      <c r="I239" s="655"/>
      <c r="J239" s="655"/>
      <c r="K239" s="653">
        <v>0</v>
      </c>
      <c r="L239" s="656">
        <v>0</v>
      </c>
    </row>
    <row r="240" spans="1:12" ht="21" x14ac:dyDescent="0.25">
      <c r="A240" s="651" t="s">
        <v>80</v>
      </c>
      <c r="B240" s="652">
        <v>2021</v>
      </c>
      <c r="C240" s="651" t="s">
        <v>647</v>
      </c>
      <c r="D240" s="651" t="s">
        <v>862</v>
      </c>
      <c r="E240" s="651" t="s">
        <v>649</v>
      </c>
      <c r="F240" s="653">
        <v>692983.51</v>
      </c>
      <c r="G240" s="654"/>
      <c r="H240" s="651" t="s">
        <v>650</v>
      </c>
      <c r="I240" s="655"/>
      <c r="J240" s="655"/>
      <c r="K240" s="653">
        <v>0</v>
      </c>
      <c r="L240" s="656">
        <v>692983.51</v>
      </c>
    </row>
    <row r="241" spans="1:12" ht="14.5" x14ac:dyDescent="0.25">
      <c r="A241" s="651" t="s">
        <v>80</v>
      </c>
      <c r="B241" s="652">
        <v>2021</v>
      </c>
      <c r="C241" s="651" t="s">
        <v>651</v>
      </c>
      <c r="D241" s="651" t="s">
        <v>863</v>
      </c>
      <c r="E241" s="651" t="s">
        <v>653</v>
      </c>
      <c r="F241" s="653">
        <v>-23160.19</v>
      </c>
      <c r="G241" s="654"/>
      <c r="H241" s="651" t="s">
        <v>650</v>
      </c>
      <c r="I241" s="655"/>
      <c r="J241" s="655"/>
      <c r="K241" s="653">
        <v>0</v>
      </c>
      <c r="L241" s="656">
        <v>-23160.19</v>
      </c>
    </row>
    <row r="242" spans="1:12" ht="42" x14ac:dyDescent="0.25">
      <c r="A242" s="651" t="s">
        <v>80</v>
      </c>
      <c r="B242" s="652">
        <v>2021</v>
      </c>
      <c r="C242" s="651" t="s">
        <v>654</v>
      </c>
      <c r="D242" s="651" t="s">
        <v>864</v>
      </c>
      <c r="E242" s="651" t="s">
        <v>445</v>
      </c>
      <c r="F242" s="653">
        <v>0</v>
      </c>
      <c r="G242" s="654"/>
      <c r="H242" s="651" t="s">
        <v>650</v>
      </c>
      <c r="I242" s="655"/>
      <c r="J242" s="655"/>
      <c r="K242" s="653">
        <v>0</v>
      </c>
      <c r="L242" s="656">
        <v>0</v>
      </c>
    </row>
    <row r="243" spans="1:12" ht="21" x14ac:dyDescent="0.25">
      <c r="A243" s="651" t="s">
        <v>80</v>
      </c>
      <c r="B243" s="652">
        <v>2021</v>
      </c>
      <c r="C243" s="651" t="s">
        <v>656</v>
      </c>
      <c r="D243" s="651" t="s">
        <v>865</v>
      </c>
      <c r="E243" s="651" t="s">
        <v>658</v>
      </c>
      <c r="F243" s="653">
        <v>0</v>
      </c>
      <c r="G243" s="654"/>
      <c r="H243" s="651" t="s">
        <v>650</v>
      </c>
      <c r="I243" s="655"/>
      <c r="J243" s="655"/>
      <c r="K243" s="653">
        <v>0</v>
      </c>
      <c r="L243" s="656">
        <v>0</v>
      </c>
    </row>
    <row r="244" spans="1:12" ht="31.5" x14ac:dyDescent="0.25">
      <c r="A244" s="651" t="s">
        <v>80</v>
      </c>
      <c r="B244" s="652">
        <v>2021</v>
      </c>
      <c r="C244" s="651" t="s">
        <v>659</v>
      </c>
      <c r="D244" s="651" t="s">
        <v>866</v>
      </c>
      <c r="E244" s="651" t="s">
        <v>661</v>
      </c>
      <c r="F244" s="653">
        <v>0</v>
      </c>
      <c r="G244" s="654"/>
      <c r="H244" s="651" t="s">
        <v>650</v>
      </c>
      <c r="I244" s="655"/>
      <c r="J244" s="655"/>
      <c r="K244" s="653">
        <v>0</v>
      </c>
      <c r="L244" s="656">
        <v>0</v>
      </c>
    </row>
    <row r="245" spans="1:12" ht="21" x14ac:dyDescent="0.25">
      <c r="A245" s="651" t="s">
        <v>80</v>
      </c>
      <c r="B245" s="652">
        <v>2021</v>
      </c>
      <c r="C245" s="651" t="s">
        <v>662</v>
      </c>
      <c r="D245" s="651" t="s">
        <v>867</v>
      </c>
      <c r="E245" s="651" t="s">
        <v>664</v>
      </c>
      <c r="F245" s="653">
        <v>0</v>
      </c>
      <c r="G245" s="654"/>
      <c r="H245" s="651" t="s">
        <v>650</v>
      </c>
      <c r="I245" s="655"/>
      <c r="J245" s="655"/>
      <c r="K245" s="653">
        <v>0</v>
      </c>
      <c r="L245" s="656">
        <v>0</v>
      </c>
    </row>
    <row r="246" spans="1:12" ht="31.5" x14ac:dyDescent="0.25">
      <c r="A246" s="651" t="s">
        <v>80</v>
      </c>
      <c r="B246" s="652">
        <v>2021</v>
      </c>
      <c r="C246" s="651" t="s">
        <v>665</v>
      </c>
      <c r="D246" s="651" t="s">
        <v>868</v>
      </c>
      <c r="E246" s="651" t="s">
        <v>667</v>
      </c>
      <c r="F246" s="653">
        <v>0</v>
      </c>
      <c r="G246" s="654"/>
      <c r="H246" s="651" t="s">
        <v>650</v>
      </c>
      <c r="I246" s="655"/>
      <c r="J246" s="655"/>
      <c r="K246" s="653">
        <v>0</v>
      </c>
      <c r="L246" s="656">
        <v>0</v>
      </c>
    </row>
    <row r="247" spans="1:12" ht="21" x14ac:dyDescent="0.25">
      <c r="A247" s="651" t="s">
        <v>80</v>
      </c>
      <c r="B247" s="652">
        <v>2021</v>
      </c>
      <c r="C247" s="651" t="s">
        <v>668</v>
      </c>
      <c r="D247" s="651" t="s">
        <v>869</v>
      </c>
      <c r="E247" s="651" t="s">
        <v>12</v>
      </c>
      <c r="F247" s="653">
        <v>0</v>
      </c>
      <c r="G247" s="654"/>
      <c r="H247" s="651" t="s">
        <v>650</v>
      </c>
      <c r="I247" s="655"/>
      <c r="J247" s="655"/>
      <c r="K247" s="653">
        <v>0</v>
      </c>
      <c r="L247" s="656">
        <v>0</v>
      </c>
    </row>
    <row r="248" spans="1:12" ht="21" x14ac:dyDescent="0.25">
      <c r="A248" s="651" t="s">
        <v>80</v>
      </c>
      <c r="B248" s="652">
        <v>2021</v>
      </c>
      <c r="C248" s="651" t="s">
        <v>670</v>
      </c>
      <c r="D248" s="651" t="s">
        <v>870</v>
      </c>
      <c r="E248" s="651" t="s">
        <v>13</v>
      </c>
      <c r="F248" s="653">
        <v>0</v>
      </c>
      <c r="G248" s="654"/>
      <c r="H248" s="651" t="s">
        <v>650</v>
      </c>
      <c r="I248" s="655"/>
      <c r="J248" s="655"/>
      <c r="K248" s="653">
        <v>0</v>
      </c>
      <c r="L248" s="656">
        <v>0</v>
      </c>
    </row>
    <row r="249" spans="1:12" ht="21" x14ac:dyDescent="0.25">
      <c r="A249" s="651" t="s">
        <v>80</v>
      </c>
      <c r="B249" s="652">
        <v>2021</v>
      </c>
      <c r="C249" s="651" t="s">
        <v>672</v>
      </c>
      <c r="D249" s="651" t="s">
        <v>871</v>
      </c>
      <c r="E249" s="651" t="s">
        <v>15</v>
      </c>
      <c r="F249" s="653">
        <v>0</v>
      </c>
      <c r="G249" s="654"/>
      <c r="H249" s="651" t="s">
        <v>650</v>
      </c>
      <c r="I249" s="655"/>
      <c r="J249" s="655"/>
      <c r="K249" s="653">
        <v>0</v>
      </c>
      <c r="L249" s="656">
        <v>0</v>
      </c>
    </row>
    <row r="250" spans="1:12" ht="14.5" x14ac:dyDescent="0.25">
      <c r="A250" s="651" t="s">
        <v>80</v>
      </c>
      <c r="B250" s="652">
        <v>2021</v>
      </c>
      <c r="C250" s="651" t="s">
        <v>674</v>
      </c>
      <c r="D250" s="651" t="s">
        <v>872</v>
      </c>
      <c r="E250" s="651" t="s">
        <v>676</v>
      </c>
      <c r="F250" s="653">
        <v>37927.410000000003</v>
      </c>
      <c r="G250" s="654"/>
      <c r="H250" s="651" t="s">
        <v>650</v>
      </c>
      <c r="I250" s="655"/>
      <c r="J250" s="655"/>
      <c r="K250" s="653">
        <v>0</v>
      </c>
      <c r="L250" s="656">
        <v>37927.410000000003</v>
      </c>
    </row>
    <row r="251" spans="1:12" ht="14.5" x14ac:dyDescent="0.25">
      <c r="A251" s="651" t="s">
        <v>80</v>
      </c>
      <c r="B251" s="652">
        <v>2021</v>
      </c>
      <c r="C251" s="651" t="s">
        <v>677</v>
      </c>
      <c r="D251" s="651" t="s">
        <v>873</v>
      </c>
      <c r="E251" s="651" t="s">
        <v>23</v>
      </c>
      <c r="F251" s="653">
        <v>0</v>
      </c>
      <c r="G251" s="651" t="s">
        <v>650</v>
      </c>
      <c r="H251" s="654"/>
      <c r="I251" s="655"/>
      <c r="J251" s="655"/>
      <c r="K251" s="653">
        <v>0</v>
      </c>
      <c r="L251" s="656">
        <v>0</v>
      </c>
    </row>
    <row r="252" spans="1:12" ht="31.5" x14ac:dyDescent="0.25">
      <c r="A252" s="651" t="s">
        <v>80</v>
      </c>
      <c r="B252" s="652">
        <v>2021</v>
      </c>
      <c r="C252" s="651" t="s">
        <v>679</v>
      </c>
      <c r="D252" s="651" t="s">
        <v>874</v>
      </c>
      <c r="E252" s="651" t="s">
        <v>131</v>
      </c>
      <c r="F252" s="653">
        <v>-51797.73</v>
      </c>
      <c r="G252" s="651" t="s">
        <v>650</v>
      </c>
      <c r="H252" s="654"/>
      <c r="I252" s="653">
        <v>-49874.55859375</v>
      </c>
      <c r="J252" s="653">
        <v>-1923.17004394531</v>
      </c>
      <c r="K252" s="653">
        <v>-51797.73046875</v>
      </c>
      <c r="L252" s="656">
        <v>-51797.73</v>
      </c>
    </row>
    <row r="253" spans="1:12" ht="31.5" x14ac:dyDescent="0.25">
      <c r="A253" s="651" t="s">
        <v>80</v>
      </c>
      <c r="B253" s="652">
        <v>2021</v>
      </c>
      <c r="C253" s="651" t="s">
        <v>681</v>
      </c>
      <c r="D253" s="651" t="s">
        <v>875</v>
      </c>
      <c r="E253" s="651" t="s">
        <v>683</v>
      </c>
      <c r="F253" s="653">
        <v>135829.14000000001</v>
      </c>
      <c r="G253" s="654"/>
      <c r="H253" s="651" t="s">
        <v>650</v>
      </c>
      <c r="I253" s="655"/>
      <c r="J253" s="655"/>
      <c r="K253" s="653">
        <v>0</v>
      </c>
      <c r="L253" s="656">
        <v>135829.14000000001</v>
      </c>
    </row>
    <row r="254" spans="1:12" ht="21" x14ac:dyDescent="0.25">
      <c r="A254" s="651" t="s">
        <v>80</v>
      </c>
      <c r="B254" s="652">
        <v>2021</v>
      </c>
      <c r="C254" s="651" t="s">
        <v>681</v>
      </c>
      <c r="D254" s="651" t="s">
        <v>875</v>
      </c>
      <c r="E254" s="651" t="s">
        <v>684</v>
      </c>
      <c r="F254" s="653">
        <v>0</v>
      </c>
      <c r="G254" s="654"/>
      <c r="H254" s="651" t="s">
        <v>650</v>
      </c>
      <c r="I254" s="655"/>
      <c r="J254" s="655"/>
      <c r="K254" s="653">
        <v>0</v>
      </c>
      <c r="L254" s="656">
        <v>0</v>
      </c>
    </row>
    <row r="255" spans="1:12" ht="21" x14ac:dyDescent="0.25">
      <c r="A255" s="651" t="s">
        <v>80</v>
      </c>
      <c r="B255" s="652">
        <v>2021</v>
      </c>
      <c r="C255" s="651" t="s">
        <v>685</v>
      </c>
      <c r="D255" s="651" t="s">
        <v>876</v>
      </c>
      <c r="E255" s="651" t="s">
        <v>687</v>
      </c>
      <c r="F255" s="653">
        <v>0</v>
      </c>
      <c r="G255" s="654"/>
      <c r="H255" s="651" t="s">
        <v>650</v>
      </c>
      <c r="I255" s="655"/>
      <c r="J255" s="655"/>
      <c r="K255" s="653">
        <v>0</v>
      </c>
      <c r="L255" s="656">
        <v>0</v>
      </c>
    </row>
    <row r="256" spans="1:12" ht="14.5" x14ac:dyDescent="0.25">
      <c r="A256" s="651" t="s">
        <v>80</v>
      </c>
      <c r="B256" s="652">
        <v>2021</v>
      </c>
      <c r="C256" s="651" t="s">
        <v>688</v>
      </c>
      <c r="D256" s="651" t="s">
        <v>877</v>
      </c>
      <c r="E256" s="651" t="s">
        <v>50</v>
      </c>
      <c r="F256" s="653">
        <v>46607.16</v>
      </c>
      <c r="G256" s="654"/>
      <c r="H256" s="651" t="s">
        <v>650</v>
      </c>
      <c r="I256" s="655"/>
      <c r="J256" s="655"/>
      <c r="K256" s="653">
        <v>0</v>
      </c>
      <c r="L256" s="656">
        <v>46607.16</v>
      </c>
    </row>
    <row r="257" spans="1:12" ht="21" x14ac:dyDescent="0.25">
      <c r="A257" s="651" t="s">
        <v>80</v>
      </c>
      <c r="B257" s="652">
        <v>2021</v>
      </c>
      <c r="C257" s="651" t="s">
        <v>690</v>
      </c>
      <c r="D257" s="651" t="s">
        <v>878</v>
      </c>
      <c r="E257" s="651" t="s">
        <v>692</v>
      </c>
      <c r="F257" s="653">
        <v>0</v>
      </c>
      <c r="G257" s="654"/>
      <c r="H257" s="651" t="s">
        <v>650</v>
      </c>
      <c r="I257" s="655"/>
      <c r="J257" s="655"/>
      <c r="K257" s="653">
        <v>0</v>
      </c>
      <c r="L257" s="656">
        <v>0</v>
      </c>
    </row>
    <row r="258" spans="1:12" ht="21" x14ac:dyDescent="0.25">
      <c r="A258" s="651" t="s">
        <v>80</v>
      </c>
      <c r="B258" s="652">
        <v>2021</v>
      </c>
      <c r="C258" s="651" t="s">
        <v>693</v>
      </c>
      <c r="D258" s="651" t="s">
        <v>879</v>
      </c>
      <c r="E258" s="651" t="s">
        <v>6</v>
      </c>
      <c r="F258" s="653">
        <v>0</v>
      </c>
      <c r="G258" s="654"/>
      <c r="H258" s="651" t="s">
        <v>650</v>
      </c>
      <c r="I258" s="655"/>
      <c r="J258" s="655"/>
      <c r="K258" s="653">
        <v>0</v>
      </c>
      <c r="L258" s="656">
        <v>0</v>
      </c>
    </row>
    <row r="259" spans="1:12" ht="31.5" x14ac:dyDescent="0.25">
      <c r="A259" s="651" t="s">
        <v>80</v>
      </c>
      <c r="B259" s="652">
        <v>2021</v>
      </c>
      <c r="C259" s="651" t="s">
        <v>695</v>
      </c>
      <c r="D259" s="651" t="s">
        <v>880</v>
      </c>
      <c r="E259" s="651" t="s">
        <v>697</v>
      </c>
      <c r="F259" s="653">
        <v>0</v>
      </c>
      <c r="G259" s="654"/>
      <c r="H259" s="651" t="s">
        <v>650</v>
      </c>
      <c r="I259" s="655"/>
      <c r="J259" s="655"/>
      <c r="K259" s="653">
        <v>0</v>
      </c>
      <c r="L259" s="656">
        <v>0</v>
      </c>
    </row>
    <row r="260" spans="1:12" ht="21" x14ac:dyDescent="0.25">
      <c r="A260" s="651" t="s">
        <v>80</v>
      </c>
      <c r="B260" s="652">
        <v>2021</v>
      </c>
      <c r="C260" s="651" t="s">
        <v>698</v>
      </c>
      <c r="D260" s="651" t="s">
        <v>881</v>
      </c>
      <c r="E260" s="651" t="s">
        <v>700</v>
      </c>
      <c r="F260" s="653">
        <v>0</v>
      </c>
      <c r="G260" s="654"/>
      <c r="H260" s="651" t="s">
        <v>650</v>
      </c>
      <c r="I260" s="655"/>
      <c r="J260" s="655"/>
      <c r="K260" s="653">
        <v>0</v>
      </c>
      <c r="L260" s="656">
        <v>0</v>
      </c>
    </row>
    <row r="261" spans="1:12" ht="21" x14ac:dyDescent="0.25">
      <c r="A261" s="651" t="s">
        <v>80</v>
      </c>
      <c r="B261" s="652">
        <v>2021</v>
      </c>
      <c r="C261" s="651" t="s">
        <v>701</v>
      </c>
      <c r="D261" s="651" t="s">
        <v>882</v>
      </c>
      <c r="E261" s="651" t="s">
        <v>1</v>
      </c>
      <c r="F261" s="653">
        <v>-983116.33</v>
      </c>
      <c r="G261" s="651" t="s">
        <v>650</v>
      </c>
      <c r="H261" s="654"/>
      <c r="I261" s="653">
        <v>-966322.25</v>
      </c>
      <c r="J261" s="653">
        <v>-16794.109375</v>
      </c>
      <c r="K261" s="653">
        <v>-983116.3125</v>
      </c>
      <c r="L261" s="656">
        <v>-983116.33</v>
      </c>
    </row>
    <row r="262" spans="1:12" ht="21" x14ac:dyDescent="0.25">
      <c r="A262" s="651" t="s">
        <v>80</v>
      </c>
      <c r="B262" s="652">
        <v>2021</v>
      </c>
      <c r="C262" s="651" t="s">
        <v>701</v>
      </c>
      <c r="D262" s="651" t="s">
        <v>882</v>
      </c>
      <c r="E262" s="651" t="s">
        <v>703</v>
      </c>
      <c r="F262" s="653">
        <v>0</v>
      </c>
      <c r="G262" s="654"/>
      <c r="H262" s="654"/>
      <c r="I262" s="655"/>
      <c r="J262" s="655"/>
      <c r="K262" s="653">
        <v>0</v>
      </c>
      <c r="L262" s="656">
        <v>0</v>
      </c>
    </row>
    <row r="263" spans="1:12" ht="21" x14ac:dyDescent="0.25">
      <c r="A263" s="651" t="s">
        <v>80</v>
      </c>
      <c r="B263" s="652">
        <v>2021</v>
      </c>
      <c r="C263" s="651" t="s">
        <v>701</v>
      </c>
      <c r="D263" s="651" t="s">
        <v>882</v>
      </c>
      <c r="E263" s="651" t="s">
        <v>704</v>
      </c>
      <c r="F263" s="653">
        <v>0</v>
      </c>
      <c r="G263" s="654"/>
      <c r="H263" s="654"/>
      <c r="I263" s="655"/>
      <c r="J263" s="655"/>
      <c r="K263" s="653">
        <v>0</v>
      </c>
      <c r="L263" s="656">
        <v>0</v>
      </c>
    </row>
    <row r="264" spans="1:12" ht="21" x14ac:dyDescent="0.25">
      <c r="A264" s="651" t="s">
        <v>80</v>
      </c>
      <c r="B264" s="652">
        <v>2021</v>
      </c>
      <c r="C264" s="651" t="s">
        <v>701</v>
      </c>
      <c r="D264" s="651" t="s">
        <v>882</v>
      </c>
      <c r="E264" s="651" t="s">
        <v>705</v>
      </c>
      <c r="F264" s="653">
        <v>-23643.91</v>
      </c>
      <c r="G264" s="654"/>
      <c r="H264" s="654"/>
      <c r="I264" s="655"/>
      <c r="J264" s="655"/>
      <c r="K264" s="653">
        <v>0</v>
      </c>
      <c r="L264" s="656">
        <v>-23643.91</v>
      </c>
    </row>
    <row r="265" spans="1:12" ht="21" x14ac:dyDescent="0.25">
      <c r="A265" s="651" t="s">
        <v>80</v>
      </c>
      <c r="B265" s="652">
        <v>2021</v>
      </c>
      <c r="C265" s="651" t="s">
        <v>701</v>
      </c>
      <c r="D265" s="651" t="s">
        <v>882</v>
      </c>
      <c r="E265" s="651" t="s">
        <v>706</v>
      </c>
      <c r="F265" s="653">
        <v>-581066.23999999999</v>
      </c>
      <c r="G265" s="654"/>
      <c r="H265" s="654"/>
      <c r="I265" s="655"/>
      <c r="J265" s="655"/>
      <c r="K265" s="653">
        <v>0</v>
      </c>
      <c r="L265" s="656">
        <v>-581066.23999999999</v>
      </c>
    </row>
    <row r="266" spans="1:12" ht="14.5" x14ac:dyDescent="0.25">
      <c r="A266" s="651" t="s">
        <v>80</v>
      </c>
      <c r="B266" s="652">
        <v>2021</v>
      </c>
      <c r="C266" s="651" t="s">
        <v>707</v>
      </c>
      <c r="D266" s="651" t="s">
        <v>883</v>
      </c>
      <c r="E266" s="651" t="s">
        <v>709</v>
      </c>
      <c r="F266" s="653">
        <v>0</v>
      </c>
      <c r="G266" s="654"/>
      <c r="H266" s="651" t="s">
        <v>650</v>
      </c>
      <c r="I266" s="655"/>
      <c r="J266" s="655"/>
      <c r="K266" s="653">
        <v>0</v>
      </c>
      <c r="L266" s="656">
        <v>0</v>
      </c>
    </row>
    <row r="267" spans="1:12" ht="31.5" x14ac:dyDescent="0.25">
      <c r="A267" s="651" t="s">
        <v>80</v>
      </c>
      <c r="B267" s="652">
        <v>2021</v>
      </c>
      <c r="C267" s="651" t="s">
        <v>710</v>
      </c>
      <c r="D267" s="651" t="s">
        <v>884</v>
      </c>
      <c r="E267" s="651" t="s">
        <v>2</v>
      </c>
      <c r="F267" s="653">
        <v>5162.18</v>
      </c>
      <c r="G267" s="651" t="s">
        <v>650</v>
      </c>
      <c r="H267" s="654"/>
      <c r="I267" s="653">
        <v>10015.740234375</v>
      </c>
      <c r="J267" s="653">
        <v>-4853.56005859375</v>
      </c>
      <c r="K267" s="653">
        <v>5162.18017578125</v>
      </c>
      <c r="L267" s="656">
        <v>5162.18</v>
      </c>
    </row>
    <row r="268" spans="1:12" ht="31.5" x14ac:dyDescent="0.25">
      <c r="A268" s="651" t="s">
        <v>80</v>
      </c>
      <c r="B268" s="652">
        <v>2021</v>
      </c>
      <c r="C268" s="651" t="s">
        <v>712</v>
      </c>
      <c r="D268" s="651" t="s">
        <v>885</v>
      </c>
      <c r="E268" s="651" t="s">
        <v>3</v>
      </c>
      <c r="F268" s="653">
        <v>288417.93</v>
      </c>
      <c r="G268" s="651" t="s">
        <v>650</v>
      </c>
      <c r="H268" s="654"/>
      <c r="I268" s="653">
        <v>272944.96875</v>
      </c>
      <c r="J268" s="653">
        <v>15472.9697265625</v>
      </c>
      <c r="K268" s="653">
        <v>288417.9375</v>
      </c>
      <c r="L268" s="656">
        <v>288417.93</v>
      </c>
    </row>
    <row r="269" spans="1:12" ht="31.5" x14ac:dyDescent="0.25">
      <c r="A269" s="651" t="s">
        <v>80</v>
      </c>
      <c r="B269" s="652">
        <v>2021</v>
      </c>
      <c r="C269" s="651" t="s">
        <v>714</v>
      </c>
      <c r="D269" s="651" t="s">
        <v>886</v>
      </c>
      <c r="E269" s="651" t="s">
        <v>38</v>
      </c>
      <c r="F269" s="653">
        <v>472487.77</v>
      </c>
      <c r="G269" s="651" t="s">
        <v>650</v>
      </c>
      <c r="H269" s="654"/>
      <c r="I269" s="653">
        <v>414773</v>
      </c>
      <c r="J269" s="653">
        <v>57714.78125</v>
      </c>
      <c r="K269" s="653">
        <v>472487.78125</v>
      </c>
      <c r="L269" s="656">
        <v>472487.77</v>
      </c>
    </row>
    <row r="270" spans="1:12" ht="21" x14ac:dyDescent="0.25">
      <c r="A270" s="651" t="s">
        <v>80</v>
      </c>
      <c r="B270" s="652">
        <v>2021</v>
      </c>
      <c r="C270" s="651" t="s">
        <v>716</v>
      </c>
      <c r="D270" s="651" t="s">
        <v>887</v>
      </c>
      <c r="E270" s="651" t="s">
        <v>66</v>
      </c>
      <c r="F270" s="653">
        <v>36984.519999999997</v>
      </c>
      <c r="G270" s="651" t="s">
        <v>650</v>
      </c>
      <c r="H270" s="654"/>
      <c r="I270" s="653">
        <v>33070.1796875</v>
      </c>
      <c r="J270" s="653">
        <v>3914.34008789063</v>
      </c>
      <c r="K270" s="653">
        <v>36984.51953125</v>
      </c>
      <c r="L270" s="656">
        <v>36984.519999999997</v>
      </c>
    </row>
    <row r="271" spans="1:12" ht="31.5" x14ac:dyDescent="0.25">
      <c r="A271" s="651" t="s">
        <v>80</v>
      </c>
      <c r="B271" s="652">
        <v>2021</v>
      </c>
      <c r="C271" s="651" t="s">
        <v>718</v>
      </c>
      <c r="D271" s="651" t="s">
        <v>888</v>
      </c>
      <c r="E271" s="651" t="s">
        <v>720</v>
      </c>
      <c r="F271" s="653">
        <v>-621116.02</v>
      </c>
      <c r="G271" s="654"/>
      <c r="H271" s="651" t="s">
        <v>650</v>
      </c>
      <c r="I271" s="655"/>
      <c r="J271" s="655"/>
      <c r="K271" s="653">
        <v>0</v>
      </c>
      <c r="L271" s="656">
        <v>-621116.02</v>
      </c>
    </row>
    <row r="272" spans="1:12" ht="42" x14ac:dyDescent="0.25">
      <c r="A272" s="651" t="s">
        <v>80</v>
      </c>
      <c r="B272" s="652">
        <v>2021</v>
      </c>
      <c r="C272" s="651" t="s">
        <v>721</v>
      </c>
      <c r="D272" s="651" t="s">
        <v>889</v>
      </c>
      <c r="E272" s="651" t="s">
        <v>3016</v>
      </c>
      <c r="F272" s="653">
        <v>0</v>
      </c>
      <c r="G272" s="651" t="s">
        <v>650</v>
      </c>
      <c r="H272" s="654"/>
      <c r="I272" s="653">
        <v>361510.5</v>
      </c>
      <c r="J272" s="653">
        <v>-279616.71875</v>
      </c>
      <c r="K272" s="653">
        <v>81893.796875</v>
      </c>
      <c r="L272" s="656">
        <v>81893.8</v>
      </c>
    </row>
    <row r="273" spans="1:12" ht="42" x14ac:dyDescent="0.25">
      <c r="A273" s="651" t="s">
        <v>80</v>
      </c>
      <c r="B273" s="652">
        <v>2021</v>
      </c>
      <c r="C273" s="651" t="s">
        <v>721</v>
      </c>
      <c r="D273" s="651" t="s">
        <v>889</v>
      </c>
      <c r="E273" s="651" t="s">
        <v>3058</v>
      </c>
      <c r="F273" s="653">
        <v>0</v>
      </c>
      <c r="G273" s="651" t="s">
        <v>650</v>
      </c>
      <c r="H273" s="654"/>
      <c r="I273" s="655"/>
      <c r="J273" s="655"/>
      <c r="K273" s="653">
        <v>0</v>
      </c>
      <c r="L273" s="656">
        <v>0</v>
      </c>
    </row>
    <row r="274" spans="1:12" ht="42" x14ac:dyDescent="0.25">
      <c r="A274" s="651" t="s">
        <v>80</v>
      </c>
      <c r="B274" s="652">
        <v>2021</v>
      </c>
      <c r="C274" s="651" t="s">
        <v>721</v>
      </c>
      <c r="D274" s="651" t="s">
        <v>890</v>
      </c>
      <c r="E274" s="651" t="s">
        <v>724</v>
      </c>
      <c r="F274" s="653">
        <v>0</v>
      </c>
      <c r="G274" s="651" t="s">
        <v>650</v>
      </c>
      <c r="H274" s="654"/>
      <c r="I274" s="655"/>
      <c r="J274" s="655"/>
      <c r="K274" s="653">
        <v>0</v>
      </c>
      <c r="L274" s="656">
        <v>0</v>
      </c>
    </row>
    <row r="275" spans="1:12" ht="42" x14ac:dyDescent="0.25">
      <c r="A275" s="651" t="s">
        <v>80</v>
      </c>
      <c r="B275" s="652">
        <v>2021</v>
      </c>
      <c r="C275" s="651" t="s">
        <v>721</v>
      </c>
      <c r="D275" s="651" t="s">
        <v>891</v>
      </c>
      <c r="E275" s="651" t="s">
        <v>55</v>
      </c>
      <c r="F275" s="653">
        <v>0</v>
      </c>
      <c r="G275" s="651" t="s">
        <v>650</v>
      </c>
      <c r="H275" s="654"/>
      <c r="I275" s="655"/>
      <c r="J275" s="655"/>
      <c r="K275" s="653">
        <v>0</v>
      </c>
      <c r="L275" s="656">
        <v>0</v>
      </c>
    </row>
    <row r="276" spans="1:12" ht="42" x14ac:dyDescent="0.25">
      <c r="A276" s="651" t="s">
        <v>80</v>
      </c>
      <c r="B276" s="652">
        <v>2021</v>
      </c>
      <c r="C276" s="651" t="s">
        <v>721</v>
      </c>
      <c r="D276" s="651" t="s">
        <v>892</v>
      </c>
      <c r="E276" s="651" t="s">
        <v>56</v>
      </c>
      <c r="F276" s="653">
        <v>0</v>
      </c>
      <c r="G276" s="651" t="s">
        <v>650</v>
      </c>
      <c r="H276" s="654"/>
      <c r="I276" s="655"/>
      <c r="J276" s="655"/>
      <c r="K276" s="653">
        <v>0</v>
      </c>
      <c r="L276" s="656">
        <v>0</v>
      </c>
    </row>
    <row r="277" spans="1:12" ht="42" x14ac:dyDescent="0.25">
      <c r="A277" s="651" t="s">
        <v>80</v>
      </c>
      <c r="B277" s="652">
        <v>2021</v>
      </c>
      <c r="C277" s="651" t="s">
        <v>721</v>
      </c>
      <c r="D277" s="651" t="s">
        <v>893</v>
      </c>
      <c r="E277" s="651" t="s">
        <v>728</v>
      </c>
      <c r="F277" s="653">
        <v>0</v>
      </c>
      <c r="G277" s="651" t="s">
        <v>650</v>
      </c>
      <c r="H277" s="654"/>
      <c r="I277" s="655"/>
      <c r="J277" s="655"/>
      <c r="K277" s="653">
        <v>0</v>
      </c>
      <c r="L277" s="656">
        <v>0</v>
      </c>
    </row>
    <row r="278" spans="1:12" ht="42" x14ac:dyDescent="0.25">
      <c r="A278" s="651" t="s">
        <v>80</v>
      </c>
      <c r="B278" s="652">
        <v>2021</v>
      </c>
      <c r="C278" s="651" t="s">
        <v>721</v>
      </c>
      <c r="D278" s="651" t="s">
        <v>894</v>
      </c>
      <c r="E278" s="651" t="s">
        <v>730</v>
      </c>
      <c r="F278" s="653">
        <v>0</v>
      </c>
      <c r="G278" s="651" t="s">
        <v>650</v>
      </c>
      <c r="H278" s="654"/>
      <c r="I278" s="655"/>
      <c r="J278" s="655"/>
      <c r="K278" s="653">
        <v>0</v>
      </c>
      <c r="L278" s="656">
        <v>0</v>
      </c>
    </row>
    <row r="279" spans="1:12" ht="42" x14ac:dyDescent="0.25">
      <c r="A279" s="651" t="s">
        <v>80</v>
      </c>
      <c r="B279" s="652">
        <v>2021</v>
      </c>
      <c r="C279" s="651" t="s">
        <v>721</v>
      </c>
      <c r="D279" s="651" t="s">
        <v>895</v>
      </c>
      <c r="E279" s="651" t="s">
        <v>142</v>
      </c>
      <c r="F279" s="653">
        <v>0</v>
      </c>
      <c r="G279" s="651" t="s">
        <v>650</v>
      </c>
      <c r="H279" s="654"/>
      <c r="I279" s="655"/>
      <c r="J279" s="655"/>
      <c r="K279" s="653">
        <v>0</v>
      </c>
      <c r="L279" s="656">
        <v>0</v>
      </c>
    </row>
    <row r="280" spans="1:12" ht="42" x14ac:dyDescent="0.25">
      <c r="A280" s="651" t="s">
        <v>80</v>
      </c>
      <c r="B280" s="652">
        <v>2021</v>
      </c>
      <c r="C280" s="651" t="s">
        <v>721</v>
      </c>
      <c r="D280" s="651" t="s">
        <v>896</v>
      </c>
      <c r="E280" s="651" t="s">
        <v>143</v>
      </c>
      <c r="F280" s="653">
        <v>0</v>
      </c>
      <c r="G280" s="651" t="s">
        <v>650</v>
      </c>
      <c r="H280" s="654"/>
      <c r="I280" s="655"/>
      <c r="J280" s="655"/>
      <c r="K280" s="653">
        <v>0</v>
      </c>
      <c r="L280" s="656">
        <v>0</v>
      </c>
    </row>
    <row r="281" spans="1:12" ht="42" x14ac:dyDescent="0.25">
      <c r="A281" s="651" t="s">
        <v>80</v>
      </c>
      <c r="B281" s="652">
        <v>2021</v>
      </c>
      <c r="C281" s="651" t="s">
        <v>721</v>
      </c>
      <c r="D281" s="651" t="s">
        <v>897</v>
      </c>
      <c r="E281" s="651" t="s">
        <v>182</v>
      </c>
      <c r="F281" s="653">
        <v>0</v>
      </c>
      <c r="G281" s="651" t="s">
        <v>650</v>
      </c>
      <c r="H281" s="654"/>
      <c r="I281" s="655"/>
      <c r="J281" s="653">
        <v>-49.529998779296903</v>
      </c>
      <c r="K281" s="653">
        <v>-49.529998779296903</v>
      </c>
      <c r="L281" s="656">
        <v>-49.53</v>
      </c>
    </row>
    <row r="282" spans="1:12" ht="42" x14ac:dyDescent="0.25">
      <c r="A282" s="651" t="s">
        <v>80</v>
      </c>
      <c r="B282" s="652">
        <v>2021</v>
      </c>
      <c r="C282" s="651" t="s">
        <v>721</v>
      </c>
      <c r="D282" s="651" t="s">
        <v>898</v>
      </c>
      <c r="E282" s="651" t="s">
        <v>394</v>
      </c>
      <c r="F282" s="653">
        <v>0</v>
      </c>
      <c r="G282" s="651" t="s">
        <v>650</v>
      </c>
      <c r="H282" s="654"/>
      <c r="I282" s="653">
        <v>1724.66003417969</v>
      </c>
      <c r="J282" s="653">
        <v>82.989997863769503</v>
      </c>
      <c r="K282" s="653">
        <v>1807.65002441406</v>
      </c>
      <c r="L282" s="656">
        <v>1807.65</v>
      </c>
    </row>
    <row r="283" spans="1:12" ht="42" x14ac:dyDescent="0.25">
      <c r="A283" s="651" t="s">
        <v>80</v>
      </c>
      <c r="B283" s="652">
        <v>2021</v>
      </c>
      <c r="C283" s="651" t="s">
        <v>721</v>
      </c>
      <c r="D283" s="651" t="s">
        <v>899</v>
      </c>
      <c r="E283" s="651" t="s">
        <v>423</v>
      </c>
      <c r="F283" s="653">
        <v>0</v>
      </c>
      <c r="G283" s="651" t="s">
        <v>650</v>
      </c>
      <c r="H283" s="654"/>
      <c r="I283" s="653">
        <v>11254.0302734375</v>
      </c>
      <c r="J283" s="653">
        <v>42988.890625</v>
      </c>
      <c r="K283" s="653">
        <v>54242.921875</v>
      </c>
      <c r="L283" s="656">
        <v>54242.92</v>
      </c>
    </row>
    <row r="284" spans="1:12" ht="42" x14ac:dyDescent="0.25">
      <c r="A284" s="651" t="s">
        <v>80</v>
      </c>
      <c r="B284" s="652">
        <v>2021</v>
      </c>
      <c r="C284" s="651" t="s">
        <v>721</v>
      </c>
      <c r="D284" s="651" t="s">
        <v>3076</v>
      </c>
      <c r="E284" s="651" t="s">
        <v>441</v>
      </c>
      <c r="F284" s="653">
        <v>0</v>
      </c>
      <c r="G284" s="651" t="s">
        <v>650</v>
      </c>
      <c r="H284" s="654"/>
      <c r="I284" s="653">
        <v>-9005.330078125</v>
      </c>
      <c r="J284" s="653">
        <v>7161.39990234375</v>
      </c>
      <c r="K284" s="653">
        <v>-1843.93005371094</v>
      </c>
      <c r="L284" s="656">
        <v>-1843.93</v>
      </c>
    </row>
    <row r="285" spans="1:12" ht="42" x14ac:dyDescent="0.25">
      <c r="A285" s="651" t="s">
        <v>80</v>
      </c>
      <c r="B285" s="652">
        <v>2021</v>
      </c>
      <c r="C285" s="651" t="s">
        <v>721</v>
      </c>
      <c r="D285" s="651" t="s">
        <v>900</v>
      </c>
      <c r="E285" s="651" t="s">
        <v>737</v>
      </c>
      <c r="F285" s="653">
        <v>136050.91</v>
      </c>
      <c r="G285" s="654"/>
      <c r="H285" s="654"/>
      <c r="I285" s="655"/>
      <c r="J285" s="655"/>
      <c r="K285" s="653">
        <v>0</v>
      </c>
      <c r="L285" s="656">
        <v>136050.91</v>
      </c>
    </row>
    <row r="286" spans="1:12" ht="14.5" x14ac:dyDescent="0.25">
      <c r="A286" s="651" t="s">
        <v>80</v>
      </c>
      <c r="B286" s="652">
        <v>2021</v>
      </c>
      <c r="C286" s="651" t="s">
        <v>738</v>
      </c>
      <c r="D286" s="651" t="s">
        <v>901</v>
      </c>
      <c r="E286" s="651" t="s">
        <v>7</v>
      </c>
      <c r="F286" s="653">
        <v>0</v>
      </c>
      <c r="G286" s="654"/>
      <c r="H286" s="651" t="s">
        <v>650</v>
      </c>
      <c r="I286" s="655"/>
      <c r="J286" s="655"/>
      <c r="K286" s="653">
        <v>0</v>
      </c>
      <c r="L286" s="656">
        <v>0</v>
      </c>
    </row>
    <row r="287" spans="1:12" ht="21" x14ac:dyDescent="0.25">
      <c r="A287" s="651" t="s">
        <v>81</v>
      </c>
      <c r="B287" s="652">
        <v>2021</v>
      </c>
      <c r="C287" s="651" t="s">
        <v>647</v>
      </c>
      <c r="D287" s="651" t="s">
        <v>902</v>
      </c>
      <c r="E287" s="651" t="s">
        <v>649</v>
      </c>
      <c r="F287" s="653">
        <v>3598806.54</v>
      </c>
      <c r="G287" s="654"/>
      <c r="H287" s="651" t="s">
        <v>650</v>
      </c>
      <c r="I287" s="655"/>
      <c r="J287" s="655"/>
      <c r="K287" s="653">
        <v>0</v>
      </c>
      <c r="L287" s="656">
        <v>3598806.54</v>
      </c>
    </row>
    <row r="288" spans="1:12" ht="14.5" x14ac:dyDescent="0.25">
      <c r="A288" s="651" t="s">
        <v>81</v>
      </c>
      <c r="B288" s="652">
        <v>2021</v>
      </c>
      <c r="C288" s="651" t="s">
        <v>651</v>
      </c>
      <c r="D288" s="651" t="s">
        <v>903</v>
      </c>
      <c r="E288" s="651" t="s">
        <v>653</v>
      </c>
      <c r="F288" s="653">
        <v>-14861.03</v>
      </c>
      <c r="G288" s="654"/>
      <c r="H288" s="651" t="s">
        <v>650</v>
      </c>
      <c r="I288" s="655"/>
      <c r="J288" s="655"/>
      <c r="K288" s="653">
        <v>0</v>
      </c>
      <c r="L288" s="656">
        <v>-14861.03</v>
      </c>
    </row>
    <row r="289" spans="1:12" ht="42" x14ac:dyDescent="0.25">
      <c r="A289" s="651" t="s">
        <v>81</v>
      </c>
      <c r="B289" s="652">
        <v>2021</v>
      </c>
      <c r="C289" s="651" t="s">
        <v>654</v>
      </c>
      <c r="D289" s="651" t="s">
        <v>904</v>
      </c>
      <c r="E289" s="651" t="s">
        <v>445</v>
      </c>
      <c r="F289" s="653">
        <v>0</v>
      </c>
      <c r="G289" s="654"/>
      <c r="H289" s="651" t="s">
        <v>650</v>
      </c>
      <c r="I289" s="655"/>
      <c r="J289" s="655"/>
      <c r="K289" s="653">
        <v>0</v>
      </c>
      <c r="L289" s="656">
        <v>0</v>
      </c>
    </row>
    <row r="290" spans="1:12" ht="21" x14ac:dyDescent="0.25">
      <c r="A290" s="651" t="s">
        <v>81</v>
      </c>
      <c r="B290" s="652">
        <v>2021</v>
      </c>
      <c r="C290" s="651" t="s">
        <v>656</v>
      </c>
      <c r="D290" s="651" t="s">
        <v>905</v>
      </c>
      <c r="E290" s="651" t="s">
        <v>658</v>
      </c>
      <c r="F290" s="653">
        <v>0</v>
      </c>
      <c r="G290" s="654"/>
      <c r="H290" s="651" t="s">
        <v>650</v>
      </c>
      <c r="I290" s="655"/>
      <c r="J290" s="655"/>
      <c r="K290" s="653">
        <v>0</v>
      </c>
      <c r="L290" s="656">
        <v>0</v>
      </c>
    </row>
    <row r="291" spans="1:12" ht="31.5" x14ac:dyDescent="0.25">
      <c r="A291" s="651" t="s">
        <v>81</v>
      </c>
      <c r="B291" s="652">
        <v>2021</v>
      </c>
      <c r="C291" s="651" t="s">
        <v>659</v>
      </c>
      <c r="D291" s="651" t="s">
        <v>906</v>
      </c>
      <c r="E291" s="651" t="s">
        <v>661</v>
      </c>
      <c r="F291" s="653">
        <v>0</v>
      </c>
      <c r="G291" s="654"/>
      <c r="H291" s="651" t="s">
        <v>650</v>
      </c>
      <c r="I291" s="655"/>
      <c r="J291" s="655"/>
      <c r="K291" s="653">
        <v>0</v>
      </c>
      <c r="L291" s="656">
        <v>0</v>
      </c>
    </row>
    <row r="292" spans="1:12" ht="21" x14ac:dyDescent="0.25">
      <c r="A292" s="651" t="s">
        <v>81</v>
      </c>
      <c r="B292" s="652">
        <v>2021</v>
      </c>
      <c r="C292" s="651" t="s">
        <v>662</v>
      </c>
      <c r="D292" s="651" t="s">
        <v>907</v>
      </c>
      <c r="E292" s="651" t="s">
        <v>664</v>
      </c>
      <c r="F292" s="653">
        <v>0</v>
      </c>
      <c r="G292" s="654"/>
      <c r="H292" s="651" t="s">
        <v>650</v>
      </c>
      <c r="I292" s="655"/>
      <c r="J292" s="655"/>
      <c r="K292" s="653">
        <v>0</v>
      </c>
      <c r="L292" s="656">
        <v>0</v>
      </c>
    </row>
    <row r="293" spans="1:12" ht="31.5" x14ac:dyDescent="0.25">
      <c r="A293" s="651" t="s">
        <v>81</v>
      </c>
      <c r="B293" s="652">
        <v>2021</v>
      </c>
      <c r="C293" s="651" t="s">
        <v>665</v>
      </c>
      <c r="D293" s="651" t="s">
        <v>908</v>
      </c>
      <c r="E293" s="651" t="s">
        <v>667</v>
      </c>
      <c r="F293" s="653">
        <v>0</v>
      </c>
      <c r="G293" s="654"/>
      <c r="H293" s="651" t="s">
        <v>650</v>
      </c>
      <c r="I293" s="655"/>
      <c r="J293" s="655"/>
      <c r="K293" s="653">
        <v>0</v>
      </c>
      <c r="L293" s="656">
        <v>0</v>
      </c>
    </row>
    <row r="294" spans="1:12" ht="21" x14ac:dyDescent="0.25">
      <c r="A294" s="651" t="s">
        <v>81</v>
      </c>
      <c r="B294" s="652">
        <v>2021</v>
      </c>
      <c r="C294" s="651" t="s">
        <v>668</v>
      </c>
      <c r="D294" s="651" t="s">
        <v>909</v>
      </c>
      <c r="E294" s="651" t="s">
        <v>12</v>
      </c>
      <c r="F294" s="653">
        <v>0</v>
      </c>
      <c r="G294" s="654"/>
      <c r="H294" s="651" t="s">
        <v>650</v>
      </c>
      <c r="I294" s="655"/>
      <c r="J294" s="655"/>
      <c r="K294" s="653">
        <v>0</v>
      </c>
      <c r="L294" s="656">
        <v>0</v>
      </c>
    </row>
    <row r="295" spans="1:12" ht="21" x14ac:dyDescent="0.25">
      <c r="A295" s="651" t="s">
        <v>81</v>
      </c>
      <c r="B295" s="652">
        <v>2021</v>
      </c>
      <c r="C295" s="651" t="s">
        <v>670</v>
      </c>
      <c r="D295" s="651" t="s">
        <v>910</v>
      </c>
      <c r="E295" s="651" t="s">
        <v>13</v>
      </c>
      <c r="F295" s="653">
        <v>0</v>
      </c>
      <c r="G295" s="654"/>
      <c r="H295" s="651" t="s">
        <v>650</v>
      </c>
      <c r="I295" s="655"/>
      <c r="J295" s="655"/>
      <c r="K295" s="653">
        <v>0</v>
      </c>
      <c r="L295" s="656">
        <v>0</v>
      </c>
    </row>
    <row r="296" spans="1:12" ht="21" x14ac:dyDescent="0.25">
      <c r="A296" s="651" t="s">
        <v>81</v>
      </c>
      <c r="B296" s="652">
        <v>2021</v>
      </c>
      <c r="C296" s="651" t="s">
        <v>672</v>
      </c>
      <c r="D296" s="651" t="s">
        <v>911</v>
      </c>
      <c r="E296" s="651" t="s">
        <v>15</v>
      </c>
      <c r="F296" s="653">
        <v>0</v>
      </c>
      <c r="G296" s="654"/>
      <c r="H296" s="651" t="s">
        <v>650</v>
      </c>
      <c r="I296" s="655"/>
      <c r="J296" s="655"/>
      <c r="K296" s="653">
        <v>0</v>
      </c>
      <c r="L296" s="656">
        <v>0</v>
      </c>
    </row>
    <row r="297" spans="1:12" ht="14.5" x14ac:dyDescent="0.25">
      <c r="A297" s="651" t="s">
        <v>81</v>
      </c>
      <c r="B297" s="652">
        <v>2021</v>
      </c>
      <c r="C297" s="651" t="s">
        <v>674</v>
      </c>
      <c r="D297" s="651" t="s">
        <v>912</v>
      </c>
      <c r="E297" s="651" t="s">
        <v>676</v>
      </c>
      <c r="F297" s="653">
        <v>2606.08</v>
      </c>
      <c r="G297" s="654"/>
      <c r="H297" s="651" t="s">
        <v>650</v>
      </c>
      <c r="I297" s="655"/>
      <c r="J297" s="655"/>
      <c r="K297" s="653">
        <v>0</v>
      </c>
      <c r="L297" s="656">
        <v>2606.08</v>
      </c>
    </row>
    <row r="298" spans="1:12" ht="14.5" x14ac:dyDescent="0.25">
      <c r="A298" s="651" t="s">
        <v>81</v>
      </c>
      <c r="B298" s="652">
        <v>2021</v>
      </c>
      <c r="C298" s="651" t="s">
        <v>677</v>
      </c>
      <c r="D298" s="651" t="s">
        <v>913</v>
      </c>
      <c r="E298" s="651" t="s">
        <v>23</v>
      </c>
      <c r="F298" s="653">
        <v>0</v>
      </c>
      <c r="G298" s="651" t="s">
        <v>650</v>
      </c>
      <c r="H298" s="654"/>
      <c r="I298" s="655"/>
      <c r="J298" s="655"/>
      <c r="K298" s="653">
        <v>0</v>
      </c>
      <c r="L298" s="656">
        <v>0</v>
      </c>
    </row>
    <row r="299" spans="1:12" ht="31.5" x14ac:dyDescent="0.25">
      <c r="A299" s="651" t="s">
        <v>81</v>
      </c>
      <c r="B299" s="652">
        <v>2021</v>
      </c>
      <c r="C299" s="651" t="s">
        <v>679</v>
      </c>
      <c r="D299" s="651" t="s">
        <v>914</v>
      </c>
      <c r="E299" s="651" t="s">
        <v>131</v>
      </c>
      <c r="F299" s="653">
        <v>-10235.950000000001</v>
      </c>
      <c r="G299" s="651" t="s">
        <v>650</v>
      </c>
      <c r="H299" s="654"/>
      <c r="I299" s="653">
        <v>-11335.150390625</v>
      </c>
      <c r="J299" s="653">
        <v>1099.19995117188</v>
      </c>
      <c r="K299" s="653">
        <v>-10235.9501953125</v>
      </c>
      <c r="L299" s="656">
        <v>-10235.950000000001</v>
      </c>
    </row>
    <row r="300" spans="1:12" ht="31.5" x14ac:dyDescent="0.25">
      <c r="A300" s="651" t="s">
        <v>81</v>
      </c>
      <c r="B300" s="652">
        <v>2021</v>
      </c>
      <c r="C300" s="651" t="s">
        <v>681</v>
      </c>
      <c r="D300" s="651" t="s">
        <v>915</v>
      </c>
      <c r="E300" s="651" t="s">
        <v>683</v>
      </c>
      <c r="F300" s="653">
        <v>0</v>
      </c>
      <c r="G300" s="654"/>
      <c r="H300" s="651" t="s">
        <v>650</v>
      </c>
      <c r="I300" s="655"/>
      <c r="J300" s="655"/>
      <c r="K300" s="653">
        <v>0</v>
      </c>
      <c r="L300" s="656">
        <v>0</v>
      </c>
    </row>
    <row r="301" spans="1:12" ht="21" x14ac:dyDescent="0.25">
      <c r="A301" s="651" t="s">
        <v>81</v>
      </c>
      <c r="B301" s="652">
        <v>2021</v>
      </c>
      <c r="C301" s="651" t="s">
        <v>681</v>
      </c>
      <c r="D301" s="651" t="s">
        <v>915</v>
      </c>
      <c r="E301" s="651" t="s">
        <v>684</v>
      </c>
      <c r="F301" s="653">
        <v>0</v>
      </c>
      <c r="G301" s="654"/>
      <c r="H301" s="651" t="s">
        <v>650</v>
      </c>
      <c r="I301" s="655"/>
      <c r="J301" s="655"/>
      <c r="K301" s="653">
        <v>0</v>
      </c>
      <c r="L301" s="656">
        <v>0</v>
      </c>
    </row>
    <row r="302" spans="1:12" ht="21" x14ac:dyDescent="0.25">
      <c r="A302" s="651" t="s">
        <v>81</v>
      </c>
      <c r="B302" s="652">
        <v>2021</v>
      </c>
      <c r="C302" s="651" t="s">
        <v>685</v>
      </c>
      <c r="D302" s="651" t="s">
        <v>916</v>
      </c>
      <c r="E302" s="651" t="s">
        <v>687</v>
      </c>
      <c r="F302" s="653">
        <v>0</v>
      </c>
      <c r="G302" s="654"/>
      <c r="H302" s="651" t="s">
        <v>650</v>
      </c>
      <c r="I302" s="655"/>
      <c r="J302" s="655"/>
      <c r="K302" s="653">
        <v>0</v>
      </c>
      <c r="L302" s="656">
        <v>0</v>
      </c>
    </row>
    <row r="303" spans="1:12" ht="14.5" x14ac:dyDescent="0.25">
      <c r="A303" s="651" t="s">
        <v>81</v>
      </c>
      <c r="B303" s="652">
        <v>2021</v>
      </c>
      <c r="C303" s="651" t="s">
        <v>688</v>
      </c>
      <c r="D303" s="651" t="s">
        <v>917</v>
      </c>
      <c r="E303" s="651" t="s">
        <v>50</v>
      </c>
      <c r="F303" s="653">
        <v>1062139.27</v>
      </c>
      <c r="G303" s="654"/>
      <c r="H303" s="651" t="s">
        <v>650</v>
      </c>
      <c r="I303" s="655"/>
      <c r="J303" s="655"/>
      <c r="K303" s="653">
        <v>0</v>
      </c>
      <c r="L303" s="656">
        <v>1062139.27</v>
      </c>
    </row>
    <row r="304" spans="1:12" ht="21" x14ac:dyDescent="0.25">
      <c r="A304" s="651" t="s">
        <v>81</v>
      </c>
      <c r="B304" s="652">
        <v>2021</v>
      </c>
      <c r="C304" s="651" t="s">
        <v>690</v>
      </c>
      <c r="D304" s="651" t="s">
        <v>918</v>
      </c>
      <c r="E304" s="651" t="s">
        <v>692</v>
      </c>
      <c r="F304" s="653">
        <v>8396.6299999999992</v>
      </c>
      <c r="G304" s="654"/>
      <c r="H304" s="651" t="s">
        <v>650</v>
      </c>
      <c r="I304" s="655"/>
      <c r="J304" s="655"/>
      <c r="K304" s="653">
        <v>0</v>
      </c>
      <c r="L304" s="656">
        <v>8396.6299999999992</v>
      </c>
    </row>
    <row r="305" spans="1:12" ht="21" x14ac:dyDescent="0.25">
      <c r="A305" s="651" t="s">
        <v>81</v>
      </c>
      <c r="B305" s="652">
        <v>2021</v>
      </c>
      <c r="C305" s="651" t="s">
        <v>693</v>
      </c>
      <c r="D305" s="651" t="s">
        <v>919</v>
      </c>
      <c r="E305" s="651" t="s">
        <v>6</v>
      </c>
      <c r="F305" s="653">
        <v>0</v>
      </c>
      <c r="G305" s="654"/>
      <c r="H305" s="651" t="s">
        <v>650</v>
      </c>
      <c r="I305" s="655"/>
      <c r="J305" s="655"/>
      <c r="K305" s="653">
        <v>0</v>
      </c>
      <c r="L305" s="656">
        <v>0</v>
      </c>
    </row>
    <row r="306" spans="1:12" ht="31.5" x14ac:dyDescent="0.25">
      <c r="A306" s="651" t="s">
        <v>81</v>
      </c>
      <c r="B306" s="652">
        <v>2021</v>
      </c>
      <c r="C306" s="651" t="s">
        <v>695</v>
      </c>
      <c r="D306" s="651" t="s">
        <v>920</v>
      </c>
      <c r="E306" s="651" t="s">
        <v>697</v>
      </c>
      <c r="F306" s="653">
        <v>739540.67</v>
      </c>
      <c r="G306" s="654"/>
      <c r="H306" s="651" t="s">
        <v>650</v>
      </c>
      <c r="I306" s="655"/>
      <c r="J306" s="655"/>
      <c r="K306" s="653">
        <v>0</v>
      </c>
      <c r="L306" s="656">
        <v>739540.67</v>
      </c>
    </row>
    <row r="307" spans="1:12" ht="21" x14ac:dyDescent="0.25">
      <c r="A307" s="651" t="s">
        <v>81</v>
      </c>
      <c r="B307" s="652">
        <v>2021</v>
      </c>
      <c r="C307" s="651" t="s">
        <v>698</v>
      </c>
      <c r="D307" s="651" t="s">
        <v>921</v>
      </c>
      <c r="E307" s="651" t="s">
        <v>700</v>
      </c>
      <c r="F307" s="653">
        <v>0</v>
      </c>
      <c r="G307" s="654"/>
      <c r="H307" s="651" t="s">
        <v>650</v>
      </c>
      <c r="I307" s="655"/>
      <c r="J307" s="655"/>
      <c r="K307" s="653">
        <v>0</v>
      </c>
      <c r="L307" s="656">
        <v>0</v>
      </c>
    </row>
    <row r="308" spans="1:12" ht="21" x14ac:dyDescent="0.25">
      <c r="A308" s="651" t="s">
        <v>81</v>
      </c>
      <c r="B308" s="652">
        <v>2021</v>
      </c>
      <c r="C308" s="651" t="s">
        <v>701</v>
      </c>
      <c r="D308" s="651" t="s">
        <v>922</v>
      </c>
      <c r="E308" s="651" t="s">
        <v>1</v>
      </c>
      <c r="F308" s="653">
        <v>-1165982.55</v>
      </c>
      <c r="G308" s="651" t="s">
        <v>650</v>
      </c>
      <c r="H308" s="654"/>
      <c r="I308" s="653">
        <v>-1154708.75</v>
      </c>
      <c r="J308" s="653">
        <v>-11273.7998046875</v>
      </c>
      <c r="K308" s="653">
        <v>-1165982.5</v>
      </c>
      <c r="L308" s="656">
        <v>-1165982.55</v>
      </c>
    </row>
    <row r="309" spans="1:12" ht="21" x14ac:dyDescent="0.25">
      <c r="A309" s="651" t="s">
        <v>81</v>
      </c>
      <c r="B309" s="652">
        <v>2021</v>
      </c>
      <c r="C309" s="651" t="s">
        <v>701</v>
      </c>
      <c r="D309" s="651" t="s">
        <v>922</v>
      </c>
      <c r="E309" s="651" t="s">
        <v>703</v>
      </c>
      <c r="F309" s="653">
        <v>0</v>
      </c>
      <c r="G309" s="654"/>
      <c r="H309" s="654"/>
      <c r="I309" s="655"/>
      <c r="J309" s="655"/>
      <c r="K309" s="653">
        <v>0</v>
      </c>
      <c r="L309" s="656">
        <v>0</v>
      </c>
    </row>
    <row r="310" spans="1:12" ht="21" x14ac:dyDescent="0.25">
      <c r="A310" s="651" t="s">
        <v>81</v>
      </c>
      <c r="B310" s="652">
        <v>2021</v>
      </c>
      <c r="C310" s="651" t="s">
        <v>701</v>
      </c>
      <c r="D310" s="651" t="s">
        <v>922</v>
      </c>
      <c r="E310" s="651" t="s">
        <v>704</v>
      </c>
      <c r="F310" s="653">
        <v>0</v>
      </c>
      <c r="G310" s="654"/>
      <c r="H310" s="654"/>
      <c r="I310" s="655"/>
      <c r="J310" s="655"/>
      <c r="K310" s="653">
        <v>0</v>
      </c>
      <c r="L310" s="656">
        <v>0</v>
      </c>
    </row>
    <row r="311" spans="1:12" ht="21" x14ac:dyDescent="0.25">
      <c r="A311" s="651" t="s">
        <v>81</v>
      </c>
      <c r="B311" s="652">
        <v>2021</v>
      </c>
      <c r="C311" s="651" t="s">
        <v>701</v>
      </c>
      <c r="D311" s="651" t="s">
        <v>922</v>
      </c>
      <c r="E311" s="651" t="s">
        <v>705</v>
      </c>
      <c r="F311" s="653">
        <v>-1831.35</v>
      </c>
      <c r="G311" s="654"/>
      <c r="H311" s="654"/>
      <c r="I311" s="655"/>
      <c r="J311" s="655"/>
      <c r="K311" s="653">
        <v>0</v>
      </c>
      <c r="L311" s="656">
        <v>-1831.35</v>
      </c>
    </row>
    <row r="312" spans="1:12" ht="21" x14ac:dyDescent="0.25">
      <c r="A312" s="651" t="s">
        <v>81</v>
      </c>
      <c r="B312" s="652">
        <v>2021</v>
      </c>
      <c r="C312" s="651" t="s">
        <v>701</v>
      </c>
      <c r="D312" s="651" t="s">
        <v>922</v>
      </c>
      <c r="E312" s="651" t="s">
        <v>706</v>
      </c>
      <c r="F312" s="653">
        <v>-156343.07999999999</v>
      </c>
      <c r="G312" s="654"/>
      <c r="H312" s="654"/>
      <c r="I312" s="655"/>
      <c r="J312" s="655"/>
      <c r="K312" s="653">
        <v>0</v>
      </c>
      <c r="L312" s="656">
        <v>-156343.07999999999</v>
      </c>
    </row>
    <row r="313" spans="1:12" ht="14.5" x14ac:dyDescent="0.25">
      <c r="A313" s="651" t="s">
        <v>81</v>
      </c>
      <c r="B313" s="652">
        <v>2021</v>
      </c>
      <c r="C313" s="651" t="s">
        <v>707</v>
      </c>
      <c r="D313" s="651" t="s">
        <v>923</v>
      </c>
      <c r="E313" s="651" t="s">
        <v>709</v>
      </c>
      <c r="F313" s="653">
        <v>0</v>
      </c>
      <c r="G313" s="654"/>
      <c r="H313" s="651" t="s">
        <v>650</v>
      </c>
      <c r="I313" s="655"/>
      <c r="J313" s="655"/>
      <c r="K313" s="653">
        <v>0</v>
      </c>
      <c r="L313" s="656">
        <v>0</v>
      </c>
    </row>
    <row r="314" spans="1:12" ht="31.5" x14ac:dyDescent="0.25">
      <c r="A314" s="651" t="s">
        <v>81</v>
      </c>
      <c r="B314" s="652">
        <v>2021</v>
      </c>
      <c r="C314" s="651" t="s">
        <v>710</v>
      </c>
      <c r="D314" s="651" t="s">
        <v>924</v>
      </c>
      <c r="E314" s="651" t="s">
        <v>2</v>
      </c>
      <c r="F314" s="653">
        <v>378318.62</v>
      </c>
      <c r="G314" s="651" t="s">
        <v>650</v>
      </c>
      <c r="H314" s="654"/>
      <c r="I314" s="653">
        <v>378756.6875</v>
      </c>
      <c r="J314" s="653">
        <v>-438.07000732421898</v>
      </c>
      <c r="K314" s="653">
        <v>378318.625</v>
      </c>
      <c r="L314" s="656">
        <v>378318.62</v>
      </c>
    </row>
    <row r="315" spans="1:12" ht="31.5" x14ac:dyDescent="0.25">
      <c r="A315" s="651" t="s">
        <v>81</v>
      </c>
      <c r="B315" s="652">
        <v>2021</v>
      </c>
      <c r="C315" s="651" t="s">
        <v>712</v>
      </c>
      <c r="D315" s="651" t="s">
        <v>925</v>
      </c>
      <c r="E315" s="651" t="s">
        <v>3</v>
      </c>
      <c r="F315" s="653">
        <v>803456.55</v>
      </c>
      <c r="G315" s="651" t="s">
        <v>650</v>
      </c>
      <c r="H315" s="654"/>
      <c r="I315" s="653">
        <v>798431.3125</v>
      </c>
      <c r="J315" s="653">
        <v>5025.22998046875</v>
      </c>
      <c r="K315" s="653">
        <v>803456.5625</v>
      </c>
      <c r="L315" s="656">
        <v>803456.55</v>
      </c>
    </row>
    <row r="316" spans="1:12" ht="31.5" x14ac:dyDescent="0.25">
      <c r="A316" s="651" t="s">
        <v>81</v>
      </c>
      <c r="B316" s="652">
        <v>2021</v>
      </c>
      <c r="C316" s="651" t="s">
        <v>714</v>
      </c>
      <c r="D316" s="651" t="s">
        <v>926</v>
      </c>
      <c r="E316" s="651" t="s">
        <v>38</v>
      </c>
      <c r="F316" s="653">
        <v>1573769.8</v>
      </c>
      <c r="G316" s="651" t="s">
        <v>650</v>
      </c>
      <c r="H316" s="654"/>
      <c r="I316" s="653">
        <v>1534191.25</v>
      </c>
      <c r="J316" s="653">
        <v>39578.55859375</v>
      </c>
      <c r="K316" s="653">
        <v>1573769.75</v>
      </c>
      <c r="L316" s="656">
        <v>1573769.8</v>
      </c>
    </row>
    <row r="317" spans="1:12" ht="21" x14ac:dyDescent="0.25">
      <c r="A317" s="651" t="s">
        <v>81</v>
      </c>
      <c r="B317" s="652">
        <v>2021</v>
      </c>
      <c r="C317" s="651" t="s">
        <v>716</v>
      </c>
      <c r="D317" s="651" t="s">
        <v>927</v>
      </c>
      <c r="E317" s="651" t="s">
        <v>66</v>
      </c>
      <c r="F317" s="653">
        <v>2762829.85</v>
      </c>
      <c r="G317" s="651" t="s">
        <v>650</v>
      </c>
      <c r="H317" s="654"/>
      <c r="I317" s="653">
        <v>2668766.5</v>
      </c>
      <c r="J317" s="653">
        <v>94063.3125</v>
      </c>
      <c r="K317" s="653">
        <v>2762829.75</v>
      </c>
      <c r="L317" s="656">
        <v>2762829.85</v>
      </c>
    </row>
    <row r="318" spans="1:12" ht="31.5" x14ac:dyDescent="0.25">
      <c r="A318" s="651" t="s">
        <v>81</v>
      </c>
      <c r="B318" s="652">
        <v>2021</v>
      </c>
      <c r="C318" s="651" t="s">
        <v>718</v>
      </c>
      <c r="D318" s="651" t="s">
        <v>928</v>
      </c>
      <c r="E318" s="651" t="s">
        <v>720</v>
      </c>
      <c r="F318" s="653">
        <v>-747685.29</v>
      </c>
      <c r="G318" s="654"/>
      <c r="H318" s="651" t="s">
        <v>650</v>
      </c>
      <c r="I318" s="655"/>
      <c r="J318" s="655"/>
      <c r="K318" s="653">
        <v>0</v>
      </c>
      <c r="L318" s="656">
        <v>-747685.29</v>
      </c>
    </row>
    <row r="319" spans="1:12" ht="42" x14ac:dyDescent="0.25">
      <c r="A319" s="651" t="s">
        <v>81</v>
      </c>
      <c r="B319" s="652">
        <v>2021</v>
      </c>
      <c r="C319" s="651" t="s">
        <v>721</v>
      </c>
      <c r="D319" s="651" t="s">
        <v>929</v>
      </c>
      <c r="E319" s="651" t="s">
        <v>3016</v>
      </c>
      <c r="F319" s="653">
        <v>0</v>
      </c>
      <c r="G319" s="651" t="s">
        <v>650</v>
      </c>
      <c r="H319" s="654"/>
      <c r="I319" s="653">
        <v>12057.2802734375</v>
      </c>
      <c r="J319" s="653">
        <v>20118.01953125</v>
      </c>
      <c r="K319" s="653">
        <v>32175.30078125</v>
      </c>
      <c r="L319" s="656">
        <v>32175.3</v>
      </c>
    </row>
    <row r="320" spans="1:12" ht="42" x14ac:dyDescent="0.25">
      <c r="A320" s="651" t="s">
        <v>81</v>
      </c>
      <c r="B320" s="652">
        <v>2021</v>
      </c>
      <c r="C320" s="651" t="s">
        <v>721</v>
      </c>
      <c r="D320" s="651" t="s">
        <v>929</v>
      </c>
      <c r="E320" s="651" t="s">
        <v>3058</v>
      </c>
      <c r="F320" s="653">
        <v>0</v>
      </c>
      <c r="G320" s="651" t="s">
        <v>650</v>
      </c>
      <c r="H320" s="654"/>
      <c r="I320" s="653">
        <v>-342286.375</v>
      </c>
      <c r="J320" s="653">
        <v>721742.8125</v>
      </c>
      <c r="K320" s="653">
        <v>379456.4375</v>
      </c>
      <c r="L320" s="656">
        <v>379456.44</v>
      </c>
    </row>
    <row r="321" spans="1:12" ht="42" x14ac:dyDescent="0.25">
      <c r="A321" s="651" t="s">
        <v>81</v>
      </c>
      <c r="B321" s="652">
        <v>2021</v>
      </c>
      <c r="C321" s="651" t="s">
        <v>721</v>
      </c>
      <c r="D321" s="651" t="s">
        <v>930</v>
      </c>
      <c r="E321" s="651" t="s">
        <v>724</v>
      </c>
      <c r="F321" s="653">
        <v>0</v>
      </c>
      <c r="G321" s="651" t="s">
        <v>650</v>
      </c>
      <c r="H321" s="654"/>
      <c r="I321" s="655"/>
      <c r="J321" s="655"/>
      <c r="K321" s="653">
        <v>0</v>
      </c>
      <c r="L321" s="656">
        <v>0</v>
      </c>
    </row>
    <row r="322" spans="1:12" ht="42" x14ac:dyDescent="0.25">
      <c r="A322" s="651" t="s">
        <v>81</v>
      </c>
      <c r="B322" s="652">
        <v>2021</v>
      </c>
      <c r="C322" s="651" t="s">
        <v>721</v>
      </c>
      <c r="D322" s="651" t="s">
        <v>931</v>
      </c>
      <c r="E322" s="651" t="s">
        <v>55</v>
      </c>
      <c r="F322" s="653">
        <v>0</v>
      </c>
      <c r="G322" s="651" t="s">
        <v>650</v>
      </c>
      <c r="H322" s="654"/>
      <c r="I322" s="655"/>
      <c r="J322" s="655"/>
      <c r="K322" s="653">
        <v>0</v>
      </c>
      <c r="L322" s="656">
        <v>0</v>
      </c>
    </row>
    <row r="323" spans="1:12" ht="42" x14ac:dyDescent="0.25">
      <c r="A323" s="651" t="s">
        <v>81</v>
      </c>
      <c r="B323" s="652">
        <v>2021</v>
      </c>
      <c r="C323" s="651" t="s">
        <v>721</v>
      </c>
      <c r="D323" s="651" t="s">
        <v>932</v>
      </c>
      <c r="E323" s="651" t="s">
        <v>56</v>
      </c>
      <c r="F323" s="653">
        <v>0</v>
      </c>
      <c r="G323" s="651" t="s">
        <v>650</v>
      </c>
      <c r="H323" s="654"/>
      <c r="I323" s="655"/>
      <c r="J323" s="655"/>
      <c r="K323" s="653">
        <v>0</v>
      </c>
      <c r="L323" s="656">
        <v>0</v>
      </c>
    </row>
    <row r="324" spans="1:12" ht="42" x14ac:dyDescent="0.25">
      <c r="A324" s="651" t="s">
        <v>81</v>
      </c>
      <c r="B324" s="652">
        <v>2021</v>
      </c>
      <c r="C324" s="651" t="s">
        <v>721</v>
      </c>
      <c r="D324" s="651" t="s">
        <v>933</v>
      </c>
      <c r="E324" s="651" t="s">
        <v>728</v>
      </c>
      <c r="F324" s="653">
        <v>0</v>
      </c>
      <c r="G324" s="651" t="s">
        <v>650</v>
      </c>
      <c r="H324" s="654"/>
      <c r="I324" s="655"/>
      <c r="J324" s="655"/>
      <c r="K324" s="653">
        <v>0</v>
      </c>
      <c r="L324" s="656">
        <v>0</v>
      </c>
    </row>
    <row r="325" spans="1:12" ht="42" x14ac:dyDescent="0.25">
      <c r="A325" s="651" t="s">
        <v>81</v>
      </c>
      <c r="B325" s="652">
        <v>2021</v>
      </c>
      <c r="C325" s="651" t="s">
        <v>721</v>
      </c>
      <c r="D325" s="651" t="s">
        <v>934</v>
      </c>
      <c r="E325" s="651" t="s">
        <v>730</v>
      </c>
      <c r="F325" s="653">
        <v>0</v>
      </c>
      <c r="G325" s="651" t="s">
        <v>650</v>
      </c>
      <c r="H325" s="654"/>
      <c r="I325" s="655"/>
      <c r="J325" s="655"/>
      <c r="K325" s="653">
        <v>0</v>
      </c>
      <c r="L325" s="656">
        <v>0</v>
      </c>
    </row>
    <row r="326" spans="1:12" ht="42" x14ac:dyDescent="0.25">
      <c r="A326" s="651" t="s">
        <v>81</v>
      </c>
      <c r="B326" s="652">
        <v>2021</v>
      </c>
      <c r="C326" s="651" t="s">
        <v>721</v>
      </c>
      <c r="D326" s="651" t="s">
        <v>935</v>
      </c>
      <c r="E326" s="651" t="s">
        <v>142</v>
      </c>
      <c r="F326" s="653">
        <v>0</v>
      </c>
      <c r="G326" s="651" t="s">
        <v>650</v>
      </c>
      <c r="H326" s="654"/>
      <c r="I326" s="655"/>
      <c r="J326" s="655"/>
      <c r="K326" s="653">
        <v>0</v>
      </c>
      <c r="L326" s="656">
        <v>0</v>
      </c>
    </row>
    <row r="327" spans="1:12" ht="42" x14ac:dyDescent="0.25">
      <c r="A327" s="651" t="s">
        <v>81</v>
      </c>
      <c r="B327" s="652">
        <v>2021</v>
      </c>
      <c r="C327" s="651" t="s">
        <v>721</v>
      </c>
      <c r="D327" s="651" t="s">
        <v>936</v>
      </c>
      <c r="E327" s="651" t="s">
        <v>143</v>
      </c>
      <c r="F327" s="653">
        <v>0</v>
      </c>
      <c r="G327" s="651" t="s">
        <v>650</v>
      </c>
      <c r="H327" s="654"/>
      <c r="I327" s="655"/>
      <c r="J327" s="655"/>
      <c r="K327" s="653">
        <v>0</v>
      </c>
      <c r="L327" s="656">
        <v>0</v>
      </c>
    </row>
    <row r="328" spans="1:12" ht="42" x14ac:dyDescent="0.25">
      <c r="A328" s="651" t="s">
        <v>81</v>
      </c>
      <c r="B328" s="652">
        <v>2021</v>
      </c>
      <c r="C328" s="651" t="s">
        <v>721</v>
      </c>
      <c r="D328" s="651" t="s">
        <v>937</v>
      </c>
      <c r="E328" s="651" t="s">
        <v>182</v>
      </c>
      <c r="F328" s="653">
        <v>0</v>
      </c>
      <c r="G328" s="651" t="s">
        <v>650</v>
      </c>
      <c r="H328" s="654"/>
      <c r="I328" s="655"/>
      <c r="J328" s="655"/>
      <c r="K328" s="653">
        <v>0</v>
      </c>
      <c r="L328" s="656">
        <v>0</v>
      </c>
    </row>
    <row r="329" spans="1:12" ht="42" x14ac:dyDescent="0.25">
      <c r="A329" s="651" t="s">
        <v>81</v>
      </c>
      <c r="B329" s="652">
        <v>2021</v>
      </c>
      <c r="C329" s="651" t="s">
        <v>721</v>
      </c>
      <c r="D329" s="651" t="s">
        <v>938</v>
      </c>
      <c r="E329" s="651" t="s">
        <v>394</v>
      </c>
      <c r="F329" s="653">
        <v>0</v>
      </c>
      <c r="G329" s="651" t="s">
        <v>650</v>
      </c>
      <c r="H329" s="654"/>
      <c r="I329" s="655"/>
      <c r="J329" s="655"/>
      <c r="K329" s="653">
        <v>0</v>
      </c>
      <c r="L329" s="656">
        <v>0</v>
      </c>
    </row>
    <row r="330" spans="1:12" ht="42" x14ac:dyDescent="0.25">
      <c r="A330" s="651" t="s">
        <v>81</v>
      </c>
      <c r="B330" s="652">
        <v>2021</v>
      </c>
      <c r="C330" s="651" t="s">
        <v>721</v>
      </c>
      <c r="D330" s="651" t="s">
        <v>939</v>
      </c>
      <c r="E330" s="651" t="s">
        <v>423</v>
      </c>
      <c r="F330" s="653">
        <v>0</v>
      </c>
      <c r="G330" s="651" t="s">
        <v>650</v>
      </c>
      <c r="H330" s="654"/>
      <c r="I330" s="655"/>
      <c r="J330" s="655"/>
      <c r="K330" s="653">
        <v>0</v>
      </c>
      <c r="L330" s="656">
        <v>0</v>
      </c>
    </row>
    <row r="331" spans="1:12" ht="42" x14ac:dyDescent="0.25">
      <c r="A331" s="651" t="s">
        <v>81</v>
      </c>
      <c r="B331" s="652">
        <v>2021</v>
      </c>
      <c r="C331" s="651" t="s">
        <v>721</v>
      </c>
      <c r="D331" s="651" t="s">
        <v>3077</v>
      </c>
      <c r="E331" s="651" t="s">
        <v>441</v>
      </c>
      <c r="F331" s="653">
        <v>0</v>
      </c>
      <c r="G331" s="651" t="s">
        <v>650</v>
      </c>
      <c r="H331" s="654"/>
      <c r="I331" s="653">
        <v>-83414.25</v>
      </c>
      <c r="J331" s="653">
        <v>157740.84375</v>
      </c>
      <c r="K331" s="653">
        <v>74326.59375</v>
      </c>
      <c r="L331" s="656">
        <v>74326.59</v>
      </c>
    </row>
    <row r="332" spans="1:12" ht="42" x14ac:dyDescent="0.25">
      <c r="A332" s="651" t="s">
        <v>81</v>
      </c>
      <c r="B332" s="652">
        <v>2021</v>
      </c>
      <c r="C332" s="651" t="s">
        <v>721</v>
      </c>
      <c r="D332" s="651" t="s">
        <v>940</v>
      </c>
      <c r="E332" s="651" t="s">
        <v>737</v>
      </c>
      <c r="F332" s="653">
        <v>485958.33</v>
      </c>
      <c r="G332" s="654"/>
      <c r="H332" s="654"/>
      <c r="I332" s="655"/>
      <c r="J332" s="655"/>
      <c r="K332" s="653">
        <v>0</v>
      </c>
      <c r="L332" s="656">
        <v>485958.33</v>
      </c>
    </row>
    <row r="333" spans="1:12" ht="14.5" x14ac:dyDescent="0.25">
      <c r="A333" s="651" t="s">
        <v>81</v>
      </c>
      <c r="B333" s="652">
        <v>2021</v>
      </c>
      <c r="C333" s="651" t="s">
        <v>738</v>
      </c>
      <c r="D333" s="651" t="s">
        <v>941</v>
      </c>
      <c r="E333" s="651" t="s">
        <v>7</v>
      </c>
      <c r="F333" s="653">
        <v>0</v>
      </c>
      <c r="G333" s="654"/>
      <c r="H333" s="651" t="s">
        <v>650</v>
      </c>
      <c r="I333" s="655"/>
      <c r="J333" s="655"/>
      <c r="K333" s="653">
        <v>0</v>
      </c>
      <c r="L333" s="656">
        <v>0</v>
      </c>
    </row>
    <row r="334" spans="1:12" ht="21" x14ac:dyDescent="0.25">
      <c r="A334" s="651" t="s">
        <v>82</v>
      </c>
      <c r="B334" s="652">
        <v>2021</v>
      </c>
      <c r="C334" s="651" t="s">
        <v>647</v>
      </c>
      <c r="D334" s="651" t="s">
        <v>942</v>
      </c>
      <c r="E334" s="651" t="s">
        <v>649</v>
      </c>
      <c r="F334" s="653">
        <v>-3039055.82</v>
      </c>
      <c r="G334" s="654"/>
      <c r="H334" s="651" t="s">
        <v>650</v>
      </c>
      <c r="I334" s="655"/>
      <c r="J334" s="655"/>
      <c r="K334" s="653">
        <v>0</v>
      </c>
      <c r="L334" s="656">
        <v>-3039055.82</v>
      </c>
    </row>
    <row r="335" spans="1:12" ht="14.5" x14ac:dyDescent="0.25">
      <c r="A335" s="651" t="s">
        <v>82</v>
      </c>
      <c r="B335" s="652">
        <v>2021</v>
      </c>
      <c r="C335" s="651" t="s">
        <v>651</v>
      </c>
      <c r="D335" s="651" t="s">
        <v>943</v>
      </c>
      <c r="E335" s="651" t="s">
        <v>653</v>
      </c>
      <c r="F335" s="653">
        <v>0</v>
      </c>
      <c r="G335" s="654"/>
      <c r="H335" s="651" t="s">
        <v>650</v>
      </c>
      <c r="I335" s="655"/>
      <c r="J335" s="655"/>
      <c r="K335" s="653">
        <v>0</v>
      </c>
      <c r="L335" s="656">
        <v>0</v>
      </c>
    </row>
    <row r="336" spans="1:12" ht="42" x14ac:dyDescent="0.25">
      <c r="A336" s="651" t="s">
        <v>82</v>
      </c>
      <c r="B336" s="652">
        <v>2021</v>
      </c>
      <c r="C336" s="651" t="s">
        <v>654</v>
      </c>
      <c r="D336" s="651" t="s">
        <v>944</v>
      </c>
      <c r="E336" s="651" t="s">
        <v>445</v>
      </c>
      <c r="F336" s="653">
        <v>-49451.66</v>
      </c>
      <c r="G336" s="654"/>
      <c r="H336" s="651" t="s">
        <v>650</v>
      </c>
      <c r="I336" s="655"/>
      <c r="J336" s="655"/>
      <c r="K336" s="653">
        <v>0</v>
      </c>
      <c r="L336" s="656">
        <v>-49451.66</v>
      </c>
    </row>
    <row r="337" spans="1:12" ht="21" x14ac:dyDescent="0.25">
      <c r="A337" s="651" t="s">
        <v>82</v>
      </c>
      <c r="B337" s="652">
        <v>2021</v>
      </c>
      <c r="C337" s="651" t="s">
        <v>656</v>
      </c>
      <c r="D337" s="651" t="s">
        <v>945</v>
      </c>
      <c r="E337" s="651" t="s">
        <v>658</v>
      </c>
      <c r="F337" s="653">
        <v>0</v>
      </c>
      <c r="G337" s="654"/>
      <c r="H337" s="651" t="s">
        <v>650</v>
      </c>
      <c r="I337" s="655"/>
      <c r="J337" s="655"/>
      <c r="K337" s="653">
        <v>0</v>
      </c>
      <c r="L337" s="656">
        <v>0</v>
      </c>
    </row>
    <row r="338" spans="1:12" ht="31.5" x14ac:dyDescent="0.25">
      <c r="A338" s="651" t="s">
        <v>82</v>
      </c>
      <c r="B338" s="652">
        <v>2021</v>
      </c>
      <c r="C338" s="651" t="s">
        <v>659</v>
      </c>
      <c r="D338" s="651" t="s">
        <v>946</v>
      </c>
      <c r="E338" s="651" t="s">
        <v>661</v>
      </c>
      <c r="F338" s="653">
        <v>0</v>
      </c>
      <c r="G338" s="654"/>
      <c r="H338" s="651" t="s">
        <v>650</v>
      </c>
      <c r="I338" s="655"/>
      <c r="J338" s="655"/>
      <c r="K338" s="653">
        <v>0</v>
      </c>
      <c r="L338" s="656">
        <v>0</v>
      </c>
    </row>
    <row r="339" spans="1:12" ht="21" x14ac:dyDescent="0.25">
      <c r="A339" s="651" t="s">
        <v>82</v>
      </c>
      <c r="B339" s="652">
        <v>2021</v>
      </c>
      <c r="C339" s="651" t="s">
        <v>662</v>
      </c>
      <c r="D339" s="651" t="s">
        <v>947</v>
      </c>
      <c r="E339" s="651" t="s">
        <v>664</v>
      </c>
      <c r="F339" s="653">
        <v>0</v>
      </c>
      <c r="G339" s="654"/>
      <c r="H339" s="651" t="s">
        <v>650</v>
      </c>
      <c r="I339" s="655"/>
      <c r="J339" s="655"/>
      <c r="K339" s="653">
        <v>0</v>
      </c>
      <c r="L339" s="656">
        <v>0</v>
      </c>
    </row>
    <row r="340" spans="1:12" ht="31.5" x14ac:dyDescent="0.25">
      <c r="A340" s="651" t="s">
        <v>82</v>
      </c>
      <c r="B340" s="652">
        <v>2021</v>
      </c>
      <c r="C340" s="651" t="s">
        <v>665</v>
      </c>
      <c r="D340" s="651" t="s">
        <v>948</v>
      </c>
      <c r="E340" s="651" t="s">
        <v>667</v>
      </c>
      <c r="F340" s="653">
        <v>0</v>
      </c>
      <c r="G340" s="654"/>
      <c r="H340" s="651" t="s">
        <v>650</v>
      </c>
      <c r="I340" s="655"/>
      <c r="J340" s="655"/>
      <c r="K340" s="653">
        <v>0</v>
      </c>
      <c r="L340" s="656">
        <v>0</v>
      </c>
    </row>
    <row r="341" spans="1:12" ht="21" x14ac:dyDescent="0.25">
      <c r="A341" s="651" t="s">
        <v>82</v>
      </c>
      <c r="B341" s="652">
        <v>2021</v>
      </c>
      <c r="C341" s="651" t="s">
        <v>668</v>
      </c>
      <c r="D341" s="651" t="s">
        <v>949</v>
      </c>
      <c r="E341" s="651" t="s">
        <v>12</v>
      </c>
      <c r="F341" s="653">
        <v>0</v>
      </c>
      <c r="G341" s="654"/>
      <c r="H341" s="651" t="s">
        <v>650</v>
      </c>
      <c r="I341" s="655"/>
      <c r="J341" s="655"/>
      <c r="K341" s="653">
        <v>0</v>
      </c>
      <c r="L341" s="656">
        <v>0</v>
      </c>
    </row>
    <row r="342" spans="1:12" ht="21" x14ac:dyDescent="0.25">
      <c r="A342" s="651" t="s">
        <v>82</v>
      </c>
      <c r="B342" s="652">
        <v>2021</v>
      </c>
      <c r="C342" s="651" t="s">
        <v>670</v>
      </c>
      <c r="D342" s="651" t="s">
        <v>950</v>
      </c>
      <c r="E342" s="651" t="s">
        <v>749</v>
      </c>
      <c r="F342" s="653">
        <v>0</v>
      </c>
      <c r="G342" s="654"/>
      <c r="H342" s="651" t="s">
        <v>650</v>
      </c>
      <c r="I342" s="655"/>
      <c r="J342" s="655"/>
      <c r="K342" s="653">
        <v>0</v>
      </c>
      <c r="L342" s="656">
        <v>0</v>
      </c>
    </row>
    <row r="343" spans="1:12" ht="21" x14ac:dyDescent="0.25">
      <c r="A343" s="651" t="s">
        <v>82</v>
      </c>
      <c r="B343" s="652">
        <v>2021</v>
      </c>
      <c r="C343" s="651" t="s">
        <v>672</v>
      </c>
      <c r="D343" s="651" t="s">
        <v>951</v>
      </c>
      <c r="E343" s="651" t="s">
        <v>15</v>
      </c>
      <c r="F343" s="653">
        <v>0</v>
      </c>
      <c r="G343" s="654"/>
      <c r="H343" s="651" t="s">
        <v>650</v>
      </c>
      <c r="I343" s="655"/>
      <c r="J343" s="655"/>
      <c r="K343" s="653">
        <v>0</v>
      </c>
      <c r="L343" s="656">
        <v>0</v>
      </c>
    </row>
    <row r="344" spans="1:12" ht="14.5" x14ac:dyDescent="0.25">
      <c r="A344" s="651" t="s">
        <v>82</v>
      </c>
      <c r="B344" s="652">
        <v>2021</v>
      </c>
      <c r="C344" s="651" t="s">
        <v>674</v>
      </c>
      <c r="D344" s="651" t="s">
        <v>952</v>
      </c>
      <c r="E344" s="651" t="s">
        <v>676</v>
      </c>
      <c r="F344" s="653">
        <v>0</v>
      </c>
      <c r="G344" s="654"/>
      <c r="H344" s="651" t="s">
        <v>650</v>
      </c>
      <c r="I344" s="655"/>
      <c r="J344" s="655"/>
      <c r="K344" s="653">
        <v>0</v>
      </c>
      <c r="L344" s="656">
        <v>0</v>
      </c>
    </row>
    <row r="345" spans="1:12" ht="14.5" x14ac:dyDescent="0.25">
      <c r="A345" s="651" t="s">
        <v>82</v>
      </c>
      <c r="B345" s="652">
        <v>2021</v>
      </c>
      <c r="C345" s="651" t="s">
        <v>677</v>
      </c>
      <c r="D345" s="651" t="s">
        <v>953</v>
      </c>
      <c r="E345" s="651" t="s">
        <v>23</v>
      </c>
      <c r="F345" s="653">
        <v>41675.93</v>
      </c>
      <c r="G345" s="651" t="s">
        <v>650</v>
      </c>
      <c r="H345" s="654"/>
      <c r="I345" s="653">
        <v>40938.578125</v>
      </c>
      <c r="J345" s="653">
        <v>737.34997558593795</v>
      </c>
      <c r="K345" s="653">
        <v>41675.9296875</v>
      </c>
      <c r="L345" s="656">
        <v>41675.93</v>
      </c>
    </row>
    <row r="346" spans="1:12" ht="31.5" x14ac:dyDescent="0.25">
      <c r="A346" s="651" t="s">
        <v>82</v>
      </c>
      <c r="B346" s="652">
        <v>2021</v>
      </c>
      <c r="C346" s="651" t="s">
        <v>679</v>
      </c>
      <c r="D346" s="651" t="s">
        <v>954</v>
      </c>
      <c r="E346" s="651" t="s">
        <v>131</v>
      </c>
      <c r="F346" s="653">
        <v>-13015.69</v>
      </c>
      <c r="G346" s="651" t="s">
        <v>650</v>
      </c>
      <c r="H346" s="654"/>
      <c r="I346" s="653">
        <v>-12873.73046875</v>
      </c>
      <c r="J346" s="653">
        <v>-141.96000671386699</v>
      </c>
      <c r="K346" s="653">
        <v>-13015.6904296875</v>
      </c>
      <c r="L346" s="656">
        <v>-13015.69</v>
      </c>
    </row>
    <row r="347" spans="1:12" ht="31.5" x14ac:dyDescent="0.25">
      <c r="A347" s="651" t="s">
        <v>82</v>
      </c>
      <c r="B347" s="652">
        <v>2021</v>
      </c>
      <c r="C347" s="651" t="s">
        <v>681</v>
      </c>
      <c r="D347" s="651" t="s">
        <v>955</v>
      </c>
      <c r="E347" s="651" t="s">
        <v>683</v>
      </c>
      <c r="F347" s="653">
        <v>0</v>
      </c>
      <c r="G347" s="654"/>
      <c r="H347" s="651" t="s">
        <v>650</v>
      </c>
      <c r="I347" s="655"/>
      <c r="J347" s="655"/>
      <c r="K347" s="653">
        <v>0</v>
      </c>
      <c r="L347" s="656">
        <v>0</v>
      </c>
    </row>
    <row r="348" spans="1:12" ht="21" x14ac:dyDescent="0.25">
      <c r="A348" s="651" t="s">
        <v>82</v>
      </c>
      <c r="B348" s="652">
        <v>2021</v>
      </c>
      <c r="C348" s="651" t="s">
        <v>681</v>
      </c>
      <c r="D348" s="651" t="s">
        <v>955</v>
      </c>
      <c r="E348" s="651" t="s">
        <v>684</v>
      </c>
      <c r="F348" s="653">
        <v>0</v>
      </c>
      <c r="G348" s="654"/>
      <c r="H348" s="651" t="s">
        <v>650</v>
      </c>
      <c r="I348" s="655"/>
      <c r="J348" s="655"/>
      <c r="K348" s="653">
        <v>0</v>
      </c>
      <c r="L348" s="656">
        <v>0</v>
      </c>
    </row>
    <row r="349" spans="1:12" ht="21" x14ac:dyDescent="0.25">
      <c r="A349" s="651" t="s">
        <v>82</v>
      </c>
      <c r="B349" s="652">
        <v>2021</v>
      </c>
      <c r="C349" s="651" t="s">
        <v>685</v>
      </c>
      <c r="D349" s="651" t="s">
        <v>956</v>
      </c>
      <c r="E349" s="651" t="s">
        <v>687</v>
      </c>
      <c r="F349" s="653">
        <v>40490.54</v>
      </c>
      <c r="G349" s="654"/>
      <c r="H349" s="651" t="s">
        <v>650</v>
      </c>
      <c r="I349" s="655"/>
      <c r="J349" s="655"/>
      <c r="K349" s="653">
        <v>0</v>
      </c>
      <c r="L349" s="656">
        <v>40490.54</v>
      </c>
    </row>
    <row r="350" spans="1:12" ht="14.5" x14ac:dyDescent="0.25">
      <c r="A350" s="651" t="s">
        <v>82</v>
      </c>
      <c r="B350" s="652">
        <v>2021</v>
      </c>
      <c r="C350" s="651" t="s">
        <v>688</v>
      </c>
      <c r="D350" s="651" t="s">
        <v>957</v>
      </c>
      <c r="E350" s="651" t="s">
        <v>50</v>
      </c>
      <c r="F350" s="653">
        <v>316102</v>
      </c>
      <c r="G350" s="654"/>
      <c r="H350" s="651" t="s">
        <v>650</v>
      </c>
      <c r="I350" s="655"/>
      <c r="J350" s="655"/>
      <c r="K350" s="653">
        <v>0</v>
      </c>
      <c r="L350" s="656">
        <v>316102</v>
      </c>
    </row>
    <row r="351" spans="1:12" ht="21" x14ac:dyDescent="0.25">
      <c r="A351" s="651" t="s">
        <v>82</v>
      </c>
      <c r="B351" s="652">
        <v>2021</v>
      </c>
      <c r="C351" s="651" t="s">
        <v>690</v>
      </c>
      <c r="D351" s="651" t="s">
        <v>958</v>
      </c>
      <c r="E351" s="651" t="s">
        <v>692</v>
      </c>
      <c r="F351" s="653">
        <v>258050</v>
      </c>
      <c r="G351" s="654"/>
      <c r="H351" s="651" t="s">
        <v>650</v>
      </c>
      <c r="I351" s="655"/>
      <c r="J351" s="655"/>
      <c r="K351" s="653">
        <v>0</v>
      </c>
      <c r="L351" s="656">
        <v>258050</v>
      </c>
    </row>
    <row r="352" spans="1:12" ht="21" x14ac:dyDescent="0.25">
      <c r="A352" s="651" t="s">
        <v>82</v>
      </c>
      <c r="B352" s="652">
        <v>2021</v>
      </c>
      <c r="C352" s="651" t="s">
        <v>693</v>
      </c>
      <c r="D352" s="651" t="s">
        <v>959</v>
      </c>
      <c r="E352" s="651" t="s">
        <v>6</v>
      </c>
      <c r="F352" s="653">
        <v>0</v>
      </c>
      <c r="G352" s="654"/>
      <c r="H352" s="651" t="s">
        <v>650</v>
      </c>
      <c r="I352" s="655"/>
      <c r="J352" s="655"/>
      <c r="K352" s="653">
        <v>0</v>
      </c>
      <c r="L352" s="656">
        <v>0</v>
      </c>
    </row>
    <row r="353" spans="1:12" ht="31.5" x14ac:dyDescent="0.25">
      <c r="A353" s="651" t="s">
        <v>82</v>
      </c>
      <c r="B353" s="652">
        <v>2021</v>
      </c>
      <c r="C353" s="651" t="s">
        <v>695</v>
      </c>
      <c r="D353" s="651" t="s">
        <v>960</v>
      </c>
      <c r="E353" s="651" t="s">
        <v>697</v>
      </c>
      <c r="F353" s="653">
        <v>0</v>
      </c>
      <c r="G353" s="654"/>
      <c r="H353" s="651" t="s">
        <v>650</v>
      </c>
      <c r="I353" s="655"/>
      <c r="J353" s="655"/>
      <c r="K353" s="653">
        <v>0</v>
      </c>
      <c r="L353" s="656">
        <v>0</v>
      </c>
    </row>
    <row r="354" spans="1:12" ht="21" x14ac:dyDescent="0.25">
      <c r="A354" s="651" t="s">
        <v>82</v>
      </c>
      <c r="B354" s="652">
        <v>2021</v>
      </c>
      <c r="C354" s="651" t="s">
        <v>698</v>
      </c>
      <c r="D354" s="651" t="s">
        <v>961</v>
      </c>
      <c r="E354" s="651" t="s">
        <v>700</v>
      </c>
      <c r="F354" s="653">
        <v>0</v>
      </c>
      <c r="G354" s="654"/>
      <c r="H354" s="651" t="s">
        <v>650</v>
      </c>
      <c r="I354" s="655"/>
      <c r="J354" s="655"/>
      <c r="K354" s="653">
        <v>0</v>
      </c>
      <c r="L354" s="656">
        <v>0</v>
      </c>
    </row>
    <row r="355" spans="1:12" ht="21" x14ac:dyDescent="0.25">
      <c r="A355" s="651" t="s">
        <v>82</v>
      </c>
      <c r="B355" s="652">
        <v>2021</v>
      </c>
      <c r="C355" s="651" t="s">
        <v>701</v>
      </c>
      <c r="D355" s="651" t="s">
        <v>962</v>
      </c>
      <c r="E355" s="651" t="s">
        <v>1</v>
      </c>
      <c r="F355" s="653">
        <v>-431653.76</v>
      </c>
      <c r="G355" s="651" t="s">
        <v>650</v>
      </c>
      <c r="H355" s="654"/>
      <c r="I355" s="653">
        <v>-427650.9375</v>
      </c>
      <c r="J355" s="653">
        <v>-4002.82006835938</v>
      </c>
      <c r="K355" s="653">
        <v>-431653.75</v>
      </c>
      <c r="L355" s="656">
        <v>-431653.76</v>
      </c>
    </row>
    <row r="356" spans="1:12" ht="21" x14ac:dyDescent="0.25">
      <c r="A356" s="651" t="s">
        <v>82</v>
      </c>
      <c r="B356" s="652">
        <v>2021</v>
      </c>
      <c r="C356" s="651" t="s">
        <v>701</v>
      </c>
      <c r="D356" s="651" t="s">
        <v>962</v>
      </c>
      <c r="E356" s="651" t="s">
        <v>703</v>
      </c>
      <c r="F356" s="653">
        <v>0</v>
      </c>
      <c r="G356" s="654"/>
      <c r="H356" s="654"/>
      <c r="I356" s="655"/>
      <c r="J356" s="655"/>
      <c r="K356" s="653">
        <v>0</v>
      </c>
      <c r="L356" s="656">
        <v>0</v>
      </c>
    </row>
    <row r="357" spans="1:12" ht="21" x14ac:dyDescent="0.25">
      <c r="A357" s="651" t="s">
        <v>82</v>
      </c>
      <c r="B357" s="652">
        <v>2021</v>
      </c>
      <c r="C357" s="651" t="s">
        <v>701</v>
      </c>
      <c r="D357" s="651" t="s">
        <v>962</v>
      </c>
      <c r="E357" s="651" t="s">
        <v>704</v>
      </c>
      <c r="F357" s="653">
        <v>0</v>
      </c>
      <c r="G357" s="654"/>
      <c r="H357" s="654"/>
      <c r="I357" s="655"/>
      <c r="J357" s="655"/>
      <c r="K357" s="653">
        <v>0</v>
      </c>
      <c r="L357" s="656">
        <v>0</v>
      </c>
    </row>
    <row r="358" spans="1:12" ht="21" x14ac:dyDescent="0.25">
      <c r="A358" s="651" t="s">
        <v>82</v>
      </c>
      <c r="B358" s="652">
        <v>2021</v>
      </c>
      <c r="C358" s="651" t="s">
        <v>701</v>
      </c>
      <c r="D358" s="651" t="s">
        <v>962</v>
      </c>
      <c r="E358" s="651" t="s">
        <v>705</v>
      </c>
      <c r="F358" s="653">
        <v>-1170.1600000000001</v>
      </c>
      <c r="G358" s="654"/>
      <c r="H358" s="654"/>
      <c r="I358" s="655"/>
      <c r="J358" s="655"/>
      <c r="K358" s="653">
        <v>0</v>
      </c>
      <c r="L358" s="656">
        <v>-1170.1600000000001</v>
      </c>
    </row>
    <row r="359" spans="1:12" ht="21" x14ac:dyDescent="0.25">
      <c r="A359" s="651" t="s">
        <v>82</v>
      </c>
      <c r="B359" s="652">
        <v>2021</v>
      </c>
      <c r="C359" s="651" t="s">
        <v>701</v>
      </c>
      <c r="D359" s="651" t="s">
        <v>962</v>
      </c>
      <c r="E359" s="651" t="s">
        <v>706</v>
      </c>
      <c r="F359" s="653">
        <v>-53865.43</v>
      </c>
      <c r="G359" s="654"/>
      <c r="H359" s="654"/>
      <c r="I359" s="655"/>
      <c r="J359" s="655"/>
      <c r="K359" s="653">
        <v>0</v>
      </c>
      <c r="L359" s="656">
        <v>-53865.43</v>
      </c>
    </row>
    <row r="360" spans="1:12" ht="14.5" x14ac:dyDescent="0.25">
      <c r="A360" s="651" t="s">
        <v>82</v>
      </c>
      <c r="B360" s="652">
        <v>2021</v>
      </c>
      <c r="C360" s="651" t="s">
        <v>707</v>
      </c>
      <c r="D360" s="651" t="s">
        <v>963</v>
      </c>
      <c r="E360" s="651" t="s">
        <v>709</v>
      </c>
      <c r="F360" s="653">
        <v>0</v>
      </c>
      <c r="G360" s="654"/>
      <c r="H360" s="651" t="s">
        <v>650</v>
      </c>
      <c r="I360" s="655"/>
      <c r="J360" s="655"/>
      <c r="K360" s="653">
        <v>0</v>
      </c>
      <c r="L360" s="656">
        <v>0</v>
      </c>
    </row>
    <row r="361" spans="1:12" ht="31.5" x14ac:dyDescent="0.25">
      <c r="A361" s="651" t="s">
        <v>82</v>
      </c>
      <c r="B361" s="652">
        <v>2021</v>
      </c>
      <c r="C361" s="651" t="s">
        <v>710</v>
      </c>
      <c r="D361" s="651" t="s">
        <v>964</v>
      </c>
      <c r="E361" s="651" t="s">
        <v>2</v>
      </c>
      <c r="F361" s="653">
        <v>187578.3</v>
      </c>
      <c r="G361" s="651" t="s">
        <v>650</v>
      </c>
      <c r="H361" s="654"/>
      <c r="I361" s="653">
        <v>188704.0625</v>
      </c>
      <c r="J361" s="653">
        <v>-1125.77001953125</v>
      </c>
      <c r="K361" s="653">
        <v>187578.296875</v>
      </c>
      <c r="L361" s="656">
        <v>187578.3</v>
      </c>
    </row>
    <row r="362" spans="1:12" ht="31.5" x14ac:dyDescent="0.25">
      <c r="A362" s="651" t="s">
        <v>82</v>
      </c>
      <c r="B362" s="652">
        <v>2021</v>
      </c>
      <c r="C362" s="651" t="s">
        <v>712</v>
      </c>
      <c r="D362" s="651" t="s">
        <v>965</v>
      </c>
      <c r="E362" s="651" t="s">
        <v>3</v>
      </c>
      <c r="F362" s="653">
        <v>-191396.65</v>
      </c>
      <c r="G362" s="651" t="s">
        <v>650</v>
      </c>
      <c r="H362" s="654"/>
      <c r="I362" s="653">
        <v>-185215.015625</v>
      </c>
      <c r="J362" s="653">
        <v>-6181.6298828125</v>
      </c>
      <c r="K362" s="653">
        <v>-191396.65625</v>
      </c>
      <c r="L362" s="656">
        <v>-191396.65</v>
      </c>
    </row>
    <row r="363" spans="1:12" ht="31.5" x14ac:dyDescent="0.25">
      <c r="A363" s="651" t="s">
        <v>82</v>
      </c>
      <c r="B363" s="652">
        <v>2021</v>
      </c>
      <c r="C363" s="651" t="s">
        <v>714</v>
      </c>
      <c r="D363" s="651" t="s">
        <v>966</v>
      </c>
      <c r="E363" s="651" t="s">
        <v>38</v>
      </c>
      <c r="F363" s="653">
        <v>-125372.63</v>
      </c>
      <c r="G363" s="651" t="s">
        <v>650</v>
      </c>
      <c r="H363" s="654"/>
      <c r="I363" s="653">
        <v>-125203.453125</v>
      </c>
      <c r="J363" s="653">
        <v>-169.17999267578099</v>
      </c>
      <c r="K363" s="653">
        <v>-125372.6328125</v>
      </c>
      <c r="L363" s="656">
        <v>-125372.63</v>
      </c>
    </row>
    <row r="364" spans="1:12" ht="21" x14ac:dyDescent="0.25">
      <c r="A364" s="651" t="s">
        <v>82</v>
      </c>
      <c r="B364" s="652">
        <v>2021</v>
      </c>
      <c r="C364" s="651" t="s">
        <v>716</v>
      </c>
      <c r="D364" s="651" t="s">
        <v>967</v>
      </c>
      <c r="E364" s="651" t="s">
        <v>66</v>
      </c>
      <c r="F364" s="653">
        <v>-103633.55</v>
      </c>
      <c r="G364" s="651" t="s">
        <v>650</v>
      </c>
      <c r="H364" s="654"/>
      <c r="I364" s="653">
        <v>-105202.59375</v>
      </c>
      <c r="J364" s="653">
        <v>1569.0400390625</v>
      </c>
      <c r="K364" s="653">
        <v>-103633.546875</v>
      </c>
      <c r="L364" s="656">
        <v>-103633.55</v>
      </c>
    </row>
    <row r="365" spans="1:12" ht="21" x14ac:dyDescent="0.25">
      <c r="A365" s="651" t="s">
        <v>82</v>
      </c>
      <c r="B365" s="652">
        <v>2021</v>
      </c>
      <c r="C365" s="651" t="s">
        <v>718</v>
      </c>
      <c r="D365" s="651" t="s">
        <v>968</v>
      </c>
      <c r="E365" s="651" t="s">
        <v>768</v>
      </c>
      <c r="F365" s="653">
        <v>-963258.19</v>
      </c>
      <c r="G365" s="654"/>
      <c r="H365" s="651" t="s">
        <v>650</v>
      </c>
      <c r="I365" s="655"/>
      <c r="J365" s="655"/>
      <c r="K365" s="653">
        <v>0</v>
      </c>
      <c r="L365" s="656">
        <v>-963258.19</v>
      </c>
    </row>
    <row r="366" spans="1:12" ht="42" x14ac:dyDescent="0.25">
      <c r="A366" s="651" t="s">
        <v>82</v>
      </c>
      <c r="B366" s="652">
        <v>2021</v>
      </c>
      <c r="C366" s="651" t="s">
        <v>721</v>
      </c>
      <c r="D366" s="651" t="s">
        <v>969</v>
      </c>
      <c r="E366" s="651" t="s">
        <v>3016</v>
      </c>
      <c r="F366" s="653">
        <v>0</v>
      </c>
      <c r="G366" s="651" t="s">
        <v>650</v>
      </c>
      <c r="H366" s="654"/>
      <c r="I366" s="653">
        <v>9556.6904296875</v>
      </c>
      <c r="J366" s="653">
        <v>-23139.919921875</v>
      </c>
      <c r="K366" s="653">
        <v>-13583.23046875</v>
      </c>
      <c r="L366" s="656">
        <v>-13583.23</v>
      </c>
    </row>
    <row r="367" spans="1:12" ht="42" x14ac:dyDescent="0.25">
      <c r="A367" s="651" t="s">
        <v>82</v>
      </c>
      <c r="B367" s="652">
        <v>2021</v>
      </c>
      <c r="C367" s="651" t="s">
        <v>721</v>
      </c>
      <c r="D367" s="651" t="s">
        <v>969</v>
      </c>
      <c r="E367" s="651" t="s">
        <v>3058</v>
      </c>
      <c r="F367" s="653">
        <v>0</v>
      </c>
      <c r="G367" s="651" t="s">
        <v>650</v>
      </c>
      <c r="H367" s="654"/>
      <c r="I367" s="653">
        <v>2308.34008789063</v>
      </c>
      <c r="J367" s="653">
        <v>61876.7890625</v>
      </c>
      <c r="K367" s="653">
        <v>64185.12890625</v>
      </c>
      <c r="L367" s="656">
        <v>64185.13</v>
      </c>
    </row>
    <row r="368" spans="1:12" ht="42" x14ac:dyDescent="0.25">
      <c r="A368" s="651" t="s">
        <v>82</v>
      </c>
      <c r="B368" s="652">
        <v>2021</v>
      </c>
      <c r="C368" s="651" t="s">
        <v>721</v>
      </c>
      <c r="D368" s="651" t="s">
        <v>970</v>
      </c>
      <c r="E368" s="651" t="s">
        <v>724</v>
      </c>
      <c r="F368" s="653">
        <v>0</v>
      </c>
      <c r="G368" s="651" t="s">
        <v>650</v>
      </c>
      <c r="H368" s="654"/>
      <c r="I368" s="655"/>
      <c r="J368" s="655"/>
      <c r="K368" s="653">
        <v>0</v>
      </c>
      <c r="L368" s="656">
        <v>0</v>
      </c>
    </row>
    <row r="369" spans="1:12" ht="42" x14ac:dyDescent="0.25">
      <c r="A369" s="651" t="s">
        <v>82</v>
      </c>
      <c r="B369" s="652">
        <v>2021</v>
      </c>
      <c r="C369" s="651" t="s">
        <v>721</v>
      </c>
      <c r="D369" s="651" t="s">
        <v>971</v>
      </c>
      <c r="E369" s="651" t="s">
        <v>55</v>
      </c>
      <c r="F369" s="653">
        <v>0</v>
      </c>
      <c r="G369" s="651" t="s">
        <v>650</v>
      </c>
      <c r="H369" s="654"/>
      <c r="I369" s="655"/>
      <c r="J369" s="655"/>
      <c r="K369" s="653">
        <v>0</v>
      </c>
      <c r="L369" s="656">
        <v>0</v>
      </c>
    </row>
    <row r="370" spans="1:12" ht="42" x14ac:dyDescent="0.25">
      <c r="A370" s="651" t="s">
        <v>82</v>
      </c>
      <c r="B370" s="652">
        <v>2021</v>
      </c>
      <c r="C370" s="651" t="s">
        <v>721</v>
      </c>
      <c r="D370" s="651" t="s">
        <v>972</v>
      </c>
      <c r="E370" s="651" t="s">
        <v>56</v>
      </c>
      <c r="F370" s="653">
        <v>0</v>
      </c>
      <c r="G370" s="651" t="s">
        <v>650</v>
      </c>
      <c r="H370" s="654"/>
      <c r="I370" s="655"/>
      <c r="J370" s="655"/>
      <c r="K370" s="653">
        <v>0</v>
      </c>
      <c r="L370" s="656">
        <v>0</v>
      </c>
    </row>
    <row r="371" spans="1:12" ht="42" x14ac:dyDescent="0.25">
      <c r="A371" s="651" t="s">
        <v>82</v>
      </c>
      <c r="B371" s="652">
        <v>2021</v>
      </c>
      <c r="C371" s="651" t="s">
        <v>721</v>
      </c>
      <c r="D371" s="651" t="s">
        <v>973</v>
      </c>
      <c r="E371" s="651" t="s">
        <v>728</v>
      </c>
      <c r="F371" s="653">
        <v>0</v>
      </c>
      <c r="G371" s="651" t="s">
        <v>650</v>
      </c>
      <c r="H371" s="654"/>
      <c r="I371" s="655"/>
      <c r="J371" s="655"/>
      <c r="K371" s="653">
        <v>0</v>
      </c>
      <c r="L371" s="656">
        <v>0</v>
      </c>
    </row>
    <row r="372" spans="1:12" ht="42" x14ac:dyDescent="0.25">
      <c r="A372" s="651" t="s">
        <v>82</v>
      </c>
      <c r="B372" s="652">
        <v>2021</v>
      </c>
      <c r="C372" s="651" t="s">
        <v>721</v>
      </c>
      <c r="D372" s="651" t="s">
        <v>974</v>
      </c>
      <c r="E372" s="651" t="s">
        <v>730</v>
      </c>
      <c r="F372" s="653">
        <v>0</v>
      </c>
      <c r="G372" s="651" t="s">
        <v>650</v>
      </c>
      <c r="H372" s="654"/>
      <c r="I372" s="655"/>
      <c r="J372" s="655"/>
      <c r="K372" s="653">
        <v>0</v>
      </c>
      <c r="L372" s="656">
        <v>0</v>
      </c>
    </row>
    <row r="373" spans="1:12" ht="42" x14ac:dyDescent="0.25">
      <c r="A373" s="651" t="s">
        <v>82</v>
      </c>
      <c r="B373" s="652">
        <v>2021</v>
      </c>
      <c r="C373" s="651" t="s">
        <v>721</v>
      </c>
      <c r="D373" s="651" t="s">
        <v>975</v>
      </c>
      <c r="E373" s="651" t="s">
        <v>142</v>
      </c>
      <c r="F373" s="653">
        <v>0</v>
      </c>
      <c r="G373" s="651" t="s">
        <v>650</v>
      </c>
      <c r="H373" s="654"/>
      <c r="I373" s="655"/>
      <c r="J373" s="655"/>
      <c r="K373" s="653">
        <v>0</v>
      </c>
      <c r="L373" s="656">
        <v>0</v>
      </c>
    </row>
    <row r="374" spans="1:12" ht="42" x14ac:dyDescent="0.25">
      <c r="A374" s="651" t="s">
        <v>82</v>
      </c>
      <c r="B374" s="652">
        <v>2021</v>
      </c>
      <c r="C374" s="651" t="s">
        <v>721</v>
      </c>
      <c r="D374" s="651" t="s">
        <v>976</v>
      </c>
      <c r="E374" s="651" t="s">
        <v>143</v>
      </c>
      <c r="F374" s="653">
        <v>0</v>
      </c>
      <c r="G374" s="651" t="s">
        <v>650</v>
      </c>
      <c r="H374" s="654"/>
      <c r="I374" s="655"/>
      <c r="J374" s="655"/>
      <c r="K374" s="653">
        <v>0</v>
      </c>
      <c r="L374" s="656">
        <v>0</v>
      </c>
    </row>
    <row r="375" spans="1:12" ht="42" x14ac:dyDescent="0.25">
      <c r="A375" s="651" t="s">
        <v>82</v>
      </c>
      <c r="B375" s="652">
        <v>2021</v>
      </c>
      <c r="C375" s="651" t="s">
        <v>721</v>
      </c>
      <c r="D375" s="651" t="s">
        <v>977</v>
      </c>
      <c r="E375" s="651" t="s">
        <v>182</v>
      </c>
      <c r="F375" s="653">
        <v>0</v>
      </c>
      <c r="G375" s="651" t="s">
        <v>650</v>
      </c>
      <c r="H375" s="654"/>
      <c r="I375" s="653">
        <v>0.28999999165535001</v>
      </c>
      <c r="J375" s="653">
        <v>-0.28999999165535001</v>
      </c>
      <c r="K375" s="653">
        <v>0</v>
      </c>
      <c r="L375" s="656">
        <v>0</v>
      </c>
    </row>
    <row r="376" spans="1:12" ht="42" x14ac:dyDescent="0.25">
      <c r="A376" s="651" t="s">
        <v>82</v>
      </c>
      <c r="B376" s="652">
        <v>2021</v>
      </c>
      <c r="C376" s="651" t="s">
        <v>721</v>
      </c>
      <c r="D376" s="651" t="s">
        <v>978</v>
      </c>
      <c r="E376" s="651" t="s">
        <v>394</v>
      </c>
      <c r="F376" s="653">
        <v>0</v>
      </c>
      <c r="G376" s="651" t="s">
        <v>650</v>
      </c>
      <c r="H376" s="654"/>
      <c r="I376" s="653">
        <v>2.2300000190734899</v>
      </c>
      <c r="J376" s="653">
        <v>-362.41000366210898</v>
      </c>
      <c r="K376" s="653">
        <v>-360.17999267578102</v>
      </c>
      <c r="L376" s="656">
        <v>-360.18</v>
      </c>
    </row>
    <row r="377" spans="1:12" ht="42" x14ac:dyDescent="0.25">
      <c r="A377" s="651" t="s">
        <v>82</v>
      </c>
      <c r="B377" s="652">
        <v>2021</v>
      </c>
      <c r="C377" s="651" t="s">
        <v>721</v>
      </c>
      <c r="D377" s="651" t="s">
        <v>979</v>
      </c>
      <c r="E377" s="651" t="s">
        <v>423</v>
      </c>
      <c r="F377" s="653">
        <v>0</v>
      </c>
      <c r="G377" s="651" t="s">
        <v>650</v>
      </c>
      <c r="H377" s="654"/>
      <c r="I377" s="653">
        <v>10715.0302734375</v>
      </c>
      <c r="J377" s="653">
        <v>-1158.53002929688</v>
      </c>
      <c r="K377" s="653">
        <v>9556.5</v>
      </c>
      <c r="L377" s="656">
        <v>9556.5</v>
      </c>
    </row>
    <row r="378" spans="1:12" ht="42" x14ac:dyDescent="0.25">
      <c r="A378" s="651" t="s">
        <v>82</v>
      </c>
      <c r="B378" s="652">
        <v>2021</v>
      </c>
      <c r="C378" s="651" t="s">
        <v>721</v>
      </c>
      <c r="D378" s="651" t="s">
        <v>3078</v>
      </c>
      <c r="E378" s="651" t="s">
        <v>441</v>
      </c>
      <c r="F378" s="653">
        <v>0</v>
      </c>
      <c r="G378" s="651" t="s">
        <v>650</v>
      </c>
      <c r="H378" s="654"/>
      <c r="I378" s="653">
        <v>-47132.46875</v>
      </c>
      <c r="J378" s="653">
        <v>-30823.919921875</v>
      </c>
      <c r="K378" s="653">
        <v>-77956.390625</v>
      </c>
      <c r="L378" s="656">
        <v>-77956.39</v>
      </c>
    </row>
    <row r="379" spans="1:12" ht="42" x14ac:dyDescent="0.25">
      <c r="A379" s="651" t="s">
        <v>82</v>
      </c>
      <c r="B379" s="652">
        <v>2021</v>
      </c>
      <c r="C379" s="651" t="s">
        <v>721</v>
      </c>
      <c r="D379" s="651" t="s">
        <v>980</v>
      </c>
      <c r="E379" s="651" t="s">
        <v>737</v>
      </c>
      <c r="F379" s="653">
        <v>-18158.169999999998</v>
      </c>
      <c r="G379" s="654"/>
      <c r="H379" s="654"/>
      <c r="I379" s="655"/>
      <c r="J379" s="655"/>
      <c r="K379" s="653">
        <v>0</v>
      </c>
      <c r="L379" s="656">
        <v>-18158.169999999998</v>
      </c>
    </row>
    <row r="380" spans="1:12" ht="14.5" x14ac:dyDescent="0.25">
      <c r="A380" s="651" t="s">
        <v>82</v>
      </c>
      <c r="B380" s="652">
        <v>2021</v>
      </c>
      <c r="C380" s="651" t="s">
        <v>738</v>
      </c>
      <c r="D380" s="651" t="s">
        <v>981</v>
      </c>
      <c r="E380" s="651" t="s">
        <v>7</v>
      </c>
      <c r="F380" s="653">
        <v>-1549471.47</v>
      </c>
      <c r="G380" s="654"/>
      <c r="H380" s="651" t="s">
        <v>650</v>
      </c>
      <c r="I380" s="655"/>
      <c r="J380" s="655"/>
      <c r="K380" s="653">
        <v>0</v>
      </c>
      <c r="L380" s="656">
        <v>-1549471.47</v>
      </c>
    </row>
    <row r="381" spans="1:12" ht="21" x14ac:dyDescent="0.25">
      <c r="A381" s="651" t="s">
        <v>83</v>
      </c>
      <c r="B381" s="652">
        <v>2021</v>
      </c>
      <c r="C381" s="651" t="s">
        <v>647</v>
      </c>
      <c r="D381" s="651" t="s">
        <v>982</v>
      </c>
      <c r="E381" s="651" t="s">
        <v>649</v>
      </c>
      <c r="F381" s="653">
        <v>-99554.21</v>
      </c>
      <c r="G381" s="654"/>
      <c r="H381" s="651" t="s">
        <v>650</v>
      </c>
      <c r="I381" s="655"/>
      <c r="J381" s="655"/>
      <c r="K381" s="653">
        <v>0</v>
      </c>
      <c r="L381" s="656">
        <v>-99554.21</v>
      </c>
    </row>
    <row r="382" spans="1:12" ht="14.5" x14ac:dyDescent="0.25">
      <c r="A382" s="651" t="s">
        <v>83</v>
      </c>
      <c r="B382" s="652">
        <v>2021</v>
      </c>
      <c r="C382" s="651" t="s">
        <v>651</v>
      </c>
      <c r="D382" s="651" t="s">
        <v>983</v>
      </c>
      <c r="E382" s="651" t="s">
        <v>653</v>
      </c>
      <c r="F382" s="653">
        <v>38786.46</v>
      </c>
      <c r="G382" s="654"/>
      <c r="H382" s="651" t="s">
        <v>650</v>
      </c>
      <c r="I382" s="655"/>
      <c r="J382" s="655"/>
      <c r="K382" s="653">
        <v>0</v>
      </c>
      <c r="L382" s="656">
        <v>38786.46</v>
      </c>
    </row>
    <row r="383" spans="1:12" ht="42" x14ac:dyDescent="0.25">
      <c r="A383" s="651" t="s">
        <v>83</v>
      </c>
      <c r="B383" s="652">
        <v>2021</v>
      </c>
      <c r="C383" s="651" t="s">
        <v>654</v>
      </c>
      <c r="D383" s="651" t="s">
        <v>984</v>
      </c>
      <c r="E383" s="651" t="s">
        <v>445</v>
      </c>
      <c r="F383" s="653">
        <v>0</v>
      </c>
      <c r="G383" s="654"/>
      <c r="H383" s="651" t="s">
        <v>650</v>
      </c>
      <c r="I383" s="655"/>
      <c r="J383" s="655"/>
      <c r="K383" s="653">
        <v>0</v>
      </c>
      <c r="L383" s="656">
        <v>0</v>
      </c>
    </row>
    <row r="384" spans="1:12" ht="21" x14ac:dyDescent="0.25">
      <c r="A384" s="651" t="s">
        <v>83</v>
      </c>
      <c r="B384" s="652">
        <v>2021</v>
      </c>
      <c r="C384" s="651" t="s">
        <v>656</v>
      </c>
      <c r="D384" s="651" t="s">
        <v>985</v>
      </c>
      <c r="E384" s="651" t="s">
        <v>658</v>
      </c>
      <c r="F384" s="653">
        <v>0</v>
      </c>
      <c r="G384" s="654"/>
      <c r="H384" s="651" t="s">
        <v>650</v>
      </c>
      <c r="I384" s="655"/>
      <c r="J384" s="655"/>
      <c r="K384" s="653">
        <v>0</v>
      </c>
      <c r="L384" s="656">
        <v>0</v>
      </c>
    </row>
    <row r="385" spans="1:12" ht="31.5" x14ac:dyDescent="0.25">
      <c r="A385" s="651" t="s">
        <v>83</v>
      </c>
      <c r="B385" s="652">
        <v>2021</v>
      </c>
      <c r="C385" s="651" t="s">
        <v>659</v>
      </c>
      <c r="D385" s="651" t="s">
        <v>986</v>
      </c>
      <c r="E385" s="651" t="s">
        <v>661</v>
      </c>
      <c r="F385" s="653">
        <v>0</v>
      </c>
      <c r="G385" s="654"/>
      <c r="H385" s="651" t="s">
        <v>650</v>
      </c>
      <c r="I385" s="655"/>
      <c r="J385" s="655"/>
      <c r="K385" s="653">
        <v>0</v>
      </c>
      <c r="L385" s="656">
        <v>0</v>
      </c>
    </row>
    <row r="386" spans="1:12" ht="21" x14ac:dyDescent="0.25">
      <c r="A386" s="651" t="s">
        <v>83</v>
      </c>
      <c r="B386" s="652">
        <v>2021</v>
      </c>
      <c r="C386" s="651" t="s">
        <v>662</v>
      </c>
      <c r="D386" s="651" t="s">
        <v>987</v>
      </c>
      <c r="E386" s="651" t="s">
        <v>664</v>
      </c>
      <c r="F386" s="653">
        <v>0</v>
      </c>
      <c r="G386" s="654"/>
      <c r="H386" s="651" t="s">
        <v>650</v>
      </c>
      <c r="I386" s="655"/>
      <c r="J386" s="655"/>
      <c r="K386" s="653">
        <v>0</v>
      </c>
      <c r="L386" s="656">
        <v>0</v>
      </c>
    </row>
    <row r="387" spans="1:12" ht="31.5" x14ac:dyDescent="0.25">
      <c r="A387" s="651" t="s">
        <v>83</v>
      </c>
      <c r="B387" s="652">
        <v>2021</v>
      </c>
      <c r="C387" s="651" t="s">
        <v>665</v>
      </c>
      <c r="D387" s="651" t="s">
        <v>988</v>
      </c>
      <c r="E387" s="651" t="s">
        <v>667</v>
      </c>
      <c r="F387" s="653">
        <v>0</v>
      </c>
      <c r="G387" s="654"/>
      <c r="H387" s="651" t="s">
        <v>650</v>
      </c>
      <c r="I387" s="655"/>
      <c r="J387" s="655"/>
      <c r="K387" s="653">
        <v>0</v>
      </c>
      <c r="L387" s="656">
        <v>0</v>
      </c>
    </row>
    <row r="388" spans="1:12" ht="21" x14ac:dyDescent="0.25">
      <c r="A388" s="651" t="s">
        <v>83</v>
      </c>
      <c r="B388" s="652">
        <v>2021</v>
      </c>
      <c r="C388" s="651" t="s">
        <v>668</v>
      </c>
      <c r="D388" s="651" t="s">
        <v>989</v>
      </c>
      <c r="E388" s="651" t="s">
        <v>12</v>
      </c>
      <c r="F388" s="653">
        <v>0</v>
      </c>
      <c r="G388" s="654"/>
      <c r="H388" s="651" t="s">
        <v>650</v>
      </c>
      <c r="I388" s="655"/>
      <c r="J388" s="655"/>
      <c r="K388" s="653">
        <v>0</v>
      </c>
      <c r="L388" s="656">
        <v>0</v>
      </c>
    </row>
    <row r="389" spans="1:12" ht="21" x14ac:dyDescent="0.25">
      <c r="A389" s="651" t="s">
        <v>83</v>
      </c>
      <c r="B389" s="652">
        <v>2021</v>
      </c>
      <c r="C389" s="651" t="s">
        <v>670</v>
      </c>
      <c r="D389" s="651" t="s">
        <v>990</v>
      </c>
      <c r="E389" s="651" t="s">
        <v>13</v>
      </c>
      <c r="F389" s="653">
        <v>0</v>
      </c>
      <c r="G389" s="654"/>
      <c r="H389" s="651" t="s">
        <v>650</v>
      </c>
      <c r="I389" s="655"/>
      <c r="J389" s="655"/>
      <c r="K389" s="653">
        <v>0</v>
      </c>
      <c r="L389" s="656">
        <v>0</v>
      </c>
    </row>
    <row r="390" spans="1:12" ht="21" x14ac:dyDescent="0.25">
      <c r="A390" s="651" t="s">
        <v>83</v>
      </c>
      <c r="B390" s="652">
        <v>2021</v>
      </c>
      <c r="C390" s="651" t="s">
        <v>672</v>
      </c>
      <c r="D390" s="651" t="s">
        <v>991</v>
      </c>
      <c r="E390" s="651" t="s">
        <v>15</v>
      </c>
      <c r="F390" s="653">
        <v>0</v>
      </c>
      <c r="G390" s="654"/>
      <c r="H390" s="651" t="s">
        <v>650</v>
      </c>
      <c r="I390" s="655"/>
      <c r="J390" s="655"/>
      <c r="K390" s="653">
        <v>0</v>
      </c>
      <c r="L390" s="656">
        <v>0</v>
      </c>
    </row>
    <row r="391" spans="1:12" ht="14.5" x14ac:dyDescent="0.25">
      <c r="A391" s="651" t="s">
        <v>83</v>
      </c>
      <c r="B391" s="652">
        <v>2021</v>
      </c>
      <c r="C391" s="651" t="s">
        <v>674</v>
      </c>
      <c r="D391" s="651" t="s">
        <v>992</v>
      </c>
      <c r="E391" s="651" t="s">
        <v>676</v>
      </c>
      <c r="F391" s="653">
        <v>261.85000000000002</v>
      </c>
      <c r="G391" s="654"/>
      <c r="H391" s="651" t="s">
        <v>650</v>
      </c>
      <c r="I391" s="655"/>
      <c r="J391" s="655"/>
      <c r="K391" s="653">
        <v>0</v>
      </c>
      <c r="L391" s="656">
        <v>261.85000000000002</v>
      </c>
    </row>
    <row r="392" spans="1:12" ht="14.5" x14ac:dyDescent="0.25">
      <c r="A392" s="651" t="s">
        <v>83</v>
      </c>
      <c r="B392" s="652">
        <v>2021</v>
      </c>
      <c r="C392" s="651" t="s">
        <v>677</v>
      </c>
      <c r="D392" s="651" t="s">
        <v>993</v>
      </c>
      <c r="E392" s="651" t="s">
        <v>23</v>
      </c>
      <c r="F392" s="653">
        <v>113386.44</v>
      </c>
      <c r="G392" s="651" t="s">
        <v>650</v>
      </c>
      <c r="H392" s="654"/>
      <c r="I392" s="653">
        <v>112521.2109375</v>
      </c>
      <c r="J392" s="653">
        <v>865.22998046875</v>
      </c>
      <c r="K392" s="653">
        <v>113386.4375</v>
      </c>
      <c r="L392" s="656">
        <v>113386.44</v>
      </c>
    </row>
    <row r="393" spans="1:12" ht="31.5" x14ac:dyDescent="0.25">
      <c r="A393" s="651" t="s">
        <v>83</v>
      </c>
      <c r="B393" s="652">
        <v>2021</v>
      </c>
      <c r="C393" s="651" t="s">
        <v>679</v>
      </c>
      <c r="D393" s="651" t="s">
        <v>994</v>
      </c>
      <c r="E393" s="651" t="s">
        <v>131</v>
      </c>
      <c r="F393" s="653">
        <v>-9246.15</v>
      </c>
      <c r="G393" s="651" t="s">
        <v>650</v>
      </c>
      <c r="H393" s="654"/>
      <c r="I393" s="653">
        <v>-8896.6396484375</v>
      </c>
      <c r="J393" s="653">
        <v>-349.510009765625</v>
      </c>
      <c r="K393" s="653">
        <v>-9246.150390625</v>
      </c>
      <c r="L393" s="656">
        <v>-9246.15</v>
      </c>
    </row>
    <row r="394" spans="1:12" ht="31.5" x14ac:dyDescent="0.25">
      <c r="A394" s="651" t="s">
        <v>83</v>
      </c>
      <c r="B394" s="652">
        <v>2021</v>
      </c>
      <c r="C394" s="651" t="s">
        <v>681</v>
      </c>
      <c r="D394" s="651" t="s">
        <v>995</v>
      </c>
      <c r="E394" s="651" t="s">
        <v>683</v>
      </c>
      <c r="F394" s="653">
        <v>2030.66</v>
      </c>
      <c r="G394" s="654"/>
      <c r="H394" s="651" t="s">
        <v>650</v>
      </c>
      <c r="I394" s="655"/>
      <c r="J394" s="655"/>
      <c r="K394" s="653">
        <v>0</v>
      </c>
      <c r="L394" s="656">
        <v>2030.66</v>
      </c>
    </row>
    <row r="395" spans="1:12" ht="21" x14ac:dyDescent="0.25">
      <c r="A395" s="651" t="s">
        <v>83</v>
      </c>
      <c r="B395" s="652">
        <v>2021</v>
      </c>
      <c r="C395" s="651" t="s">
        <v>681</v>
      </c>
      <c r="D395" s="651" t="s">
        <v>995</v>
      </c>
      <c r="E395" s="651" t="s">
        <v>684</v>
      </c>
      <c r="F395" s="653">
        <v>0</v>
      </c>
      <c r="G395" s="654"/>
      <c r="H395" s="651" t="s">
        <v>650</v>
      </c>
      <c r="I395" s="655"/>
      <c r="J395" s="655"/>
      <c r="K395" s="653">
        <v>0</v>
      </c>
      <c r="L395" s="656">
        <v>0</v>
      </c>
    </row>
    <row r="396" spans="1:12" ht="21" x14ac:dyDescent="0.25">
      <c r="A396" s="651" t="s">
        <v>83</v>
      </c>
      <c r="B396" s="652">
        <v>2021</v>
      </c>
      <c r="C396" s="651" t="s">
        <v>685</v>
      </c>
      <c r="D396" s="651" t="s">
        <v>996</v>
      </c>
      <c r="E396" s="651" t="s">
        <v>687</v>
      </c>
      <c r="F396" s="653">
        <v>0</v>
      </c>
      <c r="G396" s="654"/>
      <c r="H396" s="651" t="s">
        <v>650</v>
      </c>
      <c r="I396" s="655"/>
      <c r="J396" s="655"/>
      <c r="K396" s="653">
        <v>0</v>
      </c>
      <c r="L396" s="656">
        <v>0</v>
      </c>
    </row>
    <row r="397" spans="1:12" ht="14.5" x14ac:dyDescent="0.25">
      <c r="A397" s="651" t="s">
        <v>83</v>
      </c>
      <c r="B397" s="652">
        <v>2021</v>
      </c>
      <c r="C397" s="651" t="s">
        <v>688</v>
      </c>
      <c r="D397" s="651" t="s">
        <v>997</v>
      </c>
      <c r="E397" s="651" t="s">
        <v>50</v>
      </c>
      <c r="F397" s="653">
        <v>0</v>
      </c>
      <c r="G397" s="654"/>
      <c r="H397" s="651" t="s">
        <v>650</v>
      </c>
      <c r="I397" s="655"/>
      <c r="J397" s="655"/>
      <c r="K397" s="653">
        <v>0</v>
      </c>
      <c r="L397" s="656">
        <v>0</v>
      </c>
    </row>
    <row r="398" spans="1:12" ht="21" x14ac:dyDescent="0.25">
      <c r="A398" s="651" t="s">
        <v>83</v>
      </c>
      <c r="B398" s="652">
        <v>2021</v>
      </c>
      <c r="C398" s="651" t="s">
        <v>690</v>
      </c>
      <c r="D398" s="651" t="s">
        <v>998</v>
      </c>
      <c r="E398" s="651" t="s">
        <v>692</v>
      </c>
      <c r="F398" s="653">
        <v>0</v>
      </c>
      <c r="G398" s="654"/>
      <c r="H398" s="651" t="s">
        <v>650</v>
      </c>
      <c r="I398" s="655"/>
      <c r="J398" s="655"/>
      <c r="K398" s="653">
        <v>0</v>
      </c>
      <c r="L398" s="656">
        <v>0</v>
      </c>
    </row>
    <row r="399" spans="1:12" ht="21" x14ac:dyDescent="0.25">
      <c r="A399" s="651" t="s">
        <v>83</v>
      </c>
      <c r="B399" s="652">
        <v>2021</v>
      </c>
      <c r="C399" s="651" t="s">
        <v>693</v>
      </c>
      <c r="D399" s="651" t="s">
        <v>999</v>
      </c>
      <c r="E399" s="651" t="s">
        <v>6</v>
      </c>
      <c r="F399" s="653">
        <v>0</v>
      </c>
      <c r="G399" s="654"/>
      <c r="H399" s="651" t="s">
        <v>650</v>
      </c>
      <c r="I399" s="655"/>
      <c r="J399" s="655"/>
      <c r="K399" s="653">
        <v>0</v>
      </c>
      <c r="L399" s="656">
        <v>0</v>
      </c>
    </row>
    <row r="400" spans="1:12" ht="31.5" x14ac:dyDescent="0.25">
      <c r="A400" s="651" t="s">
        <v>83</v>
      </c>
      <c r="B400" s="652">
        <v>2021</v>
      </c>
      <c r="C400" s="651" t="s">
        <v>695</v>
      </c>
      <c r="D400" s="651" t="s">
        <v>1000</v>
      </c>
      <c r="E400" s="651" t="s">
        <v>697</v>
      </c>
      <c r="F400" s="653">
        <v>0</v>
      </c>
      <c r="G400" s="654"/>
      <c r="H400" s="651" t="s">
        <v>650</v>
      </c>
      <c r="I400" s="655"/>
      <c r="J400" s="655"/>
      <c r="K400" s="653">
        <v>0</v>
      </c>
      <c r="L400" s="656">
        <v>0</v>
      </c>
    </row>
    <row r="401" spans="1:12" ht="21" x14ac:dyDescent="0.25">
      <c r="A401" s="651" t="s">
        <v>83</v>
      </c>
      <c r="B401" s="652">
        <v>2021</v>
      </c>
      <c r="C401" s="651" t="s">
        <v>698</v>
      </c>
      <c r="D401" s="651" t="s">
        <v>1001</v>
      </c>
      <c r="E401" s="651" t="s">
        <v>700</v>
      </c>
      <c r="F401" s="653">
        <v>0</v>
      </c>
      <c r="G401" s="654"/>
      <c r="H401" s="651" t="s">
        <v>650</v>
      </c>
      <c r="I401" s="655"/>
      <c r="J401" s="655"/>
      <c r="K401" s="653">
        <v>0</v>
      </c>
      <c r="L401" s="656">
        <v>0</v>
      </c>
    </row>
    <row r="402" spans="1:12" ht="21" x14ac:dyDescent="0.25">
      <c r="A402" s="651" t="s">
        <v>83</v>
      </c>
      <c r="B402" s="652">
        <v>2021</v>
      </c>
      <c r="C402" s="651" t="s">
        <v>701</v>
      </c>
      <c r="D402" s="651" t="s">
        <v>1002</v>
      </c>
      <c r="E402" s="651" t="s">
        <v>1</v>
      </c>
      <c r="F402" s="653">
        <v>-64135.02</v>
      </c>
      <c r="G402" s="651" t="s">
        <v>650</v>
      </c>
      <c r="H402" s="654"/>
      <c r="I402" s="653">
        <v>-63065.44140625</v>
      </c>
      <c r="J402" s="653">
        <v>-1069.57995605469</v>
      </c>
      <c r="K402" s="653">
        <v>-64135.01953125</v>
      </c>
      <c r="L402" s="656">
        <v>-64135.02</v>
      </c>
    </row>
    <row r="403" spans="1:12" ht="21" x14ac:dyDescent="0.25">
      <c r="A403" s="651" t="s">
        <v>83</v>
      </c>
      <c r="B403" s="652">
        <v>2021</v>
      </c>
      <c r="C403" s="651" t="s">
        <v>701</v>
      </c>
      <c r="D403" s="651" t="s">
        <v>1002</v>
      </c>
      <c r="E403" s="651" t="s">
        <v>703</v>
      </c>
      <c r="F403" s="653">
        <v>0</v>
      </c>
      <c r="G403" s="654"/>
      <c r="H403" s="654"/>
      <c r="I403" s="655"/>
      <c r="J403" s="655"/>
      <c r="K403" s="653">
        <v>0</v>
      </c>
      <c r="L403" s="656">
        <v>0</v>
      </c>
    </row>
    <row r="404" spans="1:12" ht="21" x14ac:dyDescent="0.25">
      <c r="A404" s="651" t="s">
        <v>83</v>
      </c>
      <c r="B404" s="652">
        <v>2021</v>
      </c>
      <c r="C404" s="651" t="s">
        <v>701</v>
      </c>
      <c r="D404" s="651" t="s">
        <v>1002</v>
      </c>
      <c r="E404" s="651" t="s">
        <v>704</v>
      </c>
      <c r="F404" s="653">
        <v>0</v>
      </c>
      <c r="G404" s="654"/>
      <c r="H404" s="654"/>
      <c r="I404" s="655"/>
      <c r="J404" s="655"/>
      <c r="K404" s="653">
        <v>0</v>
      </c>
      <c r="L404" s="656">
        <v>0</v>
      </c>
    </row>
    <row r="405" spans="1:12" ht="21" x14ac:dyDescent="0.25">
      <c r="A405" s="651" t="s">
        <v>83</v>
      </c>
      <c r="B405" s="652">
        <v>2021</v>
      </c>
      <c r="C405" s="651" t="s">
        <v>701</v>
      </c>
      <c r="D405" s="651" t="s">
        <v>1002</v>
      </c>
      <c r="E405" s="651" t="s">
        <v>705</v>
      </c>
      <c r="F405" s="653">
        <v>-85.64</v>
      </c>
      <c r="G405" s="654"/>
      <c r="H405" s="654"/>
      <c r="I405" s="655"/>
      <c r="J405" s="655"/>
      <c r="K405" s="653">
        <v>0</v>
      </c>
      <c r="L405" s="656">
        <v>-85.64</v>
      </c>
    </row>
    <row r="406" spans="1:12" ht="21" x14ac:dyDescent="0.25">
      <c r="A406" s="651" t="s">
        <v>83</v>
      </c>
      <c r="B406" s="652">
        <v>2021</v>
      </c>
      <c r="C406" s="651" t="s">
        <v>701</v>
      </c>
      <c r="D406" s="651" t="s">
        <v>1002</v>
      </c>
      <c r="E406" s="651" t="s">
        <v>706</v>
      </c>
      <c r="F406" s="653">
        <v>-3272.51</v>
      </c>
      <c r="G406" s="654"/>
      <c r="H406" s="654"/>
      <c r="I406" s="655"/>
      <c r="J406" s="655"/>
      <c r="K406" s="653">
        <v>0</v>
      </c>
      <c r="L406" s="656">
        <v>-3272.51</v>
      </c>
    </row>
    <row r="407" spans="1:12" ht="14.5" x14ac:dyDescent="0.25">
      <c r="A407" s="651" t="s">
        <v>83</v>
      </c>
      <c r="B407" s="652">
        <v>2021</v>
      </c>
      <c r="C407" s="651" t="s">
        <v>707</v>
      </c>
      <c r="D407" s="651" t="s">
        <v>1003</v>
      </c>
      <c r="E407" s="651" t="s">
        <v>709</v>
      </c>
      <c r="F407" s="653">
        <v>0</v>
      </c>
      <c r="G407" s="654"/>
      <c r="H407" s="651" t="s">
        <v>650</v>
      </c>
      <c r="I407" s="655"/>
      <c r="J407" s="655"/>
      <c r="K407" s="653">
        <v>0</v>
      </c>
      <c r="L407" s="656">
        <v>0</v>
      </c>
    </row>
    <row r="408" spans="1:12" ht="31.5" x14ac:dyDescent="0.25">
      <c r="A408" s="651" t="s">
        <v>83</v>
      </c>
      <c r="B408" s="652">
        <v>2021</v>
      </c>
      <c r="C408" s="651" t="s">
        <v>710</v>
      </c>
      <c r="D408" s="651" t="s">
        <v>1004</v>
      </c>
      <c r="E408" s="651" t="s">
        <v>2</v>
      </c>
      <c r="F408" s="653">
        <v>-13176.05</v>
      </c>
      <c r="G408" s="651" t="s">
        <v>650</v>
      </c>
      <c r="H408" s="654"/>
      <c r="I408" s="653">
        <v>-11968.25</v>
      </c>
      <c r="J408" s="653">
        <v>-1207.80004882813</v>
      </c>
      <c r="K408" s="653">
        <v>-13176.0498046875</v>
      </c>
      <c r="L408" s="656">
        <v>-13176.05</v>
      </c>
    </row>
    <row r="409" spans="1:12" ht="31.5" x14ac:dyDescent="0.25">
      <c r="A409" s="651" t="s">
        <v>83</v>
      </c>
      <c r="B409" s="652">
        <v>2021</v>
      </c>
      <c r="C409" s="651" t="s">
        <v>712</v>
      </c>
      <c r="D409" s="651" t="s">
        <v>1005</v>
      </c>
      <c r="E409" s="651" t="s">
        <v>3</v>
      </c>
      <c r="F409" s="653">
        <v>-2758.79</v>
      </c>
      <c r="G409" s="651" t="s">
        <v>650</v>
      </c>
      <c r="H409" s="654"/>
      <c r="I409" s="653">
        <v>-2031.66003417969</v>
      </c>
      <c r="J409" s="653">
        <v>-727.13000488281295</v>
      </c>
      <c r="K409" s="653">
        <v>-2758.7900390625</v>
      </c>
      <c r="L409" s="656">
        <v>-2758.79</v>
      </c>
    </row>
    <row r="410" spans="1:12" ht="31.5" x14ac:dyDescent="0.25">
      <c r="A410" s="651" t="s">
        <v>83</v>
      </c>
      <c r="B410" s="652">
        <v>2021</v>
      </c>
      <c r="C410" s="651" t="s">
        <v>714</v>
      </c>
      <c r="D410" s="651" t="s">
        <v>1006</v>
      </c>
      <c r="E410" s="651" t="s">
        <v>38</v>
      </c>
      <c r="F410" s="653">
        <v>107511.92</v>
      </c>
      <c r="G410" s="651" t="s">
        <v>650</v>
      </c>
      <c r="H410" s="654"/>
      <c r="I410" s="653">
        <v>105646.0625</v>
      </c>
      <c r="J410" s="653">
        <v>1865.85998535156</v>
      </c>
      <c r="K410" s="653">
        <v>107511.921875</v>
      </c>
      <c r="L410" s="656">
        <v>107511.92</v>
      </c>
    </row>
    <row r="411" spans="1:12" ht="21" x14ac:dyDescent="0.25">
      <c r="A411" s="651" t="s">
        <v>83</v>
      </c>
      <c r="B411" s="652">
        <v>2021</v>
      </c>
      <c r="C411" s="651" t="s">
        <v>716</v>
      </c>
      <c r="D411" s="651" t="s">
        <v>1007</v>
      </c>
      <c r="E411" s="651" t="s">
        <v>66</v>
      </c>
      <c r="F411" s="653">
        <v>122898.8</v>
      </c>
      <c r="G411" s="651" t="s">
        <v>650</v>
      </c>
      <c r="H411" s="654"/>
      <c r="I411" s="653">
        <v>118741.671875</v>
      </c>
      <c r="J411" s="653">
        <v>4157.1298828125</v>
      </c>
      <c r="K411" s="653">
        <v>122898.796875</v>
      </c>
      <c r="L411" s="656">
        <v>122898.8</v>
      </c>
    </row>
    <row r="412" spans="1:12" ht="31.5" x14ac:dyDescent="0.25">
      <c r="A412" s="651" t="s">
        <v>83</v>
      </c>
      <c r="B412" s="652">
        <v>2021</v>
      </c>
      <c r="C412" s="651" t="s">
        <v>718</v>
      </c>
      <c r="D412" s="651" t="s">
        <v>1008</v>
      </c>
      <c r="E412" s="651" t="s">
        <v>720</v>
      </c>
      <c r="F412" s="653">
        <v>0</v>
      </c>
      <c r="G412" s="654"/>
      <c r="H412" s="651" t="s">
        <v>650</v>
      </c>
      <c r="I412" s="655"/>
      <c r="J412" s="655"/>
      <c r="K412" s="653">
        <v>0</v>
      </c>
      <c r="L412" s="656">
        <v>0</v>
      </c>
    </row>
    <row r="413" spans="1:12" ht="42" x14ac:dyDescent="0.25">
      <c r="A413" s="651" t="s">
        <v>83</v>
      </c>
      <c r="B413" s="652">
        <v>2021</v>
      </c>
      <c r="C413" s="651" t="s">
        <v>721</v>
      </c>
      <c r="D413" s="651" t="s">
        <v>1009</v>
      </c>
      <c r="E413" s="651" t="s">
        <v>3016</v>
      </c>
      <c r="F413" s="653">
        <v>0</v>
      </c>
      <c r="G413" s="651" t="s">
        <v>650</v>
      </c>
      <c r="H413" s="654"/>
      <c r="I413" s="653">
        <v>-6852.330078125</v>
      </c>
      <c r="J413" s="653">
        <v>2721.82006835938</v>
      </c>
      <c r="K413" s="653">
        <v>-4130.509765625</v>
      </c>
      <c r="L413" s="656">
        <v>-4130.51</v>
      </c>
    </row>
    <row r="414" spans="1:12" ht="42" x14ac:dyDescent="0.25">
      <c r="A414" s="651" t="s">
        <v>83</v>
      </c>
      <c r="B414" s="652">
        <v>2021</v>
      </c>
      <c r="C414" s="651" t="s">
        <v>721</v>
      </c>
      <c r="D414" s="651" t="s">
        <v>1009</v>
      </c>
      <c r="E414" s="651" t="s">
        <v>3058</v>
      </c>
      <c r="F414" s="653">
        <v>0</v>
      </c>
      <c r="G414" s="651" t="s">
        <v>650</v>
      </c>
      <c r="H414" s="654"/>
      <c r="I414" s="653">
        <v>-2608.25</v>
      </c>
      <c r="J414" s="653">
        <v>296.42999267578102</v>
      </c>
      <c r="K414" s="653">
        <v>-2311.82006835938</v>
      </c>
      <c r="L414" s="656">
        <v>-2311.8200000000002</v>
      </c>
    </row>
    <row r="415" spans="1:12" ht="42" x14ac:dyDescent="0.25">
      <c r="A415" s="651" t="s">
        <v>83</v>
      </c>
      <c r="B415" s="652">
        <v>2021</v>
      </c>
      <c r="C415" s="651" t="s">
        <v>721</v>
      </c>
      <c r="D415" s="651" t="s">
        <v>1010</v>
      </c>
      <c r="E415" s="651" t="s">
        <v>724</v>
      </c>
      <c r="F415" s="653">
        <v>0</v>
      </c>
      <c r="G415" s="651" t="s">
        <v>650</v>
      </c>
      <c r="H415" s="654"/>
      <c r="I415" s="655"/>
      <c r="J415" s="655"/>
      <c r="K415" s="653">
        <v>0</v>
      </c>
      <c r="L415" s="656">
        <v>0</v>
      </c>
    </row>
    <row r="416" spans="1:12" ht="42" x14ac:dyDescent="0.25">
      <c r="A416" s="651" t="s">
        <v>83</v>
      </c>
      <c r="B416" s="652">
        <v>2021</v>
      </c>
      <c r="C416" s="651" t="s">
        <v>721</v>
      </c>
      <c r="D416" s="651" t="s">
        <v>1011</v>
      </c>
      <c r="E416" s="651" t="s">
        <v>55</v>
      </c>
      <c r="F416" s="653">
        <v>0</v>
      </c>
      <c r="G416" s="651" t="s">
        <v>650</v>
      </c>
      <c r="H416" s="654"/>
      <c r="I416" s="655"/>
      <c r="J416" s="655"/>
      <c r="K416" s="653">
        <v>0</v>
      </c>
      <c r="L416" s="656">
        <v>0</v>
      </c>
    </row>
    <row r="417" spans="1:12" ht="42" x14ac:dyDescent="0.25">
      <c r="A417" s="651" t="s">
        <v>83</v>
      </c>
      <c r="B417" s="652">
        <v>2021</v>
      </c>
      <c r="C417" s="651" t="s">
        <v>721</v>
      </c>
      <c r="D417" s="651" t="s">
        <v>1012</v>
      </c>
      <c r="E417" s="651" t="s">
        <v>56</v>
      </c>
      <c r="F417" s="653">
        <v>0</v>
      </c>
      <c r="G417" s="651" t="s">
        <v>650</v>
      </c>
      <c r="H417" s="654"/>
      <c r="I417" s="655"/>
      <c r="J417" s="655"/>
      <c r="K417" s="653">
        <v>0</v>
      </c>
      <c r="L417" s="656">
        <v>0</v>
      </c>
    </row>
    <row r="418" spans="1:12" ht="42" x14ac:dyDescent="0.25">
      <c r="A418" s="651" t="s">
        <v>83</v>
      </c>
      <c r="B418" s="652">
        <v>2021</v>
      </c>
      <c r="C418" s="651" t="s">
        <v>721</v>
      </c>
      <c r="D418" s="651" t="s">
        <v>1013</v>
      </c>
      <c r="E418" s="651" t="s">
        <v>728</v>
      </c>
      <c r="F418" s="653">
        <v>0</v>
      </c>
      <c r="G418" s="651" t="s">
        <v>650</v>
      </c>
      <c r="H418" s="654"/>
      <c r="I418" s="655"/>
      <c r="J418" s="655"/>
      <c r="K418" s="653">
        <v>0</v>
      </c>
      <c r="L418" s="656">
        <v>0</v>
      </c>
    </row>
    <row r="419" spans="1:12" ht="42" x14ac:dyDescent="0.25">
      <c r="A419" s="651" t="s">
        <v>83</v>
      </c>
      <c r="B419" s="652">
        <v>2021</v>
      </c>
      <c r="C419" s="651" t="s">
        <v>721</v>
      </c>
      <c r="D419" s="651" t="s">
        <v>1014</v>
      </c>
      <c r="E419" s="651" t="s">
        <v>730</v>
      </c>
      <c r="F419" s="653">
        <v>0</v>
      </c>
      <c r="G419" s="651" t="s">
        <v>650</v>
      </c>
      <c r="H419" s="654"/>
      <c r="I419" s="655"/>
      <c r="J419" s="655"/>
      <c r="K419" s="653">
        <v>0</v>
      </c>
      <c r="L419" s="656">
        <v>0</v>
      </c>
    </row>
    <row r="420" spans="1:12" ht="42" x14ac:dyDescent="0.25">
      <c r="A420" s="651" t="s">
        <v>83</v>
      </c>
      <c r="B420" s="652">
        <v>2021</v>
      </c>
      <c r="C420" s="651" t="s">
        <v>721</v>
      </c>
      <c r="D420" s="651" t="s">
        <v>1015</v>
      </c>
      <c r="E420" s="651" t="s">
        <v>142</v>
      </c>
      <c r="F420" s="653">
        <v>0</v>
      </c>
      <c r="G420" s="651" t="s">
        <v>650</v>
      </c>
      <c r="H420" s="654"/>
      <c r="I420" s="655"/>
      <c r="J420" s="655"/>
      <c r="K420" s="653">
        <v>0</v>
      </c>
      <c r="L420" s="656">
        <v>0</v>
      </c>
    </row>
    <row r="421" spans="1:12" ht="42" x14ac:dyDescent="0.25">
      <c r="A421" s="651" t="s">
        <v>83</v>
      </c>
      <c r="B421" s="652">
        <v>2021</v>
      </c>
      <c r="C421" s="651" t="s">
        <v>721</v>
      </c>
      <c r="D421" s="651" t="s">
        <v>1016</v>
      </c>
      <c r="E421" s="651" t="s">
        <v>143</v>
      </c>
      <c r="F421" s="653">
        <v>0</v>
      </c>
      <c r="G421" s="651" t="s">
        <v>650</v>
      </c>
      <c r="H421" s="654"/>
      <c r="I421" s="655"/>
      <c r="J421" s="655"/>
      <c r="K421" s="653">
        <v>0</v>
      </c>
      <c r="L421" s="656">
        <v>0</v>
      </c>
    </row>
    <row r="422" spans="1:12" ht="42" x14ac:dyDescent="0.25">
      <c r="A422" s="651" t="s">
        <v>83</v>
      </c>
      <c r="B422" s="652">
        <v>2021</v>
      </c>
      <c r="C422" s="651" t="s">
        <v>721</v>
      </c>
      <c r="D422" s="651" t="s">
        <v>1017</v>
      </c>
      <c r="E422" s="651" t="s">
        <v>182</v>
      </c>
      <c r="F422" s="653">
        <v>0</v>
      </c>
      <c r="G422" s="651" t="s">
        <v>650</v>
      </c>
      <c r="H422" s="654"/>
      <c r="I422" s="655"/>
      <c r="J422" s="655"/>
      <c r="K422" s="653">
        <v>0</v>
      </c>
      <c r="L422" s="656">
        <v>0</v>
      </c>
    </row>
    <row r="423" spans="1:12" ht="42" x14ac:dyDescent="0.25">
      <c r="A423" s="651" t="s">
        <v>83</v>
      </c>
      <c r="B423" s="652">
        <v>2021</v>
      </c>
      <c r="C423" s="651" t="s">
        <v>721</v>
      </c>
      <c r="D423" s="651" t="s">
        <v>1018</v>
      </c>
      <c r="E423" s="651" t="s">
        <v>394</v>
      </c>
      <c r="F423" s="653">
        <v>0</v>
      </c>
      <c r="G423" s="651" t="s">
        <v>650</v>
      </c>
      <c r="H423" s="654"/>
      <c r="I423" s="655"/>
      <c r="J423" s="655"/>
      <c r="K423" s="653">
        <v>0</v>
      </c>
      <c r="L423" s="656">
        <v>0</v>
      </c>
    </row>
    <row r="424" spans="1:12" ht="42" x14ac:dyDescent="0.25">
      <c r="A424" s="651" t="s">
        <v>83</v>
      </c>
      <c r="B424" s="652">
        <v>2021</v>
      </c>
      <c r="C424" s="651" t="s">
        <v>721</v>
      </c>
      <c r="D424" s="651" t="s">
        <v>1019</v>
      </c>
      <c r="E424" s="651" t="s">
        <v>423</v>
      </c>
      <c r="F424" s="653">
        <v>0</v>
      </c>
      <c r="G424" s="651" t="s">
        <v>650</v>
      </c>
      <c r="H424" s="654"/>
      <c r="I424" s="653">
        <v>-8616.1103515625</v>
      </c>
      <c r="J424" s="653">
        <v>-75.449996948242202</v>
      </c>
      <c r="K424" s="653">
        <v>-8691.5595703125</v>
      </c>
      <c r="L424" s="656">
        <v>-8691.56</v>
      </c>
    </row>
    <row r="425" spans="1:12" ht="42" x14ac:dyDescent="0.25">
      <c r="A425" s="651" t="s">
        <v>83</v>
      </c>
      <c r="B425" s="652">
        <v>2021</v>
      </c>
      <c r="C425" s="651" t="s">
        <v>721</v>
      </c>
      <c r="D425" s="651" t="s">
        <v>3079</v>
      </c>
      <c r="E425" s="651" t="s">
        <v>441</v>
      </c>
      <c r="F425" s="653">
        <v>0</v>
      </c>
      <c r="G425" s="651" t="s">
        <v>650</v>
      </c>
      <c r="H425" s="654"/>
      <c r="I425" s="653">
        <v>49091.5703125</v>
      </c>
      <c r="J425" s="653">
        <v>9281.2900390625</v>
      </c>
      <c r="K425" s="653">
        <v>58372.859375</v>
      </c>
      <c r="L425" s="656">
        <v>58372.86</v>
      </c>
    </row>
    <row r="426" spans="1:12" ht="42" x14ac:dyDescent="0.25">
      <c r="A426" s="651" t="s">
        <v>83</v>
      </c>
      <c r="B426" s="652">
        <v>2021</v>
      </c>
      <c r="C426" s="651" t="s">
        <v>721</v>
      </c>
      <c r="D426" s="651" t="s">
        <v>1020</v>
      </c>
      <c r="E426" s="651" t="s">
        <v>737</v>
      </c>
      <c r="F426" s="653">
        <v>43238.97</v>
      </c>
      <c r="G426" s="654"/>
      <c r="H426" s="654"/>
      <c r="I426" s="655"/>
      <c r="J426" s="655"/>
      <c r="K426" s="653">
        <v>0</v>
      </c>
      <c r="L426" s="656">
        <v>43238.97</v>
      </c>
    </row>
    <row r="427" spans="1:12" ht="14.5" x14ac:dyDescent="0.25">
      <c r="A427" s="651" t="s">
        <v>83</v>
      </c>
      <c r="B427" s="652">
        <v>2021</v>
      </c>
      <c r="C427" s="651" t="s">
        <v>738</v>
      </c>
      <c r="D427" s="651" t="s">
        <v>1021</v>
      </c>
      <c r="E427" s="651" t="s">
        <v>7</v>
      </c>
      <c r="F427" s="653">
        <v>0</v>
      </c>
      <c r="G427" s="654"/>
      <c r="H427" s="651" t="s">
        <v>650</v>
      </c>
      <c r="I427" s="655"/>
      <c r="J427" s="655"/>
      <c r="K427" s="653">
        <v>0</v>
      </c>
      <c r="L427" s="656">
        <v>0</v>
      </c>
    </row>
    <row r="428" spans="1:12" ht="21" x14ac:dyDescent="0.25">
      <c r="A428" s="651" t="s">
        <v>84</v>
      </c>
      <c r="B428" s="652">
        <v>2021</v>
      </c>
      <c r="C428" s="651" t="s">
        <v>647</v>
      </c>
      <c r="D428" s="651" t="s">
        <v>1022</v>
      </c>
      <c r="E428" s="651" t="s">
        <v>649</v>
      </c>
      <c r="F428" s="653">
        <v>-6558.65</v>
      </c>
      <c r="G428" s="654"/>
      <c r="H428" s="651" t="s">
        <v>650</v>
      </c>
      <c r="I428" s="655"/>
      <c r="J428" s="655"/>
      <c r="K428" s="653">
        <v>0</v>
      </c>
      <c r="L428" s="656">
        <v>-6558.65</v>
      </c>
    </row>
    <row r="429" spans="1:12" ht="21" x14ac:dyDescent="0.25">
      <c r="A429" s="651" t="s">
        <v>84</v>
      </c>
      <c r="B429" s="652">
        <v>2021</v>
      </c>
      <c r="C429" s="651" t="s">
        <v>651</v>
      </c>
      <c r="D429" s="651" t="s">
        <v>1023</v>
      </c>
      <c r="E429" s="651" t="s">
        <v>653</v>
      </c>
      <c r="F429" s="653">
        <v>-661.08</v>
      </c>
      <c r="G429" s="654"/>
      <c r="H429" s="651" t="s">
        <v>650</v>
      </c>
      <c r="I429" s="655"/>
      <c r="J429" s="655"/>
      <c r="K429" s="653">
        <v>0</v>
      </c>
      <c r="L429" s="656">
        <v>-661.08</v>
      </c>
    </row>
    <row r="430" spans="1:12" ht="42" x14ac:dyDescent="0.25">
      <c r="A430" s="651" t="s">
        <v>84</v>
      </c>
      <c r="B430" s="652">
        <v>2021</v>
      </c>
      <c r="C430" s="651" t="s">
        <v>654</v>
      </c>
      <c r="D430" s="651" t="s">
        <v>1024</v>
      </c>
      <c r="E430" s="651" t="s">
        <v>445</v>
      </c>
      <c r="F430" s="653">
        <v>0</v>
      </c>
      <c r="G430" s="654"/>
      <c r="H430" s="651" t="s">
        <v>650</v>
      </c>
      <c r="I430" s="655"/>
      <c r="J430" s="655"/>
      <c r="K430" s="653">
        <v>0</v>
      </c>
      <c r="L430" s="656">
        <v>0</v>
      </c>
    </row>
    <row r="431" spans="1:12" ht="21" x14ac:dyDescent="0.25">
      <c r="A431" s="651" t="s">
        <v>84</v>
      </c>
      <c r="B431" s="652">
        <v>2021</v>
      </c>
      <c r="C431" s="651" t="s">
        <v>656</v>
      </c>
      <c r="D431" s="651" t="s">
        <v>1025</v>
      </c>
      <c r="E431" s="651" t="s">
        <v>658</v>
      </c>
      <c r="F431" s="653">
        <v>0</v>
      </c>
      <c r="G431" s="654"/>
      <c r="H431" s="651" t="s">
        <v>650</v>
      </c>
      <c r="I431" s="655"/>
      <c r="J431" s="655"/>
      <c r="K431" s="653">
        <v>0</v>
      </c>
      <c r="L431" s="656">
        <v>0</v>
      </c>
    </row>
    <row r="432" spans="1:12" ht="31.5" x14ac:dyDescent="0.25">
      <c r="A432" s="651" t="s">
        <v>84</v>
      </c>
      <c r="B432" s="652">
        <v>2021</v>
      </c>
      <c r="C432" s="651" t="s">
        <v>659</v>
      </c>
      <c r="D432" s="651" t="s">
        <v>1026</v>
      </c>
      <c r="E432" s="651" t="s">
        <v>661</v>
      </c>
      <c r="F432" s="653">
        <v>0</v>
      </c>
      <c r="G432" s="654"/>
      <c r="H432" s="651" t="s">
        <v>650</v>
      </c>
      <c r="I432" s="655"/>
      <c r="J432" s="655"/>
      <c r="K432" s="653">
        <v>0</v>
      </c>
      <c r="L432" s="656">
        <v>0</v>
      </c>
    </row>
    <row r="433" spans="1:12" ht="21" x14ac:dyDescent="0.25">
      <c r="A433" s="651" t="s">
        <v>84</v>
      </c>
      <c r="B433" s="652">
        <v>2021</v>
      </c>
      <c r="C433" s="651" t="s">
        <v>662</v>
      </c>
      <c r="D433" s="651" t="s">
        <v>1027</v>
      </c>
      <c r="E433" s="651" t="s">
        <v>664</v>
      </c>
      <c r="F433" s="653">
        <v>0</v>
      </c>
      <c r="G433" s="654"/>
      <c r="H433" s="651" t="s">
        <v>650</v>
      </c>
      <c r="I433" s="655"/>
      <c r="J433" s="655"/>
      <c r="K433" s="653">
        <v>0</v>
      </c>
      <c r="L433" s="656">
        <v>0</v>
      </c>
    </row>
    <row r="434" spans="1:12" ht="31.5" x14ac:dyDescent="0.25">
      <c r="A434" s="651" t="s">
        <v>84</v>
      </c>
      <c r="B434" s="652">
        <v>2021</v>
      </c>
      <c r="C434" s="651" t="s">
        <v>665</v>
      </c>
      <c r="D434" s="651" t="s">
        <v>1028</v>
      </c>
      <c r="E434" s="651" t="s">
        <v>667</v>
      </c>
      <c r="F434" s="653">
        <v>0</v>
      </c>
      <c r="G434" s="654"/>
      <c r="H434" s="651" t="s">
        <v>650</v>
      </c>
      <c r="I434" s="655"/>
      <c r="J434" s="655"/>
      <c r="K434" s="653">
        <v>0</v>
      </c>
      <c r="L434" s="656">
        <v>0</v>
      </c>
    </row>
    <row r="435" spans="1:12" ht="21" x14ac:dyDescent="0.25">
      <c r="A435" s="651" t="s">
        <v>84</v>
      </c>
      <c r="B435" s="652">
        <v>2021</v>
      </c>
      <c r="C435" s="651" t="s">
        <v>668</v>
      </c>
      <c r="D435" s="651" t="s">
        <v>1029</v>
      </c>
      <c r="E435" s="651" t="s">
        <v>12</v>
      </c>
      <c r="F435" s="653">
        <v>0</v>
      </c>
      <c r="G435" s="654"/>
      <c r="H435" s="651" t="s">
        <v>650</v>
      </c>
      <c r="I435" s="655"/>
      <c r="J435" s="655"/>
      <c r="K435" s="653">
        <v>0</v>
      </c>
      <c r="L435" s="656">
        <v>0</v>
      </c>
    </row>
    <row r="436" spans="1:12" ht="21" x14ac:dyDescent="0.25">
      <c r="A436" s="651" t="s">
        <v>84</v>
      </c>
      <c r="B436" s="652">
        <v>2021</v>
      </c>
      <c r="C436" s="651" t="s">
        <v>670</v>
      </c>
      <c r="D436" s="651" t="s">
        <v>1030</v>
      </c>
      <c r="E436" s="651" t="s">
        <v>13</v>
      </c>
      <c r="F436" s="653">
        <v>0</v>
      </c>
      <c r="G436" s="654"/>
      <c r="H436" s="651" t="s">
        <v>650</v>
      </c>
      <c r="I436" s="655"/>
      <c r="J436" s="655"/>
      <c r="K436" s="653">
        <v>0</v>
      </c>
      <c r="L436" s="656">
        <v>0</v>
      </c>
    </row>
    <row r="437" spans="1:12" ht="21" x14ac:dyDescent="0.25">
      <c r="A437" s="651" t="s">
        <v>84</v>
      </c>
      <c r="B437" s="652">
        <v>2021</v>
      </c>
      <c r="C437" s="651" t="s">
        <v>672</v>
      </c>
      <c r="D437" s="651" t="s">
        <v>1031</v>
      </c>
      <c r="E437" s="651" t="s">
        <v>15</v>
      </c>
      <c r="F437" s="653">
        <v>0</v>
      </c>
      <c r="G437" s="654"/>
      <c r="H437" s="651" t="s">
        <v>650</v>
      </c>
      <c r="I437" s="655"/>
      <c r="J437" s="655"/>
      <c r="K437" s="653">
        <v>0</v>
      </c>
      <c r="L437" s="656">
        <v>0</v>
      </c>
    </row>
    <row r="438" spans="1:12" ht="21" x14ac:dyDescent="0.25">
      <c r="A438" s="651" t="s">
        <v>84</v>
      </c>
      <c r="B438" s="652">
        <v>2021</v>
      </c>
      <c r="C438" s="651" t="s">
        <v>674</v>
      </c>
      <c r="D438" s="651" t="s">
        <v>1032</v>
      </c>
      <c r="E438" s="651" t="s">
        <v>676</v>
      </c>
      <c r="F438" s="653">
        <v>0</v>
      </c>
      <c r="G438" s="654"/>
      <c r="H438" s="651" t="s">
        <v>650</v>
      </c>
      <c r="I438" s="655"/>
      <c r="J438" s="655"/>
      <c r="K438" s="653">
        <v>0</v>
      </c>
      <c r="L438" s="656">
        <v>0</v>
      </c>
    </row>
    <row r="439" spans="1:12" ht="21" x14ac:dyDescent="0.25">
      <c r="A439" s="651" t="s">
        <v>84</v>
      </c>
      <c r="B439" s="652">
        <v>2021</v>
      </c>
      <c r="C439" s="651" t="s">
        <v>677</v>
      </c>
      <c r="D439" s="651" t="s">
        <v>1033</v>
      </c>
      <c r="E439" s="651" t="s">
        <v>23</v>
      </c>
      <c r="F439" s="653">
        <v>29882.54</v>
      </c>
      <c r="G439" s="651" t="s">
        <v>650</v>
      </c>
      <c r="H439" s="654"/>
      <c r="I439" s="653">
        <v>27407.30078125</v>
      </c>
      <c r="J439" s="653">
        <v>2475.23999023438</v>
      </c>
      <c r="K439" s="653">
        <v>29882.5390625</v>
      </c>
      <c r="L439" s="656">
        <v>29882.54</v>
      </c>
    </row>
    <row r="440" spans="1:12" ht="31.5" x14ac:dyDescent="0.25">
      <c r="A440" s="651" t="s">
        <v>84</v>
      </c>
      <c r="B440" s="652">
        <v>2021</v>
      </c>
      <c r="C440" s="651" t="s">
        <v>679</v>
      </c>
      <c r="D440" s="651" t="s">
        <v>1034</v>
      </c>
      <c r="E440" s="651" t="s">
        <v>131</v>
      </c>
      <c r="F440" s="653">
        <v>-274.20999999999998</v>
      </c>
      <c r="G440" s="651" t="s">
        <v>650</v>
      </c>
      <c r="H440" s="654"/>
      <c r="I440" s="653">
        <v>-269.69000244140602</v>
      </c>
      <c r="J440" s="653">
        <v>-4.5199999809265101</v>
      </c>
      <c r="K440" s="653">
        <v>-274.20999145507801</v>
      </c>
      <c r="L440" s="656">
        <v>-274.20999999999998</v>
      </c>
    </row>
    <row r="441" spans="1:12" ht="31.5" x14ac:dyDescent="0.25">
      <c r="A441" s="651" t="s">
        <v>84</v>
      </c>
      <c r="B441" s="652">
        <v>2021</v>
      </c>
      <c r="C441" s="651" t="s">
        <v>681</v>
      </c>
      <c r="D441" s="651" t="s">
        <v>1035</v>
      </c>
      <c r="E441" s="651" t="s">
        <v>683</v>
      </c>
      <c r="F441" s="653">
        <v>4438.32</v>
      </c>
      <c r="G441" s="654"/>
      <c r="H441" s="651" t="s">
        <v>650</v>
      </c>
      <c r="I441" s="655"/>
      <c r="J441" s="655"/>
      <c r="K441" s="653">
        <v>0</v>
      </c>
      <c r="L441" s="656">
        <v>4438.32</v>
      </c>
    </row>
    <row r="442" spans="1:12" ht="21" x14ac:dyDescent="0.25">
      <c r="A442" s="651" t="s">
        <v>84</v>
      </c>
      <c r="B442" s="652">
        <v>2021</v>
      </c>
      <c r="C442" s="651" t="s">
        <v>681</v>
      </c>
      <c r="D442" s="651" t="s">
        <v>1035</v>
      </c>
      <c r="E442" s="651" t="s">
        <v>684</v>
      </c>
      <c r="F442" s="653">
        <v>4438.32</v>
      </c>
      <c r="G442" s="654"/>
      <c r="H442" s="651" t="s">
        <v>650</v>
      </c>
      <c r="I442" s="655"/>
      <c r="J442" s="655"/>
      <c r="K442" s="653">
        <v>0</v>
      </c>
      <c r="L442" s="656">
        <v>4438.32</v>
      </c>
    </row>
    <row r="443" spans="1:12" ht="21" x14ac:dyDescent="0.25">
      <c r="A443" s="651" t="s">
        <v>84</v>
      </c>
      <c r="B443" s="652">
        <v>2021</v>
      </c>
      <c r="C443" s="651" t="s">
        <v>685</v>
      </c>
      <c r="D443" s="651" t="s">
        <v>1036</v>
      </c>
      <c r="E443" s="651" t="s">
        <v>687</v>
      </c>
      <c r="F443" s="653">
        <v>0</v>
      </c>
      <c r="G443" s="654"/>
      <c r="H443" s="651" t="s">
        <v>650</v>
      </c>
      <c r="I443" s="655"/>
      <c r="J443" s="655"/>
      <c r="K443" s="653">
        <v>0</v>
      </c>
      <c r="L443" s="656">
        <v>0</v>
      </c>
    </row>
    <row r="444" spans="1:12" ht="21" x14ac:dyDescent="0.25">
      <c r="A444" s="651" t="s">
        <v>84</v>
      </c>
      <c r="B444" s="652">
        <v>2021</v>
      </c>
      <c r="C444" s="651" t="s">
        <v>688</v>
      </c>
      <c r="D444" s="651" t="s">
        <v>1037</v>
      </c>
      <c r="E444" s="651" t="s">
        <v>50</v>
      </c>
      <c r="F444" s="653">
        <v>0</v>
      </c>
      <c r="G444" s="654"/>
      <c r="H444" s="651" t="s">
        <v>650</v>
      </c>
      <c r="I444" s="655"/>
      <c r="J444" s="655"/>
      <c r="K444" s="653">
        <v>0</v>
      </c>
      <c r="L444" s="656">
        <v>0</v>
      </c>
    </row>
    <row r="445" spans="1:12" ht="21" x14ac:dyDescent="0.25">
      <c r="A445" s="651" t="s">
        <v>84</v>
      </c>
      <c r="B445" s="652">
        <v>2021</v>
      </c>
      <c r="C445" s="651" t="s">
        <v>690</v>
      </c>
      <c r="D445" s="651" t="s">
        <v>1038</v>
      </c>
      <c r="E445" s="651" t="s">
        <v>692</v>
      </c>
      <c r="F445" s="653">
        <v>0</v>
      </c>
      <c r="G445" s="654"/>
      <c r="H445" s="651" t="s">
        <v>650</v>
      </c>
      <c r="I445" s="655"/>
      <c r="J445" s="655"/>
      <c r="K445" s="653">
        <v>0</v>
      </c>
      <c r="L445" s="656">
        <v>0</v>
      </c>
    </row>
    <row r="446" spans="1:12" ht="21" x14ac:dyDescent="0.25">
      <c r="A446" s="651" t="s">
        <v>84</v>
      </c>
      <c r="B446" s="652">
        <v>2021</v>
      </c>
      <c r="C446" s="651" t="s">
        <v>693</v>
      </c>
      <c r="D446" s="651" t="s">
        <v>1039</v>
      </c>
      <c r="E446" s="651" t="s">
        <v>6</v>
      </c>
      <c r="F446" s="653">
        <v>0</v>
      </c>
      <c r="G446" s="654"/>
      <c r="H446" s="651" t="s">
        <v>650</v>
      </c>
      <c r="I446" s="655"/>
      <c r="J446" s="655"/>
      <c r="K446" s="653">
        <v>0</v>
      </c>
      <c r="L446" s="656">
        <v>0</v>
      </c>
    </row>
    <row r="447" spans="1:12" ht="31.5" x14ac:dyDescent="0.25">
      <c r="A447" s="651" t="s">
        <v>84</v>
      </c>
      <c r="B447" s="652">
        <v>2021</v>
      </c>
      <c r="C447" s="651" t="s">
        <v>695</v>
      </c>
      <c r="D447" s="651" t="s">
        <v>1040</v>
      </c>
      <c r="E447" s="651" t="s">
        <v>697</v>
      </c>
      <c r="F447" s="653">
        <v>0</v>
      </c>
      <c r="G447" s="654"/>
      <c r="H447" s="651" t="s">
        <v>650</v>
      </c>
      <c r="I447" s="655"/>
      <c r="J447" s="655"/>
      <c r="K447" s="653">
        <v>0</v>
      </c>
      <c r="L447" s="656">
        <v>0</v>
      </c>
    </row>
    <row r="448" spans="1:12" ht="21" x14ac:dyDescent="0.25">
      <c r="A448" s="651" t="s">
        <v>84</v>
      </c>
      <c r="B448" s="652">
        <v>2021</v>
      </c>
      <c r="C448" s="651" t="s">
        <v>698</v>
      </c>
      <c r="D448" s="651" t="s">
        <v>1041</v>
      </c>
      <c r="E448" s="651" t="s">
        <v>700</v>
      </c>
      <c r="F448" s="653">
        <v>33497</v>
      </c>
      <c r="G448" s="654"/>
      <c r="H448" s="651" t="s">
        <v>650</v>
      </c>
      <c r="I448" s="655"/>
      <c r="J448" s="655"/>
      <c r="K448" s="653">
        <v>0</v>
      </c>
      <c r="L448" s="656">
        <v>33497</v>
      </c>
    </row>
    <row r="449" spans="1:12" ht="21" x14ac:dyDescent="0.25">
      <c r="A449" s="651" t="s">
        <v>84</v>
      </c>
      <c r="B449" s="652">
        <v>2021</v>
      </c>
      <c r="C449" s="651" t="s">
        <v>701</v>
      </c>
      <c r="D449" s="651" t="s">
        <v>1042</v>
      </c>
      <c r="E449" s="651" t="s">
        <v>1</v>
      </c>
      <c r="F449" s="653">
        <v>-24736.01</v>
      </c>
      <c r="G449" s="651" t="s">
        <v>650</v>
      </c>
      <c r="H449" s="654"/>
      <c r="I449" s="653">
        <v>-23476.4609375</v>
      </c>
      <c r="J449" s="653">
        <v>-1259.55004882813</v>
      </c>
      <c r="K449" s="653">
        <v>-24736.009765625</v>
      </c>
      <c r="L449" s="656">
        <v>-24736.01</v>
      </c>
    </row>
    <row r="450" spans="1:12" ht="21" x14ac:dyDescent="0.25">
      <c r="A450" s="651" t="s">
        <v>84</v>
      </c>
      <c r="B450" s="652">
        <v>2021</v>
      </c>
      <c r="C450" s="651" t="s">
        <v>701</v>
      </c>
      <c r="D450" s="651" t="s">
        <v>1042</v>
      </c>
      <c r="E450" s="651" t="s">
        <v>703</v>
      </c>
      <c r="F450" s="653">
        <v>0</v>
      </c>
      <c r="G450" s="654"/>
      <c r="H450" s="654"/>
      <c r="I450" s="655"/>
      <c r="J450" s="655"/>
      <c r="K450" s="653">
        <v>0</v>
      </c>
      <c r="L450" s="656">
        <v>0</v>
      </c>
    </row>
    <row r="451" spans="1:12" ht="21" x14ac:dyDescent="0.25">
      <c r="A451" s="651" t="s">
        <v>84</v>
      </c>
      <c r="B451" s="652">
        <v>2021</v>
      </c>
      <c r="C451" s="651" t="s">
        <v>701</v>
      </c>
      <c r="D451" s="651" t="s">
        <v>1042</v>
      </c>
      <c r="E451" s="651" t="s">
        <v>704</v>
      </c>
      <c r="F451" s="653">
        <v>0</v>
      </c>
      <c r="G451" s="654"/>
      <c r="H451" s="654"/>
      <c r="I451" s="655"/>
      <c r="J451" s="655"/>
      <c r="K451" s="653">
        <v>0</v>
      </c>
      <c r="L451" s="656">
        <v>0</v>
      </c>
    </row>
    <row r="452" spans="1:12" ht="21" x14ac:dyDescent="0.25">
      <c r="A452" s="651" t="s">
        <v>84</v>
      </c>
      <c r="B452" s="652">
        <v>2021</v>
      </c>
      <c r="C452" s="651" t="s">
        <v>701</v>
      </c>
      <c r="D452" s="651" t="s">
        <v>1042</v>
      </c>
      <c r="E452" s="651" t="s">
        <v>705</v>
      </c>
      <c r="F452" s="653">
        <v>-85.83</v>
      </c>
      <c r="G452" s="654"/>
      <c r="H452" s="654"/>
      <c r="I452" s="655"/>
      <c r="J452" s="655"/>
      <c r="K452" s="653">
        <v>0</v>
      </c>
      <c r="L452" s="656">
        <v>-85.83</v>
      </c>
    </row>
    <row r="453" spans="1:12" ht="21" x14ac:dyDescent="0.25">
      <c r="A453" s="651" t="s">
        <v>84</v>
      </c>
      <c r="B453" s="652">
        <v>2021</v>
      </c>
      <c r="C453" s="651" t="s">
        <v>701</v>
      </c>
      <c r="D453" s="651" t="s">
        <v>1042</v>
      </c>
      <c r="E453" s="651" t="s">
        <v>706</v>
      </c>
      <c r="F453" s="653">
        <v>-3906.06</v>
      </c>
      <c r="G453" s="654"/>
      <c r="H453" s="654"/>
      <c r="I453" s="655"/>
      <c r="J453" s="655"/>
      <c r="K453" s="653">
        <v>0</v>
      </c>
      <c r="L453" s="656">
        <v>-3906.06</v>
      </c>
    </row>
    <row r="454" spans="1:12" ht="21" x14ac:dyDescent="0.25">
      <c r="A454" s="651" t="s">
        <v>84</v>
      </c>
      <c r="B454" s="652">
        <v>2021</v>
      </c>
      <c r="C454" s="651" t="s">
        <v>707</v>
      </c>
      <c r="D454" s="651" t="s">
        <v>1043</v>
      </c>
      <c r="E454" s="651" t="s">
        <v>709</v>
      </c>
      <c r="F454" s="653">
        <v>0</v>
      </c>
      <c r="G454" s="654"/>
      <c r="H454" s="651" t="s">
        <v>650</v>
      </c>
      <c r="I454" s="655"/>
      <c r="J454" s="655"/>
      <c r="K454" s="653">
        <v>0</v>
      </c>
      <c r="L454" s="656">
        <v>0</v>
      </c>
    </row>
    <row r="455" spans="1:12" ht="31.5" x14ac:dyDescent="0.25">
      <c r="A455" s="651" t="s">
        <v>84</v>
      </c>
      <c r="B455" s="652">
        <v>2021</v>
      </c>
      <c r="C455" s="651" t="s">
        <v>710</v>
      </c>
      <c r="D455" s="651" t="s">
        <v>1044</v>
      </c>
      <c r="E455" s="651" t="s">
        <v>2</v>
      </c>
      <c r="F455" s="653">
        <v>9357.23</v>
      </c>
      <c r="G455" s="651" t="s">
        <v>650</v>
      </c>
      <c r="H455" s="654"/>
      <c r="I455" s="653">
        <v>9288.6796875</v>
      </c>
      <c r="J455" s="653">
        <v>68.550003051757798</v>
      </c>
      <c r="K455" s="653">
        <v>9357.23046875</v>
      </c>
      <c r="L455" s="656">
        <v>9357.23</v>
      </c>
    </row>
    <row r="456" spans="1:12" ht="31.5" x14ac:dyDescent="0.25">
      <c r="A456" s="651" t="s">
        <v>84</v>
      </c>
      <c r="B456" s="652">
        <v>2021</v>
      </c>
      <c r="C456" s="651" t="s">
        <v>712</v>
      </c>
      <c r="D456" s="651" t="s">
        <v>1045</v>
      </c>
      <c r="E456" s="651" t="s">
        <v>3</v>
      </c>
      <c r="F456" s="653">
        <v>5422.44</v>
      </c>
      <c r="G456" s="651" t="s">
        <v>650</v>
      </c>
      <c r="H456" s="654"/>
      <c r="I456" s="653">
        <v>5268.52001953125</v>
      </c>
      <c r="J456" s="653">
        <v>153.919998168945</v>
      </c>
      <c r="K456" s="653">
        <v>5422.43994140625</v>
      </c>
      <c r="L456" s="656">
        <v>5422.44</v>
      </c>
    </row>
    <row r="457" spans="1:12" ht="31.5" x14ac:dyDescent="0.25">
      <c r="A457" s="651" t="s">
        <v>84</v>
      </c>
      <c r="B457" s="652">
        <v>2021</v>
      </c>
      <c r="C457" s="651" t="s">
        <v>714</v>
      </c>
      <c r="D457" s="651" t="s">
        <v>1046</v>
      </c>
      <c r="E457" s="651" t="s">
        <v>38</v>
      </c>
      <c r="F457" s="653">
        <v>-3273.54</v>
      </c>
      <c r="G457" s="651" t="s">
        <v>650</v>
      </c>
      <c r="H457" s="654"/>
      <c r="I457" s="653">
        <v>-3383.26000976563</v>
      </c>
      <c r="J457" s="653">
        <v>109.720001220703</v>
      </c>
      <c r="K457" s="653">
        <v>-3273.5400390625</v>
      </c>
      <c r="L457" s="656">
        <v>-3273.54</v>
      </c>
    </row>
    <row r="458" spans="1:12" ht="21" x14ac:dyDescent="0.25">
      <c r="A458" s="651" t="s">
        <v>84</v>
      </c>
      <c r="B458" s="652">
        <v>2021</v>
      </c>
      <c r="C458" s="651" t="s">
        <v>716</v>
      </c>
      <c r="D458" s="651" t="s">
        <v>1047</v>
      </c>
      <c r="E458" s="651" t="s">
        <v>66</v>
      </c>
      <c r="F458" s="653">
        <v>24406.78</v>
      </c>
      <c r="G458" s="651" t="s">
        <v>650</v>
      </c>
      <c r="H458" s="654"/>
      <c r="I458" s="653">
        <v>24301.150390625</v>
      </c>
      <c r="J458" s="653">
        <v>105.629997253418</v>
      </c>
      <c r="K458" s="653">
        <v>24406.779296875</v>
      </c>
      <c r="L458" s="656">
        <v>24406.78</v>
      </c>
    </row>
    <row r="459" spans="1:12" ht="31.5" x14ac:dyDescent="0.25">
      <c r="A459" s="651" t="s">
        <v>84</v>
      </c>
      <c r="B459" s="652">
        <v>2021</v>
      </c>
      <c r="C459" s="651" t="s">
        <v>718</v>
      </c>
      <c r="D459" s="651" t="s">
        <v>1048</v>
      </c>
      <c r="E459" s="651" t="s">
        <v>720</v>
      </c>
      <c r="F459" s="653">
        <v>0</v>
      </c>
      <c r="G459" s="654"/>
      <c r="H459" s="651" t="s">
        <v>650</v>
      </c>
      <c r="I459" s="655"/>
      <c r="J459" s="655"/>
      <c r="K459" s="653">
        <v>0</v>
      </c>
      <c r="L459" s="656">
        <v>0</v>
      </c>
    </row>
    <row r="460" spans="1:12" ht="42" x14ac:dyDescent="0.25">
      <c r="A460" s="651" t="s">
        <v>84</v>
      </c>
      <c r="B460" s="652">
        <v>2021</v>
      </c>
      <c r="C460" s="651" t="s">
        <v>721</v>
      </c>
      <c r="D460" s="651" t="s">
        <v>1049</v>
      </c>
      <c r="E460" s="651" t="s">
        <v>3016</v>
      </c>
      <c r="F460" s="653">
        <v>0</v>
      </c>
      <c r="G460" s="651" t="s">
        <v>650</v>
      </c>
      <c r="H460" s="654"/>
      <c r="I460" s="653">
        <v>-16856.890625</v>
      </c>
      <c r="J460" s="653">
        <v>6585.06982421875</v>
      </c>
      <c r="K460" s="653">
        <v>-10271.8203125</v>
      </c>
      <c r="L460" s="656">
        <v>-10271.82</v>
      </c>
    </row>
    <row r="461" spans="1:12" ht="42" x14ac:dyDescent="0.25">
      <c r="A461" s="651" t="s">
        <v>84</v>
      </c>
      <c r="B461" s="652">
        <v>2021</v>
      </c>
      <c r="C461" s="651" t="s">
        <v>721</v>
      </c>
      <c r="D461" s="651" t="s">
        <v>1049</v>
      </c>
      <c r="E461" s="651" t="s">
        <v>3058</v>
      </c>
      <c r="F461" s="653">
        <v>0</v>
      </c>
      <c r="G461" s="651" t="s">
        <v>650</v>
      </c>
      <c r="H461" s="654"/>
      <c r="I461" s="653">
        <v>54771.9296875</v>
      </c>
      <c r="J461" s="653">
        <v>9992.0302734375</v>
      </c>
      <c r="K461" s="653">
        <v>64763.9609375</v>
      </c>
      <c r="L461" s="656">
        <v>64763.96</v>
      </c>
    </row>
    <row r="462" spans="1:12" ht="42" x14ac:dyDescent="0.25">
      <c r="A462" s="651" t="s">
        <v>84</v>
      </c>
      <c r="B462" s="652">
        <v>2021</v>
      </c>
      <c r="C462" s="651" t="s">
        <v>721</v>
      </c>
      <c r="D462" s="651" t="s">
        <v>1050</v>
      </c>
      <c r="E462" s="651" t="s">
        <v>724</v>
      </c>
      <c r="F462" s="653">
        <v>0</v>
      </c>
      <c r="G462" s="651" t="s">
        <v>650</v>
      </c>
      <c r="H462" s="654"/>
      <c r="I462" s="655"/>
      <c r="J462" s="655"/>
      <c r="K462" s="653">
        <v>0</v>
      </c>
      <c r="L462" s="656">
        <v>0</v>
      </c>
    </row>
    <row r="463" spans="1:12" ht="42" x14ac:dyDescent="0.25">
      <c r="A463" s="651" t="s">
        <v>84</v>
      </c>
      <c r="B463" s="652">
        <v>2021</v>
      </c>
      <c r="C463" s="651" t="s">
        <v>721</v>
      </c>
      <c r="D463" s="651" t="s">
        <v>1051</v>
      </c>
      <c r="E463" s="651" t="s">
        <v>55</v>
      </c>
      <c r="F463" s="653">
        <v>0</v>
      </c>
      <c r="G463" s="651" t="s">
        <v>650</v>
      </c>
      <c r="H463" s="654"/>
      <c r="I463" s="655"/>
      <c r="J463" s="655"/>
      <c r="K463" s="653">
        <v>0</v>
      </c>
      <c r="L463" s="656">
        <v>0</v>
      </c>
    </row>
    <row r="464" spans="1:12" ht="42" x14ac:dyDescent="0.25">
      <c r="A464" s="651" t="s">
        <v>84</v>
      </c>
      <c r="B464" s="652">
        <v>2021</v>
      </c>
      <c r="C464" s="651" t="s">
        <v>721</v>
      </c>
      <c r="D464" s="651" t="s">
        <v>1052</v>
      </c>
      <c r="E464" s="651" t="s">
        <v>56</v>
      </c>
      <c r="F464" s="653">
        <v>0</v>
      </c>
      <c r="G464" s="651" t="s">
        <v>650</v>
      </c>
      <c r="H464" s="654"/>
      <c r="I464" s="655"/>
      <c r="J464" s="655"/>
      <c r="K464" s="653">
        <v>0</v>
      </c>
      <c r="L464" s="656">
        <v>0</v>
      </c>
    </row>
    <row r="465" spans="1:12" ht="42" x14ac:dyDescent="0.25">
      <c r="A465" s="651" t="s">
        <v>84</v>
      </c>
      <c r="B465" s="652">
        <v>2021</v>
      </c>
      <c r="C465" s="651" t="s">
        <v>721</v>
      </c>
      <c r="D465" s="651" t="s">
        <v>1053</v>
      </c>
      <c r="E465" s="651" t="s">
        <v>728</v>
      </c>
      <c r="F465" s="653">
        <v>0</v>
      </c>
      <c r="G465" s="651" t="s">
        <v>650</v>
      </c>
      <c r="H465" s="654"/>
      <c r="I465" s="655"/>
      <c r="J465" s="655"/>
      <c r="K465" s="653">
        <v>0</v>
      </c>
      <c r="L465" s="656">
        <v>0</v>
      </c>
    </row>
    <row r="466" spans="1:12" ht="42" x14ac:dyDescent="0.25">
      <c r="A466" s="651" t="s">
        <v>84</v>
      </c>
      <c r="B466" s="652">
        <v>2021</v>
      </c>
      <c r="C466" s="651" t="s">
        <v>721</v>
      </c>
      <c r="D466" s="651" t="s">
        <v>1054</v>
      </c>
      <c r="E466" s="651" t="s">
        <v>730</v>
      </c>
      <c r="F466" s="653">
        <v>0</v>
      </c>
      <c r="G466" s="651" t="s">
        <v>650</v>
      </c>
      <c r="H466" s="654"/>
      <c r="I466" s="655"/>
      <c r="J466" s="655"/>
      <c r="K466" s="653">
        <v>0</v>
      </c>
      <c r="L466" s="656">
        <v>0</v>
      </c>
    </row>
    <row r="467" spans="1:12" ht="42" x14ac:dyDescent="0.25">
      <c r="A467" s="651" t="s">
        <v>84</v>
      </c>
      <c r="B467" s="652">
        <v>2021</v>
      </c>
      <c r="C467" s="651" t="s">
        <v>721</v>
      </c>
      <c r="D467" s="651" t="s">
        <v>1055</v>
      </c>
      <c r="E467" s="651" t="s">
        <v>142</v>
      </c>
      <c r="F467" s="653">
        <v>0</v>
      </c>
      <c r="G467" s="651" t="s">
        <v>650</v>
      </c>
      <c r="H467" s="654"/>
      <c r="I467" s="655"/>
      <c r="J467" s="655"/>
      <c r="K467" s="653">
        <v>0</v>
      </c>
      <c r="L467" s="656">
        <v>0</v>
      </c>
    </row>
    <row r="468" spans="1:12" ht="42" x14ac:dyDescent="0.25">
      <c r="A468" s="651" t="s">
        <v>84</v>
      </c>
      <c r="B468" s="652">
        <v>2021</v>
      </c>
      <c r="C468" s="651" t="s">
        <v>721</v>
      </c>
      <c r="D468" s="651" t="s">
        <v>1056</v>
      </c>
      <c r="E468" s="651" t="s">
        <v>143</v>
      </c>
      <c r="F468" s="653">
        <v>0</v>
      </c>
      <c r="G468" s="651" t="s">
        <v>650</v>
      </c>
      <c r="H468" s="654"/>
      <c r="I468" s="655"/>
      <c r="J468" s="655"/>
      <c r="K468" s="653">
        <v>0</v>
      </c>
      <c r="L468" s="656">
        <v>0</v>
      </c>
    </row>
    <row r="469" spans="1:12" ht="42" x14ac:dyDescent="0.25">
      <c r="A469" s="651" t="s">
        <v>84</v>
      </c>
      <c r="B469" s="652">
        <v>2021</v>
      </c>
      <c r="C469" s="651" t="s">
        <v>721</v>
      </c>
      <c r="D469" s="651" t="s">
        <v>1057</v>
      </c>
      <c r="E469" s="651" t="s">
        <v>182</v>
      </c>
      <c r="F469" s="653">
        <v>0</v>
      </c>
      <c r="G469" s="651" t="s">
        <v>650</v>
      </c>
      <c r="H469" s="654"/>
      <c r="I469" s="655"/>
      <c r="J469" s="655"/>
      <c r="K469" s="653">
        <v>0</v>
      </c>
      <c r="L469" s="656">
        <v>0</v>
      </c>
    </row>
    <row r="470" spans="1:12" ht="42" x14ac:dyDescent="0.25">
      <c r="A470" s="651" t="s">
        <v>84</v>
      </c>
      <c r="B470" s="652">
        <v>2021</v>
      </c>
      <c r="C470" s="651" t="s">
        <v>721</v>
      </c>
      <c r="D470" s="651" t="s">
        <v>1058</v>
      </c>
      <c r="E470" s="651" t="s">
        <v>394</v>
      </c>
      <c r="F470" s="653">
        <v>0</v>
      </c>
      <c r="G470" s="651" t="s">
        <v>650</v>
      </c>
      <c r="H470" s="654"/>
      <c r="I470" s="655"/>
      <c r="J470" s="655"/>
      <c r="K470" s="653">
        <v>0</v>
      </c>
      <c r="L470" s="656">
        <v>0</v>
      </c>
    </row>
    <row r="471" spans="1:12" ht="42" x14ac:dyDescent="0.25">
      <c r="A471" s="651" t="s">
        <v>84</v>
      </c>
      <c r="B471" s="652">
        <v>2021</v>
      </c>
      <c r="C471" s="651" t="s">
        <v>721</v>
      </c>
      <c r="D471" s="651" t="s">
        <v>1059</v>
      </c>
      <c r="E471" s="651" t="s">
        <v>423</v>
      </c>
      <c r="F471" s="653">
        <v>0</v>
      </c>
      <c r="G471" s="651" t="s">
        <v>650</v>
      </c>
      <c r="H471" s="654"/>
      <c r="I471" s="655"/>
      <c r="J471" s="655"/>
      <c r="K471" s="653">
        <v>0</v>
      </c>
      <c r="L471" s="656">
        <v>0</v>
      </c>
    </row>
    <row r="472" spans="1:12" ht="42" x14ac:dyDescent="0.25">
      <c r="A472" s="651" t="s">
        <v>84</v>
      </c>
      <c r="B472" s="652">
        <v>2021</v>
      </c>
      <c r="C472" s="651" t="s">
        <v>721</v>
      </c>
      <c r="D472" s="651" t="s">
        <v>3080</v>
      </c>
      <c r="E472" s="651" t="s">
        <v>441</v>
      </c>
      <c r="F472" s="653">
        <v>0</v>
      </c>
      <c r="G472" s="651" t="s">
        <v>650</v>
      </c>
      <c r="H472" s="654"/>
      <c r="I472" s="655"/>
      <c r="J472" s="655"/>
      <c r="K472" s="653">
        <v>0</v>
      </c>
      <c r="L472" s="656">
        <v>0</v>
      </c>
    </row>
    <row r="473" spans="1:12" ht="42" x14ac:dyDescent="0.25">
      <c r="A473" s="651" t="s">
        <v>84</v>
      </c>
      <c r="B473" s="652">
        <v>2021</v>
      </c>
      <c r="C473" s="651" t="s">
        <v>721</v>
      </c>
      <c r="D473" s="651" t="s">
        <v>1060</v>
      </c>
      <c r="E473" s="651" t="s">
        <v>737</v>
      </c>
      <c r="F473" s="653">
        <v>54492.14</v>
      </c>
      <c r="G473" s="654"/>
      <c r="H473" s="654"/>
      <c r="I473" s="655"/>
      <c r="J473" s="655"/>
      <c r="K473" s="653">
        <v>0</v>
      </c>
      <c r="L473" s="656">
        <v>54492.14</v>
      </c>
    </row>
    <row r="474" spans="1:12" ht="21" x14ac:dyDescent="0.25">
      <c r="A474" s="651" t="s">
        <v>84</v>
      </c>
      <c r="B474" s="652">
        <v>2021</v>
      </c>
      <c r="C474" s="651" t="s">
        <v>738</v>
      </c>
      <c r="D474" s="651" t="s">
        <v>1061</v>
      </c>
      <c r="E474" s="651" t="s">
        <v>7</v>
      </c>
      <c r="F474" s="653">
        <v>0</v>
      </c>
      <c r="G474" s="654"/>
      <c r="H474" s="651" t="s">
        <v>650</v>
      </c>
      <c r="I474" s="655"/>
      <c r="J474" s="655"/>
      <c r="K474" s="653">
        <v>0</v>
      </c>
      <c r="L474" s="656">
        <v>0</v>
      </c>
    </row>
    <row r="475" spans="1:12" ht="21" x14ac:dyDescent="0.25">
      <c r="A475" s="651" t="s">
        <v>85</v>
      </c>
      <c r="B475" s="652">
        <v>2021</v>
      </c>
      <c r="C475" s="651" t="s">
        <v>647</v>
      </c>
      <c r="D475" s="651" t="s">
        <v>1062</v>
      </c>
      <c r="E475" s="651" t="s">
        <v>649</v>
      </c>
      <c r="F475" s="653">
        <v>-10480.370000000001</v>
      </c>
      <c r="G475" s="654"/>
      <c r="H475" s="651" t="s">
        <v>650</v>
      </c>
      <c r="I475" s="655"/>
      <c r="J475" s="655"/>
      <c r="K475" s="653">
        <v>0</v>
      </c>
      <c r="L475" s="656">
        <v>-10480.370000000001</v>
      </c>
    </row>
    <row r="476" spans="1:12" ht="14.5" x14ac:dyDescent="0.25">
      <c r="A476" s="651" t="s">
        <v>85</v>
      </c>
      <c r="B476" s="652">
        <v>2021</v>
      </c>
      <c r="C476" s="651" t="s">
        <v>651</v>
      </c>
      <c r="D476" s="651" t="s">
        <v>1063</v>
      </c>
      <c r="E476" s="651" t="s">
        <v>653</v>
      </c>
      <c r="F476" s="653">
        <v>0</v>
      </c>
      <c r="G476" s="654"/>
      <c r="H476" s="651" t="s">
        <v>650</v>
      </c>
      <c r="I476" s="655"/>
      <c r="J476" s="655"/>
      <c r="K476" s="653">
        <v>0</v>
      </c>
      <c r="L476" s="656">
        <v>0</v>
      </c>
    </row>
    <row r="477" spans="1:12" ht="42" x14ac:dyDescent="0.25">
      <c r="A477" s="651" t="s">
        <v>85</v>
      </c>
      <c r="B477" s="652">
        <v>2021</v>
      </c>
      <c r="C477" s="651" t="s">
        <v>654</v>
      </c>
      <c r="D477" s="651" t="s">
        <v>1064</v>
      </c>
      <c r="E477" s="651" t="s">
        <v>445</v>
      </c>
      <c r="F477" s="653">
        <v>0</v>
      </c>
      <c r="G477" s="654"/>
      <c r="H477" s="651" t="s">
        <v>650</v>
      </c>
      <c r="I477" s="655"/>
      <c r="J477" s="655"/>
      <c r="K477" s="653">
        <v>0</v>
      </c>
      <c r="L477" s="656">
        <v>0</v>
      </c>
    </row>
    <row r="478" spans="1:12" ht="21" x14ac:dyDescent="0.25">
      <c r="A478" s="651" t="s">
        <v>85</v>
      </c>
      <c r="B478" s="652">
        <v>2021</v>
      </c>
      <c r="C478" s="651" t="s">
        <v>656</v>
      </c>
      <c r="D478" s="651" t="s">
        <v>1065</v>
      </c>
      <c r="E478" s="651" t="s">
        <v>658</v>
      </c>
      <c r="F478" s="653">
        <v>0</v>
      </c>
      <c r="G478" s="654"/>
      <c r="H478" s="651" t="s">
        <v>650</v>
      </c>
      <c r="I478" s="655"/>
      <c r="J478" s="655"/>
      <c r="K478" s="653">
        <v>0</v>
      </c>
      <c r="L478" s="656">
        <v>0</v>
      </c>
    </row>
    <row r="479" spans="1:12" ht="31.5" x14ac:dyDescent="0.25">
      <c r="A479" s="651" t="s">
        <v>85</v>
      </c>
      <c r="B479" s="652">
        <v>2021</v>
      </c>
      <c r="C479" s="651" t="s">
        <v>659</v>
      </c>
      <c r="D479" s="651" t="s">
        <v>1066</v>
      </c>
      <c r="E479" s="651" t="s">
        <v>661</v>
      </c>
      <c r="F479" s="653">
        <v>0</v>
      </c>
      <c r="G479" s="654"/>
      <c r="H479" s="651" t="s">
        <v>650</v>
      </c>
      <c r="I479" s="655"/>
      <c r="J479" s="655"/>
      <c r="K479" s="653">
        <v>0</v>
      </c>
      <c r="L479" s="656">
        <v>0</v>
      </c>
    </row>
    <row r="480" spans="1:12" ht="21" x14ac:dyDescent="0.25">
      <c r="A480" s="651" t="s">
        <v>85</v>
      </c>
      <c r="B480" s="652">
        <v>2021</v>
      </c>
      <c r="C480" s="651" t="s">
        <v>662</v>
      </c>
      <c r="D480" s="651" t="s">
        <v>1067</v>
      </c>
      <c r="E480" s="651" t="s">
        <v>664</v>
      </c>
      <c r="F480" s="653">
        <v>0</v>
      </c>
      <c r="G480" s="654"/>
      <c r="H480" s="651" t="s">
        <v>650</v>
      </c>
      <c r="I480" s="655"/>
      <c r="J480" s="655"/>
      <c r="K480" s="653">
        <v>0</v>
      </c>
      <c r="L480" s="656">
        <v>0</v>
      </c>
    </row>
    <row r="481" spans="1:12" ht="31.5" x14ac:dyDescent="0.25">
      <c r="A481" s="651" t="s">
        <v>85</v>
      </c>
      <c r="B481" s="652">
        <v>2021</v>
      </c>
      <c r="C481" s="651" t="s">
        <v>665</v>
      </c>
      <c r="D481" s="651" t="s">
        <v>1068</v>
      </c>
      <c r="E481" s="651" t="s">
        <v>667</v>
      </c>
      <c r="F481" s="653">
        <v>0</v>
      </c>
      <c r="G481" s="654"/>
      <c r="H481" s="651" t="s">
        <v>650</v>
      </c>
      <c r="I481" s="655"/>
      <c r="J481" s="655"/>
      <c r="K481" s="653">
        <v>0</v>
      </c>
      <c r="L481" s="656">
        <v>0</v>
      </c>
    </row>
    <row r="482" spans="1:12" ht="21" x14ac:dyDescent="0.25">
      <c r="A482" s="651" t="s">
        <v>85</v>
      </c>
      <c r="B482" s="652">
        <v>2021</v>
      </c>
      <c r="C482" s="651" t="s">
        <v>668</v>
      </c>
      <c r="D482" s="651" t="s">
        <v>1069</v>
      </c>
      <c r="E482" s="651" t="s">
        <v>12</v>
      </c>
      <c r="F482" s="653">
        <v>0</v>
      </c>
      <c r="G482" s="654"/>
      <c r="H482" s="651" t="s">
        <v>650</v>
      </c>
      <c r="I482" s="655"/>
      <c r="J482" s="655"/>
      <c r="K482" s="653">
        <v>0</v>
      </c>
      <c r="L482" s="656">
        <v>0</v>
      </c>
    </row>
    <row r="483" spans="1:12" ht="21" x14ac:dyDescent="0.25">
      <c r="A483" s="651" t="s">
        <v>85</v>
      </c>
      <c r="B483" s="652">
        <v>2021</v>
      </c>
      <c r="C483" s="651" t="s">
        <v>670</v>
      </c>
      <c r="D483" s="651" t="s">
        <v>1070</v>
      </c>
      <c r="E483" s="651" t="s">
        <v>13</v>
      </c>
      <c r="F483" s="653">
        <v>0</v>
      </c>
      <c r="G483" s="654"/>
      <c r="H483" s="651" t="s">
        <v>650</v>
      </c>
      <c r="I483" s="655"/>
      <c r="J483" s="655"/>
      <c r="K483" s="653">
        <v>0</v>
      </c>
      <c r="L483" s="656">
        <v>0</v>
      </c>
    </row>
    <row r="484" spans="1:12" ht="21" x14ac:dyDescent="0.25">
      <c r="A484" s="651" t="s">
        <v>85</v>
      </c>
      <c r="B484" s="652">
        <v>2021</v>
      </c>
      <c r="C484" s="651" t="s">
        <v>672</v>
      </c>
      <c r="D484" s="651" t="s">
        <v>1071</v>
      </c>
      <c r="E484" s="651" t="s">
        <v>15</v>
      </c>
      <c r="F484" s="653">
        <v>0</v>
      </c>
      <c r="G484" s="654"/>
      <c r="H484" s="651" t="s">
        <v>650</v>
      </c>
      <c r="I484" s="655"/>
      <c r="J484" s="655"/>
      <c r="K484" s="653">
        <v>0</v>
      </c>
      <c r="L484" s="656">
        <v>0</v>
      </c>
    </row>
    <row r="485" spans="1:12" ht="14.5" x14ac:dyDescent="0.25">
      <c r="A485" s="651" t="s">
        <v>85</v>
      </c>
      <c r="B485" s="652">
        <v>2021</v>
      </c>
      <c r="C485" s="651" t="s">
        <v>674</v>
      </c>
      <c r="D485" s="651" t="s">
        <v>1072</v>
      </c>
      <c r="E485" s="651" t="s">
        <v>676</v>
      </c>
      <c r="F485" s="653">
        <v>0</v>
      </c>
      <c r="G485" s="654"/>
      <c r="H485" s="651" t="s">
        <v>650</v>
      </c>
      <c r="I485" s="655"/>
      <c r="J485" s="655"/>
      <c r="K485" s="653">
        <v>0</v>
      </c>
      <c r="L485" s="656">
        <v>0</v>
      </c>
    </row>
    <row r="486" spans="1:12" ht="14.5" x14ac:dyDescent="0.25">
      <c r="A486" s="651" t="s">
        <v>85</v>
      </c>
      <c r="B486" s="652">
        <v>2021</v>
      </c>
      <c r="C486" s="651" t="s">
        <v>677</v>
      </c>
      <c r="D486" s="651" t="s">
        <v>1073</v>
      </c>
      <c r="E486" s="651" t="s">
        <v>23</v>
      </c>
      <c r="F486" s="653">
        <v>28122.97</v>
      </c>
      <c r="G486" s="651" t="s">
        <v>650</v>
      </c>
      <c r="H486" s="654"/>
      <c r="I486" s="653">
        <v>27402.19921875</v>
      </c>
      <c r="J486" s="653">
        <v>720.77001953125</v>
      </c>
      <c r="K486" s="653">
        <v>28122.970703125</v>
      </c>
      <c r="L486" s="656">
        <v>28122.97</v>
      </c>
    </row>
    <row r="487" spans="1:12" ht="31.5" x14ac:dyDescent="0.25">
      <c r="A487" s="651" t="s">
        <v>85</v>
      </c>
      <c r="B487" s="652">
        <v>2021</v>
      </c>
      <c r="C487" s="651" t="s">
        <v>679</v>
      </c>
      <c r="D487" s="651" t="s">
        <v>1074</v>
      </c>
      <c r="E487" s="651" t="s">
        <v>131</v>
      </c>
      <c r="F487" s="653">
        <v>-3800.81</v>
      </c>
      <c r="G487" s="651" t="s">
        <v>650</v>
      </c>
      <c r="H487" s="654"/>
      <c r="I487" s="653">
        <v>-3706.169921875</v>
      </c>
      <c r="J487" s="653">
        <v>-94.639999389648395</v>
      </c>
      <c r="K487" s="653">
        <v>-3800.81005859375</v>
      </c>
      <c r="L487" s="656">
        <v>-3800.81</v>
      </c>
    </row>
    <row r="488" spans="1:12" ht="31.5" x14ac:dyDescent="0.25">
      <c r="A488" s="651" t="s">
        <v>85</v>
      </c>
      <c r="B488" s="652">
        <v>2021</v>
      </c>
      <c r="C488" s="651" t="s">
        <v>681</v>
      </c>
      <c r="D488" s="651" t="s">
        <v>1075</v>
      </c>
      <c r="E488" s="651" t="s">
        <v>683</v>
      </c>
      <c r="F488" s="653">
        <v>0</v>
      </c>
      <c r="G488" s="654"/>
      <c r="H488" s="651" t="s">
        <v>650</v>
      </c>
      <c r="I488" s="655"/>
      <c r="J488" s="655"/>
      <c r="K488" s="653">
        <v>0</v>
      </c>
      <c r="L488" s="656">
        <v>0</v>
      </c>
    </row>
    <row r="489" spans="1:12" ht="21" x14ac:dyDescent="0.25">
      <c r="A489" s="651" t="s">
        <v>85</v>
      </c>
      <c r="B489" s="652">
        <v>2021</v>
      </c>
      <c r="C489" s="651" t="s">
        <v>681</v>
      </c>
      <c r="D489" s="651" t="s">
        <v>1075</v>
      </c>
      <c r="E489" s="651" t="s">
        <v>684</v>
      </c>
      <c r="F489" s="653">
        <v>0</v>
      </c>
      <c r="G489" s="654"/>
      <c r="H489" s="651" t="s">
        <v>650</v>
      </c>
      <c r="I489" s="655"/>
      <c r="J489" s="655"/>
      <c r="K489" s="653">
        <v>0</v>
      </c>
      <c r="L489" s="656">
        <v>0</v>
      </c>
    </row>
    <row r="490" spans="1:12" ht="21" x14ac:dyDescent="0.25">
      <c r="A490" s="651" t="s">
        <v>85</v>
      </c>
      <c r="B490" s="652">
        <v>2021</v>
      </c>
      <c r="C490" s="651" t="s">
        <v>685</v>
      </c>
      <c r="D490" s="651" t="s">
        <v>1076</v>
      </c>
      <c r="E490" s="651" t="s">
        <v>687</v>
      </c>
      <c r="F490" s="653">
        <v>0</v>
      </c>
      <c r="G490" s="654"/>
      <c r="H490" s="651" t="s">
        <v>650</v>
      </c>
      <c r="I490" s="655"/>
      <c r="J490" s="655"/>
      <c r="K490" s="653">
        <v>0</v>
      </c>
      <c r="L490" s="656">
        <v>0</v>
      </c>
    </row>
    <row r="491" spans="1:12" ht="14.5" x14ac:dyDescent="0.25">
      <c r="A491" s="651" t="s">
        <v>85</v>
      </c>
      <c r="B491" s="652">
        <v>2021</v>
      </c>
      <c r="C491" s="651" t="s">
        <v>688</v>
      </c>
      <c r="D491" s="651" t="s">
        <v>1077</v>
      </c>
      <c r="E491" s="651" t="s">
        <v>50</v>
      </c>
      <c r="F491" s="653">
        <v>-742.56</v>
      </c>
      <c r="G491" s="654"/>
      <c r="H491" s="651" t="s">
        <v>650</v>
      </c>
      <c r="I491" s="655"/>
      <c r="J491" s="655"/>
      <c r="K491" s="653">
        <v>0</v>
      </c>
      <c r="L491" s="656">
        <v>-742.56</v>
      </c>
    </row>
    <row r="492" spans="1:12" ht="21" x14ac:dyDescent="0.25">
      <c r="A492" s="651" t="s">
        <v>85</v>
      </c>
      <c r="B492" s="652">
        <v>2021</v>
      </c>
      <c r="C492" s="651" t="s">
        <v>690</v>
      </c>
      <c r="D492" s="651" t="s">
        <v>1078</v>
      </c>
      <c r="E492" s="651" t="s">
        <v>692</v>
      </c>
      <c r="F492" s="653">
        <v>0</v>
      </c>
      <c r="G492" s="654"/>
      <c r="H492" s="651" t="s">
        <v>650</v>
      </c>
      <c r="I492" s="655"/>
      <c r="J492" s="655"/>
      <c r="K492" s="653">
        <v>0</v>
      </c>
      <c r="L492" s="656">
        <v>0</v>
      </c>
    </row>
    <row r="493" spans="1:12" ht="21" x14ac:dyDescent="0.25">
      <c r="A493" s="651" t="s">
        <v>85</v>
      </c>
      <c r="B493" s="652">
        <v>2021</v>
      </c>
      <c r="C493" s="651" t="s">
        <v>693</v>
      </c>
      <c r="D493" s="651" t="s">
        <v>1079</v>
      </c>
      <c r="E493" s="651" t="s">
        <v>6</v>
      </c>
      <c r="F493" s="653">
        <v>0</v>
      </c>
      <c r="G493" s="654"/>
      <c r="H493" s="651" t="s">
        <v>650</v>
      </c>
      <c r="I493" s="655"/>
      <c r="J493" s="655"/>
      <c r="K493" s="653">
        <v>0</v>
      </c>
      <c r="L493" s="656">
        <v>0</v>
      </c>
    </row>
    <row r="494" spans="1:12" ht="31.5" x14ac:dyDescent="0.25">
      <c r="A494" s="651" t="s">
        <v>85</v>
      </c>
      <c r="B494" s="652">
        <v>2021</v>
      </c>
      <c r="C494" s="651" t="s">
        <v>695</v>
      </c>
      <c r="D494" s="651" t="s">
        <v>1080</v>
      </c>
      <c r="E494" s="651" t="s">
        <v>697</v>
      </c>
      <c r="F494" s="653">
        <v>0</v>
      </c>
      <c r="G494" s="654"/>
      <c r="H494" s="651" t="s">
        <v>650</v>
      </c>
      <c r="I494" s="655"/>
      <c r="J494" s="655"/>
      <c r="K494" s="653">
        <v>0</v>
      </c>
      <c r="L494" s="656">
        <v>0</v>
      </c>
    </row>
    <row r="495" spans="1:12" ht="21" x14ac:dyDescent="0.25">
      <c r="A495" s="651" t="s">
        <v>85</v>
      </c>
      <c r="B495" s="652">
        <v>2021</v>
      </c>
      <c r="C495" s="651" t="s">
        <v>698</v>
      </c>
      <c r="D495" s="651" t="s">
        <v>1081</v>
      </c>
      <c r="E495" s="651" t="s">
        <v>700</v>
      </c>
      <c r="F495" s="653">
        <v>0</v>
      </c>
      <c r="G495" s="654"/>
      <c r="H495" s="651" t="s">
        <v>650</v>
      </c>
      <c r="I495" s="655"/>
      <c r="J495" s="655"/>
      <c r="K495" s="653">
        <v>0</v>
      </c>
      <c r="L495" s="656">
        <v>0</v>
      </c>
    </row>
    <row r="496" spans="1:12" ht="21" x14ac:dyDescent="0.25">
      <c r="A496" s="651" t="s">
        <v>85</v>
      </c>
      <c r="B496" s="652">
        <v>2021</v>
      </c>
      <c r="C496" s="651" t="s">
        <v>701</v>
      </c>
      <c r="D496" s="651" t="s">
        <v>1082</v>
      </c>
      <c r="E496" s="651" t="s">
        <v>1</v>
      </c>
      <c r="F496" s="653">
        <v>-31701.54</v>
      </c>
      <c r="G496" s="651" t="s">
        <v>650</v>
      </c>
      <c r="H496" s="654"/>
      <c r="I496" s="653">
        <v>-32240.669921875</v>
      </c>
      <c r="J496" s="653">
        <v>539.13000488281295</v>
      </c>
      <c r="K496" s="653">
        <v>-31701.5390625</v>
      </c>
      <c r="L496" s="656">
        <v>-31701.54</v>
      </c>
    </row>
    <row r="497" spans="1:12" ht="21" x14ac:dyDescent="0.25">
      <c r="A497" s="651" t="s">
        <v>85</v>
      </c>
      <c r="B497" s="652">
        <v>2021</v>
      </c>
      <c r="C497" s="651" t="s">
        <v>701</v>
      </c>
      <c r="D497" s="651" t="s">
        <v>1082</v>
      </c>
      <c r="E497" s="651" t="s">
        <v>703</v>
      </c>
      <c r="F497" s="653">
        <v>0</v>
      </c>
      <c r="G497" s="654"/>
      <c r="H497" s="654"/>
      <c r="I497" s="655"/>
      <c r="J497" s="655"/>
      <c r="K497" s="653">
        <v>0</v>
      </c>
      <c r="L497" s="656">
        <v>0</v>
      </c>
    </row>
    <row r="498" spans="1:12" ht="21" x14ac:dyDescent="0.25">
      <c r="A498" s="651" t="s">
        <v>85</v>
      </c>
      <c r="B498" s="652">
        <v>2021</v>
      </c>
      <c r="C498" s="651" t="s">
        <v>701</v>
      </c>
      <c r="D498" s="651" t="s">
        <v>1082</v>
      </c>
      <c r="E498" s="651" t="s">
        <v>704</v>
      </c>
      <c r="F498" s="653">
        <v>0</v>
      </c>
      <c r="G498" s="654"/>
      <c r="H498" s="654"/>
      <c r="I498" s="655"/>
      <c r="J498" s="655"/>
      <c r="K498" s="653">
        <v>0</v>
      </c>
      <c r="L498" s="656">
        <v>0</v>
      </c>
    </row>
    <row r="499" spans="1:12" ht="21" x14ac:dyDescent="0.25">
      <c r="A499" s="651" t="s">
        <v>85</v>
      </c>
      <c r="B499" s="652">
        <v>2021</v>
      </c>
      <c r="C499" s="651" t="s">
        <v>701</v>
      </c>
      <c r="D499" s="651" t="s">
        <v>1082</v>
      </c>
      <c r="E499" s="651" t="s">
        <v>705</v>
      </c>
      <c r="F499" s="653">
        <v>253.17</v>
      </c>
      <c r="G499" s="654"/>
      <c r="H499" s="654"/>
      <c r="I499" s="655"/>
      <c r="J499" s="655"/>
      <c r="K499" s="653">
        <v>0</v>
      </c>
      <c r="L499" s="656">
        <v>253.17</v>
      </c>
    </row>
    <row r="500" spans="1:12" ht="21" x14ac:dyDescent="0.25">
      <c r="A500" s="651" t="s">
        <v>85</v>
      </c>
      <c r="B500" s="652">
        <v>2021</v>
      </c>
      <c r="C500" s="651" t="s">
        <v>701</v>
      </c>
      <c r="D500" s="651" t="s">
        <v>1082</v>
      </c>
      <c r="E500" s="651" t="s">
        <v>706</v>
      </c>
      <c r="F500" s="653">
        <v>292.62</v>
      </c>
      <c r="G500" s="654"/>
      <c r="H500" s="654"/>
      <c r="I500" s="655"/>
      <c r="J500" s="655"/>
      <c r="K500" s="653">
        <v>0</v>
      </c>
      <c r="L500" s="656">
        <v>292.62</v>
      </c>
    </row>
    <row r="501" spans="1:12" ht="14.5" x14ac:dyDescent="0.25">
      <c r="A501" s="651" t="s">
        <v>85</v>
      </c>
      <c r="B501" s="652">
        <v>2021</v>
      </c>
      <c r="C501" s="651" t="s">
        <v>707</v>
      </c>
      <c r="D501" s="651" t="s">
        <v>1083</v>
      </c>
      <c r="E501" s="651" t="s">
        <v>709</v>
      </c>
      <c r="F501" s="653">
        <v>0</v>
      </c>
      <c r="G501" s="654"/>
      <c r="H501" s="651" t="s">
        <v>650</v>
      </c>
      <c r="I501" s="655"/>
      <c r="J501" s="655"/>
      <c r="K501" s="653">
        <v>0</v>
      </c>
      <c r="L501" s="656">
        <v>0</v>
      </c>
    </row>
    <row r="502" spans="1:12" ht="31.5" x14ac:dyDescent="0.25">
      <c r="A502" s="651" t="s">
        <v>85</v>
      </c>
      <c r="B502" s="652">
        <v>2021</v>
      </c>
      <c r="C502" s="651" t="s">
        <v>710</v>
      </c>
      <c r="D502" s="651" t="s">
        <v>1084</v>
      </c>
      <c r="E502" s="651" t="s">
        <v>2</v>
      </c>
      <c r="F502" s="653">
        <v>-15349.81</v>
      </c>
      <c r="G502" s="651" t="s">
        <v>650</v>
      </c>
      <c r="H502" s="654"/>
      <c r="I502" s="653">
        <v>-14693.400390625</v>
      </c>
      <c r="J502" s="653">
        <v>-656.40997314453102</v>
      </c>
      <c r="K502" s="653">
        <v>-15349.8095703125</v>
      </c>
      <c r="L502" s="656">
        <v>-15349.81</v>
      </c>
    </row>
    <row r="503" spans="1:12" ht="31.5" x14ac:dyDescent="0.25">
      <c r="A503" s="651" t="s">
        <v>85</v>
      </c>
      <c r="B503" s="652">
        <v>2021</v>
      </c>
      <c r="C503" s="651" t="s">
        <v>712</v>
      </c>
      <c r="D503" s="651" t="s">
        <v>1085</v>
      </c>
      <c r="E503" s="651" t="s">
        <v>3</v>
      </c>
      <c r="F503" s="653">
        <v>-2996.27</v>
      </c>
      <c r="G503" s="651" t="s">
        <v>650</v>
      </c>
      <c r="H503" s="654"/>
      <c r="I503" s="653">
        <v>-2694.3701171875</v>
      </c>
      <c r="J503" s="653">
        <v>-301.89999389648398</v>
      </c>
      <c r="K503" s="653">
        <v>-2996.27001953125</v>
      </c>
      <c r="L503" s="656">
        <v>-2996.27</v>
      </c>
    </row>
    <row r="504" spans="1:12" ht="31.5" x14ac:dyDescent="0.25">
      <c r="A504" s="651" t="s">
        <v>85</v>
      </c>
      <c r="B504" s="652">
        <v>2021</v>
      </c>
      <c r="C504" s="651" t="s">
        <v>714</v>
      </c>
      <c r="D504" s="651" t="s">
        <v>1086</v>
      </c>
      <c r="E504" s="651" t="s">
        <v>38</v>
      </c>
      <c r="F504" s="653">
        <v>-220345.3</v>
      </c>
      <c r="G504" s="651" t="s">
        <v>650</v>
      </c>
      <c r="H504" s="654"/>
      <c r="I504" s="653">
        <v>-217828.21875</v>
      </c>
      <c r="J504" s="653">
        <v>-2517.080078125</v>
      </c>
      <c r="K504" s="653">
        <v>-220345.296875</v>
      </c>
      <c r="L504" s="656">
        <v>-220345.3</v>
      </c>
    </row>
    <row r="505" spans="1:12" ht="21" x14ac:dyDescent="0.25">
      <c r="A505" s="651" t="s">
        <v>85</v>
      </c>
      <c r="B505" s="652">
        <v>2021</v>
      </c>
      <c r="C505" s="651" t="s">
        <v>716</v>
      </c>
      <c r="D505" s="651" t="s">
        <v>1087</v>
      </c>
      <c r="E505" s="651" t="s">
        <v>66</v>
      </c>
      <c r="F505" s="653">
        <v>17799.38</v>
      </c>
      <c r="G505" s="651" t="s">
        <v>650</v>
      </c>
      <c r="H505" s="654"/>
      <c r="I505" s="653">
        <v>17617.169921875</v>
      </c>
      <c r="J505" s="653">
        <v>182.21000671386699</v>
      </c>
      <c r="K505" s="653">
        <v>17799.380859375</v>
      </c>
      <c r="L505" s="656">
        <v>17799.38</v>
      </c>
    </row>
    <row r="506" spans="1:12" ht="31.5" x14ac:dyDescent="0.25">
      <c r="A506" s="651" t="s">
        <v>85</v>
      </c>
      <c r="B506" s="652">
        <v>2021</v>
      </c>
      <c r="C506" s="651" t="s">
        <v>718</v>
      </c>
      <c r="D506" s="651" t="s">
        <v>1088</v>
      </c>
      <c r="E506" s="651" t="s">
        <v>720</v>
      </c>
      <c r="F506" s="653">
        <v>70528.44</v>
      </c>
      <c r="G506" s="654"/>
      <c r="H506" s="651" t="s">
        <v>650</v>
      </c>
      <c r="I506" s="655"/>
      <c r="J506" s="655"/>
      <c r="K506" s="653">
        <v>0</v>
      </c>
      <c r="L506" s="656">
        <v>70528.44</v>
      </c>
    </row>
    <row r="507" spans="1:12" ht="42" x14ac:dyDescent="0.25">
      <c r="A507" s="651" t="s">
        <v>85</v>
      </c>
      <c r="B507" s="652">
        <v>2021</v>
      </c>
      <c r="C507" s="651" t="s">
        <v>721</v>
      </c>
      <c r="D507" s="651" t="s">
        <v>1089</v>
      </c>
      <c r="E507" s="651" t="s">
        <v>3016</v>
      </c>
      <c r="F507" s="653">
        <v>0</v>
      </c>
      <c r="G507" s="651" t="s">
        <v>650</v>
      </c>
      <c r="H507" s="654"/>
      <c r="I507" s="655"/>
      <c r="J507" s="655"/>
      <c r="K507" s="653">
        <v>0</v>
      </c>
      <c r="L507" s="656">
        <v>0</v>
      </c>
    </row>
    <row r="508" spans="1:12" ht="42" x14ac:dyDescent="0.25">
      <c r="A508" s="651" t="s">
        <v>85</v>
      </c>
      <c r="B508" s="652">
        <v>2021</v>
      </c>
      <c r="C508" s="651" t="s">
        <v>721</v>
      </c>
      <c r="D508" s="651" t="s">
        <v>1089</v>
      </c>
      <c r="E508" s="651" t="s">
        <v>3058</v>
      </c>
      <c r="F508" s="653">
        <v>0</v>
      </c>
      <c r="G508" s="651" t="s">
        <v>650</v>
      </c>
      <c r="H508" s="654"/>
      <c r="I508" s="655"/>
      <c r="J508" s="655"/>
      <c r="K508" s="653">
        <v>0</v>
      </c>
      <c r="L508" s="656">
        <v>0</v>
      </c>
    </row>
    <row r="509" spans="1:12" ht="42" x14ac:dyDescent="0.25">
      <c r="A509" s="651" t="s">
        <v>85</v>
      </c>
      <c r="B509" s="652">
        <v>2021</v>
      </c>
      <c r="C509" s="651" t="s">
        <v>721</v>
      </c>
      <c r="D509" s="651" t="s">
        <v>1090</v>
      </c>
      <c r="E509" s="651" t="s">
        <v>724</v>
      </c>
      <c r="F509" s="653">
        <v>0</v>
      </c>
      <c r="G509" s="651" t="s">
        <v>650</v>
      </c>
      <c r="H509" s="654"/>
      <c r="I509" s="655"/>
      <c r="J509" s="655"/>
      <c r="K509" s="653">
        <v>0</v>
      </c>
      <c r="L509" s="656">
        <v>0</v>
      </c>
    </row>
    <row r="510" spans="1:12" ht="42" x14ac:dyDescent="0.25">
      <c r="A510" s="651" t="s">
        <v>85</v>
      </c>
      <c r="B510" s="652">
        <v>2021</v>
      </c>
      <c r="C510" s="651" t="s">
        <v>721</v>
      </c>
      <c r="D510" s="651" t="s">
        <v>1091</v>
      </c>
      <c r="E510" s="651" t="s">
        <v>55</v>
      </c>
      <c r="F510" s="653">
        <v>0</v>
      </c>
      <c r="G510" s="651" t="s">
        <v>650</v>
      </c>
      <c r="H510" s="654"/>
      <c r="I510" s="655"/>
      <c r="J510" s="655"/>
      <c r="K510" s="653">
        <v>0</v>
      </c>
      <c r="L510" s="656">
        <v>0</v>
      </c>
    </row>
    <row r="511" spans="1:12" ht="42" x14ac:dyDescent="0.25">
      <c r="A511" s="651" t="s">
        <v>85</v>
      </c>
      <c r="B511" s="652">
        <v>2021</v>
      </c>
      <c r="C511" s="651" t="s">
        <v>721</v>
      </c>
      <c r="D511" s="651" t="s">
        <v>1092</v>
      </c>
      <c r="E511" s="651" t="s">
        <v>56</v>
      </c>
      <c r="F511" s="653">
        <v>0</v>
      </c>
      <c r="G511" s="651" t="s">
        <v>650</v>
      </c>
      <c r="H511" s="654"/>
      <c r="I511" s="655"/>
      <c r="J511" s="655"/>
      <c r="K511" s="653">
        <v>0</v>
      </c>
      <c r="L511" s="656">
        <v>0</v>
      </c>
    </row>
    <row r="512" spans="1:12" ht="42" x14ac:dyDescent="0.25">
      <c r="A512" s="651" t="s">
        <v>85</v>
      </c>
      <c r="B512" s="652">
        <v>2021</v>
      </c>
      <c r="C512" s="651" t="s">
        <v>721</v>
      </c>
      <c r="D512" s="651" t="s">
        <v>1093</v>
      </c>
      <c r="E512" s="651" t="s">
        <v>728</v>
      </c>
      <c r="F512" s="653">
        <v>0</v>
      </c>
      <c r="G512" s="651" t="s">
        <v>650</v>
      </c>
      <c r="H512" s="654"/>
      <c r="I512" s="655"/>
      <c r="J512" s="655"/>
      <c r="K512" s="653">
        <v>0</v>
      </c>
      <c r="L512" s="656">
        <v>0</v>
      </c>
    </row>
    <row r="513" spans="1:12" ht="42" x14ac:dyDescent="0.25">
      <c r="A513" s="651" t="s">
        <v>85</v>
      </c>
      <c r="B513" s="652">
        <v>2021</v>
      </c>
      <c r="C513" s="651" t="s">
        <v>721</v>
      </c>
      <c r="D513" s="651" t="s">
        <v>1094</v>
      </c>
      <c r="E513" s="651" t="s">
        <v>730</v>
      </c>
      <c r="F513" s="653">
        <v>0</v>
      </c>
      <c r="G513" s="651" t="s">
        <v>650</v>
      </c>
      <c r="H513" s="654"/>
      <c r="I513" s="655"/>
      <c r="J513" s="655"/>
      <c r="K513" s="653">
        <v>0</v>
      </c>
      <c r="L513" s="656">
        <v>0</v>
      </c>
    </row>
    <row r="514" spans="1:12" ht="42" x14ac:dyDescent="0.25">
      <c r="A514" s="651" t="s">
        <v>85</v>
      </c>
      <c r="B514" s="652">
        <v>2021</v>
      </c>
      <c r="C514" s="651" t="s">
        <v>721</v>
      </c>
      <c r="D514" s="651" t="s">
        <v>1095</v>
      </c>
      <c r="E514" s="651" t="s">
        <v>142</v>
      </c>
      <c r="F514" s="653">
        <v>0</v>
      </c>
      <c r="G514" s="651" t="s">
        <v>650</v>
      </c>
      <c r="H514" s="654"/>
      <c r="I514" s="655"/>
      <c r="J514" s="655"/>
      <c r="K514" s="653">
        <v>0</v>
      </c>
      <c r="L514" s="656">
        <v>0</v>
      </c>
    </row>
    <row r="515" spans="1:12" ht="42" x14ac:dyDescent="0.25">
      <c r="A515" s="651" t="s">
        <v>85</v>
      </c>
      <c r="B515" s="652">
        <v>2021</v>
      </c>
      <c r="C515" s="651" t="s">
        <v>721</v>
      </c>
      <c r="D515" s="651" t="s">
        <v>1096</v>
      </c>
      <c r="E515" s="651" t="s">
        <v>143</v>
      </c>
      <c r="F515" s="653">
        <v>0</v>
      </c>
      <c r="G515" s="651" t="s">
        <v>650</v>
      </c>
      <c r="H515" s="654"/>
      <c r="I515" s="655"/>
      <c r="J515" s="655"/>
      <c r="K515" s="653">
        <v>0</v>
      </c>
      <c r="L515" s="656">
        <v>0</v>
      </c>
    </row>
    <row r="516" spans="1:12" ht="42" x14ac:dyDescent="0.25">
      <c r="A516" s="651" t="s">
        <v>85</v>
      </c>
      <c r="B516" s="652">
        <v>2021</v>
      </c>
      <c r="C516" s="651" t="s">
        <v>721</v>
      </c>
      <c r="D516" s="651" t="s">
        <v>1097</v>
      </c>
      <c r="E516" s="651" t="s">
        <v>182</v>
      </c>
      <c r="F516" s="653">
        <v>0</v>
      </c>
      <c r="G516" s="651" t="s">
        <v>650</v>
      </c>
      <c r="H516" s="654"/>
      <c r="I516" s="655"/>
      <c r="J516" s="655"/>
      <c r="K516" s="653">
        <v>0</v>
      </c>
      <c r="L516" s="656">
        <v>0</v>
      </c>
    </row>
    <row r="517" spans="1:12" ht="42" x14ac:dyDescent="0.25">
      <c r="A517" s="651" t="s">
        <v>85</v>
      </c>
      <c r="B517" s="652">
        <v>2021</v>
      </c>
      <c r="C517" s="651" t="s">
        <v>721</v>
      </c>
      <c r="D517" s="651" t="s">
        <v>1098</v>
      </c>
      <c r="E517" s="651" t="s">
        <v>394</v>
      </c>
      <c r="F517" s="653">
        <v>0</v>
      </c>
      <c r="G517" s="651" t="s">
        <v>650</v>
      </c>
      <c r="H517" s="654"/>
      <c r="I517" s="653">
        <v>5894.5400390625</v>
      </c>
      <c r="J517" s="653">
        <v>4837.68994140625</v>
      </c>
      <c r="K517" s="653">
        <v>10732.23046875</v>
      </c>
      <c r="L517" s="656">
        <v>10732.23</v>
      </c>
    </row>
    <row r="518" spans="1:12" ht="42" x14ac:dyDescent="0.25">
      <c r="A518" s="651" t="s">
        <v>85</v>
      </c>
      <c r="B518" s="652">
        <v>2021</v>
      </c>
      <c r="C518" s="651" t="s">
        <v>721</v>
      </c>
      <c r="D518" s="651" t="s">
        <v>1099</v>
      </c>
      <c r="E518" s="651" t="s">
        <v>423</v>
      </c>
      <c r="F518" s="653">
        <v>0</v>
      </c>
      <c r="G518" s="651" t="s">
        <v>650</v>
      </c>
      <c r="H518" s="654"/>
      <c r="I518" s="653">
        <v>-760.04998779296898</v>
      </c>
      <c r="J518" s="653">
        <v>614.10998535156295</v>
      </c>
      <c r="K518" s="653">
        <v>-145.94000244140599</v>
      </c>
      <c r="L518" s="656">
        <v>-145.94</v>
      </c>
    </row>
    <row r="519" spans="1:12" ht="42" x14ac:dyDescent="0.25">
      <c r="A519" s="651" t="s">
        <v>85</v>
      </c>
      <c r="B519" s="652">
        <v>2021</v>
      </c>
      <c r="C519" s="651" t="s">
        <v>721</v>
      </c>
      <c r="D519" s="651" t="s">
        <v>3081</v>
      </c>
      <c r="E519" s="651" t="s">
        <v>441</v>
      </c>
      <c r="F519" s="653">
        <v>0</v>
      </c>
      <c r="G519" s="651" t="s">
        <v>650</v>
      </c>
      <c r="H519" s="654"/>
      <c r="I519" s="655"/>
      <c r="J519" s="655"/>
      <c r="K519" s="653">
        <v>0</v>
      </c>
      <c r="L519" s="656">
        <v>0</v>
      </c>
    </row>
    <row r="520" spans="1:12" ht="42" x14ac:dyDescent="0.25">
      <c r="A520" s="651" t="s">
        <v>85</v>
      </c>
      <c r="B520" s="652">
        <v>2021</v>
      </c>
      <c r="C520" s="651" t="s">
        <v>721</v>
      </c>
      <c r="D520" s="651" t="s">
        <v>1100</v>
      </c>
      <c r="E520" s="651" t="s">
        <v>737</v>
      </c>
      <c r="F520" s="653">
        <v>10586.29</v>
      </c>
      <c r="G520" s="654"/>
      <c r="H520" s="654"/>
      <c r="I520" s="655"/>
      <c r="J520" s="655"/>
      <c r="K520" s="653">
        <v>0</v>
      </c>
      <c r="L520" s="656">
        <v>10586.29</v>
      </c>
    </row>
    <row r="521" spans="1:12" ht="14.5" x14ac:dyDescent="0.25">
      <c r="A521" s="651" t="s">
        <v>85</v>
      </c>
      <c r="B521" s="652">
        <v>2021</v>
      </c>
      <c r="C521" s="651" t="s">
        <v>738</v>
      </c>
      <c r="D521" s="651" t="s">
        <v>1101</v>
      </c>
      <c r="E521" s="651" t="s">
        <v>7</v>
      </c>
      <c r="F521" s="653">
        <v>0</v>
      </c>
      <c r="G521" s="654"/>
      <c r="H521" s="651" t="s">
        <v>650</v>
      </c>
      <c r="I521" s="655"/>
      <c r="J521" s="655"/>
      <c r="K521" s="653">
        <v>0</v>
      </c>
      <c r="L521" s="656">
        <v>0</v>
      </c>
    </row>
    <row r="522" spans="1:12" ht="21" x14ac:dyDescent="0.25">
      <c r="A522" s="651" t="s">
        <v>3379</v>
      </c>
      <c r="B522" s="652">
        <v>2021</v>
      </c>
      <c r="C522" s="651" t="s">
        <v>647</v>
      </c>
      <c r="D522" s="651" t="s">
        <v>3380</v>
      </c>
      <c r="E522" s="651" t="s">
        <v>649</v>
      </c>
      <c r="F522" s="653">
        <v>0</v>
      </c>
      <c r="G522" s="654"/>
      <c r="H522" s="651" t="s">
        <v>650</v>
      </c>
      <c r="I522" s="655"/>
      <c r="J522" s="655"/>
      <c r="K522" s="653">
        <v>0</v>
      </c>
      <c r="L522" s="656">
        <v>0</v>
      </c>
    </row>
    <row r="523" spans="1:12" ht="21" x14ac:dyDescent="0.25">
      <c r="A523" s="651" t="s">
        <v>3379</v>
      </c>
      <c r="B523" s="652">
        <v>2021</v>
      </c>
      <c r="C523" s="651" t="s">
        <v>651</v>
      </c>
      <c r="D523" s="651" t="s">
        <v>3381</v>
      </c>
      <c r="E523" s="651" t="s">
        <v>653</v>
      </c>
      <c r="F523" s="653">
        <v>0</v>
      </c>
      <c r="G523" s="654"/>
      <c r="H523" s="651" t="s">
        <v>650</v>
      </c>
      <c r="I523" s="655"/>
      <c r="J523" s="655"/>
      <c r="K523" s="653">
        <v>0</v>
      </c>
      <c r="L523" s="656">
        <v>0</v>
      </c>
    </row>
    <row r="524" spans="1:12" ht="42" x14ac:dyDescent="0.25">
      <c r="A524" s="651" t="s">
        <v>3379</v>
      </c>
      <c r="B524" s="652">
        <v>2021</v>
      </c>
      <c r="C524" s="651" t="s">
        <v>654</v>
      </c>
      <c r="D524" s="651" t="s">
        <v>3382</v>
      </c>
      <c r="E524" s="651" t="s">
        <v>445</v>
      </c>
      <c r="F524" s="653">
        <v>0</v>
      </c>
      <c r="G524" s="654"/>
      <c r="H524" s="651" t="s">
        <v>650</v>
      </c>
      <c r="I524" s="655"/>
      <c r="J524" s="655"/>
      <c r="K524" s="653">
        <v>0</v>
      </c>
      <c r="L524" s="656">
        <v>0</v>
      </c>
    </row>
    <row r="525" spans="1:12" ht="21" x14ac:dyDescent="0.25">
      <c r="A525" s="651" t="s">
        <v>3379</v>
      </c>
      <c r="B525" s="652">
        <v>2021</v>
      </c>
      <c r="C525" s="651" t="s">
        <v>656</v>
      </c>
      <c r="D525" s="651" t="s">
        <v>3383</v>
      </c>
      <c r="E525" s="651" t="s">
        <v>658</v>
      </c>
      <c r="F525" s="653">
        <v>0</v>
      </c>
      <c r="G525" s="654"/>
      <c r="H525" s="651" t="s">
        <v>650</v>
      </c>
      <c r="I525" s="655"/>
      <c r="J525" s="655"/>
      <c r="K525" s="653">
        <v>0</v>
      </c>
      <c r="L525" s="656">
        <v>0</v>
      </c>
    </row>
    <row r="526" spans="1:12" ht="31.5" x14ac:dyDescent="0.25">
      <c r="A526" s="651" t="s">
        <v>3379</v>
      </c>
      <c r="B526" s="652">
        <v>2021</v>
      </c>
      <c r="C526" s="651" t="s">
        <v>659</v>
      </c>
      <c r="D526" s="651" t="s">
        <v>3384</v>
      </c>
      <c r="E526" s="651" t="s">
        <v>661</v>
      </c>
      <c r="F526" s="653">
        <v>0</v>
      </c>
      <c r="G526" s="654"/>
      <c r="H526" s="651" t="s">
        <v>650</v>
      </c>
      <c r="I526" s="655"/>
      <c r="J526" s="655"/>
      <c r="K526" s="653">
        <v>0</v>
      </c>
      <c r="L526" s="656">
        <v>0</v>
      </c>
    </row>
    <row r="527" spans="1:12" ht="21" x14ac:dyDescent="0.25">
      <c r="A527" s="651" t="s">
        <v>3379</v>
      </c>
      <c r="B527" s="652">
        <v>2021</v>
      </c>
      <c r="C527" s="651" t="s">
        <v>662</v>
      </c>
      <c r="D527" s="651" t="s">
        <v>3385</v>
      </c>
      <c r="E527" s="651" t="s">
        <v>664</v>
      </c>
      <c r="F527" s="653">
        <v>0</v>
      </c>
      <c r="G527" s="654"/>
      <c r="H527" s="651" t="s">
        <v>650</v>
      </c>
      <c r="I527" s="655"/>
      <c r="J527" s="655"/>
      <c r="K527" s="653">
        <v>0</v>
      </c>
      <c r="L527" s="656">
        <v>0</v>
      </c>
    </row>
    <row r="528" spans="1:12" ht="31.5" x14ac:dyDescent="0.25">
      <c r="A528" s="651" t="s">
        <v>3379</v>
      </c>
      <c r="B528" s="652">
        <v>2021</v>
      </c>
      <c r="C528" s="651" t="s">
        <v>665</v>
      </c>
      <c r="D528" s="651" t="s">
        <v>3386</v>
      </c>
      <c r="E528" s="651" t="s">
        <v>667</v>
      </c>
      <c r="F528" s="653">
        <v>0</v>
      </c>
      <c r="G528" s="654"/>
      <c r="H528" s="651" t="s">
        <v>650</v>
      </c>
      <c r="I528" s="655"/>
      <c r="J528" s="655"/>
      <c r="K528" s="653">
        <v>0</v>
      </c>
      <c r="L528" s="656">
        <v>0</v>
      </c>
    </row>
    <row r="529" spans="1:12" ht="21" x14ac:dyDescent="0.25">
      <c r="A529" s="651" t="s">
        <v>3379</v>
      </c>
      <c r="B529" s="652">
        <v>2021</v>
      </c>
      <c r="C529" s="651" t="s">
        <v>668</v>
      </c>
      <c r="D529" s="651" t="s">
        <v>3387</v>
      </c>
      <c r="E529" s="651" t="s">
        <v>12</v>
      </c>
      <c r="F529" s="653">
        <v>0</v>
      </c>
      <c r="G529" s="654"/>
      <c r="H529" s="651" t="s">
        <v>650</v>
      </c>
      <c r="I529" s="655"/>
      <c r="J529" s="655"/>
      <c r="K529" s="653">
        <v>0</v>
      </c>
      <c r="L529" s="656">
        <v>0</v>
      </c>
    </row>
    <row r="530" spans="1:12" ht="21" x14ac:dyDescent="0.25">
      <c r="A530" s="651" t="s">
        <v>3379</v>
      </c>
      <c r="B530" s="652">
        <v>2021</v>
      </c>
      <c r="C530" s="651" t="s">
        <v>670</v>
      </c>
      <c r="D530" s="651" t="s">
        <v>3388</v>
      </c>
      <c r="E530" s="651" t="s">
        <v>749</v>
      </c>
      <c r="F530" s="653">
        <v>0</v>
      </c>
      <c r="G530" s="654"/>
      <c r="H530" s="651" t="s">
        <v>650</v>
      </c>
      <c r="I530" s="655"/>
      <c r="J530" s="655"/>
      <c r="K530" s="653">
        <v>0</v>
      </c>
      <c r="L530" s="656">
        <v>0</v>
      </c>
    </row>
    <row r="531" spans="1:12" ht="21" x14ac:dyDescent="0.25">
      <c r="A531" s="651" t="s">
        <v>3379</v>
      </c>
      <c r="B531" s="652">
        <v>2021</v>
      </c>
      <c r="C531" s="651" t="s">
        <v>672</v>
      </c>
      <c r="D531" s="651" t="s">
        <v>3389</v>
      </c>
      <c r="E531" s="651" t="s">
        <v>15</v>
      </c>
      <c r="F531" s="653">
        <v>0</v>
      </c>
      <c r="G531" s="654"/>
      <c r="H531" s="651" t="s">
        <v>650</v>
      </c>
      <c r="I531" s="655"/>
      <c r="J531" s="655"/>
      <c r="K531" s="653">
        <v>0</v>
      </c>
      <c r="L531" s="656">
        <v>0</v>
      </c>
    </row>
    <row r="532" spans="1:12" ht="21" x14ac:dyDescent="0.25">
      <c r="A532" s="651" t="s">
        <v>3379</v>
      </c>
      <c r="B532" s="652">
        <v>2021</v>
      </c>
      <c r="C532" s="651" t="s">
        <v>674</v>
      </c>
      <c r="D532" s="651" t="s">
        <v>3390</v>
      </c>
      <c r="E532" s="651" t="s">
        <v>676</v>
      </c>
      <c r="F532" s="653">
        <v>0</v>
      </c>
      <c r="G532" s="654"/>
      <c r="H532" s="651" t="s">
        <v>650</v>
      </c>
      <c r="I532" s="655"/>
      <c r="J532" s="655"/>
      <c r="K532" s="653">
        <v>0</v>
      </c>
      <c r="L532" s="656">
        <v>0</v>
      </c>
    </row>
    <row r="533" spans="1:12" ht="21" x14ac:dyDescent="0.25">
      <c r="A533" s="651" t="s">
        <v>3379</v>
      </c>
      <c r="B533" s="652">
        <v>2021</v>
      </c>
      <c r="C533" s="651" t="s">
        <v>677</v>
      </c>
      <c r="D533" s="651" t="s">
        <v>3391</v>
      </c>
      <c r="E533" s="651" t="s">
        <v>23</v>
      </c>
      <c r="F533" s="653">
        <v>0</v>
      </c>
      <c r="G533" s="651" t="s">
        <v>650</v>
      </c>
      <c r="H533" s="654"/>
      <c r="I533" s="655"/>
      <c r="J533" s="655"/>
      <c r="K533" s="653">
        <v>0</v>
      </c>
      <c r="L533" s="656">
        <v>0</v>
      </c>
    </row>
    <row r="534" spans="1:12" ht="31.5" x14ac:dyDescent="0.25">
      <c r="A534" s="651" t="s">
        <v>3379</v>
      </c>
      <c r="B534" s="652">
        <v>2021</v>
      </c>
      <c r="C534" s="651" t="s">
        <v>679</v>
      </c>
      <c r="D534" s="651" t="s">
        <v>3392</v>
      </c>
      <c r="E534" s="651" t="s">
        <v>131</v>
      </c>
      <c r="F534" s="653">
        <v>0</v>
      </c>
      <c r="G534" s="651" t="s">
        <v>650</v>
      </c>
      <c r="H534" s="654"/>
      <c r="I534" s="655"/>
      <c r="J534" s="655"/>
      <c r="K534" s="653">
        <v>0</v>
      </c>
      <c r="L534" s="656">
        <v>0</v>
      </c>
    </row>
    <row r="535" spans="1:12" ht="31.5" x14ac:dyDescent="0.25">
      <c r="A535" s="651" t="s">
        <v>3379</v>
      </c>
      <c r="B535" s="652">
        <v>2021</v>
      </c>
      <c r="C535" s="651" t="s">
        <v>681</v>
      </c>
      <c r="D535" s="651" t="s">
        <v>3393</v>
      </c>
      <c r="E535" s="651" t="s">
        <v>683</v>
      </c>
      <c r="F535" s="653">
        <v>0</v>
      </c>
      <c r="G535" s="654"/>
      <c r="H535" s="651" t="s">
        <v>650</v>
      </c>
      <c r="I535" s="655"/>
      <c r="J535" s="655"/>
      <c r="K535" s="653">
        <v>0</v>
      </c>
      <c r="L535" s="656">
        <v>0</v>
      </c>
    </row>
    <row r="536" spans="1:12" ht="21" x14ac:dyDescent="0.25">
      <c r="A536" s="651" t="s">
        <v>3379</v>
      </c>
      <c r="B536" s="652">
        <v>2021</v>
      </c>
      <c r="C536" s="651" t="s">
        <v>681</v>
      </c>
      <c r="D536" s="651" t="s">
        <v>3393</v>
      </c>
      <c r="E536" s="651" t="s">
        <v>684</v>
      </c>
      <c r="F536" s="653">
        <v>0</v>
      </c>
      <c r="G536" s="654"/>
      <c r="H536" s="651" t="s">
        <v>650</v>
      </c>
      <c r="I536" s="655"/>
      <c r="J536" s="655"/>
      <c r="K536" s="653">
        <v>0</v>
      </c>
      <c r="L536" s="656">
        <v>0</v>
      </c>
    </row>
    <row r="537" spans="1:12" ht="21" x14ac:dyDescent="0.25">
      <c r="A537" s="651" t="s">
        <v>3379</v>
      </c>
      <c r="B537" s="652">
        <v>2021</v>
      </c>
      <c r="C537" s="651" t="s">
        <v>685</v>
      </c>
      <c r="D537" s="651" t="s">
        <v>3394</v>
      </c>
      <c r="E537" s="651" t="s">
        <v>687</v>
      </c>
      <c r="F537" s="653">
        <v>0</v>
      </c>
      <c r="G537" s="654"/>
      <c r="H537" s="651" t="s">
        <v>650</v>
      </c>
      <c r="I537" s="655"/>
      <c r="J537" s="655"/>
      <c r="K537" s="653">
        <v>0</v>
      </c>
      <c r="L537" s="656">
        <v>0</v>
      </c>
    </row>
    <row r="538" spans="1:12" ht="21" x14ac:dyDescent="0.25">
      <c r="A538" s="651" t="s">
        <v>3379</v>
      </c>
      <c r="B538" s="652">
        <v>2021</v>
      </c>
      <c r="C538" s="651" t="s">
        <v>688</v>
      </c>
      <c r="D538" s="651" t="s">
        <v>3395</v>
      </c>
      <c r="E538" s="651" t="s">
        <v>50</v>
      </c>
      <c r="F538" s="653">
        <v>0</v>
      </c>
      <c r="G538" s="654"/>
      <c r="H538" s="651" t="s">
        <v>650</v>
      </c>
      <c r="I538" s="655"/>
      <c r="J538" s="655"/>
      <c r="K538" s="653">
        <v>0</v>
      </c>
      <c r="L538" s="656">
        <v>0</v>
      </c>
    </row>
    <row r="539" spans="1:12" ht="21" x14ac:dyDescent="0.25">
      <c r="A539" s="651" t="s">
        <v>3379</v>
      </c>
      <c r="B539" s="652">
        <v>2021</v>
      </c>
      <c r="C539" s="651" t="s">
        <v>690</v>
      </c>
      <c r="D539" s="651" t="s">
        <v>3396</v>
      </c>
      <c r="E539" s="651" t="s">
        <v>692</v>
      </c>
      <c r="F539" s="653">
        <v>0</v>
      </c>
      <c r="G539" s="654"/>
      <c r="H539" s="651" t="s">
        <v>650</v>
      </c>
      <c r="I539" s="655"/>
      <c r="J539" s="655"/>
      <c r="K539" s="653">
        <v>0</v>
      </c>
      <c r="L539" s="656">
        <v>0</v>
      </c>
    </row>
    <row r="540" spans="1:12" ht="21" x14ac:dyDescent="0.25">
      <c r="A540" s="651" t="s">
        <v>3379</v>
      </c>
      <c r="B540" s="652">
        <v>2021</v>
      </c>
      <c r="C540" s="651" t="s">
        <v>693</v>
      </c>
      <c r="D540" s="651" t="s">
        <v>3397</v>
      </c>
      <c r="E540" s="651" t="s">
        <v>6</v>
      </c>
      <c r="F540" s="653">
        <v>0</v>
      </c>
      <c r="G540" s="654"/>
      <c r="H540" s="651" t="s">
        <v>650</v>
      </c>
      <c r="I540" s="655"/>
      <c r="J540" s="655"/>
      <c r="K540" s="653">
        <v>0</v>
      </c>
      <c r="L540" s="656">
        <v>0</v>
      </c>
    </row>
    <row r="541" spans="1:12" ht="31.5" x14ac:dyDescent="0.25">
      <c r="A541" s="651" t="s">
        <v>3379</v>
      </c>
      <c r="B541" s="652">
        <v>2021</v>
      </c>
      <c r="C541" s="651" t="s">
        <v>695</v>
      </c>
      <c r="D541" s="651" t="s">
        <v>3398</v>
      </c>
      <c r="E541" s="651" t="s">
        <v>697</v>
      </c>
      <c r="F541" s="653">
        <v>0</v>
      </c>
      <c r="G541" s="654"/>
      <c r="H541" s="651" t="s">
        <v>650</v>
      </c>
      <c r="I541" s="655"/>
      <c r="J541" s="655"/>
      <c r="K541" s="653">
        <v>0</v>
      </c>
      <c r="L541" s="656">
        <v>0</v>
      </c>
    </row>
    <row r="542" spans="1:12" ht="21" x14ac:dyDescent="0.25">
      <c r="A542" s="651" t="s">
        <v>3379</v>
      </c>
      <c r="B542" s="652">
        <v>2021</v>
      </c>
      <c r="C542" s="651" t="s">
        <v>698</v>
      </c>
      <c r="D542" s="651" t="s">
        <v>3399</v>
      </c>
      <c r="E542" s="651" t="s">
        <v>700</v>
      </c>
      <c r="F542" s="653">
        <v>0</v>
      </c>
      <c r="G542" s="654"/>
      <c r="H542" s="651" t="s">
        <v>650</v>
      </c>
      <c r="I542" s="655"/>
      <c r="J542" s="655"/>
      <c r="K542" s="653">
        <v>0</v>
      </c>
      <c r="L542" s="656">
        <v>0</v>
      </c>
    </row>
    <row r="543" spans="1:12" ht="21" x14ac:dyDescent="0.25">
      <c r="A543" s="651" t="s">
        <v>3379</v>
      </c>
      <c r="B543" s="652">
        <v>2021</v>
      </c>
      <c r="C543" s="651" t="s">
        <v>701</v>
      </c>
      <c r="D543" s="651" t="s">
        <v>3400</v>
      </c>
      <c r="E543" s="651" t="s">
        <v>1</v>
      </c>
      <c r="F543" s="653">
        <v>0</v>
      </c>
      <c r="G543" s="651" t="s">
        <v>650</v>
      </c>
      <c r="H543" s="654"/>
      <c r="I543" s="655"/>
      <c r="J543" s="655"/>
      <c r="K543" s="653">
        <v>0</v>
      </c>
      <c r="L543" s="656">
        <v>0</v>
      </c>
    </row>
    <row r="544" spans="1:12" ht="21" x14ac:dyDescent="0.25">
      <c r="A544" s="651" t="s">
        <v>3379</v>
      </c>
      <c r="B544" s="652">
        <v>2021</v>
      </c>
      <c r="C544" s="651" t="s">
        <v>701</v>
      </c>
      <c r="D544" s="651" t="s">
        <v>3400</v>
      </c>
      <c r="E544" s="651" t="s">
        <v>703</v>
      </c>
      <c r="F544" s="653">
        <v>0</v>
      </c>
      <c r="G544" s="654"/>
      <c r="H544" s="654"/>
      <c r="I544" s="655"/>
      <c r="J544" s="655"/>
      <c r="K544" s="653">
        <v>0</v>
      </c>
      <c r="L544" s="656">
        <v>0</v>
      </c>
    </row>
    <row r="545" spans="1:12" ht="21" x14ac:dyDescent="0.25">
      <c r="A545" s="651" t="s">
        <v>3379</v>
      </c>
      <c r="B545" s="652">
        <v>2021</v>
      </c>
      <c r="C545" s="651" t="s">
        <v>701</v>
      </c>
      <c r="D545" s="651" t="s">
        <v>3400</v>
      </c>
      <c r="E545" s="651" t="s">
        <v>704</v>
      </c>
      <c r="F545" s="653">
        <v>0</v>
      </c>
      <c r="G545" s="654"/>
      <c r="H545" s="654"/>
      <c r="I545" s="655"/>
      <c r="J545" s="655"/>
      <c r="K545" s="653">
        <v>0</v>
      </c>
      <c r="L545" s="656">
        <v>0</v>
      </c>
    </row>
    <row r="546" spans="1:12" ht="21" x14ac:dyDescent="0.25">
      <c r="A546" s="651" t="s">
        <v>3379</v>
      </c>
      <c r="B546" s="652">
        <v>2021</v>
      </c>
      <c r="C546" s="651" t="s">
        <v>701</v>
      </c>
      <c r="D546" s="651" t="s">
        <v>3400</v>
      </c>
      <c r="E546" s="651" t="s">
        <v>705</v>
      </c>
      <c r="F546" s="653">
        <v>0</v>
      </c>
      <c r="G546" s="654"/>
      <c r="H546" s="654"/>
      <c r="I546" s="655"/>
      <c r="J546" s="655"/>
      <c r="K546" s="653">
        <v>0</v>
      </c>
      <c r="L546" s="656">
        <v>0</v>
      </c>
    </row>
    <row r="547" spans="1:12" ht="21" x14ac:dyDescent="0.25">
      <c r="A547" s="651" t="s">
        <v>3379</v>
      </c>
      <c r="B547" s="652">
        <v>2021</v>
      </c>
      <c r="C547" s="651" t="s">
        <v>701</v>
      </c>
      <c r="D547" s="651" t="s">
        <v>3400</v>
      </c>
      <c r="E547" s="651" t="s">
        <v>706</v>
      </c>
      <c r="F547" s="653">
        <v>0</v>
      </c>
      <c r="G547" s="654"/>
      <c r="H547" s="654"/>
      <c r="I547" s="655"/>
      <c r="J547" s="655"/>
      <c r="K547" s="653">
        <v>0</v>
      </c>
      <c r="L547" s="656">
        <v>0</v>
      </c>
    </row>
    <row r="548" spans="1:12" ht="21" x14ac:dyDescent="0.25">
      <c r="A548" s="651" t="s">
        <v>3379</v>
      </c>
      <c r="B548" s="652">
        <v>2021</v>
      </c>
      <c r="C548" s="651" t="s">
        <v>707</v>
      </c>
      <c r="D548" s="651" t="s">
        <v>3401</v>
      </c>
      <c r="E548" s="651" t="s">
        <v>709</v>
      </c>
      <c r="F548" s="653">
        <v>0</v>
      </c>
      <c r="G548" s="654"/>
      <c r="H548" s="651" t="s">
        <v>650</v>
      </c>
      <c r="I548" s="655"/>
      <c r="J548" s="655"/>
      <c r="K548" s="653">
        <v>0</v>
      </c>
      <c r="L548" s="656">
        <v>0</v>
      </c>
    </row>
    <row r="549" spans="1:12" ht="31.5" x14ac:dyDescent="0.25">
      <c r="A549" s="651" t="s">
        <v>3379</v>
      </c>
      <c r="B549" s="652">
        <v>2021</v>
      </c>
      <c r="C549" s="651" t="s">
        <v>710</v>
      </c>
      <c r="D549" s="651" t="s">
        <v>3402</v>
      </c>
      <c r="E549" s="651" t="s">
        <v>2</v>
      </c>
      <c r="F549" s="653">
        <v>0</v>
      </c>
      <c r="G549" s="651" t="s">
        <v>650</v>
      </c>
      <c r="H549" s="654"/>
      <c r="I549" s="655"/>
      <c r="J549" s="655"/>
      <c r="K549" s="653">
        <v>0</v>
      </c>
      <c r="L549" s="656">
        <v>0</v>
      </c>
    </row>
    <row r="550" spans="1:12" ht="31.5" x14ac:dyDescent="0.25">
      <c r="A550" s="651" t="s">
        <v>3379</v>
      </c>
      <c r="B550" s="652">
        <v>2021</v>
      </c>
      <c r="C550" s="651" t="s">
        <v>712</v>
      </c>
      <c r="D550" s="651" t="s">
        <v>3403</v>
      </c>
      <c r="E550" s="651" t="s">
        <v>3</v>
      </c>
      <c r="F550" s="653">
        <v>0</v>
      </c>
      <c r="G550" s="651" t="s">
        <v>650</v>
      </c>
      <c r="H550" s="654"/>
      <c r="I550" s="655"/>
      <c r="J550" s="655"/>
      <c r="K550" s="653">
        <v>0</v>
      </c>
      <c r="L550" s="656">
        <v>0</v>
      </c>
    </row>
    <row r="551" spans="1:12" ht="31.5" x14ac:dyDescent="0.25">
      <c r="A551" s="651" t="s">
        <v>3379</v>
      </c>
      <c r="B551" s="652">
        <v>2021</v>
      </c>
      <c r="C551" s="651" t="s">
        <v>714</v>
      </c>
      <c r="D551" s="651" t="s">
        <v>3404</v>
      </c>
      <c r="E551" s="651" t="s">
        <v>38</v>
      </c>
      <c r="F551" s="653">
        <v>0</v>
      </c>
      <c r="G551" s="651" t="s">
        <v>650</v>
      </c>
      <c r="H551" s="654"/>
      <c r="I551" s="655"/>
      <c r="J551" s="655"/>
      <c r="K551" s="653">
        <v>0</v>
      </c>
      <c r="L551" s="656">
        <v>0</v>
      </c>
    </row>
    <row r="552" spans="1:12" ht="21" x14ac:dyDescent="0.25">
      <c r="A552" s="651" t="s">
        <v>3379</v>
      </c>
      <c r="B552" s="652">
        <v>2021</v>
      </c>
      <c r="C552" s="651" t="s">
        <v>716</v>
      </c>
      <c r="D552" s="651" t="s">
        <v>3405</v>
      </c>
      <c r="E552" s="651" t="s">
        <v>66</v>
      </c>
      <c r="F552" s="653">
        <v>0</v>
      </c>
      <c r="G552" s="651" t="s">
        <v>650</v>
      </c>
      <c r="H552" s="654"/>
      <c r="I552" s="655"/>
      <c r="J552" s="655"/>
      <c r="K552" s="653">
        <v>0</v>
      </c>
      <c r="L552" s="656">
        <v>0</v>
      </c>
    </row>
    <row r="553" spans="1:12" ht="21" x14ac:dyDescent="0.25">
      <c r="A553" s="651" t="s">
        <v>3379</v>
      </c>
      <c r="B553" s="652">
        <v>2021</v>
      </c>
      <c r="C553" s="651" t="s">
        <v>718</v>
      </c>
      <c r="D553" s="651" t="s">
        <v>3406</v>
      </c>
      <c r="E553" s="651" t="s">
        <v>768</v>
      </c>
      <c r="F553" s="653">
        <v>0</v>
      </c>
      <c r="G553" s="654"/>
      <c r="H553" s="651" t="s">
        <v>650</v>
      </c>
      <c r="I553" s="655"/>
      <c r="J553" s="655"/>
      <c r="K553" s="653">
        <v>0</v>
      </c>
      <c r="L553" s="656">
        <v>0</v>
      </c>
    </row>
    <row r="554" spans="1:12" ht="42" x14ac:dyDescent="0.25">
      <c r="A554" s="651" t="s">
        <v>3379</v>
      </c>
      <c r="B554" s="652">
        <v>2021</v>
      </c>
      <c r="C554" s="651" t="s">
        <v>721</v>
      </c>
      <c r="D554" s="651" t="s">
        <v>3407</v>
      </c>
      <c r="E554" s="651" t="s">
        <v>3016</v>
      </c>
      <c r="F554" s="653">
        <v>0</v>
      </c>
      <c r="G554" s="651" t="s">
        <v>650</v>
      </c>
      <c r="H554" s="654"/>
      <c r="I554" s="655"/>
      <c r="J554" s="655"/>
      <c r="K554" s="653">
        <v>0</v>
      </c>
      <c r="L554" s="656">
        <v>0</v>
      </c>
    </row>
    <row r="555" spans="1:12" ht="42" x14ac:dyDescent="0.25">
      <c r="A555" s="651" t="s">
        <v>3379</v>
      </c>
      <c r="B555" s="652">
        <v>2021</v>
      </c>
      <c r="C555" s="651" t="s">
        <v>721</v>
      </c>
      <c r="D555" s="651" t="s">
        <v>3407</v>
      </c>
      <c r="E555" s="651" t="s">
        <v>3058</v>
      </c>
      <c r="F555" s="653">
        <v>0</v>
      </c>
      <c r="G555" s="651" t="s">
        <v>650</v>
      </c>
      <c r="H555" s="654"/>
      <c r="I555" s="655"/>
      <c r="J555" s="655"/>
      <c r="K555" s="653">
        <v>0</v>
      </c>
      <c r="L555" s="656">
        <v>0</v>
      </c>
    </row>
    <row r="556" spans="1:12" ht="42" x14ac:dyDescent="0.25">
      <c r="A556" s="651" t="s">
        <v>3379</v>
      </c>
      <c r="B556" s="652">
        <v>2021</v>
      </c>
      <c r="C556" s="651" t="s">
        <v>721</v>
      </c>
      <c r="D556" s="651" t="s">
        <v>3408</v>
      </c>
      <c r="E556" s="651" t="s">
        <v>724</v>
      </c>
      <c r="F556" s="653">
        <v>0</v>
      </c>
      <c r="G556" s="651" t="s">
        <v>650</v>
      </c>
      <c r="H556" s="654"/>
      <c r="I556" s="655"/>
      <c r="J556" s="655"/>
      <c r="K556" s="653">
        <v>0</v>
      </c>
      <c r="L556" s="656">
        <v>0</v>
      </c>
    </row>
    <row r="557" spans="1:12" ht="42" x14ac:dyDescent="0.25">
      <c r="A557" s="651" t="s">
        <v>3379</v>
      </c>
      <c r="B557" s="652">
        <v>2021</v>
      </c>
      <c r="C557" s="651" t="s">
        <v>721</v>
      </c>
      <c r="D557" s="651" t="s">
        <v>3409</v>
      </c>
      <c r="E557" s="651" t="s">
        <v>55</v>
      </c>
      <c r="F557" s="653">
        <v>0</v>
      </c>
      <c r="G557" s="651" t="s">
        <v>650</v>
      </c>
      <c r="H557" s="654"/>
      <c r="I557" s="655"/>
      <c r="J557" s="655"/>
      <c r="K557" s="653">
        <v>0</v>
      </c>
      <c r="L557" s="656">
        <v>0</v>
      </c>
    </row>
    <row r="558" spans="1:12" ht="42" x14ac:dyDescent="0.25">
      <c r="A558" s="651" t="s">
        <v>3379</v>
      </c>
      <c r="B558" s="652">
        <v>2021</v>
      </c>
      <c r="C558" s="651" t="s">
        <v>721</v>
      </c>
      <c r="D558" s="651" t="s">
        <v>3410</v>
      </c>
      <c r="E558" s="651" t="s">
        <v>56</v>
      </c>
      <c r="F558" s="653">
        <v>0</v>
      </c>
      <c r="G558" s="651" t="s">
        <v>650</v>
      </c>
      <c r="H558" s="654"/>
      <c r="I558" s="655"/>
      <c r="J558" s="655"/>
      <c r="K558" s="653">
        <v>0</v>
      </c>
      <c r="L558" s="656">
        <v>0</v>
      </c>
    </row>
    <row r="559" spans="1:12" ht="42" x14ac:dyDescent="0.25">
      <c r="A559" s="651" t="s">
        <v>3379</v>
      </c>
      <c r="B559" s="652">
        <v>2021</v>
      </c>
      <c r="C559" s="651" t="s">
        <v>721</v>
      </c>
      <c r="D559" s="651" t="s">
        <v>3411</v>
      </c>
      <c r="E559" s="651" t="s">
        <v>728</v>
      </c>
      <c r="F559" s="653">
        <v>0</v>
      </c>
      <c r="G559" s="651" t="s">
        <v>650</v>
      </c>
      <c r="H559" s="654"/>
      <c r="I559" s="655"/>
      <c r="J559" s="655"/>
      <c r="K559" s="653">
        <v>0</v>
      </c>
      <c r="L559" s="656">
        <v>0</v>
      </c>
    </row>
    <row r="560" spans="1:12" ht="42" x14ac:dyDescent="0.25">
      <c r="A560" s="651" t="s">
        <v>3379</v>
      </c>
      <c r="B560" s="652">
        <v>2021</v>
      </c>
      <c r="C560" s="651" t="s">
        <v>721</v>
      </c>
      <c r="D560" s="651" t="s">
        <v>3412</v>
      </c>
      <c r="E560" s="651" t="s">
        <v>730</v>
      </c>
      <c r="F560" s="653">
        <v>0</v>
      </c>
      <c r="G560" s="651" t="s">
        <v>650</v>
      </c>
      <c r="H560" s="654"/>
      <c r="I560" s="655"/>
      <c r="J560" s="655"/>
      <c r="K560" s="653">
        <v>0</v>
      </c>
      <c r="L560" s="656">
        <v>0</v>
      </c>
    </row>
    <row r="561" spans="1:12" ht="42" x14ac:dyDescent="0.25">
      <c r="A561" s="651" t="s">
        <v>3379</v>
      </c>
      <c r="B561" s="652">
        <v>2021</v>
      </c>
      <c r="C561" s="651" t="s">
        <v>721</v>
      </c>
      <c r="D561" s="651" t="s">
        <v>3413</v>
      </c>
      <c r="E561" s="651" t="s">
        <v>142</v>
      </c>
      <c r="F561" s="653">
        <v>0</v>
      </c>
      <c r="G561" s="651" t="s">
        <v>650</v>
      </c>
      <c r="H561" s="654"/>
      <c r="I561" s="655"/>
      <c r="J561" s="655"/>
      <c r="K561" s="653">
        <v>0</v>
      </c>
      <c r="L561" s="656">
        <v>0</v>
      </c>
    </row>
    <row r="562" spans="1:12" ht="42" x14ac:dyDescent="0.25">
      <c r="A562" s="651" t="s">
        <v>3379</v>
      </c>
      <c r="B562" s="652">
        <v>2021</v>
      </c>
      <c r="C562" s="651" t="s">
        <v>721</v>
      </c>
      <c r="D562" s="651" t="s">
        <v>3414</v>
      </c>
      <c r="E562" s="651" t="s">
        <v>143</v>
      </c>
      <c r="F562" s="653">
        <v>0</v>
      </c>
      <c r="G562" s="651" t="s">
        <v>650</v>
      </c>
      <c r="H562" s="654"/>
      <c r="I562" s="655"/>
      <c r="J562" s="655"/>
      <c r="K562" s="653">
        <v>0</v>
      </c>
      <c r="L562" s="656">
        <v>0</v>
      </c>
    </row>
    <row r="563" spans="1:12" ht="42" x14ac:dyDescent="0.25">
      <c r="A563" s="651" t="s">
        <v>3379</v>
      </c>
      <c r="B563" s="652">
        <v>2021</v>
      </c>
      <c r="C563" s="651" t="s">
        <v>721</v>
      </c>
      <c r="D563" s="651" t="s">
        <v>3415</v>
      </c>
      <c r="E563" s="651" t="s">
        <v>182</v>
      </c>
      <c r="F563" s="653">
        <v>0</v>
      </c>
      <c r="G563" s="651" t="s">
        <v>650</v>
      </c>
      <c r="H563" s="654"/>
      <c r="I563" s="655"/>
      <c r="J563" s="655"/>
      <c r="K563" s="653">
        <v>0</v>
      </c>
      <c r="L563" s="656">
        <v>0</v>
      </c>
    </row>
    <row r="564" spans="1:12" ht="42" x14ac:dyDescent="0.25">
      <c r="A564" s="651" t="s">
        <v>3379</v>
      </c>
      <c r="B564" s="652">
        <v>2021</v>
      </c>
      <c r="C564" s="651" t="s">
        <v>721</v>
      </c>
      <c r="D564" s="651" t="s">
        <v>3416</v>
      </c>
      <c r="E564" s="651" t="s">
        <v>394</v>
      </c>
      <c r="F564" s="653">
        <v>0</v>
      </c>
      <c r="G564" s="651" t="s">
        <v>650</v>
      </c>
      <c r="H564" s="654"/>
      <c r="I564" s="655"/>
      <c r="J564" s="655"/>
      <c r="K564" s="653">
        <v>0</v>
      </c>
      <c r="L564" s="656">
        <v>0</v>
      </c>
    </row>
    <row r="565" spans="1:12" ht="42" x14ac:dyDescent="0.25">
      <c r="A565" s="651" t="s">
        <v>3379</v>
      </c>
      <c r="B565" s="652">
        <v>2021</v>
      </c>
      <c r="C565" s="651" t="s">
        <v>721</v>
      </c>
      <c r="D565" s="651" t="s">
        <v>3417</v>
      </c>
      <c r="E565" s="651" t="s">
        <v>423</v>
      </c>
      <c r="F565" s="653">
        <v>0</v>
      </c>
      <c r="G565" s="651" t="s">
        <v>650</v>
      </c>
      <c r="H565" s="654"/>
      <c r="I565" s="655"/>
      <c r="J565" s="655"/>
      <c r="K565" s="653">
        <v>0</v>
      </c>
      <c r="L565" s="656">
        <v>0</v>
      </c>
    </row>
    <row r="566" spans="1:12" ht="42" x14ac:dyDescent="0.25">
      <c r="A566" s="651" t="s">
        <v>3379</v>
      </c>
      <c r="B566" s="652">
        <v>2021</v>
      </c>
      <c r="C566" s="651" t="s">
        <v>721</v>
      </c>
      <c r="D566" s="651" t="s">
        <v>3418</v>
      </c>
      <c r="E566" s="651" t="s">
        <v>441</v>
      </c>
      <c r="F566" s="653">
        <v>0</v>
      </c>
      <c r="G566" s="651" t="s">
        <v>650</v>
      </c>
      <c r="H566" s="654"/>
      <c r="I566" s="655"/>
      <c r="J566" s="655"/>
      <c r="K566" s="653">
        <v>0</v>
      </c>
      <c r="L566" s="656">
        <v>0</v>
      </c>
    </row>
    <row r="567" spans="1:12" ht="42" x14ac:dyDescent="0.25">
      <c r="A567" s="651" t="s">
        <v>3379</v>
      </c>
      <c r="B567" s="652">
        <v>2021</v>
      </c>
      <c r="C567" s="651" t="s">
        <v>721</v>
      </c>
      <c r="D567" s="651" t="s">
        <v>3419</v>
      </c>
      <c r="E567" s="651" t="s">
        <v>737</v>
      </c>
      <c r="F567" s="653">
        <v>0</v>
      </c>
      <c r="G567" s="654"/>
      <c r="H567" s="654"/>
      <c r="I567" s="655"/>
      <c r="J567" s="655"/>
      <c r="K567" s="653">
        <v>0</v>
      </c>
      <c r="L567" s="656">
        <v>0</v>
      </c>
    </row>
    <row r="568" spans="1:12" ht="21" x14ac:dyDescent="0.25">
      <c r="A568" s="651" t="s">
        <v>3379</v>
      </c>
      <c r="B568" s="652">
        <v>2021</v>
      </c>
      <c r="C568" s="651" t="s">
        <v>738</v>
      </c>
      <c r="D568" s="651" t="s">
        <v>3420</v>
      </c>
      <c r="E568" s="651" t="s">
        <v>7</v>
      </c>
      <c r="F568" s="653">
        <v>0</v>
      </c>
      <c r="G568" s="654"/>
      <c r="H568" s="651" t="s">
        <v>650</v>
      </c>
      <c r="I568" s="655"/>
      <c r="J568" s="655"/>
      <c r="K568" s="653">
        <v>0</v>
      </c>
      <c r="L568" s="656">
        <v>0</v>
      </c>
    </row>
    <row r="569" spans="1:12" ht="21" x14ac:dyDescent="0.25">
      <c r="A569" s="651" t="s">
        <v>86</v>
      </c>
      <c r="B569" s="652">
        <v>2021</v>
      </c>
      <c r="C569" s="651" t="s">
        <v>647</v>
      </c>
      <c r="D569" s="651" t="s">
        <v>1102</v>
      </c>
      <c r="E569" s="651" t="s">
        <v>649</v>
      </c>
      <c r="F569" s="653">
        <v>-29375.91</v>
      </c>
      <c r="G569" s="654"/>
      <c r="H569" s="651" t="s">
        <v>650</v>
      </c>
      <c r="I569" s="655"/>
      <c r="J569" s="655"/>
      <c r="K569" s="653">
        <v>0</v>
      </c>
      <c r="L569" s="656">
        <v>-29375.91</v>
      </c>
    </row>
    <row r="570" spans="1:12" ht="14.5" x14ac:dyDescent="0.25">
      <c r="A570" s="651" t="s">
        <v>86</v>
      </c>
      <c r="B570" s="652">
        <v>2021</v>
      </c>
      <c r="C570" s="651" t="s">
        <v>651</v>
      </c>
      <c r="D570" s="651" t="s">
        <v>1103</v>
      </c>
      <c r="E570" s="651" t="s">
        <v>653</v>
      </c>
      <c r="F570" s="653">
        <v>-11839.63</v>
      </c>
      <c r="G570" s="654"/>
      <c r="H570" s="651" t="s">
        <v>650</v>
      </c>
      <c r="I570" s="655"/>
      <c r="J570" s="655"/>
      <c r="K570" s="653">
        <v>0</v>
      </c>
      <c r="L570" s="656">
        <v>-11839.63</v>
      </c>
    </row>
    <row r="571" spans="1:12" ht="42" x14ac:dyDescent="0.25">
      <c r="A571" s="651" t="s">
        <v>86</v>
      </c>
      <c r="B571" s="652">
        <v>2021</v>
      </c>
      <c r="C571" s="651" t="s">
        <v>654</v>
      </c>
      <c r="D571" s="651" t="s">
        <v>1104</v>
      </c>
      <c r="E571" s="651" t="s">
        <v>445</v>
      </c>
      <c r="F571" s="653">
        <v>0</v>
      </c>
      <c r="G571" s="654"/>
      <c r="H571" s="651" t="s">
        <v>650</v>
      </c>
      <c r="I571" s="655"/>
      <c r="J571" s="655"/>
      <c r="K571" s="653">
        <v>0</v>
      </c>
      <c r="L571" s="656">
        <v>0</v>
      </c>
    </row>
    <row r="572" spans="1:12" ht="21" x14ac:dyDescent="0.25">
      <c r="A572" s="651" t="s">
        <v>86</v>
      </c>
      <c r="B572" s="652">
        <v>2021</v>
      </c>
      <c r="C572" s="651" t="s">
        <v>656</v>
      </c>
      <c r="D572" s="651" t="s">
        <v>1105</v>
      </c>
      <c r="E572" s="651" t="s">
        <v>658</v>
      </c>
      <c r="F572" s="653">
        <v>-73.849999999999994</v>
      </c>
      <c r="G572" s="654"/>
      <c r="H572" s="651" t="s">
        <v>650</v>
      </c>
      <c r="I572" s="655"/>
      <c r="J572" s="655"/>
      <c r="K572" s="653">
        <v>0</v>
      </c>
      <c r="L572" s="656">
        <v>-73.849999999999994</v>
      </c>
    </row>
    <row r="573" spans="1:12" ht="31.5" x14ac:dyDescent="0.25">
      <c r="A573" s="651" t="s">
        <v>86</v>
      </c>
      <c r="B573" s="652">
        <v>2021</v>
      </c>
      <c r="C573" s="651" t="s">
        <v>659</v>
      </c>
      <c r="D573" s="651" t="s">
        <v>1106</v>
      </c>
      <c r="E573" s="651" t="s">
        <v>661</v>
      </c>
      <c r="F573" s="653">
        <v>176493</v>
      </c>
      <c r="G573" s="654"/>
      <c r="H573" s="651" t="s">
        <v>650</v>
      </c>
      <c r="I573" s="655"/>
      <c r="J573" s="655"/>
      <c r="K573" s="653">
        <v>0</v>
      </c>
      <c r="L573" s="656">
        <v>176493</v>
      </c>
    </row>
    <row r="574" spans="1:12" ht="21" x14ac:dyDescent="0.25">
      <c r="A574" s="651" t="s">
        <v>86</v>
      </c>
      <c r="B574" s="652">
        <v>2021</v>
      </c>
      <c r="C574" s="651" t="s">
        <v>662</v>
      </c>
      <c r="D574" s="651" t="s">
        <v>1107</v>
      </c>
      <c r="E574" s="651" t="s">
        <v>664</v>
      </c>
      <c r="F574" s="653">
        <v>0</v>
      </c>
      <c r="G574" s="654"/>
      <c r="H574" s="651" t="s">
        <v>650</v>
      </c>
      <c r="I574" s="655"/>
      <c r="J574" s="655"/>
      <c r="K574" s="653">
        <v>0</v>
      </c>
      <c r="L574" s="656">
        <v>0</v>
      </c>
    </row>
    <row r="575" spans="1:12" ht="31.5" x14ac:dyDescent="0.25">
      <c r="A575" s="651" t="s">
        <v>86</v>
      </c>
      <c r="B575" s="652">
        <v>2021</v>
      </c>
      <c r="C575" s="651" t="s">
        <v>665</v>
      </c>
      <c r="D575" s="651" t="s">
        <v>1108</v>
      </c>
      <c r="E575" s="651" t="s">
        <v>667</v>
      </c>
      <c r="F575" s="653">
        <v>0</v>
      </c>
      <c r="G575" s="654"/>
      <c r="H575" s="651" t="s">
        <v>650</v>
      </c>
      <c r="I575" s="655"/>
      <c r="J575" s="655"/>
      <c r="K575" s="653">
        <v>0</v>
      </c>
      <c r="L575" s="656">
        <v>0</v>
      </c>
    </row>
    <row r="576" spans="1:12" ht="21" x14ac:dyDescent="0.25">
      <c r="A576" s="651" t="s">
        <v>86</v>
      </c>
      <c r="B576" s="652">
        <v>2021</v>
      </c>
      <c r="C576" s="651" t="s">
        <v>668</v>
      </c>
      <c r="D576" s="651" t="s">
        <v>1109</v>
      </c>
      <c r="E576" s="651" t="s">
        <v>12</v>
      </c>
      <c r="F576" s="653">
        <v>0</v>
      </c>
      <c r="G576" s="654"/>
      <c r="H576" s="651" t="s">
        <v>650</v>
      </c>
      <c r="I576" s="655"/>
      <c r="J576" s="655"/>
      <c r="K576" s="653">
        <v>0</v>
      </c>
      <c r="L576" s="656">
        <v>0</v>
      </c>
    </row>
    <row r="577" spans="1:12" ht="21" x14ac:dyDescent="0.25">
      <c r="A577" s="651" t="s">
        <v>86</v>
      </c>
      <c r="B577" s="652">
        <v>2021</v>
      </c>
      <c r="C577" s="651" t="s">
        <v>670</v>
      </c>
      <c r="D577" s="651" t="s">
        <v>1110</v>
      </c>
      <c r="E577" s="651" t="s">
        <v>13</v>
      </c>
      <c r="F577" s="653">
        <v>0</v>
      </c>
      <c r="G577" s="654"/>
      <c r="H577" s="651" t="s">
        <v>650</v>
      </c>
      <c r="I577" s="655"/>
      <c r="J577" s="655"/>
      <c r="K577" s="653">
        <v>0</v>
      </c>
      <c r="L577" s="656">
        <v>0</v>
      </c>
    </row>
    <row r="578" spans="1:12" ht="21" x14ac:dyDescent="0.25">
      <c r="A578" s="651" t="s">
        <v>86</v>
      </c>
      <c r="B578" s="652">
        <v>2021</v>
      </c>
      <c r="C578" s="651" t="s">
        <v>672</v>
      </c>
      <c r="D578" s="651" t="s">
        <v>1111</v>
      </c>
      <c r="E578" s="651" t="s">
        <v>15</v>
      </c>
      <c r="F578" s="653">
        <v>0</v>
      </c>
      <c r="G578" s="654"/>
      <c r="H578" s="651" t="s">
        <v>650</v>
      </c>
      <c r="I578" s="655"/>
      <c r="J578" s="655"/>
      <c r="K578" s="653">
        <v>0</v>
      </c>
      <c r="L578" s="656">
        <v>0</v>
      </c>
    </row>
    <row r="579" spans="1:12" ht="14.5" x14ac:dyDescent="0.25">
      <c r="A579" s="651" t="s">
        <v>86</v>
      </c>
      <c r="B579" s="652">
        <v>2021</v>
      </c>
      <c r="C579" s="651" t="s">
        <v>674</v>
      </c>
      <c r="D579" s="651" t="s">
        <v>1112</v>
      </c>
      <c r="E579" s="651" t="s">
        <v>676</v>
      </c>
      <c r="F579" s="653">
        <v>-792.69</v>
      </c>
      <c r="G579" s="654"/>
      <c r="H579" s="651" t="s">
        <v>650</v>
      </c>
      <c r="I579" s="655"/>
      <c r="J579" s="655"/>
      <c r="K579" s="653">
        <v>0</v>
      </c>
      <c r="L579" s="656">
        <v>-792.69</v>
      </c>
    </row>
    <row r="580" spans="1:12" ht="14.5" x14ac:dyDescent="0.25">
      <c r="A580" s="651" t="s">
        <v>86</v>
      </c>
      <c r="B580" s="652">
        <v>2021</v>
      </c>
      <c r="C580" s="651" t="s">
        <v>677</v>
      </c>
      <c r="D580" s="651" t="s">
        <v>1113</v>
      </c>
      <c r="E580" s="651" t="s">
        <v>23</v>
      </c>
      <c r="F580" s="653">
        <v>945407.82</v>
      </c>
      <c r="G580" s="651" t="s">
        <v>650</v>
      </c>
      <c r="H580" s="654"/>
      <c r="I580" s="653">
        <v>933362.5</v>
      </c>
      <c r="J580" s="653">
        <v>12045.33984375</v>
      </c>
      <c r="K580" s="653">
        <v>945407.8125</v>
      </c>
      <c r="L580" s="656">
        <v>945407.82</v>
      </c>
    </row>
    <row r="581" spans="1:12" ht="31.5" x14ac:dyDescent="0.25">
      <c r="A581" s="651" t="s">
        <v>86</v>
      </c>
      <c r="B581" s="652">
        <v>2021</v>
      </c>
      <c r="C581" s="651" t="s">
        <v>679</v>
      </c>
      <c r="D581" s="651" t="s">
        <v>1114</v>
      </c>
      <c r="E581" s="651" t="s">
        <v>131</v>
      </c>
      <c r="F581" s="653">
        <v>1021.53</v>
      </c>
      <c r="G581" s="651" t="s">
        <v>650</v>
      </c>
      <c r="H581" s="654"/>
      <c r="I581" s="653">
        <v>1094.14001464844</v>
      </c>
      <c r="J581" s="653">
        <v>-72.610000610351605</v>
      </c>
      <c r="K581" s="653">
        <v>1021.53002929688</v>
      </c>
      <c r="L581" s="656">
        <v>1021.53</v>
      </c>
    </row>
    <row r="582" spans="1:12" ht="31.5" x14ac:dyDescent="0.25">
      <c r="A582" s="651" t="s">
        <v>86</v>
      </c>
      <c r="B582" s="652">
        <v>2021</v>
      </c>
      <c r="C582" s="651" t="s">
        <v>681</v>
      </c>
      <c r="D582" s="651" t="s">
        <v>1115</v>
      </c>
      <c r="E582" s="651" t="s">
        <v>683</v>
      </c>
      <c r="F582" s="653">
        <v>0</v>
      </c>
      <c r="G582" s="654"/>
      <c r="H582" s="651" t="s">
        <v>650</v>
      </c>
      <c r="I582" s="655"/>
      <c r="J582" s="655"/>
      <c r="K582" s="653">
        <v>0</v>
      </c>
      <c r="L582" s="656">
        <v>0</v>
      </c>
    </row>
    <row r="583" spans="1:12" ht="21" x14ac:dyDescent="0.25">
      <c r="A583" s="651" t="s">
        <v>86</v>
      </c>
      <c r="B583" s="652">
        <v>2021</v>
      </c>
      <c r="C583" s="651" t="s">
        <v>681</v>
      </c>
      <c r="D583" s="651" t="s">
        <v>1115</v>
      </c>
      <c r="E583" s="651" t="s">
        <v>684</v>
      </c>
      <c r="F583" s="653">
        <v>0</v>
      </c>
      <c r="G583" s="654"/>
      <c r="H583" s="651" t="s">
        <v>650</v>
      </c>
      <c r="I583" s="655"/>
      <c r="J583" s="655"/>
      <c r="K583" s="653">
        <v>0</v>
      </c>
      <c r="L583" s="656">
        <v>0</v>
      </c>
    </row>
    <row r="584" spans="1:12" ht="21" x14ac:dyDescent="0.25">
      <c r="A584" s="651" t="s">
        <v>86</v>
      </c>
      <c r="B584" s="652">
        <v>2021</v>
      </c>
      <c r="C584" s="651" t="s">
        <v>685</v>
      </c>
      <c r="D584" s="651" t="s">
        <v>1116</v>
      </c>
      <c r="E584" s="651" t="s">
        <v>687</v>
      </c>
      <c r="F584" s="653">
        <v>0</v>
      </c>
      <c r="G584" s="654"/>
      <c r="H584" s="651" t="s">
        <v>650</v>
      </c>
      <c r="I584" s="655"/>
      <c r="J584" s="655"/>
      <c r="K584" s="653">
        <v>0</v>
      </c>
      <c r="L584" s="656">
        <v>0</v>
      </c>
    </row>
    <row r="585" spans="1:12" ht="14.5" x14ac:dyDescent="0.25">
      <c r="A585" s="651" t="s">
        <v>86</v>
      </c>
      <c r="B585" s="652">
        <v>2021</v>
      </c>
      <c r="C585" s="651" t="s">
        <v>688</v>
      </c>
      <c r="D585" s="651" t="s">
        <v>1117</v>
      </c>
      <c r="E585" s="651" t="s">
        <v>50</v>
      </c>
      <c r="F585" s="653">
        <v>0</v>
      </c>
      <c r="G585" s="654"/>
      <c r="H585" s="651" t="s">
        <v>650</v>
      </c>
      <c r="I585" s="655"/>
      <c r="J585" s="655"/>
      <c r="K585" s="653">
        <v>0</v>
      </c>
      <c r="L585" s="656">
        <v>0</v>
      </c>
    </row>
    <row r="586" spans="1:12" ht="21" x14ac:dyDescent="0.25">
      <c r="A586" s="651" t="s">
        <v>86</v>
      </c>
      <c r="B586" s="652">
        <v>2021</v>
      </c>
      <c r="C586" s="651" t="s">
        <v>690</v>
      </c>
      <c r="D586" s="651" t="s">
        <v>1118</v>
      </c>
      <c r="E586" s="651" t="s">
        <v>692</v>
      </c>
      <c r="F586" s="653">
        <v>0</v>
      </c>
      <c r="G586" s="654"/>
      <c r="H586" s="651" t="s">
        <v>650</v>
      </c>
      <c r="I586" s="655"/>
      <c r="J586" s="655"/>
      <c r="K586" s="653">
        <v>0</v>
      </c>
      <c r="L586" s="656">
        <v>0</v>
      </c>
    </row>
    <row r="587" spans="1:12" ht="21" x14ac:dyDescent="0.25">
      <c r="A587" s="651" t="s">
        <v>86</v>
      </c>
      <c r="B587" s="652">
        <v>2021</v>
      </c>
      <c r="C587" s="651" t="s">
        <v>693</v>
      </c>
      <c r="D587" s="651" t="s">
        <v>1119</v>
      </c>
      <c r="E587" s="651" t="s">
        <v>6</v>
      </c>
      <c r="F587" s="653">
        <v>278023</v>
      </c>
      <c r="G587" s="654"/>
      <c r="H587" s="651" t="s">
        <v>650</v>
      </c>
      <c r="I587" s="655"/>
      <c r="J587" s="655"/>
      <c r="K587" s="653">
        <v>0</v>
      </c>
      <c r="L587" s="656">
        <v>278023</v>
      </c>
    </row>
    <row r="588" spans="1:12" ht="31.5" x14ac:dyDescent="0.25">
      <c r="A588" s="651" t="s">
        <v>86</v>
      </c>
      <c r="B588" s="652">
        <v>2021</v>
      </c>
      <c r="C588" s="651" t="s">
        <v>695</v>
      </c>
      <c r="D588" s="651" t="s">
        <v>1120</v>
      </c>
      <c r="E588" s="651" t="s">
        <v>697</v>
      </c>
      <c r="F588" s="653">
        <v>21600.83</v>
      </c>
      <c r="G588" s="654"/>
      <c r="H588" s="651" t="s">
        <v>650</v>
      </c>
      <c r="I588" s="655"/>
      <c r="J588" s="655"/>
      <c r="K588" s="653">
        <v>0</v>
      </c>
      <c r="L588" s="656">
        <v>21600.83</v>
      </c>
    </row>
    <row r="589" spans="1:12" ht="21" x14ac:dyDescent="0.25">
      <c r="A589" s="651" t="s">
        <v>86</v>
      </c>
      <c r="B589" s="652">
        <v>2021</v>
      </c>
      <c r="C589" s="651" t="s">
        <v>698</v>
      </c>
      <c r="D589" s="651" t="s">
        <v>1121</v>
      </c>
      <c r="E589" s="651" t="s">
        <v>700</v>
      </c>
      <c r="F589" s="653">
        <v>17984.39</v>
      </c>
      <c r="G589" s="654"/>
      <c r="H589" s="651" t="s">
        <v>650</v>
      </c>
      <c r="I589" s="655"/>
      <c r="J589" s="655"/>
      <c r="K589" s="653">
        <v>0</v>
      </c>
      <c r="L589" s="656">
        <v>17984.39</v>
      </c>
    </row>
    <row r="590" spans="1:12" ht="21" x14ac:dyDescent="0.25">
      <c r="A590" s="651" t="s">
        <v>86</v>
      </c>
      <c r="B590" s="652">
        <v>2021</v>
      </c>
      <c r="C590" s="651" t="s">
        <v>701</v>
      </c>
      <c r="D590" s="651" t="s">
        <v>1122</v>
      </c>
      <c r="E590" s="651" t="s">
        <v>1</v>
      </c>
      <c r="F590" s="653">
        <v>-266551.94</v>
      </c>
      <c r="G590" s="651" t="s">
        <v>650</v>
      </c>
      <c r="H590" s="654"/>
      <c r="I590" s="653">
        <v>-263966.1875</v>
      </c>
      <c r="J590" s="653">
        <v>-2585.76000976563</v>
      </c>
      <c r="K590" s="653">
        <v>-266551.9375</v>
      </c>
      <c r="L590" s="656">
        <v>-266551.94</v>
      </c>
    </row>
    <row r="591" spans="1:12" ht="21" x14ac:dyDescent="0.25">
      <c r="A591" s="651" t="s">
        <v>86</v>
      </c>
      <c r="B591" s="652">
        <v>2021</v>
      </c>
      <c r="C591" s="651" t="s">
        <v>701</v>
      </c>
      <c r="D591" s="651" t="s">
        <v>1122</v>
      </c>
      <c r="E591" s="651" t="s">
        <v>703</v>
      </c>
      <c r="F591" s="653">
        <v>0</v>
      </c>
      <c r="G591" s="654"/>
      <c r="H591" s="654"/>
      <c r="I591" s="655"/>
      <c r="J591" s="655"/>
      <c r="K591" s="653">
        <v>0</v>
      </c>
      <c r="L591" s="656">
        <v>0</v>
      </c>
    </row>
    <row r="592" spans="1:12" ht="21" x14ac:dyDescent="0.25">
      <c r="A592" s="651" t="s">
        <v>86</v>
      </c>
      <c r="B592" s="652">
        <v>2021</v>
      </c>
      <c r="C592" s="651" t="s">
        <v>701</v>
      </c>
      <c r="D592" s="651" t="s">
        <v>1122</v>
      </c>
      <c r="E592" s="651" t="s">
        <v>704</v>
      </c>
      <c r="F592" s="653">
        <v>0</v>
      </c>
      <c r="G592" s="654"/>
      <c r="H592" s="654"/>
      <c r="I592" s="655"/>
      <c r="J592" s="655"/>
      <c r="K592" s="653">
        <v>0</v>
      </c>
      <c r="L592" s="656">
        <v>0</v>
      </c>
    </row>
    <row r="593" spans="1:12" ht="21" x14ac:dyDescent="0.25">
      <c r="A593" s="651" t="s">
        <v>86</v>
      </c>
      <c r="B593" s="652">
        <v>2021</v>
      </c>
      <c r="C593" s="651" t="s">
        <v>701</v>
      </c>
      <c r="D593" s="651" t="s">
        <v>1122</v>
      </c>
      <c r="E593" s="651" t="s">
        <v>705</v>
      </c>
      <c r="F593" s="653">
        <v>0</v>
      </c>
      <c r="G593" s="654"/>
      <c r="H593" s="654"/>
      <c r="I593" s="655"/>
      <c r="J593" s="655"/>
      <c r="K593" s="653">
        <v>0</v>
      </c>
      <c r="L593" s="656">
        <v>0</v>
      </c>
    </row>
    <row r="594" spans="1:12" ht="21" x14ac:dyDescent="0.25">
      <c r="A594" s="651" t="s">
        <v>86</v>
      </c>
      <c r="B594" s="652">
        <v>2021</v>
      </c>
      <c r="C594" s="651" t="s">
        <v>701</v>
      </c>
      <c r="D594" s="651" t="s">
        <v>1122</v>
      </c>
      <c r="E594" s="651" t="s">
        <v>706</v>
      </c>
      <c r="F594" s="653">
        <v>0</v>
      </c>
      <c r="G594" s="654"/>
      <c r="H594" s="654"/>
      <c r="I594" s="655"/>
      <c r="J594" s="655"/>
      <c r="K594" s="653">
        <v>0</v>
      </c>
      <c r="L594" s="656">
        <v>0</v>
      </c>
    </row>
    <row r="595" spans="1:12" ht="14.5" x14ac:dyDescent="0.25">
      <c r="A595" s="651" t="s">
        <v>86</v>
      </c>
      <c r="B595" s="652">
        <v>2021</v>
      </c>
      <c r="C595" s="651" t="s">
        <v>707</v>
      </c>
      <c r="D595" s="651" t="s">
        <v>1123</v>
      </c>
      <c r="E595" s="651" t="s">
        <v>709</v>
      </c>
      <c r="F595" s="653">
        <v>0</v>
      </c>
      <c r="G595" s="654"/>
      <c r="H595" s="651" t="s">
        <v>650</v>
      </c>
      <c r="I595" s="655"/>
      <c r="J595" s="655"/>
      <c r="K595" s="653">
        <v>0</v>
      </c>
      <c r="L595" s="656">
        <v>0</v>
      </c>
    </row>
    <row r="596" spans="1:12" ht="31.5" x14ac:dyDescent="0.25">
      <c r="A596" s="651" t="s">
        <v>86</v>
      </c>
      <c r="B596" s="652">
        <v>2021</v>
      </c>
      <c r="C596" s="651" t="s">
        <v>710</v>
      </c>
      <c r="D596" s="651" t="s">
        <v>1124</v>
      </c>
      <c r="E596" s="651" t="s">
        <v>2</v>
      </c>
      <c r="F596" s="653">
        <v>-266086.56</v>
      </c>
      <c r="G596" s="651" t="s">
        <v>650</v>
      </c>
      <c r="H596" s="654"/>
      <c r="I596" s="653">
        <v>-264248.96875</v>
      </c>
      <c r="J596" s="653">
        <v>-1837.57995605469</v>
      </c>
      <c r="K596" s="653">
        <v>-266086.5625</v>
      </c>
      <c r="L596" s="656">
        <v>-266086.56</v>
      </c>
    </row>
    <row r="597" spans="1:12" ht="31.5" x14ac:dyDescent="0.25">
      <c r="A597" s="651" t="s">
        <v>86</v>
      </c>
      <c r="B597" s="652">
        <v>2021</v>
      </c>
      <c r="C597" s="651" t="s">
        <v>712</v>
      </c>
      <c r="D597" s="651" t="s">
        <v>1125</v>
      </c>
      <c r="E597" s="651" t="s">
        <v>3</v>
      </c>
      <c r="F597" s="653">
        <v>475168.16</v>
      </c>
      <c r="G597" s="651" t="s">
        <v>650</v>
      </c>
      <c r="H597" s="654"/>
      <c r="I597" s="653">
        <v>474363.46875</v>
      </c>
      <c r="J597" s="653">
        <v>804.70001220703102</v>
      </c>
      <c r="K597" s="653">
        <v>475168.15625</v>
      </c>
      <c r="L597" s="656">
        <v>475168.16</v>
      </c>
    </row>
    <row r="598" spans="1:12" ht="31.5" x14ac:dyDescent="0.25">
      <c r="A598" s="651" t="s">
        <v>86</v>
      </c>
      <c r="B598" s="652">
        <v>2021</v>
      </c>
      <c r="C598" s="651" t="s">
        <v>714</v>
      </c>
      <c r="D598" s="651" t="s">
        <v>1126</v>
      </c>
      <c r="E598" s="651" t="s">
        <v>38</v>
      </c>
      <c r="F598" s="653">
        <v>-4831378.8499999996</v>
      </c>
      <c r="G598" s="651" t="s">
        <v>650</v>
      </c>
      <c r="H598" s="654"/>
      <c r="I598" s="653">
        <v>-4775340.5</v>
      </c>
      <c r="J598" s="653">
        <v>-56038.23828125</v>
      </c>
      <c r="K598" s="653">
        <v>-4831379</v>
      </c>
      <c r="L598" s="656">
        <v>-4831378.8499999996</v>
      </c>
    </row>
    <row r="599" spans="1:12" ht="21" x14ac:dyDescent="0.25">
      <c r="A599" s="651" t="s">
        <v>86</v>
      </c>
      <c r="B599" s="652">
        <v>2021</v>
      </c>
      <c r="C599" s="651" t="s">
        <v>716</v>
      </c>
      <c r="D599" s="651" t="s">
        <v>1127</v>
      </c>
      <c r="E599" s="651" t="s">
        <v>66</v>
      </c>
      <c r="F599" s="653">
        <v>1379679.97</v>
      </c>
      <c r="G599" s="651" t="s">
        <v>650</v>
      </c>
      <c r="H599" s="654"/>
      <c r="I599" s="653">
        <v>1386368.5</v>
      </c>
      <c r="J599" s="653">
        <v>-6688.52001953125</v>
      </c>
      <c r="K599" s="653">
        <v>1379680</v>
      </c>
      <c r="L599" s="656">
        <v>1379679.97</v>
      </c>
    </row>
    <row r="600" spans="1:12" ht="31.5" x14ac:dyDescent="0.25">
      <c r="A600" s="651" t="s">
        <v>86</v>
      </c>
      <c r="B600" s="652">
        <v>2021</v>
      </c>
      <c r="C600" s="651" t="s">
        <v>718</v>
      </c>
      <c r="D600" s="651" t="s">
        <v>1128</v>
      </c>
      <c r="E600" s="651" t="s">
        <v>720</v>
      </c>
      <c r="F600" s="653">
        <v>0</v>
      </c>
      <c r="G600" s="654"/>
      <c r="H600" s="651" t="s">
        <v>650</v>
      </c>
      <c r="I600" s="655"/>
      <c r="J600" s="655"/>
      <c r="K600" s="653">
        <v>0</v>
      </c>
      <c r="L600" s="656">
        <v>0</v>
      </c>
    </row>
    <row r="601" spans="1:12" ht="42" x14ac:dyDescent="0.25">
      <c r="A601" s="651" t="s">
        <v>86</v>
      </c>
      <c r="B601" s="652">
        <v>2021</v>
      </c>
      <c r="C601" s="651" t="s">
        <v>721</v>
      </c>
      <c r="D601" s="651" t="s">
        <v>1129</v>
      </c>
      <c r="E601" s="651" t="s">
        <v>3016</v>
      </c>
      <c r="F601" s="653">
        <v>0</v>
      </c>
      <c r="G601" s="651" t="s">
        <v>650</v>
      </c>
      <c r="H601" s="654"/>
      <c r="I601" s="655"/>
      <c r="J601" s="655"/>
      <c r="K601" s="653">
        <v>0</v>
      </c>
      <c r="L601" s="656">
        <v>0</v>
      </c>
    </row>
    <row r="602" spans="1:12" ht="42" x14ac:dyDescent="0.25">
      <c r="A602" s="651" t="s">
        <v>86</v>
      </c>
      <c r="B602" s="652">
        <v>2021</v>
      </c>
      <c r="C602" s="651" t="s">
        <v>721</v>
      </c>
      <c r="D602" s="651" t="s">
        <v>1129</v>
      </c>
      <c r="E602" s="651" t="s">
        <v>3058</v>
      </c>
      <c r="F602" s="653">
        <v>0</v>
      </c>
      <c r="G602" s="651" t="s">
        <v>650</v>
      </c>
      <c r="H602" s="654"/>
      <c r="I602" s="655"/>
      <c r="J602" s="655"/>
      <c r="K602" s="653">
        <v>0</v>
      </c>
      <c r="L602" s="656">
        <v>0</v>
      </c>
    </row>
    <row r="603" spans="1:12" ht="42" x14ac:dyDescent="0.25">
      <c r="A603" s="651" t="s">
        <v>86</v>
      </c>
      <c r="B603" s="652">
        <v>2021</v>
      </c>
      <c r="C603" s="651" t="s">
        <v>721</v>
      </c>
      <c r="D603" s="651" t="s">
        <v>1130</v>
      </c>
      <c r="E603" s="651" t="s">
        <v>724</v>
      </c>
      <c r="F603" s="653">
        <v>0</v>
      </c>
      <c r="G603" s="651" t="s">
        <v>650</v>
      </c>
      <c r="H603" s="654"/>
      <c r="I603" s="655"/>
      <c r="J603" s="655"/>
      <c r="K603" s="653">
        <v>0</v>
      </c>
      <c r="L603" s="656">
        <v>0</v>
      </c>
    </row>
    <row r="604" spans="1:12" ht="42" x14ac:dyDescent="0.25">
      <c r="A604" s="651" t="s">
        <v>86</v>
      </c>
      <c r="B604" s="652">
        <v>2021</v>
      </c>
      <c r="C604" s="651" t="s">
        <v>721</v>
      </c>
      <c r="D604" s="651" t="s">
        <v>1131</v>
      </c>
      <c r="E604" s="651" t="s">
        <v>55</v>
      </c>
      <c r="F604" s="653">
        <v>0</v>
      </c>
      <c r="G604" s="651" t="s">
        <v>650</v>
      </c>
      <c r="H604" s="654"/>
      <c r="I604" s="655"/>
      <c r="J604" s="655"/>
      <c r="K604" s="653">
        <v>0</v>
      </c>
      <c r="L604" s="656">
        <v>0</v>
      </c>
    </row>
    <row r="605" spans="1:12" ht="42" x14ac:dyDescent="0.25">
      <c r="A605" s="651" t="s">
        <v>86</v>
      </c>
      <c r="B605" s="652">
        <v>2021</v>
      </c>
      <c r="C605" s="651" t="s">
        <v>721</v>
      </c>
      <c r="D605" s="651" t="s">
        <v>1132</v>
      </c>
      <c r="E605" s="651" t="s">
        <v>56</v>
      </c>
      <c r="F605" s="653">
        <v>0</v>
      </c>
      <c r="G605" s="651" t="s">
        <v>650</v>
      </c>
      <c r="H605" s="654"/>
      <c r="I605" s="655"/>
      <c r="J605" s="655"/>
      <c r="K605" s="653">
        <v>0</v>
      </c>
      <c r="L605" s="656">
        <v>0</v>
      </c>
    </row>
    <row r="606" spans="1:12" ht="42" x14ac:dyDescent="0.25">
      <c r="A606" s="651" t="s">
        <v>86</v>
      </c>
      <c r="B606" s="652">
        <v>2021</v>
      </c>
      <c r="C606" s="651" t="s">
        <v>721</v>
      </c>
      <c r="D606" s="651" t="s">
        <v>1133</v>
      </c>
      <c r="E606" s="651" t="s">
        <v>728</v>
      </c>
      <c r="F606" s="653">
        <v>0</v>
      </c>
      <c r="G606" s="651" t="s">
        <v>650</v>
      </c>
      <c r="H606" s="654"/>
      <c r="I606" s="655"/>
      <c r="J606" s="655"/>
      <c r="K606" s="653">
        <v>0</v>
      </c>
      <c r="L606" s="656">
        <v>0</v>
      </c>
    </row>
    <row r="607" spans="1:12" ht="42" x14ac:dyDescent="0.25">
      <c r="A607" s="651" t="s">
        <v>86</v>
      </c>
      <c r="B607" s="652">
        <v>2021</v>
      </c>
      <c r="C607" s="651" t="s">
        <v>721</v>
      </c>
      <c r="D607" s="651" t="s">
        <v>1134</v>
      </c>
      <c r="E607" s="651" t="s">
        <v>730</v>
      </c>
      <c r="F607" s="653">
        <v>0</v>
      </c>
      <c r="G607" s="651" t="s">
        <v>650</v>
      </c>
      <c r="H607" s="654"/>
      <c r="I607" s="655"/>
      <c r="J607" s="655"/>
      <c r="K607" s="653">
        <v>0</v>
      </c>
      <c r="L607" s="656">
        <v>0</v>
      </c>
    </row>
    <row r="608" spans="1:12" ht="42" x14ac:dyDescent="0.25">
      <c r="A608" s="651" t="s">
        <v>86</v>
      </c>
      <c r="B608" s="652">
        <v>2021</v>
      </c>
      <c r="C608" s="651" t="s">
        <v>721</v>
      </c>
      <c r="D608" s="651" t="s">
        <v>1135</v>
      </c>
      <c r="E608" s="651" t="s">
        <v>142</v>
      </c>
      <c r="F608" s="653">
        <v>0</v>
      </c>
      <c r="G608" s="651" t="s">
        <v>650</v>
      </c>
      <c r="H608" s="654"/>
      <c r="I608" s="655"/>
      <c r="J608" s="655"/>
      <c r="K608" s="653">
        <v>0</v>
      </c>
      <c r="L608" s="656">
        <v>0</v>
      </c>
    </row>
    <row r="609" spans="1:12" ht="42" x14ac:dyDescent="0.25">
      <c r="A609" s="651" t="s">
        <v>86</v>
      </c>
      <c r="B609" s="652">
        <v>2021</v>
      </c>
      <c r="C609" s="651" t="s">
        <v>721</v>
      </c>
      <c r="D609" s="651" t="s">
        <v>1136</v>
      </c>
      <c r="E609" s="651" t="s">
        <v>143</v>
      </c>
      <c r="F609" s="653">
        <v>0</v>
      </c>
      <c r="G609" s="651" t="s">
        <v>650</v>
      </c>
      <c r="H609" s="654"/>
      <c r="I609" s="655"/>
      <c r="J609" s="655"/>
      <c r="K609" s="653">
        <v>0</v>
      </c>
      <c r="L609" s="656">
        <v>0</v>
      </c>
    </row>
    <row r="610" spans="1:12" ht="42" x14ac:dyDescent="0.25">
      <c r="A610" s="651" t="s">
        <v>86</v>
      </c>
      <c r="B610" s="652">
        <v>2021</v>
      </c>
      <c r="C610" s="651" t="s">
        <v>721</v>
      </c>
      <c r="D610" s="651" t="s">
        <v>1137</v>
      </c>
      <c r="E610" s="651" t="s">
        <v>182</v>
      </c>
      <c r="F610" s="653">
        <v>0</v>
      </c>
      <c r="G610" s="651" t="s">
        <v>650</v>
      </c>
      <c r="H610" s="654"/>
      <c r="I610" s="655"/>
      <c r="J610" s="655"/>
      <c r="K610" s="653">
        <v>0</v>
      </c>
      <c r="L610" s="656">
        <v>0</v>
      </c>
    </row>
    <row r="611" spans="1:12" ht="42" x14ac:dyDescent="0.25">
      <c r="A611" s="651" t="s">
        <v>86</v>
      </c>
      <c r="B611" s="652">
        <v>2021</v>
      </c>
      <c r="C611" s="651" t="s">
        <v>721</v>
      </c>
      <c r="D611" s="651" t="s">
        <v>1138</v>
      </c>
      <c r="E611" s="651" t="s">
        <v>394</v>
      </c>
      <c r="F611" s="653">
        <v>0</v>
      </c>
      <c r="G611" s="651" t="s">
        <v>650</v>
      </c>
      <c r="H611" s="654"/>
      <c r="I611" s="655"/>
      <c r="J611" s="655"/>
      <c r="K611" s="653">
        <v>0</v>
      </c>
      <c r="L611" s="656">
        <v>0</v>
      </c>
    </row>
    <row r="612" spans="1:12" ht="42" x14ac:dyDescent="0.25">
      <c r="A612" s="651" t="s">
        <v>86</v>
      </c>
      <c r="B612" s="652">
        <v>2021</v>
      </c>
      <c r="C612" s="651" t="s">
        <v>721</v>
      </c>
      <c r="D612" s="651" t="s">
        <v>1139</v>
      </c>
      <c r="E612" s="651" t="s">
        <v>423</v>
      </c>
      <c r="F612" s="653">
        <v>0</v>
      </c>
      <c r="G612" s="651" t="s">
        <v>650</v>
      </c>
      <c r="H612" s="654"/>
      <c r="I612" s="655"/>
      <c r="J612" s="655"/>
      <c r="K612" s="653">
        <v>0</v>
      </c>
      <c r="L612" s="656">
        <v>0</v>
      </c>
    </row>
    <row r="613" spans="1:12" ht="42" x14ac:dyDescent="0.25">
      <c r="A613" s="651" t="s">
        <v>86</v>
      </c>
      <c r="B613" s="652">
        <v>2021</v>
      </c>
      <c r="C613" s="651" t="s">
        <v>721</v>
      </c>
      <c r="D613" s="651" t="s">
        <v>3082</v>
      </c>
      <c r="E613" s="651" t="s">
        <v>441</v>
      </c>
      <c r="F613" s="653">
        <v>0</v>
      </c>
      <c r="G613" s="651" t="s">
        <v>650</v>
      </c>
      <c r="H613" s="654"/>
      <c r="I613" s="653">
        <v>440940.375</v>
      </c>
      <c r="J613" s="655"/>
      <c r="K613" s="653">
        <v>440940.375</v>
      </c>
      <c r="L613" s="656">
        <v>440940.36</v>
      </c>
    </row>
    <row r="614" spans="1:12" ht="42" x14ac:dyDescent="0.25">
      <c r="A614" s="651" t="s">
        <v>86</v>
      </c>
      <c r="B614" s="652">
        <v>2021</v>
      </c>
      <c r="C614" s="651" t="s">
        <v>721</v>
      </c>
      <c r="D614" s="651" t="s">
        <v>1140</v>
      </c>
      <c r="E614" s="651" t="s">
        <v>737</v>
      </c>
      <c r="F614" s="653">
        <v>440940.36</v>
      </c>
      <c r="G614" s="654"/>
      <c r="H614" s="654"/>
      <c r="I614" s="655"/>
      <c r="J614" s="655"/>
      <c r="K614" s="653">
        <v>0</v>
      </c>
      <c r="L614" s="656">
        <v>440940.36</v>
      </c>
    </row>
    <row r="615" spans="1:12" ht="14.5" x14ac:dyDescent="0.25">
      <c r="A615" s="651" t="s">
        <v>86</v>
      </c>
      <c r="B615" s="652">
        <v>2021</v>
      </c>
      <c r="C615" s="651" t="s">
        <v>738</v>
      </c>
      <c r="D615" s="651" t="s">
        <v>1141</v>
      </c>
      <c r="E615" s="651" t="s">
        <v>7</v>
      </c>
      <c r="F615" s="653">
        <v>0</v>
      </c>
      <c r="G615" s="654"/>
      <c r="H615" s="651" t="s">
        <v>650</v>
      </c>
      <c r="I615" s="655"/>
      <c r="J615" s="655"/>
      <c r="K615" s="653">
        <v>0</v>
      </c>
      <c r="L615" s="656">
        <v>0</v>
      </c>
    </row>
    <row r="616" spans="1:12" ht="21" x14ac:dyDescent="0.25">
      <c r="A616" s="651" t="s">
        <v>433</v>
      </c>
      <c r="B616" s="652">
        <v>2021</v>
      </c>
      <c r="C616" s="651" t="s">
        <v>647</v>
      </c>
      <c r="D616" s="651" t="s">
        <v>3083</v>
      </c>
      <c r="E616" s="651" t="s">
        <v>649</v>
      </c>
      <c r="F616" s="653">
        <v>-735896.53</v>
      </c>
      <c r="G616" s="654"/>
      <c r="H616" s="651" t="s">
        <v>650</v>
      </c>
      <c r="I616" s="655"/>
      <c r="J616" s="655"/>
      <c r="K616" s="653">
        <v>0</v>
      </c>
      <c r="L616" s="656">
        <v>-735896.53</v>
      </c>
    </row>
    <row r="617" spans="1:12" ht="14.5" x14ac:dyDescent="0.25">
      <c r="A617" s="651" t="s">
        <v>433</v>
      </c>
      <c r="B617" s="652">
        <v>2021</v>
      </c>
      <c r="C617" s="651" t="s">
        <v>651</v>
      </c>
      <c r="D617" s="651" t="s">
        <v>3084</v>
      </c>
      <c r="E617" s="651" t="s">
        <v>653</v>
      </c>
      <c r="F617" s="653">
        <v>0</v>
      </c>
      <c r="G617" s="654"/>
      <c r="H617" s="651" t="s">
        <v>650</v>
      </c>
      <c r="I617" s="655"/>
      <c r="J617" s="655"/>
      <c r="K617" s="653">
        <v>0</v>
      </c>
      <c r="L617" s="656">
        <v>0</v>
      </c>
    </row>
    <row r="618" spans="1:12" ht="42" x14ac:dyDescent="0.25">
      <c r="A618" s="651" t="s">
        <v>433</v>
      </c>
      <c r="B618" s="652">
        <v>2021</v>
      </c>
      <c r="C618" s="651" t="s">
        <v>654</v>
      </c>
      <c r="D618" s="651" t="s">
        <v>3085</v>
      </c>
      <c r="E618" s="651" t="s">
        <v>445</v>
      </c>
      <c r="F618" s="653">
        <v>-46630.720000000001</v>
      </c>
      <c r="G618" s="654"/>
      <c r="H618" s="651" t="s">
        <v>650</v>
      </c>
      <c r="I618" s="655"/>
      <c r="J618" s="655"/>
      <c r="K618" s="653">
        <v>0</v>
      </c>
      <c r="L618" s="656">
        <v>-46630.720000000001</v>
      </c>
    </row>
    <row r="619" spans="1:12" ht="21" x14ac:dyDescent="0.25">
      <c r="A619" s="651" t="s">
        <v>433</v>
      </c>
      <c r="B619" s="652">
        <v>2021</v>
      </c>
      <c r="C619" s="651" t="s">
        <v>656</v>
      </c>
      <c r="D619" s="651" t="s">
        <v>3086</v>
      </c>
      <c r="E619" s="651" t="s">
        <v>658</v>
      </c>
      <c r="F619" s="653">
        <v>0</v>
      </c>
      <c r="G619" s="654"/>
      <c r="H619" s="651" t="s">
        <v>650</v>
      </c>
      <c r="I619" s="655"/>
      <c r="J619" s="655"/>
      <c r="K619" s="653">
        <v>0</v>
      </c>
      <c r="L619" s="656">
        <v>0</v>
      </c>
    </row>
    <row r="620" spans="1:12" ht="31.5" x14ac:dyDescent="0.25">
      <c r="A620" s="651" t="s">
        <v>433</v>
      </c>
      <c r="B620" s="652">
        <v>2021</v>
      </c>
      <c r="C620" s="651" t="s">
        <v>659</v>
      </c>
      <c r="D620" s="651" t="s">
        <v>3087</v>
      </c>
      <c r="E620" s="651" t="s">
        <v>661</v>
      </c>
      <c r="F620" s="653">
        <v>0</v>
      </c>
      <c r="G620" s="654"/>
      <c r="H620" s="651" t="s">
        <v>650</v>
      </c>
      <c r="I620" s="655"/>
      <c r="J620" s="655"/>
      <c r="K620" s="653">
        <v>0</v>
      </c>
      <c r="L620" s="656">
        <v>0</v>
      </c>
    </row>
    <row r="621" spans="1:12" ht="21" x14ac:dyDescent="0.25">
      <c r="A621" s="651" t="s">
        <v>433</v>
      </c>
      <c r="B621" s="652">
        <v>2021</v>
      </c>
      <c r="C621" s="651" t="s">
        <v>662</v>
      </c>
      <c r="D621" s="651" t="s">
        <v>3088</v>
      </c>
      <c r="E621" s="651" t="s">
        <v>664</v>
      </c>
      <c r="F621" s="653">
        <v>0</v>
      </c>
      <c r="G621" s="654"/>
      <c r="H621" s="651" t="s">
        <v>650</v>
      </c>
      <c r="I621" s="655"/>
      <c r="J621" s="655"/>
      <c r="K621" s="653">
        <v>0</v>
      </c>
      <c r="L621" s="656">
        <v>0</v>
      </c>
    </row>
    <row r="622" spans="1:12" ht="31.5" x14ac:dyDescent="0.25">
      <c r="A622" s="651" t="s">
        <v>433</v>
      </c>
      <c r="B622" s="652">
        <v>2021</v>
      </c>
      <c r="C622" s="651" t="s">
        <v>665</v>
      </c>
      <c r="D622" s="651" t="s">
        <v>3089</v>
      </c>
      <c r="E622" s="651" t="s">
        <v>667</v>
      </c>
      <c r="F622" s="653">
        <v>0</v>
      </c>
      <c r="G622" s="654"/>
      <c r="H622" s="651" t="s">
        <v>650</v>
      </c>
      <c r="I622" s="655"/>
      <c r="J622" s="655"/>
      <c r="K622" s="653">
        <v>0</v>
      </c>
      <c r="L622" s="656">
        <v>0</v>
      </c>
    </row>
    <row r="623" spans="1:12" ht="21" x14ac:dyDescent="0.25">
      <c r="A623" s="651" t="s">
        <v>433</v>
      </c>
      <c r="B623" s="652">
        <v>2021</v>
      </c>
      <c r="C623" s="651" t="s">
        <v>668</v>
      </c>
      <c r="D623" s="651" t="s">
        <v>3090</v>
      </c>
      <c r="E623" s="651" t="s">
        <v>12</v>
      </c>
      <c r="F623" s="653">
        <v>0</v>
      </c>
      <c r="G623" s="654"/>
      <c r="H623" s="651" t="s">
        <v>650</v>
      </c>
      <c r="I623" s="655"/>
      <c r="J623" s="655"/>
      <c r="K623" s="653">
        <v>0</v>
      </c>
      <c r="L623" s="656">
        <v>0</v>
      </c>
    </row>
    <row r="624" spans="1:12" ht="21" x14ac:dyDescent="0.25">
      <c r="A624" s="651" t="s">
        <v>433</v>
      </c>
      <c r="B624" s="652">
        <v>2021</v>
      </c>
      <c r="C624" s="651" t="s">
        <v>670</v>
      </c>
      <c r="D624" s="651" t="s">
        <v>3091</v>
      </c>
      <c r="E624" s="651" t="s">
        <v>13</v>
      </c>
      <c r="F624" s="653">
        <v>0</v>
      </c>
      <c r="G624" s="654"/>
      <c r="H624" s="651" t="s">
        <v>650</v>
      </c>
      <c r="I624" s="655"/>
      <c r="J624" s="655"/>
      <c r="K624" s="653">
        <v>0</v>
      </c>
      <c r="L624" s="656">
        <v>0</v>
      </c>
    </row>
    <row r="625" spans="1:12" ht="21" x14ac:dyDescent="0.25">
      <c r="A625" s="651" t="s">
        <v>433</v>
      </c>
      <c r="B625" s="652">
        <v>2021</v>
      </c>
      <c r="C625" s="651" t="s">
        <v>672</v>
      </c>
      <c r="D625" s="651" t="s">
        <v>3092</v>
      </c>
      <c r="E625" s="651" t="s">
        <v>15</v>
      </c>
      <c r="F625" s="653">
        <v>0</v>
      </c>
      <c r="G625" s="654"/>
      <c r="H625" s="651" t="s">
        <v>650</v>
      </c>
      <c r="I625" s="655"/>
      <c r="J625" s="655"/>
      <c r="K625" s="653">
        <v>0</v>
      </c>
      <c r="L625" s="656">
        <v>0</v>
      </c>
    </row>
    <row r="626" spans="1:12" ht="14.5" x14ac:dyDescent="0.25">
      <c r="A626" s="651" t="s">
        <v>433</v>
      </c>
      <c r="B626" s="652">
        <v>2021</v>
      </c>
      <c r="C626" s="651" t="s">
        <v>674</v>
      </c>
      <c r="D626" s="651" t="s">
        <v>3093</v>
      </c>
      <c r="E626" s="651" t="s">
        <v>676</v>
      </c>
      <c r="F626" s="653">
        <v>0</v>
      </c>
      <c r="G626" s="654"/>
      <c r="H626" s="651" t="s">
        <v>650</v>
      </c>
      <c r="I626" s="655"/>
      <c r="J626" s="655"/>
      <c r="K626" s="653">
        <v>0</v>
      </c>
      <c r="L626" s="656">
        <v>0</v>
      </c>
    </row>
    <row r="627" spans="1:12" ht="14.5" x14ac:dyDescent="0.25">
      <c r="A627" s="651" t="s">
        <v>433</v>
      </c>
      <c r="B627" s="652">
        <v>2021</v>
      </c>
      <c r="C627" s="651" t="s">
        <v>677</v>
      </c>
      <c r="D627" s="651" t="s">
        <v>3094</v>
      </c>
      <c r="E627" s="651" t="s">
        <v>23</v>
      </c>
      <c r="F627" s="653">
        <v>0</v>
      </c>
      <c r="G627" s="651" t="s">
        <v>650</v>
      </c>
      <c r="H627" s="654"/>
      <c r="I627" s="655"/>
      <c r="J627" s="655"/>
      <c r="K627" s="653">
        <v>0</v>
      </c>
      <c r="L627" s="656">
        <v>0</v>
      </c>
    </row>
    <row r="628" spans="1:12" ht="31.5" x14ac:dyDescent="0.25">
      <c r="A628" s="651" t="s">
        <v>433</v>
      </c>
      <c r="B628" s="652">
        <v>2021</v>
      </c>
      <c r="C628" s="651" t="s">
        <v>679</v>
      </c>
      <c r="D628" s="651" t="s">
        <v>3095</v>
      </c>
      <c r="E628" s="651" t="s">
        <v>131</v>
      </c>
      <c r="F628" s="653">
        <v>-17343.2</v>
      </c>
      <c r="G628" s="651" t="s">
        <v>650</v>
      </c>
      <c r="H628" s="654"/>
      <c r="I628" s="653">
        <v>-16998.529296875</v>
      </c>
      <c r="J628" s="653">
        <v>-344.67001342773398</v>
      </c>
      <c r="K628" s="653">
        <v>-17343.19921875</v>
      </c>
      <c r="L628" s="656">
        <v>-17343.2</v>
      </c>
    </row>
    <row r="629" spans="1:12" ht="31.5" x14ac:dyDescent="0.25">
      <c r="A629" s="651" t="s">
        <v>433</v>
      </c>
      <c r="B629" s="652">
        <v>2021</v>
      </c>
      <c r="C629" s="651" t="s">
        <v>681</v>
      </c>
      <c r="D629" s="651" t="s">
        <v>3096</v>
      </c>
      <c r="E629" s="651" t="s">
        <v>683</v>
      </c>
      <c r="F629" s="653">
        <v>21708.880000000001</v>
      </c>
      <c r="G629" s="654"/>
      <c r="H629" s="651" t="s">
        <v>650</v>
      </c>
      <c r="I629" s="655"/>
      <c r="J629" s="655"/>
      <c r="K629" s="653">
        <v>0</v>
      </c>
      <c r="L629" s="656">
        <v>21708.880000000001</v>
      </c>
    </row>
    <row r="630" spans="1:12" ht="21" x14ac:dyDescent="0.25">
      <c r="A630" s="651" t="s">
        <v>433</v>
      </c>
      <c r="B630" s="652">
        <v>2021</v>
      </c>
      <c r="C630" s="651" t="s">
        <v>681</v>
      </c>
      <c r="D630" s="651" t="s">
        <v>3096</v>
      </c>
      <c r="E630" s="651" t="s">
        <v>684</v>
      </c>
      <c r="F630" s="653">
        <v>21708.880000000001</v>
      </c>
      <c r="G630" s="654"/>
      <c r="H630" s="651" t="s">
        <v>650</v>
      </c>
      <c r="I630" s="655"/>
      <c r="J630" s="655"/>
      <c r="K630" s="653">
        <v>0</v>
      </c>
      <c r="L630" s="656">
        <v>21708.880000000001</v>
      </c>
    </row>
    <row r="631" spans="1:12" ht="21" x14ac:dyDescent="0.25">
      <c r="A631" s="651" t="s">
        <v>433</v>
      </c>
      <c r="B631" s="652">
        <v>2021</v>
      </c>
      <c r="C631" s="651" t="s">
        <v>685</v>
      </c>
      <c r="D631" s="651" t="s">
        <v>3097</v>
      </c>
      <c r="E631" s="651" t="s">
        <v>687</v>
      </c>
      <c r="F631" s="653">
        <v>1272408.99</v>
      </c>
      <c r="G631" s="654"/>
      <c r="H631" s="651" t="s">
        <v>650</v>
      </c>
      <c r="I631" s="655"/>
      <c r="J631" s="655"/>
      <c r="K631" s="653">
        <v>0</v>
      </c>
      <c r="L631" s="656">
        <v>1272408.99</v>
      </c>
    </row>
    <row r="632" spans="1:12" ht="14.5" x14ac:dyDescent="0.25">
      <c r="A632" s="651" t="s">
        <v>433</v>
      </c>
      <c r="B632" s="652">
        <v>2021</v>
      </c>
      <c r="C632" s="651" t="s">
        <v>688</v>
      </c>
      <c r="D632" s="651" t="s">
        <v>3098</v>
      </c>
      <c r="E632" s="651" t="s">
        <v>50</v>
      </c>
      <c r="F632" s="653">
        <v>1219295.3400000001</v>
      </c>
      <c r="G632" s="654"/>
      <c r="H632" s="651" t="s">
        <v>650</v>
      </c>
      <c r="I632" s="655"/>
      <c r="J632" s="655"/>
      <c r="K632" s="653">
        <v>0</v>
      </c>
      <c r="L632" s="656">
        <v>1219295.3400000001</v>
      </c>
    </row>
    <row r="633" spans="1:12" ht="21" x14ac:dyDescent="0.25">
      <c r="A633" s="651" t="s">
        <v>433</v>
      </c>
      <c r="B633" s="652">
        <v>2021</v>
      </c>
      <c r="C633" s="651" t="s">
        <v>690</v>
      </c>
      <c r="D633" s="651" t="s">
        <v>3099</v>
      </c>
      <c r="E633" s="651" t="s">
        <v>692</v>
      </c>
      <c r="F633" s="653">
        <v>0</v>
      </c>
      <c r="G633" s="654"/>
      <c r="H633" s="651" t="s">
        <v>650</v>
      </c>
      <c r="I633" s="655"/>
      <c r="J633" s="655"/>
      <c r="K633" s="653">
        <v>0</v>
      </c>
      <c r="L633" s="656">
        <v>0</v>
      </c>
    </row>
    <row r="634" spans="1:12" ht="21" x14ac:dyDescent="0.25">
      <c r="A634" s="651" t="s">
        <v>433</v>
      </c>
      <c r="B634" s="652">
        <v>2021</v>
      </c>
      <c r="C634" s="651" t="s">
        <v>693</v>
      </c>
      <c r="D634" s="651" t="s">
        <v>3100</v>
      </c>
      <c r="E634" s="651" t="s">
        <v>6</v>
      </c>
      <c r="F634" s="653">
        <v>0</v>
      </c>
      <c r="G634" s="654"/>
      <c r="H634" s="651" t="s">
        <v>650</v>
      </c>
      <c r="I634" s="655"/>
      <c r="J634" s="655"/>
      <c r="K634" s="653">
        <v>0</v>
      </c>
      <c r="L634" s="656">
        <v>0</v>
      </c>
    </row>
    <row r="635" spans="1:12" ht="31.5" x14ac:dyDescent="0.25">
      <c r="A635" s="651" t="s">
        <v>433</v>
      </c>
      <c r="B635" s="652">
        <v>2021</v>
      </c>
      <c r="C635" s="651" t="s">
        <v>695</v>
      </c>
      <c r="D635" s="651" t="s">
        <v>3101</v>
      </c>
      <c r="E635" s="651" t="s">
        <v>697</v>
      </c>
      <c r="F635" s="653">
        <v>-19564550.440000001</v>
      </c>
      <c r="G635" s="654"/>
      <c r="H635" s="651" t="s">
        <v>650</v>
      </c>
      <c r="I635" s="655"/>
      <c r="J635" s="655"/>
      <c r="K635" s="653">
        <v>0</v>
      </c>
      <c r="L635" s="656">
        <v>-19564550.440000001</v>
      </c>
    </row>
    <row r="636" spans="1:12" ht="21" x14ac:dyDescent="0.25">
      <c r="A636" s="651" t="s">
        <v>433</v>
      </c>
      <c r="B636" s="652">
        <v>2021</v>
      </c>
      <c r="C636" s="651" t="s">
        <v>698</v>
      </c>
      <c r="D636" s="651" t="s">
        <v>3102</v>
      </c>
      <c r="E636" s="651" t="s">
        <v>700</v>
      </c>
      <c r="F636" s="653">
        <v>0</v>
      </c>
      <c r="G636" s="654"/>
      <c r="H636" s="651" t="s">
        <v>650</v>
      </c>
      <c r="I636" s="655"/>
      <c r="J636" s="655"/>
      <c r="K636" s="653">
        <v>0</v>
      </c>
      <c r="L636" s="656">
        <v>0</v>
      </c>
    </row>
    <row r="637" spans="1:12" ht="21" x14ac:dyDescent="0.25">
      <c r="A637" s="651" t="s">
        <v>433</v>
      </c>
      <c r="B637" s="652">
        <v>2021</v>
      </c>
      <c r="C637" s="651" t="s">
        <v>701</v>
      </c>
      <c r="D637" s="651" t="s">
        <v>3103</v>
      </c>
      <c r="E637" s="651" t="s">
        <v>1</v>
      </c>
      <c r="F637" s="653">
        <v>-1659529.41</v>
      </c>
      <c r="G637" s="651" t="s">
        <v>650</v>
      </c>
      <c r="H637" s="654"/>
      <c r="I637" s="653">
        <v>-1683826.75</v>
      </c>
      <c r="J637" s="653">
        <v>24297.359375</v>
      </c>
      <c r="K637" s="653">
        <v>-1659529.375</v>
      </c>
      <c r="L637" s="656">
        <v>-1659529.41</v>
      </c>
    </row>
    <row r="638" spans="1:12" ht="21" x14ac:dyDescent="0.25">
      <c r="A638" s="651" t="s">
        <v>433</v>
      </c>
      <c r="B638" s="652">
        <v>2021</v>
      </c>
      <c r="C638" s="651" t="s">
        <v>701</v>
      </c>
      <c r="D638" s="651" t="s">
        <v>3103</v>
      </c>
      <c r="E638" s="651" t="s">
        <v>703</v>
      </c>
      <c r="F638" s="653">
        <v>0</v>
      </c>
      <c r="G638" s="654"/>
      <c r="H638" s="654"/>
      <c r="I638" s="655"/>
      <c r="J638" s="655"/>
      <c r="K638" s="653">
        <v>0</v>
      </c>
      <c r="L638" s="656">
        <v>0</v>
      </c>
    </row>
    <row r="639" spans="1:12" ht="21" x14ac:dyDescent="0.25">
      <c r="A639" s="651" t="s">
        <v>433</v>
      </c>
      <c r="B639" s="652">
        <v>2021</v>
      </c>
      <c r="C639" s="651" t="s">
        <v>701</v>
      </c>
      <c r="D639" s="651" t="s">
        <v>3103</v>
      </c>
      <c r="E639" s="651" t="s">
        <v>704</v>
      </c>
      <c r="F639" s="653">
        <v>0</v>
      </c>
      <c r="G639" s="654"/>
      <c r="H639" s="654"/>
      <c r="I639" s="655"/>
      <c r="J639" s="655"/>
      <c r="K639" s="653">
        <v>0</v>
      </c>
      <c r="L639" s="656">
        <v>0</v>
      </c>
    </row>
    <row r="640" spans="1:12" ht="21" x14ac:dyDescent="0.25">
      <c r="A640" s="651" t="s">
        <v>433</v>
      </c>
      <c r="B640" s="652">
        <v>2021</v>
      </c>
      <c r="C640" s="651" t="s">
        <v>701</v>
      </c>
      <c r="D640" s="651" t="s">
        <v>3103</v>
      </c>
      <c r="E640" s="651" t="s">
        <v>705</v>
      </c>
      <c r="F640" s="653">
        <v>-3568.25</v>
      </c>
      <c r="G640" s="654"/>
      <c r="H640" s="654"/>
      <c r="I640" s="655"/>
      <c r="J640" s="655"/>
      <c r="K640" s="653">
        <v>0</v>
      </c>
      <c r="L640" s="656">
        <v>-3568.25</v>
      </c>
    </row>
    <row r="641" spans="1:12" ht="21" x14ac:dyDescent="0.25">
      <c r="A641" s="651" t="s">
        <v>433</v>
      </c>
      <c r="B641" s="652">
        <v>2021</v>
      </c>
      <c r="C641" s="651" t="s">
        <v>701</v>
      </c>
      <c r="D641" s="651" t="s">
        <v>3103</v>
      </c>
      <c r="E641" s="651" t="s">
        <v>706</v>
      </c>
      <c r="F641" s="653">
        <v>-166418.32</v>
      </c>
      <c r="G641" s="654"/>
      <c r="H641" s="654"/>
      <c r="I641" s="655"/>
      <c r="J641" s="655"/>
      <c r="K641" s="653">
        <v>0</v>
      </c>
      <c r="L641" s="656">
        <v>-166418.32</v>
      </c>
    </row>
    <row r="642" spans="1:12" ht="14.5" x14ac:dyDescent="0.25">
      <c r="A642" s="651" t="s">
        <v>433</v>
      </c>
      <c r="B642" s="652">
        <v>2021</v>
      </c>
      <c r="C642" s="651" t="s">
        <v>707</v>
      </c>
      <c r="D642" s="651" t="s">
        <v>3104</v>
      </c>
      <c r="E642" s="651" t="s">
        <v>709</v>
      </c>
      <c r="F642" s="653">
        <v>0</v>
      </c>
      <c r="G642" s="654"/>
      <c r="H642" s="651" t="s">
        <v>650</v>
      </c>
      <c r="I642" s="655"/>
      <c r="J642" s="655"/>
      <c r="K642" s="653">
        <v>0</v>
      </c>
      <c r="L642" s="656">
        <v>0</v>
      </c>
    </row>
    <row r="643" spans="1:12" ht="31.5" x14ac:dyDescent="0.25">
      <c r="A643" s="651" t="s">
        <v>433</v>
      </c>
      <c r="B643" s="652">
        <v>2021</v>
      </c>
      <c r="C643" s="651" t="s">
        <v>710</v>
      </c>
      <c r="D643" s="651" t="s">
        <v>3105</v>
      </c>
      <c r="E643" s="651" t="s">
        <v>2</v>
      </c>
      <c r="F643" s="653">
        <v>-97558.77</v>
      </c>
      <c r="G643" s="651" t="s">
        <v>650</v>
      </c>
      <c r="H643" s="654"/>
      <c r="I643" s="653">
        <v>-82085.4375</v>
      </c>
      <c r="J643" s="653">
        <v>-15473.330078125</v>
      </c>
      <c r="K643" s="653">
        <v>-97558.7734375</v>
      </c>
      <c r="L643" s="656">
        <v>-97558.77</v>
      </c>
    </row>
    <row r="644" spans="1:12" ht="31.5" x14ac:dyDescent="0.25">
      <c r="A644" s="651" t="s">
        <v>433</v>
      </c>
      <c r="B644" s="652">
        <v>2021</v>
      </c>
      <c r="C644" s="651" t="s">
        <v>712</v>
      </c>
      <c r="D644" s="651" t="s">
        <v>3106</v>
      </c>
      <c r="E644" s="651" t="s">
        <v>3</v>
      </c>
      <c r="F644" s="653">
        <v>-531081.91</v>
      </c>
      <c r="G644" s="651" t="s">
        <v>650</v>
      </c>
      <c r="H644" s="654"/>
      <c r="I644" s="653">
        <v>-513860.03125</v>
      </c>
      <c r="J644" s="653">
        <v>-17221.880859375</v>
      </c>
      <c r="K644" s="653">
        <v>-531081.9375</v>
      </c>
      <c r="L644" s="656">
        <v>-531081.91</v>
      </c>
    </row>
    <row r="645" spans="1:12" ht="31.5" x14ac:dyDescent="0.25">
      <c r="A645" s="651" t="s">
        <v>433</v>
      </c>
      <c r="B645" s="652">
        <v>2021</v>
      </c>
      <c r="C645" s="651" t="s">
        <v>714</v>
      </c>
      <c r="D645" s="651" t="s">
        <v>3107</v>
      </c>
      <c r="E645" s="651" t="s">
        <v>38</v>
      </c>
      <c r="F645" s="653">
        <v>210900.82</v>
      </c>
      <c r="G645" s="651" t="s">
        <v>650</v>
      </c>
      <c r="H645" s="654"/>
      <c r="I645" s="653">
        <v>225580.296875</v>
      </c>
      <c r="J645" s="653">
        <v>-14679.4697265625</v>
      </c>
      <c r="K645" s="653">
        <v>210900.8125</v>
      </c>
      <c r="L645" s="656">
        <v>210900.82</v>
      </c>
    </row>
    <row r="646" spans="1:12" ht="21" x14ac:dyDescent="0.25">
      <c r="A646" s="651" t="s">
        <v>433</v>
      </c>
      <c r="B646" s="652">
        <v>2021</v>
      </c>
      <c r="C646" s="651" t="s">
        <v>716</v>
      </c>
      <c r="D646" s="651" t="s">
        <v>3108</v>
      </c>
      <c r="E646" s="651" t="s">
        <v>66</v>
      </c>
      <c r="F646" s="653">
        <v>74292.41</v>
      </c>
      <c r="G646" s="651" t="s">
        <v>650</v>
      </c>
      <c r="H646" s="654"/>
      <c r="I646" s="653">
        <v>34284.25</v>
      </c>
      <c r="J646" s="653">
        <v>40008.16015625</v>
      </c>
      <c r="K646" s="653">
        <v>74292.40625</v>
      </c>
      <c r="L646" s="656">
        <v>74292.41</v>
      </c>
    </row>
    <row r="647" spans="1:12" ht="31.5" x14ac:dyDescent="0.25">
      <c r="A647" s="651" t="s">
        <v>433</v>
      </c>
      <c r="B647" s="652">
        <v>2021</v>
      </c>
      <c r="C647" s="651" t="s">
        <v>718</v>
      </c>
      <c r="D647" s="651" t="s">
        <v>3109</v>
      </c>
      <c r="E647" s="651" t="s">
        <v>720</v>
      </c>
      <c r="F647" s="653">
        <v>-448703.48</v>
      </c>
      <c r="G647" s="654"/>
      <c r="H647" s="651" t="s">
        <v>650</v>
      </c>
      <c r="I647" s="655"/>
      <c r="J647" s="655"/>
      <c r="K647" s="653">
        <v>0</v>
      </c>
      <c r="L647" s="656">
        <v>-448703.48</v>
      </c>
    </row>
    <row r="648" spans="1:12" ht="42" x14ac:dyDescent="0.25">
      <c r="A648" s="651" t="s">
        <v>433</v>
      </c>
      <c r="B648" s="652">
        <v>2021</v>
      </c>
      <c r="C648" s="651" t="s">
        <v>721</v>
      </c>
      <c r="D648" s="651" t="s">
        <v>3110</v>
      </c>
      <c r="E648" s="651" t="s">
        <v>3016</v>
      </c>
      <c r="F648" s="653">
        <v>0</v>
      </c>
      <c r="G648" s="651" t="s">
        <v>650</v>
      </c>
      <c r="H648" s="654"/>
      <c r="I648" s="653">
        <v>10733.240234375</v>
      </c>
      <c r="J648" s="653">
        <v>-5396.35986328125</v>
      </c>
      <c r="K648" s="653">
        <v>5336.8798828125</v>
      </c>
      <c r="L648" s="656">
        <v>5336.88</v>
      </c>
    </row>
    <row r="649" spans="1:12" ht="42" x14ac:dyDescent="0.25">
      <c r="A649" s="651" t="s">
        <v>433</v>
      </c>
      <c r="B649" s="652">
        <v>2021</v>
      </c>
      <c r="C649" s="651" t="s">
        <v>721</v>
      </c>
      <c r="D649" s="651" t="s">
        <v>3110</v>
      </c>
      <c r="E649" s="651" t="s">
        <v>3058</v>
      </c>
      <c r="F649" s="653">
        <v>0</v>
      </c>
      <c r="G649" s="651" t="s">
        <v>650</v>
      </c>
      <c r="H649" s="654"/>
      <c r="I649" s="653">
        <v>-498449.375</v>
      </c>
      <c r="J649" s="653">
        <v>-15190.8798828125</v>
      </c>
      <c r="K649" s="653">
        <v>-513640.25</v>
      </c>
      <c r="L649" s="656">
        <v>-513640.25</v>
      </c>
    </row>
    <row r="650" spans="1:12" ht="42" x14ac:dyDescent="0.25">
      <c r="A650" s="651" t="s">
        <v>433</v>
      </c>
      <c r="B650" s="652">
        <v>2021</v>
      </c>
      <c r="C650" s="651" t="s">
        <v>721</v>
      </c>
      <c r="D650" s="651" t="s">
        <v>3111</v>
      </c>
      <c r="E650" s="651" t="s">
        <v>724</v>
      </c>
      <c r="F650" s="653">
        <v>0</v>
      </c>
      <c r="G650" s="651" t="s">
        <v>650</v>
      </c>
      <c r="H650" s="654"/>
      <c r="I650" s="655"/>
      <c r="J650" s="655"/>
      <c r="K650" s="653">
        <v>0</v>
      </c>
      <c r="L650" s="656">
        <v>0</v>
      </c>
    </row>
    <row r="651" spans="1:12" ht="42" x14ac:dyDescent="0.25">
      <c r="A651" s="651" t="s">
        <v>433</v>
      </c>
      <c r="B651" s="652">
        <v>2021</v>
      </c>
      <c r="C651" s="651" t="s">
        <v>721</v>
      </c>
      <c r="D651" s="651" t="s">
        <v>3112</v>
      </c>
      <c r="E651" s="651" t="s">
        <v>55</v>
      </c>
      <c r="F651" s="653">
        <v>0</v>
      </c>
      <c r="G651" s="651" t="s">
        <v>650</v>
      </c>
      <c r="H651" s="654"/>
      <c r="I651" s="655"/>
      <c r="J651" s="655"/>
      <c r="K651" s="653">
        <v>0</v>
      </c>
      <c r="L651" s="656">
        <v>0</v>
      </c>
    </row>
    <row r="652" spans="1:12" ht="42" x14ac:dyDescent="0.25">
      <c r="A652" s="651" t="s">
        <v>433</v>
      </c>
      <c r="B652" s="652">
        <v>2021</v>
      </c>
      <c r="C652" s="651" t="s">
        <v>721</v>
      </c>
      <c r="D652" s="651" t="s">
        <v>3113</v>
      </c>
      <c r="E652" s="651" t="s">
        <v>56</v>
      </c>
      <c r="F652" s="653">
        <v>0</v>
      </c>
      <c r="G652" s="651" t="s">
        <v>650</v>
      </c>
      <c r="H652" s="654"/>
      <c r="I652" s="655"/>
      <c r="J652" s="655"/>
      <c r="K652" s="653">
        <v>0</v>
      </c>
      <c r="L652" s="656">
        <v>0</v>
      </c>
    </row>
    <row r="653" spans="1:12" ht="42" x14ac:dyDescent="0.25">
      <c r="A653" s="651" t="s">
        <v>433</v>
      </c>
      <c r="B653" s="652">
        <v>2021</v>
      </c>
      <c r="C653" s="651" t="s">
        <v>721</v>
      </c>
      <c r="D653" s="651" t="s">
        <v>3114</v>
      </c>
      <c r="E653" s="651" t="s">
        <v>728</v>
      </c>
      <c r="F653" s="653">
        <v>0</v>
      </c>
      <c r="G653" s="651" t="s">
        <v>650</v>
      </c>
      <c r="H653" s="654"/>
      <c r="I653" s="655"/>
      <c r="J653" s="655"/>
      <c r="K653" s="653">
        <v>0</v>
      </c>
      <c r="L653" s="656">
        <v>0</v>
      </c>
    </row>
    <row r="654" spans="1:12" ht="42" x14ac:dyDescent="0.25">
      <c r="A654" s="651" t="s">
        <v>433</v>
      </c>
      <c r="B654" s="652">
        <v>2021</v>
      </c>
      <c r="C654" s="651" t="s">
        <v>721</v>
      </c>
      <c r="D654" s="651" t="s">
        <v>3115</v>
      </c>
      <c r="E654" s="651" t="s">
        <v>730</v>
      </c>
      <c r="F654" s="653">
        <v>0</v>
      </c>
      <c r="G654" s="651" t="s">
        <v>650</v>
      </c>
      <c r="H654" s="654"/>
      <c r="I654" s="655"/>
      <c r="J654" s="655"/>
      <c r="K654" s="653">
        <v>0</v>
      </c>
      <c r="L654" s="656">
        <v>0</v>
      </c>
    </row>
    <row r="655" spans="1:12" ht="42" x14ac:dyDescent="0.25">
      <c r="A655" s="651" t="s">
        <v>433</v>
      </c>
      <c r="B655" s="652">
        <v>2021</v>
      </c>
      <c r="C655" s="651" t="s">
        <v>721</v>
      </c>
      <c r="D655" s="651" t="s">
        <v>3116</v>
      </c>
      <c r="E655" s="651" t="s">
        <v>142</v>
      </c>
      <c r="F655" s="653">
        <v>0</v>
      </c>
      <c r="G655" s="651" t="s">
        <v>650</v>
      </c>
      <c r="H655" s="654"/>
      <c r="I655" s="655"/>
      <c r="J655" s="655"/>
      <c r="K655" s="653">
        <v>0</v>
      </c>
      <c r="L655" s="656">
        <v>0</v>
      </c>
    </row>
    <row r="656" spans="1:12" ht="42" x14ac:dyDescent="0.25">
      <c r="A656" s="651" t="s">
        <v>433</v>
      </c>
      <c r="B656" s="652">
        <v>2021</v>
      </c>
      <c r="C656" s="651" t="s">
        <v>721</v>
      </c>
      <c r="D656" s="651" t="s">
        <v>3117</v>
      </c>
      <c r="E656" s="651" t="s">
        <v>143</v>
      </c>
      <c r="F656" s="653">
        <v>0</v>
      </c>
      <c r="G656" s="651" t="s">
        <v>650</v>
      </c>
      <c r="H656" s="654"/>
      <c r="I656" s="655"/>
      <c r="J656" s="655"/>
      <c r="K656" s="653">
        <v>0</v>
      </c>
      <c r="L656" s="656">
        <v>0</v>
      </c>
    </row>
    <row r="657" spans="1:12" ht="42" x14ac:dyDescent="0.25">
      <c r="A657" s="651" t="s">
        <v>433</v>
      </c>
      <c r="B657" s="652">
        <v>2021</v>
      </c>
      <c r="C657" s="651" t="s">
        <v>721</v>
      </c>
      <c r="D657" s="651" t="s">
        <v>3118</v>
      </c>
      <c r="E657" s="651" t="s">
        <v>182</v>
      </c>
      <c r="F657" s="653">
        <v>0</v>
      </c>
      <c r="G657" s="651" t="s">
        <v>650</v>
      </c>
      <c r="H657" s="654"/>
      <c r="I657" s="655"/>
      <c r="J657" s="655"/>
      <c r="K657" s="653">
        <v>0</v>
      </c>
      <c r="L657" s="656">
        <v>0</v>
      </c>
    </row>
    <row r="658" spans="1:12" ht="42" x14ac:dyDescent="0.25">
      <c r="A658" s="651" t="s">
        <v>433</v>
      </c>
      <c r="B658" s="652">
        <v>2021</v>
      </c>
      <c r="C658" s="651" t="s">
        <v>721</v>
      </c>
      <c r="D658" s="651" t="s">
        <v>3119</v>
      </c>
      <c r="E658" s="651" t="s">
        <v>394</v>
      </c>
      <c r="F658" s="653">
        <v>0</v>
      </c>
      <c r="G658" s="651" t="s">
        <v>650</v>
      </c>
      <c r="H658" s="654"/>
      <c r="I658" s="655"/>
      <c r="J658" s="655"/>
      <c r="K658" s="653">
        <v>0</v>
      </c>
      <c r="L658" s="656">
        <v>0</v>
      </c>
    </row>
    <row r="659" spans="1:12" ht="42" x14ac:dyDescent="0.25">
      <c r="A659" s="651" t="s">
        <v>433</v>
      </c>
      <c r="B659" s="652">
        <v>2021</v>
      </c>
      <c r="C659" s="651" t="s">
        <v>721</v>
      </c>
      <c r="D659" s="651" t="s">
        <v>3120</v>
      </c>
      <c r="E659" s="651" t="s">
        <v>423</v>
      </c>
      <c r="F659" s="653">
        <v>0</v>
      </c>
      <c r="G659" s="651" t="s">
        <v>650</v>
      </c>
      <c r="H659" s="654"/>
      <c r="I659" s="655"/>
      <c r="J659" s="655"/>
      <c r="K659" s="653">
        <v>0</v>
      </c>
      <c r="L659" s="656">
        <v>0</v>
      </c>
    </row>
    <row r="660" spans="1:12" ht="42" x14ac:dyDescent="0.25">
      <c r="A660" s="651" t="s">
        <v>433</v>
      </c>
      <c r="B660" s="652">
        <v>2021</v>
      </c>
      <c r="C660" s="651" t="s">
        <v>721</v>
      </c>
      <c r="D660" s="651" t="s">
        <v>3121</v>
      </c>
      <c r="E660" s="651" t="s">
        <v>441</v>
      </c>
      <c r="F660" s="653">
        <v>0</v>
      </c>
      <c r="G660" s="651" t="s">
        <v>650</v>
      </c>
      <c r="H660" s="654"/>
      <c r="I660" s="653">
        <v>-84111.5</v>
      </c>
      <c r="J660" s="653">
        <v>38174.80859375</v>
      </c>
      <c r="K660" s="653">
        <v>-45936.69140625</v>
      </c>
      <c r="L660" s="656">
        <v>-45936.69</v>
      </c>
    </row>
    <row r="661" spans="1:12" ht="42" x14ac:dyDescent="0.25">
      <c r="A661" s="651" t="s">
        <v>433</v>
      </c>
      <c r="B661" s="652">
        <v>2021</v>
      </c>
      <c r="C661" s="651" t="s">
        <v>721</v>
      </c>
      <c r="D661" s="651" t="s">
        <v>3122</v>
      </c>
      <c r="E661" s="651" t="s">
        <v>737</v>
      </c>
      <c r="F661" s="653">
        <v>-554240.06000000006</v>
      </c>
      <c r="G661" s="654"/>
      <c r="H661" s="654"/>
      <c r="I661" s="655"/>
      <c r="J661" s="655"/>
      <c r="K661" s="653">
        <v>0</v>
      </c>
      <c r="L661" s="656">
        <v>-554240.06000000006</v>
      </c>
    </row>
    <row r="662" spans="1:12" ht="14.5" x14ac:dyDescent="0.25">
      <c r="A662" s="651" t="s">
        <v>433</v>
      </c>
      <c r="B662" s="652">
        <v>2021</v>
      </c>
      <c r="C662" s="651" t="s">
        <v>738</v>
      </c>
      <c r="D662" s="651" t="s">
        <v>3123</v>
      </c>
      <c r="E662" s="651" t="s">
        <v>7</v>
      </c>
      <c r="F662" s="653">
        <v>0</v>
      </c>
      <c r="G662" s="654"/>
      <c r="H662" s="651" t="s">
        <v>650</v>
      </c>
      <c r="I662" s="655"/>
      <c r="J662" s="655"/>
      <c r="K662" s="653">
        <v>0</v>
      </c>
      <c r="L662" s="656">
        <v>0</v>
      </c>
    </row>
    <row r="663" spans="1:12" ht="21" x14ac:dyDescent="0.25">
      <c r="A663" s="651" t="s">
        <v>434</v>
      </c>
      <c r="B663" s="652">
        <v>2021</v>
      </c>
      <c r="C663" s="651" t="s">
        <v>647</v>
      </c>
      <c r="D663" s="651" t="s">
        <v>1142</v>
      </c>
      <c r="E663" s="651" t="s">
        <v>649</v>
      </c>
      <c r="F663" s="653">
        <v>657141.88</v>
      </c>
      <c r="G663" s="654"/>
      <c r="H663" s="651" t="s">
        <v>650</v>
      </c>
      <c r="I663" s="655"/>
      <c r="J663" s="655"/>
      <c r="K663" s="653">
        <v>0</v>
      </c>
      <c r="L663" s="656">
        <v>657141.88</v>
      </c>
    </row>
    <row r="664" spans="1:12" ht="21" x14ac:dyDescent="0.25">
      <c r="A664" s="651" t="s">
        <v>434</v>
      </c>
      <c r="B664" s="652">
        <v>2021</v>
      </c>
      <c r="C664" s="651" t="s">
        <v>651</v>
      </c>
      <c r="D664" s="651" t="s">
        <v>1143</v>
      </c>
      <c r="E664" s="651" t="s">
        <v>653</v>
      </c>
      <c r="F664" s="653">
        <v>0</v>
      </c>
      <c r="G664" s="654"/>
      <c r="H664" s="651" t="s">
        <v>650</v>
      </c>
      <c r="I664" s="655"/>
      <c r="J664" s="655"/>
      <c r="K664" s="653">
        <v>0</v>
      </c>
      <c r="L664" s="656">
        <v>0</v>
      </c>
    </row>
    <row r="665" spans="1:12" ht="42" x14ac:dyDescent="0.25">
      <c r="A665" s="651" t="s">
        <v>434</v>
      </c>
      <c r="B665" s="652">
        <v>2021</v>
      </c>
      <c r="C665" s="651" t="s">
        <v>654</v>
      </c>
      <c r="D665" s="651" t="s">
        <v>1144</v>
      </c>
      <c r="E665" s="651" t="s">
        <v>445</v>
      </c>
      <c r="F665" s="653">
        <v>0</v>
      </c>
      <c r="G665" s="654"/>
      <c r="H665" s="651" t="s">
        <v>650</v>
      </c>
      <c r="I665" s="655"/>
      <c r="J665" s="655"/>
      <c r="K665" s="653">
        <v>0</v>
      </c>
      <c r="L665" s="656">
        <v>0</v>
      </c>
    </row>
    <row r="666" spans="1:12" ht="21" x14ac:dyDescent="0.25">
      <c r="A666" s="651" t="s">
        <v>434</v>
      </c>
      <c r="B666" s="652">
        <v>2021</v>
      </c>
      <c r="C666" s="651" t="s">
        <v>656</v>
      </c>
      <c r="D666" s="651" t="s">
        <v>1145</v>
      </c>
      <c r="E666" s="651" t="s">
        <v>658</v>
      </c>
      <c r="F666" s="653">
        <v>24425</v>
      </c>
      <c r="G666" s="654"/>
      <c r="H666" s="651" t="s">
        <v>650</v>
      </c>
      <c r="I666" s="655"/>
      <c r="J666" s="655"/>
      <c r="K666" s="653">
        <v>0</v>
      </c>
      <c r="L666" s="656">
        <v>24425</v>
      </c>
    </row>
    <row r="667" spans="1:12" ht="31.5" x14ac:dyDescent="0.25">
      <c r="A667" s="651" t="s">
        <v>434</v>
      </c>
      <c r="B667" s="652">
        <v>2021</v>
      </c>
      <c r="C667" s="651" t="s">
        <v>659</v>
      </c>
      <c r="D667" s="651" t="s">
        <v>1146</v>
      </c>
      <c r="E667" s="651" t="s">
        <v>661</v>
      </c>
      <c r="F667" s="653">
        <v>1467.23</v>
      </c>
      <c r="G667" s="654"/>
      <c r="H667" s="651" t="s">
        <v>650</v>
      </c>
      <c r="I667" s="655"/>
      <c r="J667" s="655"/>
      <c r="K667" s="653">
        <v>0</v>
      </c>
      <c r="L667" s="656">
        <v>1467.23</v>
      </c>
    </row>
    <row r="668" spans="1:12" ht="21" x14ac:dyDescent="0.25">
      <c r="A668" s="651" t="s">
        <v>434</v>
      </c>
      <c r="B668" s="652">
        <v>2021</v>
      </c>
      <c r="C668" s="651" t="s">
        <v>662</v>
      </c>
      <c r="D668" s="651" t="s">
        <v>1147</v>
      </c>
      <c r="E668" s="651" t="s">
        <v>664</v>
      </c>
      <c r="F668" s="653">
        <v>30599.59</v>
      </c>
      <c r="G668" s="654"/>
      <c r="H668" s="651" t="s">
        <v>650</v>
      </c>
      <c r="I668" s="655"/>
      <c r="J668" s="655"/>
      <c r="K668" s="653">
        <v>0</v>
      </c>
      <c r="L668" s="656">
        <v>30599.59</v>
      </c>
    </row>
    <row r="669" spans="1:12" ht="31.5" x14ac:dyDescent="0.25">
      <c r="A669" s="651" t="s">
        <v>434</v>
      </c>
      <c r="B669" s="652">
        <v>2021</v>
      </c>
      <c r="C669" s="651" t="s">
        <v>665</v>
      </c>
      <c r="D669" s="651" t="s">
        <v>1148</v>
      </c>
      <c r="E669" s="651" t="s">
        <v>667</v>
      </c>
      <c r="F669" s="653">
        <v>0</v>
      </c>
      <c r="G669" s="654"/>
      <c r="H669" s="651" t="s">
        <v>650</v>
      </c>
      <c r="I669" s="655"/>
      <c r="J669" s="655"/>
      <c r="K669" s="653">
        <v>0</v>
      </c>
      <c r="L669" s="656">
        <v>0</v>
      </c>
    </row>
    <row r="670" spans="1:12" ht="21" x14ac:dyDescent="0.25">
      <c r="A670" s="651" t="s">
        <v>434</v>
      </c>
      <c r="B670" s="652">
        <v>2021</v>
      </c>
      <c r="C670" s="651" t="s">
        <v>668</v>
      </c>
      <c r="D670" s="651" t="s">
        <v>1149</v>
      </c>
      <c r="E670" s="651" t="s">
        <v>12</v>
      </c>
      <c r="F670" s="653">
        <v>5011.46</v>
      </c>
      <c r="G670" s="654"/>
      <c r="H670" s="651" t="s">
        <v>650</v>
      </c>
      <c r="I670" s="655"/>
      <c r="J670" s="655"/>
      <c r="K670" s="653">
        <v>0</v>
      </c>
      <c r="L670" s="656">
        <v>5011.46</v>
      </c>
    </row>
    <row r="671" spans="1:12" ht="21" x14ac:dyDescent="0.25">
      <c r="A671" s="651" t="s">
        <v>434</v>
      </c>
      <c r="B671" s="652">
        <v>2021</v>
      </c>
      <c r="C671" s="651" t="s">
        <v>670</v>
      </c>
      <c r="D671" s="651" t="s">
        <v>1150</v>
      </c>
      <c r="E671" s="651" t="s">
        <v>13</v>
      </c>
      <c r="F671" s="653">
        <v>0</v>
      </c>
      <c r="G671" s="654"/>
      <c r="H671" s="651" t="s">
        <v>650</v>
      </c>
      <c r="I671" s="655"/>
      <c r="J671" s="655"/>
      <c r="K671" s="653">
        <v>0</v>
      </c>
      <c r="L671" s="656">
        <v>0</v>
      </c>
    </row>
    <row r="672" spans="1:12" ht="21" x14ac:dyDescent="0.25">
      <c r="A672" s="651" t="s">
        <v>434</v>
      </c>
      <c r="B672" s="652">
        <v>2021</v>
      </c>
      <c r="C672" s="651" t="s">
        <v>672</v>
      </c>
      <c r="D672" s="651" t="s">
        <v>1151</v>
      </c>
      <c r="E672" s="651" t="s">
        <v>15</v>
      </c>
      <c r="F672" s="653">
        <v>0</v>
      </c>
      <c r="G672" s="654"/>
      <c r="H672" s="651" t="s">
        <v>650</v>
      </c>
      <c r="I672" s="655"/>
      <c r="J672" s="655"/>
      <c r="K672" s="653">
        <v>0</v>
      </c>
      <c r="L672" s="656">
        <v>0</v>
      </c>
    </row>
    <row r="673" spans="1:12" ht="21" x14ac:dyDescent="0.25">
      <c r="A673" s="651" t="s">
        <v>434</v>
      </c>
      <c r="B673" s="652">
        <v>2021</v>
      </c>
      <c r="C673" s="651" t="s">
        <v>674</v>
      </c>
      <c r="D673" s="651" t="s">
        <v>1152</v>
      </c>
      <c r="E673" s="651" t="s">
        <v>676</v>
      </c>
      <c r="F673" s="653">
        <v>0</v>
      </c>
      <c r="G673" s="654"/>
      <c r="H673" s="651" t="s">
        <v>650</v>
      </c>
      <c r="I673" s="655"/>
      <c r="J673" s="655"/>
      <c r="K673" s="653">
        <v>0</v>
      </c>
      <c r="L673" s="656">
        <v>0</v>
      </c>
    </row>
    <row r="674" spans="1:12" ht="21" x14ac:dyDescent="0.25">
      <c r="A674" s="651" t="s">
        <v>434</v>
      </c>
      <c r="B674" s="652">
        <v>2021</v>
      </c>
      <c r="C674" s="651" t="s">
        <v>677</v>
      </c>
      <c r="D674" s="651" t="s">
        <v>1153</v>
      </c>
      <c r="E674" s="651" t="s">
        <v>23</v>
      </c>
      <c r="F674" s="653">
        <v>1808623.36</v>
      </c>
      <c r="G674" s="651" t="s">
        <v>650</v>
      </c>
      <c r="H674" s="654"/>
      <c r="I674" s="653">
        <v>1785442.375</v>
      </c>
      <c r="J674" s="653">
        <v>23180.94921875</v>
      </c>
      <c r="K674" s="653">
        <v>1808623.375</v>
      </c>
      <c r="L674" s="656">
        <v>1808623.36</v>
      </c>
    </row>
    <row r="675" spans="1:12" ht="31.5" x14ac:dyDescent="0.25">
      <c r="A675" s="651" t="s">
        <v>434</v>
      </c>
      <c r="B675" s="652">
        <v>2021</v>
      </c>
      <c r="C675" s="651" t="s">
        <v>679</v>
      </c>
      <c r="D675" s="651" t="s">
        <v>1154</v>
      </c>
      <c r="E675" s="651" t="s">
        <v>131</v>
      </c>
      <c r="F675" s="653">
        <v>-13139.16</v>
      </c>
      <c r="G675" s="651" t="s">
        <v>650</v>
      </c>
      <c r="H675" s="654"/>
      <c r="I675" s="653">
        <v>-12920.7001953125</v>
      </c>
      <c r="J675" s="653">
        <v>-218.46000671386699</v>
      </c>
      <c r="K675" s="653">
        <v>-13139.16015625</v>
      </c>
      <c r="L675" s="656">
        <v>-13139.16</v>
      </c>
    </row>
    <row r="676" spans="1:12" ht="31.5" x14ac:dyDescent="0.25">
      <c r="A676" s="651" t="s">
        <v>434</v>
      </c>
      <c r="B676" s="652">
        <v>2021</v>
      </c>
      <c r="C676" s="651" t="s">
        <v>681</v>
      </c>
      <c r="D676" s="651" t="s">
        <v>1155</v>
      </c>
      <c r="E676" s="651" t="s">
        <v>683</v>
      </c>
      <c r="F676" s="653">
        <v>10135.19</v>
      </c>
      <c r="G676" s="654"/>
      <c r="H676" s="651" t="s">
        <v>650</v>
      </c>
      <c r="I676" s="655"/>
      <c r="J676" s="655"/>
      <c r="K676" s="653">
        <v>0</v>
      </c>
      <c r="L676" s="656">
        <v>10135.19</v>
      </c>
    </row>
    <row r="677" spans="1:12" ht="21" x14ac:dyDescent="0.25">
      <c r="A677" s="651" t="s">
        <v>434</v>
      </c>
      <c r="B677" s="652">
        <v>2021</v>
      </c>
      <c r="C677" s="651" t="s">
        <v>681</v>
      </c>
      <c r="D677" s="651" t="s">
        <v>1155</v>
      </c>
      <c r="E677" s="651" t="s">
        <v>684</v>
      </c>
      <c r="F677" s="653">
        <v>10135.19</v>
      </c>
      <c r="G677" s="654"/>
      <c r="H677" s="651" t="s">
        <v>650</v>
      </c>
      <c r="I677" s="655"/>
      <c r="J677" s="655"/>
      <c r="K677" s="653">
        <v>0</v>
      </c>
      <c r="L677" s="656">
        <v>10135.19</v>
      </c>
    </row>
    <row r="678" spans="1:12" ht="21" x14ac:dyDescent="0.25">
      <c r="A678" s="651" t="s">
        <v>434</v>
      </c>
      <c r="B678" s="652">
        <v>2021</v>
      </c>
      <c r="C678" s="651" t="s">
        <v>685</v>
      </c>
      <c r="D678" s="651" t="s">
        <v>1156</v>
      </c>
      <c r="E678" s="651" t="s">
        <v>687</v>
      </c>
      <c r="F678" s="653">
        <v>242183.64</v>
      </c>
      <c r="G678" s="654"/>
      <c r="H678" s="651" t="s">
        <v>650</v>
      </c>
      <c r="I678" s="655"/>
      <c r="J678" s="655"/>
      <c r="K678" s="653">
        <v>0</v>
      </c>
      <c r="L678" s="656">
        <v>242183.64</v>
      </c>
    </row>
    <row r="679" spans="1:12" ht="21" x14ac:dyDescent="0.25">
      <c r="A679" s="651" t="s">
        <v>434</v>
      </c>
      <c r="B679" s="652">
        <v>2021</v>
      </c>
      <c r="C679" s="651" t="s">
        <v>688</v>
      </c>
      <c r="D679" s="651" t="s">
        <v>1157</v>
      </c>
      <c r="E679" s="651" t="s">
        <v>50</v>
      </c>
      <c r="F679" s="653">
        <v>107586.53</v>
      </c>
      <c r="G679" s="654"/>
      <c r="H679" s="651" t="s">
        <v>650</v>
      </c>
      <c r="I679" s="655"/>
      <c r="J679" s="655"/>
      <c r="K679" s="653">
        <v>0</v>
      </c>
      <c r="L679" s="656">
        <v>107586.53</v>
      </c>
    </row>
    <row r="680" spans="1:12" ht="21" x14ac:dyDescent="0.25">
      <c r="A680" s="651" t="s">
        <v>434</v>
      </c>
      <c r="B680" s="652">
        <v>2021</v>
      </c>
      <c r="C680" s="651" t="s">
        <v>690</v>
      </c>
      <c r="D680" s="651" t="s">
        <v>1158</v>
      </c>
      <c r="E680" s="651" t="s">
        <v>692</v>
      </c>
      <c r="F680" s="653">
        <v>0</v>
      </c>
      <c r="G680" s="654"/>
      <c r="H680" s="651" t="s">
        <v>650</v>
      </c>
      <c r="I680" s="655"/>
      <c r="J680" s="655"/>
      <c r="K680" s="653">
        <v>0</v>
      </c>
      <c r="L680" s="656">
        <v>0</v>
      </c>
    </row>
    <row r="681" spans="1:12" ht="21" x14ac:dyDescent="0.25">
      <c r="A681" s="651" t="s">
        <v>434</v>
      </c>
      <c r="B681" s="652">
        <v>2021</v>
      </c>
      <c r="C681" s="651" t="s">
        <v>693</v>
      </c>
      <c r="D681" s="651" t="s">
        <v>1159</v>
      </c>
      <c r="E681" s="651" t="s">
        <v>6</v>
      </c>
      <c r="F681" s="653">
        <v>0</v>
      </c>
      <c r="G681" s="654"/>
      <c r="H681" s="651" t="s">
        <v>650</v>
      </c>
      <c r="I681" s="655"/>
      <c r="J681" s="655"/>
      <c r="K681" s="653">
        <v>0</v>
      </c>
      <c r="L681" s="656">
        <v>0</v>
      </c>
    </row>
    <row r="682" spans="1:12" ht="31.5" x14ac:dyDescent="0.25">
      <c r="A682" s="651" t="s">
        <v>434</v>
      </c>
      <c r="B682" s="652">
        <v>2021</v>
      </c>
      <c r="C682" s="651" t="s">
        <v>695</v>
      </c>
      <c r="D682" s="651" t="s">
        <v>1160</v>
      </c>
      <c r="E682" s="651" t="s">
        <v>697</v>
      </c>
      <c r="F682" s="653">
        <v>0</v>
      </c>
      <c r="G682" s="654"/>
      <c r="H682" s="651" t="s">
        <v>650</v>
      </c>
      <c r="I682" s="655"/>
      <c r="J682" s="655"/>
      <c r="K682" s="653">
        <v>0</v>
      </c>
      <c r="L682" s="656">
        <v>0</v>
      </c>
    </row>
    <row r="683" spans="1:12" ht="21" x14ac:dyDescent="0.25">
      <c r="A683" s="651" t="s">
        <v>434</v>
      </c>
      <c r="B683" s="652">
        <v>2021</v>
      </c>
      <c r="C683" s="651" t="s">
        <v>698</v>
      </c>
      <c r="D683" s="651" t="s">
        <v>1161</v>
      </c>
      <c r="E683" s="651" t="s">
        <v>700</v>
      </c>
      <c r="F683" s="653">
        <v>0</v>
      </c>
      <c r="G683" s="654"/>
      <c r="H683" s="651" t="s">
        <v>650</v>
      </c>
      <c r="I683" s="655"/>
      <c r="J683" s="655"/>
      <c r="K683" s="653">
        <v>0</v>
      </c>
      <c r="L683" s="656">
        <v>0</v>
      </c>
    </row>
    <row r="684" spans="1:12" ht="21" x14ac:dyDescent="0.25">
      <c r="A684" s="651" t="s">
        <v>434</v>
      </c>
      <c r="B684" s="652">
        <v>2021</v>
      </c>
      <c r="C684" s="651" t="s">
        <v>701</v>
      </c>
      <c r="D684" s="651" t="s">
        <v>1162</v>
      </c>
      <c r="E684" s="651" t="s">
        <v>1</v>
      </c>
      <c r="F684" s="653">
        <v>-271795.13</v>
      </c>
      <c r="G684" s="651" t="s">
        <v>650</v>
      </c>
      <c r="H684" s="654"/>
      <c r="I684" s="653">
        <v>-267512.53125</v>
      </c>
      <c r="J684" s="653">
        <v>-4282.60986328125</v>
      </c>
      <c r="K684" s="653">
        <v>-271795.125</v>
      </c>
      <c r="L684" s="656">
        <v>-271795.13</v>
      </c>
    </row>
    <row r="685" spans="1:12" ht="21" x14ac:dyDescent="0.25">
      <c r="A685" s="651" t="s">
        <v>434</v>
      </c>
      <c r="B685" s="652">
        <v>2021</v>
      </c>
      <c r="C685" s="651" t="s">
        <v>701</v>
      </c>
      <c r="D685" s="651" t="s">
        <v>1162</v>
      </c>
      <c r="E685" s="651" t="s">
        <v>703</v>
      </c>
      <c r="F685" s="653">
        <v>0</v>
      </c>
      <c r="G685" s="654"/>
      <c r="H685" s="654"/>
      <c r="I685" s="655"/>
      <c r="J685" s="655"/>
      <c r="K685" s="653">
        <v>0</v>
      </c>
      <c r="L685" s="656">
        <v>0</v>
      </c>
    </row>
    <row r="686" spans="1:12" ht="21" x14ac:dyDescent="0.25">
      <c r="A686" s="651" t="s">
        <v>434</v>
      </c>
      <c r="B686" s="652">
        <v>2021</v>
      </c>
      <c r="C686" s="651" t="s">
        <v>701</v>
      </c>
      <c r="D686" s="651" t="s">
        <v>1162</v>
      </c>
      <c r="E686" s="651" t="s">
        <v>704</v>
      </c>
      <c r="F686" s="653">
        <v>0</v>
      </c>
      <c r="G686" s="654"/>
      <c r="H686" s="654"/>
      <c r="I686" s="655"/>
      <c r="J686" s="655"/>
      <c r="K686" s="653">
        <v>0</v>
      </c>
      <c r="L686" s="656">
        <v>0</v>
      </c>
    </row>
    <row r="687" spans="1:12" ht="21" x14ac:dyDescent="0.25">
      <c r="A687" s="651" t="s">
        <v>434</v>
      </c>
      <c r="B687" s="652">
        <v>2021</v>
      </c>
      <c r="C687" s="651" t="s">
        <v>701</v>
      </c>
      <c r="D687" s="651" t="s">
        <v>1162</v>
      </c>
      <c r="E687" s="651" t="s">
        <v>705</v>
      </c>
      <c r="F687" s="653">
        <v>-543.35</v>
      </c>
      <c r="G687" s="654"/>
      <c r="H687" s="654"/>
      <c r="I687" s="655"/>
      <c r="J687" s="655"/>
      <c r="K687" s="653">
        <v>0</v>
      </c>
      <c r="L687" s="656">
        <v>-543.35</v>
      </c>
    </row>
    <row r="688" spans="1:12" ht="21" x14ac:dyDescent="0.25">
      <c r="A688" s="651" t="s">
        <v>434</v>
      </c>
      <c r="B688" s="652">
        <v>2021</v>
      </c>
      <c r="C688" s="651" t="s">
        <v>701</v>
      </c>
      <c r="D688" s="651" t="s">
        <v>1162</v>
      </c>
      <c r="E688" s="651" t="s">
        <v>706</v>
      </c>
      <c r="F688" s="653">
        <v>-36056.550000000003</v>
      </c>
      <c r="G688" s="654"/>
      <c r="H688" s="654"/>
      <c r="I688" s="655"/>
      <c r="J688" s="655"/>
      <c r="K688" s="653">
        <v>0</v>
      </c>
      <c r="L688" s="656">
        <v>-36056.550000000003</v>
      </c>
    </row>
    <row r="689" spans="1:12" ht="21" x14ac:dyDescent="0.25">
      <c r="A689" s="651" t="s">
        <v>434</v>
      </c>
      <c r="B689" s="652">
        <v>2021</v>
      </c>
      <c r="C689" s="651" t="s">
        <v>707</v>
      </c>
      <c r="D689" s="651" t="s">
        <v>1163</v>
      </c>
      <c r="E689" s="651" t="s">
        <v>709</v>
      </c>
      <c r="F689" s="653">
        <v>0</v>
      </c>
      <c r="G689" s="654"/>
      <c r="H689" s="651" t="s">
        <v>650</v>
      </c>
      <c r="I689" s="655"/>
      <c r="J689" s="655"/>
      <c r="K689" s="653">
        <v>0</v>
      </c>
      <c r="L689" s="656">
        <v>0</v>
      </c>
    </row>
    <row r="690" spans="1:12" ht="31.5" x14ac:dyDescent="0.25">
      <c r="A690" s="651" t="s">
        <v>434</v>
      </c>
      <c r="B690" s="652">
        <v>2021</v>
      </c>
      <c r="C690" s="651" t="s">
        <v>710</v>
      </c>
      <c r="D690" s="651" t="s">
        <v>1164</v>
      </c>
      <c r="E690" s="651" t="s">
        <v>2</v>
      </c>
      <c r="F690" s="653">
        <v>165049.96</v>
      </c>
      <c r="G690" s="651" t="s">
        <v>650</v>
      </c>
      <c r="H690" s="654"/>
      <c r="I690" s="653">
        <v>165551.203125</v>
      </c>
      <c r="J690" s="653">
        <v>-501.239990234375</v>
      </c>
      <c r="K690" s="653">
        <v>165049.953125</v>
      </c>
      <c r="L690" s="656">
        <v>165049.96</v>
      </c>
    </row>
    <row r="691" spans="1:12" ht="31.5" x14ac:dyDescent="0.25">
      <c r="A691" s="651" t="s">
        <v>434</v>
      </c>
      <c r="B691" s="652">
        <v>2021</v>
      </c>
      <c r="C691" s="651" t="s">
        <v>712</v>
      </c>
      <c r="D691" s="651" t="s">
        <v>1165</v>
      </c>
      <c r="E691" s="651" t="s">
        <v>3</v>
      </c>
      <c r="F691" s="653">
        <v>221725.92</v>
      </c>
      <c r="G691" s="651" t="s">
        <v>650</v>
      </c>
      <c r="H691" s="654"/>
      <c r="I691" s="653">
        <v>220768.96875</v>
      </c>
      <c r="J691" s="653">
        <v>956.95001220703102</v>
      </c>
      <c r="K691" s="653">
        <v>221725.921875</v>
      </c>
      <c r="L691" s="656">
        <v>221725.92</v>
      </c>
    </row>
    <row r="692" spans="1:12" ht="31.5" x14ac:dyDescent="0.25">
      <c r="A692" s="651" t="s">
        <v>434</v>
      </c>
      <c r="B692" s="652">
        <v>2021</v>
      </c>
      <c r="C692" s="651" t="s">
        <v>714</v>
      </c>
      <c r="D692" s="651" t="s">
        <v>1166</v>
      </c>
      <c r="E692" s="651" t="s">
        <v>38</v>
      </c>
      <c r="F692" s="653">
        <v>232257.11</v>
      </c>
      <c r="G692" s="651" t="s">
        <v>650</v>
      </c>
      <c r="H692" s="654"/>
      <c r="I692" s="653">
        <v>246229.375</v>
      </c>
      <c r="J692" s="653">
        <v>-13972.259765625</v>
      </c>
      <c r="K692" s="653">
        <v>232257.109375</v>
      </c>
      <c r="L692" s="656">
        <v>232257.11</v>
      </c>
    </row>
    <row r="693" spans="1:12" ht="21" x14ac:dyDescent="0.25">
      <c r="A693" s="651" t="s">
        <v>434</v>
      </c>
      <c r="B693" s="652">
        <v>2021</v>
      </c>
      <c r="C693" s="651" t="s">
        <v>716</v>
      </c>
      <c r="D693" s="651" t="s">
        <v>1167</v>
      </c>
      <c r="E693" s="651" t="s">
        <v>66</v>
      </c>
      <c r="F693" s="653">
        <v>611423.84</v>
      </c>
      <c r="G693" s="651" t="s">
        <v>650</v>
      </c>
      <c r="H693" s="654"/>
      <c r="I693" s="653">
        <v>589620.5625</v>
      </c>
      <c r="J693" s="653">
        <v>21803.259765625</v>
      </c>
      <c r="K693" s="653">
        <v>611423.8125</v>
      </c>
      <c r="L693" s="656">
        <v>611423.84</v>
      </c>
    </row>
    <row r="694" spans="1:12" ht="31.5" x14ac:dyDescent="0.25">
      <c r="A694" s="651" t="s">
        <v>434</v>
      </c>
      <c r="B694" s="652">
        <v>2021</v>
      </c>
      <c r="C694" s="651" t="s">
        <v>718</v>
      </c>
      <c r="D694" s="651" t="s">
        <v>1168</v>
      </c>
      <c r="E694" s="651" t="s">
        <v>720</v>
      </c>
      <c r="F694" s="653">
        <v>37909.61</v>
      </c>
      <c r="G694" s="654"/>
      <c r="H694" s="651" t="s">
        <v>650</v>
      </c>
      <c r="I694" s="655"/>
      <c r="J694" s="655"/>
      <c r="K694" s="653">
        <v>0</v>
      </c>
      <c r="L694" s="656">
        <v>37909.61</v>
      </c>
    </row>
    <row r="695" spans="1:12" ht="42" x14ac:dyDescent="0.25">
      <c r="A695" s="651" t="s">
        <v>434</v>
      </c>
      <c r="B695" s="652">
        <v>2021</v>
      </c>
      <c r="C695" s="651" t="s">
        <v>721</v>
      </c>
      <c r="D695" s="651" t="s">
        <v>1169</v>
      </c>
      <c r="E695" s="651" t="s">
        <v>3016</v>
      </c>
      <c r="F695" s="653">
        <v>0</v>
      </c>
      <c r="G695" s="651" t="s">
        <v>650</v>
      </c>
      <c r="H695" s="654"/>
      <c r="I695" s="653">
        <v>1612.66003417969</v>
      </c>
      <c r="J695" s="653">
        <v>17515.2109375</v>
      </c>
      <c r="K695" s="653">
        <v>19127.869140625</v>
      </c>
      <c r="L695" s="656">
        <v>19127.87</v>
      </c>
    </row>
    <row r="696" spans="1:12" ht="42" x14ac:dyDescent="0.25">
      <c r="A696" s="651" t="s">
        <v>434</v>
      </c>
      <c r="B696" s="652">
        <v>2021</v>
      </c>
      <c r="C696" s="651" t="s">
        <v>721</v>
      </c>
      <c r="D696" s="651" t="s">
        <v>1169</v>
      </c>
      <c r="E696" s="651" t="s">
        <v>3058</v>
      </c>
      <c r="F696" s="653">
        <v>0</v>
      </c>
      <c r="G696" s="651" t="s">
        <v>650</v>
      </c>
      <c r="H696" s="654"/>
      <c r="I696" s="653">
        <v>588819.5</v>
      </c>
      <c r="J696" s="653">
        <v>39438.3203125</v>
      </c>
      <c r="K696" s="653">
        <v>628257.8125</v>
      </c>
      <c r="L696" s="656">
        <v>628257.82999999996</v>
      </c>
    </row>
    <row r="697" spans="1:12" ht="42" x14ac:dyDescent="0.25">
      <c r="A697" s="651" t="s">
        <v>434</v>
      </c>
      <c r="B697" s="652">
        <v>2021</v>
      </c>
      <c r="C697" s="651" t="s">
        <v>721</v>
      </c>
      <c r="D697" s="651" t="s">
        <v>1170</v>
      </c>
      <c r="E697" s="651" t="s">
        <v>724</v>
      </c>
      <c r="F697" s="653">
        <v>0</v>
      </c>
      <c r="G697" s="651" t="s">
        <v>650</v>
      </c>
      <c r="H697" s="654"/>
      <c r="I697" s="655"/>
      <c r="J697" s="655"/>
      <c r="K697" s="653">
        <v>0</v>
      </c>
      <c r="L697" s="656">
        <v>0</v>
      </c>
    </row>
    <row r="698" spans="1:12" ht="42" x14ac:dyDescent="0.25">
      <c r="A698" s="651" t="s">
        <v>434</v>
      </c>
      <c r="B698" s="652">
        <v>2021</v>
      </c>
      <c r="C698" s="651" t="s">
        <v>721</v>
      </c>
      <c r="D698" s="651" t="s">
        <v>1171</v>
      </c>
      <c r="E698" s="651" t="s">
        <v>55</v>
      </c>
      <c r="F698" s="653">
        <v>0</v>
      </c>
      <c r="G698" s="651" t="s">
        <v>650</v>
      </c>
      <c r="H698" s="654"/>
      <c r="I698" s="655"/>
      <c r="J698" s="655"/>
      <c r="K698" s="653">
        <v>0</v>
      </c>
      <c r="L698" s="656">
        <v>0</v>
      </c>
    </row>
    <row r="699" spans="1:12" ht="42" x14ac:dyDescent="0.25">
      <c r="A699" s="651" t="s">
        <v>434</v>
      </c>
      <c r="B699" s="652">
        <v>2021</v>
      </c>
      <c r="C699" s="651" t="s">
        <v>721</v>
      </c>
      <c r="D699" s="651" t="s">
        <v>1172</v>
      </c>
      <c r="E699" s="651" t="s">
        <v>56</v>
      </c>
      <c r="F699" s="653">
        <v>0</v>
      </c>
      <c r="G699" s="651" t="s">
        <v>650</v>
      </c>
      <c r="H699" s="654"/>
      <c r="I699" s="655"/>
      <c r="J699" s="655"/>
      <c r="K699" s="653">
        <v>0</v>
      </c>
      <c r="L699" s="656">
        <v>0</v>
      </c>
    </row>
    <row r="700" spans="1:12" ht="42" x14ac:dyDescent="0.25">
      <c r="A700" s="651" t="s">
        <v>434</v>
      </c>
      <c r="B700" s="652">
        <v>2021</v>
      </c>
      <c r="C700" s="651" t="s">
        <v>721</v>
      </c>
      <c r="D700" s="651" t="s">
        <v>1173</v>
      </c>
      <c r="E700" s="651" t="s">
        <v>728</v>
      </c>
      <c r="F700" s="653">
        <v>0</v>
      </c>
      <c r="G700" s="651" t="s">
        <v>650</v>
      </c>
      <c r="H700" s="654"/>
      <c r="I700" s="655"/>
      <c r="J700" s="655"/>
      <c r="K700" s="653">
        <v>0</v>
      </c>
      <c r="L700" s="656">
        <v>0</v>
      </c>
    </row>
    <row r="701" spans="1:12" ht="42" x14ac:dyDescent="0.25">
      <c r="A701" s="651" t="s">
        <v>434</v>
      </c>
      <c r="B701" s="652">
        <v>2021</v>
      </c>
      <c r="C701" s="651" t="s">
        <v>721</v>
      </c>
      <c r="D701" s="651" t="s">
        <v>1174</v>
      </c>
      <c r="E701" s="651" t="s">
        <v>730</v>
      </c>
      <c r="F701" s="653">
        <v>0</v>
      </c>
      <c r="G701" s="651" t="s">
        <v>650</v>
      </c>
      <c r="H701" s="654"/>
      <c r="I701" s="655"/>
      <c r="J701" s="655"/>
      <c r="K701" s="653">
        <v>0</v>
      </c>
      <c r="L701" s="656">
        <v>0</v>
      </c>
    </row>
    <row r="702" spans="1:12" ht="42" x14ac:dyDescent="0.25">
      <c r="A702" s="651" t="s">
        <v>434</v>
      </c>
      <c r="B702" s="652">
        <v>2021</v>
      </c>
      <c r="C702" s="651" t="s">
        <v>721</v>
      </c>
      <c r="D702" s="651" t="s">
        <v>1175</v>
      </c>
      <c r="E702" s="651" t="s">
        <v>142</v>
      </c>
      <c r="F702" s="653">
        <v>0</v>
      </c>
      <c r="G702" s="651" t="s">
        <v>650</v>
      </c>
      <c r="H702" s="654"/>
      <c r="I702" s="655"/>
      <c r="J702" s="655"/>
      <c r="K702" s="653">
        <v>0</v>
      </c>
      <c r="L702" s="656">
        <v>0</v>
      </c>
    </row>
    <row r="703" spans="1:12" ht="42" x14ac:dyDescent="0.25">
      <c r="A703" s="651" t="s">
        <v>434</v>
      </c>
      <c r="B703" s="652">
        <v>2021</v>
      </c>
      <c r="C703" s="651" t="s">
        <v>721</v>
      </c>
      <c r="D703" s="651" t="s">
        <v>1176</v>
      </c>
      <c r="E703" s="651" t="s">
        <v>143</v>
      </c>
      <c r="F703" s="653">
        <v>0</v>
      </c>
      <c r="G703" s="651" t="s">
        <v>650</v>
      </c>
      <c r="H703" s="654"/>
      <c r="I703" s="655"/>
      <c r="J703" s="655"/>
      <c r="K703" s="653">
        <v>0</v>
      </c>
      <c r="L703" s="656">
        <v>0</v>
      </c>
    </row>
    <row r="704" spans="1:12" ht="42" x14ac:dyDescent="0.25">
      <c r="A704" s="651" t="s">
        <v>434</v>
      </c>
      <c r="B704" s="652">
        <v>2021</v>
      </c>
      <c r="C704" s="651" t="s">
        <v>721</v>
      </c>
      <c r="D704" s="651" t="s">
        <v>1177</v>
      </c>
      <c r="E704" s="651" t="s">
        <v>182</v>
      </c>
      <c r="F704" s="653">
        <v>0</v>
      </c>
      <c r="G704" s="651" t="s">
        <v>650</v>
      </c>
      <c r="H704" s="654"/>
      <c r="I704" s="655"/>
      <c r="J704" s="655"/>
      <c r="K704" s="653">
        <v>0</v>
      </c>
      <c r="L704" s="656">
        <v>0</v>
      </c>
    </row>
    <row r="705" spans="1:12" ht="42" x14ac:dyDescent="0.25">
      <c r="A705" s="651" t="s">
        <v>434</v>
      </c>
      <c r="B705" s="652">
        <v>2021</v>
      </c>
      <c r="C705" s="651" t="s">
        <v>721</v>
      </c>
      <c r="D705" s="651" t="s">
        <v>1178</v>
      </c>
      <c r="E705" s="651" t="s">
        <v>394</v>
      </c>
      <c r="F705" s="653">
        <v>0</v>
      </c>
      <c r="G705" s="651" t="s">
        <v>650</v>
      </c>
      <c r="H705" s="654"/>
      <c r="I705" s="655"/>
      <c r="J705" s="655"/>
      <c r="K705" s="653">
        <v>0</v>
      </c>
      <c r="L705" s="656">
        <v>0</v>
      </c>
    </row>
    <row r="706" spans="1:12" ht="42" x14ac:dyDescent="0.25">
      <c r="A706" s="651" t="s">
        <v>434</v>
      </c>
      <c r="B706" s="652">
        <v>2021</v>
      </c>
      <c r="C706" s="651" t="s">
        <v>721</v>
      </c>
      <c r="D706" s="651" t="s">
        <v>1179</v>
      </c>
      <c r="E706" s="651" t="s">
        <v>423</v>
      </c>
      <c r="F706" s="653">
        <v>0</v>
      </c>
      <c r="G706" s="651" t="s">
        <v>650</v>
      </c>
      <c r="H706" s="654"/>
      <c r="I706" s="655"/>
      <c r="J706" s="655"/>
      <c r="K706" s="653">
        <v>0</v>
      </c>
      <c r="L706" s="656">
        <v>0</v>
      </c>
    </row>
    <row r="707" spans="1:12" ht="42" x14ac:dyDescent="0.25">
      <c r="A707" s="651" t="s">
        <v>434</v>
      </c>
      <c r="B707" s="652">
        <v>2021</v>
      </c>
      <c r="C707" s="651" t="s">
        <v>721</v>
      </c>
      <c r="D707" s="651" t="s">
        <v>3124</v>
      </c>
      <c r="E707" s="651" t="s">
        <v>441</v>
      </c>
      <c r="F707" s="653">
        <v>0</v>
      </c>
      <c r="G707" s="651" t="s">
        <v>650</v>
      </c>
      <c r="H707" s="654"/>
      <c r="I707" s="653">
        <v>16819.26953125</v>
      </c>
      <c r="J707" s="653">
        <v>48785.921875</v>
      </c>
      <c r="K707" s="653">
        <v>65605.1875</v>
      </c>
      <c r="L707" s="656">
        <v>65605.19</v>
      </c>
    </row>
    <row r="708" spans="1:12" ht="42" x14ac:dyDescent="0.25">
      <c r="A708" s="651" t="s">
        <v>434</v>
      </c>
      <c r="B708" s="652">
        <v>2021</v>
      </c>
      <c r="C708" s="651" t="s">
        <v>721</v>
      </c>
      <c r="D708" s="651" t="s">
        <v>1180</v>
      </c>
      <c r="E708" s="651" t="s">
        <v>737</v>
      </c>
      <c r="F708" s="653">
        <v>712990.89</v>
      </c>
      <c r="G708" s="654"/>
      <c r="H708" s="654"/>
      <c r="I708" s="655"/>
      <c r="J708" s="655"/>
      <c r="K708" s="653">
        <v>0</v>
      </c>
      <c r="L708" s="656">
        <v>712990.89</v>
      </c>
    </row>
    <row r="709" spans="1:12" ht="21" x14ac:dyDescent="0.25">
      <c r="A709" s="651" t="s">
        <v>434</v>
      </c>
      <c r="B709" s="652">
        <v>2021</v>
      </c>
      <c r="C709" s="651" t="s">
        <v>738</v>
      </c>
      <c r="D709" s="651" t="s">
        <v>1181</v>
      </c>
      <c r="E709" s="651" t="s">
        <v>7</v>
      </c>
      <c r="F709" s="653">
        <v>0</v>
      </c>
      <c r="G709" s="654"/>
      <c r="H709" s="651" t="s">
        <v>650</v>
      </c>
      <c r="I709" s="655"/>
      <c r="J709" s="655"/>
      <c r="K709" s="653">
        <v>0</v>
      </c>
      <c r="L709" s="656">
        <v>0</v>
      </c>
    </row>
    <row r="710" spans="1:12" ht="21" x14ac:dyDescent="0.25">
      <c r="A710" s="651" t="s">
        <v>3125</v>
      </c>
      <c r="B710" s="652">
        <v>2021</v>
      </c>
      <c r="C710" s="651" t="s">
        <v>647</v>
      </c>
      <c r="D710" s="651" t="s">
        <v>3126</v>
      </c>
      <c r="E710" s="651" t="s">
        <v>649</v>
      </c>
      <c r="F710" s="653">
        <v>48389</v>
      </c>
      <c r="G710" s="654"/>
      <c r="H710" s="651" t="s">
        <v>650</v>
      </c>
      <c r="I710" s="655"/>
      <c r="J710" s="655"/>
      <c r="K710" s="653">
        <v>0</v>
      </c>
      <c r="L710" s="656">
        <v>48389</v>
      </c>
    </row>
    <row r="711" spans="1:12" ht="14.5" x14ac:dyDescent="0.25">
      <c r="A711" s="651" t="s">
        <v>3125</v>
      </c>
      <c r="B711" s="652">
        <v>2021</v>
      </c>
      <c r="C711" s="651" t="s">
        <v>651</v>
      </c>
      <c r="D711" s="651" t="s">
        <v>3127</v>
      </c>
      <c r="E711" s="651" t="s">
        <v>653</v>
      </c>
      <c r="F711" s="653">
        <v>0</v>
      </c>
      <c r="G711" s="654"/>
      <c r="H711" s="651" t="s">
        <v>650</v>
      </c>
      <c r="I711" s="655"/>
      <c r="J711" s="655"/>
      <c r="K711" s="653">
        <v>0</v>
      </c>
      <c r="L711" s="656">
        <v>0</v>
      </c>
    </row>
    <row r="712" spans="1:12" ht="42" x14ac:dyDescent="0.25">
      <c r="A712" s="651" t="s">
        <v>3125</v>
      </c>
      <c r="B712" s="652">
        <v>2021</v>
      </c>
      <c r="C712" s="651" t="s">
        <v>654</v>
      </c>
      <c r="D712" s="651" t="s">
        <v>3128</v>
      </c>
      <c r="E712" s="651" t="s">
        <v>445</v>
      </c>
      <c r="F712" s="653">
        <v>0</v>
      </c>
      <c r="G712" s="654"/>
      <c r="H712" s="651" t="s">
        <v>650</v>
      </c>
      <c r="I712" s="655"/>
      <c r="J712" s="655"/>
      <c r="K712" s="653">
        <v>0</v>
      </c>
      <c r="L712" s="656">
        <v>0</v>
      </c>
    </row>
    <row r="713" spans="1:12" ht="21" x14ac:dyDescent="0.25">
      <c r="A713" s="651" t="s">
        <v>3125</v>
      </c>
      <c r="B713" s="652">
        <v>2021</v>
      </c>
      <c r="C713" s="651" t="s">
        <v>656</v>
      </c>
      <c r="D713" s="651" t="s">
        <v>3129</v>
      </c>
      <c r="E713" s="651" t="s">
        <v>658</v>
      </c>
      <c r="F713" s="653">
        <v>0</v>
      </c>
      <c r="G713" s="654"/>
      <c r="H713" s="651" t="s">
        <v>650</v>
      </c>
      <c r="I713" s="655"/>
      <c r="J713" s="655"/>
      <c r="K713" s="653">
        <v>0</v>
      </c>
      <c r="L713" s="656">
        <v>0</v>
      </c>
    </row>
    <row r="714" spans="1:12" ht="31.5" x14ac:dyDescent="0.25">
      <c r="A714" s="651" t="s">
        <v>3125</v>
      </c>
      <c r="B714" s="652">
        <v>2021</v>
      </c>
      <c r="C714" s="651" t="s">
        <v>659</v>
      </c>
      <c r="D714" s="651" t="s">
        <v>3130</v>
      </c>
      <c r="E714" s="651" t="s">
        <v>661</v>
      </c>
      <c r="F714" s="653">
        <v>0</v>
      </c>
      <c r="G714" s="654"/>
      <c r="H714" s="651" t="s">
        <v>650</v>
      </c>
      <c r="I714" s="655"/>
      <c r="J714" s="655"/>
      <c r="K714" s="653">
        <v>0</v>
      </c>
      <c r="L714" s="656">
        <v>0</v>
      </c>
    </row>
    <row r="715" spans="1:12" ht="21" x14ac:dyDescent="0.25">
      <c r="A715" s="651" t="s">
        <v>3125</v>
      </c>
      <c r="B715" s="652">
        <v>2021</v>
      </c>
      <c r="C715" s="651" t="s">
        <v>662</v>
      </c>
      <c r="D715" s="651" t="s">
        <v>3131</v>
      </c>
      <c r="E715" s="651" t="s">
        <v>664</v>
      </c>
      <c r="F715" s="653">
        <v>0</v>
      </c>
      <c r="G715" s="654"/>
      <c r="H715" s="651" t="s">
        <v>650</v>
      </c>
      <c r="I715" s="655"/>
      <c r="J715" s="655"/>
      <c r="K715" s="653">
        <v>0</v>
      </c>
      <c r="L715" s="656">
        <v>0</v>
      </c>
    </row>
    <row r="716" spans="1:12" ht="31.5" x14ac:dyDescent="0.25">
      <c r="A716" s="651" t="s">
        <v>3125</v>
      </c>
      <c r="B716" s="652">
        <v>2021</v>
      </c>
      <c r="C716" s="651" t="s">
        <v>665</v>
      </c>
      <c r="D716" s="651" t="s">
        <v>3132</v>
      </c>
      <c r="E716" s="651" t="s">
        <v>667</v>
      </c>
      <c r="F716" s="653">
        <v>0</v>
      </c>
      <c r="G716" s="654"/>
      <c r="H716" s="651" t="s">
        <v>650</v>
      </c>
      <c r="I716" s="655"/>
      <c r="J716" s="655"/>
      <c r="K716" s="653">
        <v>0</v>
      </c>
      <c r="L716" s="656">
        <v>0</v>
      </c>
    </row>
    <row r="717" spans="1:12" ht="21" x14ac:dyDescent="0.25">
      <c r="A717" s="651" t="s">
        <v>3125</v>
      </c>
      <c r="B717" s="652">
        <v>2021</v>
      </c>
      <c r="C717" s="651" t="s">
        <v>668</v>
      </c>
      <c r="D717" s="651" t="s">
        <v>3133</v>
      </c>
      <c r="E717" s="651" t="s">
        <v>12</v>
      </c>
      <c r="F717" s="653">
        <v>0</v>
      </c>
      <c r="G717" s="654"/>
      <c r="H717" s="651" t="s">
        <v>650</v>
      </c>
      <c r="I717" s="655"/>
      <c r="J717" s="655"/>
      <c r="K717" s="653">
        <v>0</v>
      </c>
      <c r="L717" s="656">
        <v>0</v>
      </c>
    </row>
    <row r="718" spans="1:12" ht="21" x14ac:dyDescent="0.25">
      <c r="A718" s="651" t="s">
        <v>3125</v>
      </c>
      <c r="B718" s="652">
        <v>2021</v>
      </c>
      <c r="C718" s="651" t="s">
        <v>670</v>
      </c>
      <c r="D718" s="651" t="s">
        <v>3134</v>
      </c>
      <c r="E718" s="651" t="s">
        <v>13</v>
      </c>
      <c r="F718" s="653">
        <v>0</v>
      </c>
      <c r="G718" s="654"/>
      <c r="H718" s="651" t="s">
        <v>650</v>
      </c>
      <c r="I718" s="655"/>
      <c r="J718" s="655"/>
      <c r="K718" s="653">
        <v>0</v>
      </c>
      <c r="L718" s="656">
        <v>0</v>
      </c>
    </row>
    <row r="719" spans="1:12" ht="21" x14ac:dyDescent="0.25">
      <c r="A719" s="651" t="s">
        <v>3125</v>
      </c>
      <c r="B719" s="652">
        <v>2021</v>
      </c>
      <c r="C719" s="651" t="s">
        <v>672</v>
      </c>
      <c r="D719" s="651" t="s">
        <v>3135</v>
      </c>
      <c r="E719" s="651" t="s">
        <v>15</v>
      </c>
      <c r="F719" s="653">
        <v>0</v>
      </c>
      <c r="G719" s="654"/>
      <c r="H719" s="651" t="s">
        <v>650</v>
      </c>
      <c r="I719" s="655"/>
      <c r="J719" s="655"/>
      <c r="K719" s="653">
        <v>0</v>
      </c>
      <c r="L719" s="656">
        <v>0</v>
      </c>
    </row>
    <row r="720" spans="1:12" ht="14.5" x14ac:dyDescent="0.25">
      <c r="A720" s="651" t="s">
        <v>3125</v>
      </c>
      <c r="B720" s="652">
        <v>2021</v>
      </c>
      <c r="C720" s="651" t="s">
        <v>674</v>
      </c>
      <c r="D720" s="651" t="s">
        <v>3136</v>
      </c>
      <c r="E720" s="651" t="s">
        <v>676</v>
      </c>
      <c r="F720" s="653">
        <v>0</v>
      </c>
      <c r="G720" s="654"/>
      <c r="H720" s="651" t="s">
        <v>650</v>
      </c>
      <c r="I720" s="655"/>
      <c r="J720" s="655"/>
      <c r="K720" s="653">
        <v>0</v>
      </c>
      <c r="L720" s="656">
        <v>0</v>
      </c>
    </row>
    <row r="721" spans="1:12" ht="14.5" x14ac:dyDescent="0.25">
      <c r="A721" s="651" t="s">
        <v>3125</v>
      </c>
      <c r="B721" s="652">
        <v>2021</v>
      </c>
      <c r="C721" s="651" t="s">
        <v>677</v>
      </c>
      <c r="D721" s="651" t="s">
        <v>3137</v>
      </c>
      <c r="E721" s="651" t="s">
        <v>23</v>
      </c>
      <c r="F721" s="653">
        <v>600525.61</v>
      </c>
      <c r="G721" s="651" t="s">
        <v>650</v>
      </c>
      <c r="H721" s="654"/>
      <c r="I721" s="653">
        <v>588464.6875</v>
      </c>
      <c r="J721" s="653">
        <v>12060.900390625</v>
      </c>
      <c r="K721" s="653">
        <v>600525.625</v>
      </c>
      <c r="L721" s="656">
        <v>600525.61</v>
      </c>
    </row>
    <row r="722" spans="1:12" ht="31.5" x14ac:dyDescent="0.25">
      <c r="A722" s="651" t="s">
        <v>3125</v>
      </c>
      <c r="B722" s="652">
        <v>2021</v>
      </c>
      <c r="C722" s="651" t="s">
        <v>679</v>
      </c>
      <c r="D722" s="651" t="s">
        <v>3138</v>
      </c>
      <c r="E722" s="651" t="s">
        <v>131</v>
      </c>
      <c r="F722" s="653">
        <v>-28318.09</v>
      </c>
      <c r="G722" s="651" t="s">
        <v>650</v>
      </c>
      <c r="H722" s="654"/>
      <c r="I722" s="653">
        <v>-27630.66015625</v>
      </c>
      <c r="J722" s="653">
        <v>-687.42999267578102</v>
      </c>
      <c r="K722" s="653">
        <v>-28318.08984375</v>
      </c>
      <c r="L722" s="656">
        <v>-28318.09</v>
      </c>
    </row>
    <row r="723" spans="1:12" ht="31.5" x14ac:dyDescent="0.25">
      <c r="A723" s="651" t="s">
        <v>3125</v>
      </c>
      <c r="B723" s="652">
        <v>2021</v>
      </c>
      <c r="C723" s="651" t="s">
        <v>681</v>
      </c>
      <c r="D723" s="651" t="s">
        <v>3139</v>
      </c>
      <c r="E723" s="651" t="s">
        <v>683</v>
      </c>
      <c r="F723" s="653">
        <v>0</v>
      </c>
      <c r="G723" s="654"/>
      <c r="H723" s="651" t="s">
        <v>650</v>
      </c>
      <c r="I723" s="655"/>
      <c r="J723" s="655"/>
      <c r="K723" s="653">
        <v>0</v>
      </c>
      <c r="L723" s="656">
        <v>0</v>
      </c>
    </row>
    <row r="724" spans="1:12" ht="21" x14ac:dyDescent="0.25">
      <c r="A724" s="651" t="s">
        <v>3125</v>
      </c>
      <c r="B724" s="652">
        <v>2021</v>
      </c>
      <c r="C724" s="651" t="s">
        <v>681</v>
      </c>
      <c r="D724" s="651" t="s">
        <v>3139</v>
      </c>
      <c r="E724" s="651" t="s">
        <v>684</v>
      </c>
      <c r="F724" s="653">
        <v>0</v>
      </c>
      <c r="G724" s="654"/>
      <c r="H724" s="651" t="s">
        <v>650</v>
      </c>
      <c r="I724" s="655"/>
      <c r="J724" s="655"/>
      <c r="K724" s="653">
        <v>0</v>
      </c>
      <c r="L724" s="656">
        <v>0</v>
      </c>
    </row>
    <row r="725" spans="1:12" ht="21" x14ac:dyDescent="0.25">
      <c r="A725" s="651" t="s">
        <v>3125</v>
      </c>
      <c r="B725" s="652">
        <v>2021</v>
      </c>
      <c r="C725" s="651" t="s">
        <v>685</v>
      </c>
      <c r="D725" s="651" t="s">
        <v>3140</v>
      </c>
      <c r="E725" s="651" t="s">
        <v>687</v>
      </c>
      <c r="F725" s="653">
        <v>0</v>
      </c>
      <c r="G725" s="654"/>
      <c r="H725" s="651" t="s">
        <v>650</v>
      </c>
      <c r="I725" s="655"/>
      <c r="J725" s="655"/>
      <c r="K725" s="653">
        <v>0</v>
      </c>
      <c r="L725" s="656">
        <v>0</v>
      </c>
    </row>
    <row r="726" spans="1:12" ht="14.5" x14ac:dyDescent="0.25">
      <c r="A726" s="651" t="s">
        <v>3125</v>
      </c>
      <c r="B726" s="652">
        <v>2021</v>
      </c>
      <c r="C726" s="651" t="s">
        <v>688</v>
      </c>
      <c r="D726" s="651" t="s">
        <v>3141</v>
      </c>
      <c r="E726" s="651" t="s">
        <v>50</v>
      </c>
      <c r="F726" s="653">
        <v>0</v>
      </c>
      <c r="G726" s="654"/>
      <c r="H726" s="651" t="s">
        <v>650</v>
      </c>
      <c r="I726" s="655"/>
      <c r="J726" s="655"/>
      <c r="K726" s="653">
        <v>0</v>
      </c>
      <c r="L726" s="656">
        <v>0</v>
      </c>
    </row>
    <row r="727" spans="1:12" ht="21" x14ac:dyDescent="0.25">
      <c r="A727" s="651" t="s">
        <v>3125</v>
      </c>
      <c r="B727" s="652">
        <v>2021</v>
      </c>
      <c r="C727" s="651" t="s">
        <v>690</v>
      </c>
      <c r="D727" s="651" t="s">
        <v>3142</v>
      </c>
      <c r="E727" s="651" t="s">
        <v>692</v>
      </c>
      <c r="F727" s="653">
        <v>0</v>
      </c>
      <c r="G727" s="654"/>
      <c r="H727" s="651" t="s">
        <v>650</v>
      </c>
      <c r="I727" s="655"/>
      <c r="J727" s="655"/>
      <c r="K727" s="653">
        <v>0</v>
      </c>
      <c r="L727" s="656">
        <v>0</v>
      </c>
    </row>
    <row r="728" spans="1:12" ht="21" x14ac:dyDescent="0.25">
      <c r="A728" s="651" t="s">
        <v>3125</v>
      </c>
      <c r="B728" s="652">
        <v>2021</v>
      </c>
      <c r="C728" s="651" t="s">
        <v>693</v>
      </c>
      <c r="D728" s="651" t="s">
        <v>3143</v>
      </c>
      <c r="E728" s="651" t="s">
        <v>6</v>
      </c>
      <c r="F728" s="653">
        <v>0</v>
      </c>
      <c r="G728" s="654"/>
      <c r="H728" s="651" t="s">
        <v>650</v>
      </c>
      <c r="I728" s="655"/>
      <c r="J728" s="655"/>
      <c r="K728" s="653">
        <v>0</v>
      </c>
      <c r="L728" s="656">
        <v>0</v>
      </c>
    </row>
    <row r="729" spans="1:12" ht="31.5" x14ac:dyDescent="0.25">
      <c r="A729" s="651" t="s">
        <v>3125</v>
      </c>
      <c r="B729" s="652">
        <v>2021</v>
      </c>
      <c r="C729" s="651" t="s">
        <v>695</v>
      </c>
      <c r="D729" s="651" t="s">
        <v>3144</v>
      </c>
      <c r="E729" s="651" t="s">
        <v>697</v>
      </c>
      <c r="F729" s="653">
        <v>0</v>
      </c>
      <c r="G729" s="654"/>
      <c r="H729" s="651" t="s">
        <v>650</v>
      </c>
      <c r="I729" s="655"/>
      <c r="J729" s="655"/>
      <c r="K729" s="653">
        <v>0</v>
      </c>
      <c r="L729" s="656">
        <v>0</v>
      </c>
    </row>
    <row r="730" spans="1:12" ht="21" x14ac:dyDescent="0.25">
      <c r="A730" s="651" t="s">
        <v>3125</v>
      </c>
      <c r="B730" s="652">
        <v>2021</v>
      </c>
      <c r="C730" s="651" t="s">
        <v>698</v>
      </c>
      <c r="D730" s="651" t="s">
        <v>3145</v>
      </c>
      <c r="E730" s="651" t="s">
        <v>700</v>
      </c>
      <c r="F730" s="653">
        <v>67815.070000000007</v>
      </c>
      <c r="G730" s="654"/>
      <c r="H730" s="651" t="s">
        <v>650</v>
      </c>
      <c r="I730" s="655"/>
      <c r="J730" s="655"/>
      <c r="K730" s="653">
        <v>0</v>
      </c>
      <c r="L730" s="656">
        <v>67815.070000000007</v>
      </c>
    </row>
    <row r="731" spans="1:12" ht="21" x14ac:dyDescent="0.25">
      <c r="A731" s="651" t="s">
        <v>3125</v>
      </c>
      <c r="B731" s="652">
        <v>2021</v>
      </c>
      <c r="C731" s="651" t="s">
        <v>701</v>
      </c>
      <c r="D731" s="651" t="s">
        <v>3146</v>
      </c>
      <c r="E731" s="651" t="s">
        <v>1</v>
      </c>
      <c r="F731" s="653">
        <v>-409495.2</v>
      </c>
      <c r="G731" s="651" t="s">
        <v>650</v>
      </c>
      <c r="H731" s="654"/>
      <c r="I731" s="653">
        <v>-400010.84375</v>
      </c>
      <c r="J731" s="653">
        <v>-9484.3701171875</v>
      </c>
      <c r="K731" s="653">
        <v>-409495.1875</v>
      </c>
      <c r="L731" s="656">
        <v>-409495.2</v>
      </c>
    </row>
    <row r="732" spans="1:12" ht="21" x14ac:dyDescent="0.25">
      <c r="A732" s="651" t="s">
        <v>3125</v>
      </c>
      <c r="B732" s="652">
        <v>2021</v>
      </c>
      <c r="C732" s="651" t="s">
        <v>701</v>
      </c>
      <c r="D732" s="651" t="s">
        <v>3146</v>
      </c>
      <c r="E732" s="651" t="s">
        <v>703</v>
      </c>
      <c r="F732" s="653">
        <v>0</v>
      </c>
      <c r="G732" s="654"/>
      <c r="H732" s="654"/>
      <c r="I732" s="655"/>
      <c r="J732" s="655"/>
      <c r="K732" s="653">
        <v>0</v>
      </c>
      <c r="L732" s="656">
        <v>0</v>
      </c>
    </row>
    <row r="733" spans="1:12" ht="21" x14ac:dyDescent="0.25">
      <c r="A733" s="651" t="s">
        <v>3125</v>
      </c>
      <c r="B733" s="652">
        <v>2021</v>
      </c>
      <c r="C733" s="651" t="s">
        <v>701</v>
      </c>
      <c r="D733" s="651" t="s">
        <v>3146</v>
      </c>
      <c r="E733" s="651" t="s">
        <v>704</v>
      </c>
      <c r="F733" s="653">
        <v>0</v>
      </c>
      <c r="G733" s="654"/>
      <c r="H733" s="654"/>
      <c r="I733" s="655"/>
      <c r="J733" s="655"/>
      <c r="K733" s="653">
        <v>0</v>
      </c>
      <c r="L733" s="656">
        <v>0</v>
      </c>
    </row>
    <row r="734" spans="1:12" ht="21" x14ac:dyDescent="0.25">
      <c r="A734" s="651" t="s">
        <v>3125</v>
      </c>
      <c r="B734" s="652">
        <v>2021</v>
      </c>
      <c r="C734" s="651" t="s">
        <v>701</v>
      </c>
      <c r="D734" s="651" t="s">
        <v>3146</v>
      </c>
      <c r="E734" s="651" t="s">
        <v>705</v>
      </c>
      <c r="F734" s="653">
        <v>-519.04999999999995</v>
      </c>
      <c r="G734" s="654"/>
      <c r="H734" s="654"/>
      <c r="I734" s="655"/>
      <c r="J734" s="655"/>
      <c r="K734" s="653">
        <v>0</v>
      </c>
      <c r="L734" s="656">
        <v>-519.04999999999995</v>
      </c>
    </row>
    <row r="735" spans="1:12" ht="21" x14ac:dyDescent="0.25">
      <c r="A735" s="651" t="s">
        <v>3125</v>
      </c>
      <c r="B735" s="652">
        <v>2021</v>
      </c>
      <c r="C735" s="651" t="s">
        <v>701</v>
      </c>
      <c r="D735" s="651" t="s">
        <v>3146</v>
      </c>
      <c r="E735" s="651" t="s">
        <v>706</v>
      </c>
      <c r="F735" s="653">
        <v>-50389.18</v>
      </c>
      <c r="G735" s="654"/>
      <c r="H735" s="654"/>
      <c r="I735" s="655"/>
      <c r="J735" s="655"/>
      <c r="K735" s="653">
        <v>0</v>
      </c>
      <c r="L735" s="656">
        <v>-50389.18</v>
      </c>
    </row>
    <row r="736" spans="1:12" ht="14.5" x14ac:dyDescent="0.25">
      <c r="A736" s="651" t="s">
        <v>3125</v>
      </c>
      <c r="B736" s="652">
        <v>2021</v>
      </c>
      <c r="C736" s="651" t="s">
        <v>707</v>
      </c>
      <c r="D736" s="651" t="s">
        <v>3147</v>
      </c>
      <c r="E736" s="651" t="s">
        <v>709</v>
      </c>
      <c r="F736" s="653">
        <v>0</v>
      </c>
      <c r="G736" s="654"/>
      <c r="H736" s="651" t="s">
        <v>650</v>
      </c>
      <c r="I736" s="655"/>
      <c r="J736" s="655"/>
      <c r="K736" s="653">
        <v>0</v>
      </c>
      <c r="L736" s="656">
        <v>0</v>
      </c>
    </row>
    <row r="737" spans="1:12" ht="31.5" x14ac:dyDescent="0.25">
      <c r="A737" s="651" t="s">
        <v>3125</v>
      </c>
      <c r="B737" s="652">
        <v>2021</v>
      </c>
      <c r="C737" s="651" t="s">
        <v>710</v>
      </c>
      <c r="D737" s="651" t="s">
        <v>3148</v>
      </c>
      <c r="E737" s="651" t="s">
        <v>2</v>
      </c>
      <c r="F737" s="653">
        <v>146498.10999999999</v>
      </c>
      <c r="G737" s="651" t="s">
        <v>650</v>
      </c>
      <c r="H737" s="654"/>
      <c r="I737" s="653">
        <v>151869.359375</v>
      </c>
      <c r="J737" s="653">
        <v>-5371.25</v>
      </c>
      <c r="K737" s="653">
        <v>146498.109375</v>
      </c>
      <c r="L737" s="656">
        <v>146498.10999999999</v>
      </c>
    </row>
    <row r="738" spans="1:12" ht="31.5" x14ac:dyDescent="0.25">
      <c r="A738" s="651" t="s">
        <v>3125</v>
      </c>
      <c r="B738" s="652">
        <v>2021</v>
      </c>
      <c r="C738" s="651" t="s">
        <v>712</v>
      </c>
      <c r="D738" s="651" t="s">
        <v>3149</v>
      </c>
      <c r="E738" s="651" t="s">
        <v>3</v>
      </c>
      <c r="F738" s="653">
        <v>-9315.25</v>
      </c>
      <c r="G738" s="651" t="s">
        <v>650</v>
      </c>
      <c r="H738" s="654"/>
      <c r="I738" s="653">
        <v>-6961.33984375</v>
      </c>
      <c r="J738" s="653">
        <v>-2353.90991210938</v>
      </c>
      <c r="K738" s="653">
        <v>-9315.25</v>
      </c>
      <c r="L738" s="656">
        <v>-9315.25</v>
      </c>
    </row>
    <row r="739" spans="1:12" ht="31.5" x14ac:dyDescent="0.25">
      <c r="A739" s="651" t="s">
        <v>3125</v>
      </c>
      <c r="B739" s="652">
        <v>2021</v>
      </c>
      <c r="C739" s="651" t="s">
        <v>714</v>
      </c>
      <c r="D739" s="651" t="s">
        <v>3150</v>
      </c>
      <c r="E739" s="651" t="s">
        <v>38</v>
      </c>
      <c r="F739" s="653">
        <v>492490.55</v>
      </c>
      <c r="G739" s="651" t="s">
        <v>650</v>
      </c>
      <c r="H739" s="654"/>
      <c r="I739" s="653">
        <v>383656.28125</v>
      </c>
      <c r="J739" s="653">
        <v>108834.28125</v>
      </c>
      <c r="K739" s="653">
        <v>492490.5625</v>
      </c>
      <c r="L739" s="656">
        <v>492490.55</v>
      </c>
    </row>
    <row r="740" spans="1:12" ht="21" x14ac:dyDescent="0.25">
      <c r="A740" s="651" t="s">
        <v>3125</v>
      </c>
      <c r="B740" s="652">
        <v>2021</v>
      </c>
      <c r="C740" s="651" t="s">
        <v>716</v>
      </c>
      <c r="D740" s="651" t="s">
        <v>3151</v>
      </c>
      <c r="E740" s="651" t="s">
        <v>66</v>
      </c>
      <c r="F740" s="653">
        <v>3936258.8</v>
      </c>
      <c r="G740" s="651" t="s">
        <v>650</v>
      </c>
      <c r="H740" s="654"/>
      <c r="I740" s="653">
        <v>3874903.75</v>
      </c>
      <c r="J740" s="653">
        <v>61354.98046875</v>
      </c>
      <c r="K740" s="653">
        <v>3936258.75</v>
      </c>
      <c r="L740" s="656">
        <v>3936258.8</v>
      </c>
    </row>
    <row r="741" spans="1:12" ht="31.5" x14ac:dyDescent="0.25">
      <c r="A741" s="651" t="s">
        <v>3125</v>
      </c>
      <c r="B741" s="652">
        <v>2021</v>
      </c>
      <c r="C741" s="651" t="s">
        <v>718</v>
      </c>
      <c r="D741" s="651" t="s">
        <v>3152</v>
      </c>
      <c r="E741" s="651" t="s">
        <v>720</v>
      </c>
      <c r="F741" s="653">
        <v>-100794</v>
      </c>
      <c r="G741" s="654"/>
      <c r="H741" s="651" t="s">
        <v>650</v>
      </c>
      <c r="I741" s="655"/>
      <c r="J741" s="655"/>
      <c r="K741" s="653">
        <v>0</v>
      </c>
      <c r="L741" s="656">
        <v>-100794</v>
      </c>
    </row>
    <row r="742" spans="1:12" ht="42" x14ac:dyDescent="0.25">
      <c r="A742" s="651" t="s">
        <v>3125</v>
      </c>
      <c r="B742" s="652">
        <v>2021</v>
      </c>
      <c r="C742" s="651" t="s">
        <v>721</v>
      </c>
      <c r="D742" s="651" t="s">
        <v>3153</v>
      </c>
      <c r="E742" s="651" t="s">
        <v>3016</v>
      </c>
      <c r="F742" s="653">
        <v>0</v>
      </c>
      <c r="G742" s="651" t="s">
        <v>650</v>
      </c>
      <c r="H742" s="654"/>
      <c r="I742" s="653">
        <v>1426.97998046875</v>
      </c>
      <c r="J742" s="653">
        <v>8716.1298828125</v>
      </c>
      <c r="K742" s="653">
        <v>10143.1103515625</v>
      </c>
      <c r="L742" s="656">
        <v>10143.11</v>
      </c>
    </row>
    <row r="743" spans="1:12" ht="42" x14ac:dyDescent="0.25">
      <c r="A743" s="651" t="s">
        <v>3125</v>
      </c>
      <c r="B743" s="652">
        <v>2021</v>
      </c>
      <c r="C743" s="651" t="s">
        <v>721</v>
      </c>
      <c r="D743" s="651" t="s">
        <v>3153</v>
      </c>
      <c r="E743" s="651" t="s">
        <v>3058</v>
      </c>
      <c r="F743" s="653">
        <v>0</v>
      </c>
      <c r="G743" s="651" t="s">
        <v>650</v>
      </c>
      <c r="H743" s="654"/>
      <c r="I743" s="653">
        <v>415060</v>
      </c>
      <c r="J743" s="653">
        <v>29193.279296875</v>
      </c>
      <c r="K743" s="653">
        <v>444253.28125</v>
      </c>
      <c r="L743" s="656">
        <v>444253.28</v>
      </c>
    </row>
    <row r="744" spans="1:12" ht="42" x14ac:dyDescent="0.25">
      <c r="A744" s="651" t="s">
        <v>3125</v>
      </c>
      <c r="B744" s="652">
        <v>2021</v>
      </c>
      <c r="C744" s="651" t="s">
        <v>721</v>
      </c>
      <c r="D744" s="651" t="s">
        <v>3154</v>
      </c>
      <c r="E744" s="651" t="s">
        <v>724</v>
      </c>
      <c r="F744" s="653">
        <v>0</v>
      </c>
      <c r="G744" s="651" t="s">
        <v>650</v>
      </c>
      <c r="H744" s="654"/>
      <c r="I744" s="655"/>
      <c r="J744" s="655"/>
      <c r="K744" s="653">
        <v>0</v>
      </c>
      <c r="L744" s="656">
        <v>0</v>
      </c>
    </row>
    <row r="745" spans="1:12" ht="42" x14ac:dyDescent="0.25">
      <c r="A745" s="651" t="s">
        <v>3125</v>
      </c>
      <c r="B745" s="652">
        <v>2021</v>
      </c>
      <c r="C745" s="651" t="s">
        <v>721</v>
      </c>
      <c r="D745" s="651" t="s">
        <v>3155</v>
      </c>
      <c r="E745" s="651" t="s">
        <v>55</v>
      </c>
      <c r="F745" s="653">
        <v>0</v>
      </c>
      <c r="G745" s="651" t="s">
        <v>650</v>
      </c>
      <c r="H745" s="654"/>
      <c r="I745" s="655"/>
      <c r="J745" s="655"/>
      <c r="K745" s="653">
        <v>0</v>
      </c>
      <c r="L745" s="656">
        <v>0</v>
      </c>
    </row>
    <row r="746" spans="1:12" ht="42" x14ac:dyDescent="0.25">
      <c r="A746" s="651" t="s">
        <v>3125</v>
      </c>
      <c r="B746" s="652">
        <v>2021</v>
      </c>
      <c r="C746" s="651" t="s">
        <v>721</v>
      </c>
      <c r="D746" s="651" t="s">
        <v>3156</v>
      </c>
      <c r="E746" s="651" t="s">
        <v>56</v>
      </c>
      <c r="F746" s="653">
        <v>0</v>
      </c>
      <c r="G746" s="651" t="s">
        <v>650</v>
      </c>
      <c r="H746" s="654"/>
      <c r="I746" s="655"/>
      <c r="J746" s="655"/>
      <c r="K746" s="653">
        <v>0</v>
      </c>
      <c r="L746" s="656">
        <v>0</v>
      </c>
    </row>
    <row r="747" spans="1:12" ht="42" x14ac:dyDescent="0.25">
      <c r="A747" s="651" t="s">
        <v>3125</v>
      </c>
      <c r="B747" s="652">
        <v>2021</v>
      </c>
      <c r="C747" s="651" t="s">
        <v>721</v>
      </c>
      <c r="D747" s="651" t="s">
        <v>3157</v>
      </c>
      <c r="E747" s="651" t="s">
        <v>728</v>
      </c>
      <c r="F747" s="653">
        <v>0</v>
      </c>
      <c r="G747" s="651" t="s">
        <v>650</v>
      </c>
      <c r="H747" s="654"/>
      <c r="I747" s="655"/>
      <c r="J747" s="655"/>
      <c r="K747" s="653">
        <v>0</v>
      </c>
      <c r="L747" s="656">
        <v>0</v>
      </c>
    </row>
    <row r="748" spans="1:12" ht="42" x14ac:dyDescent="0.25">
      <c r="A748" s="651" t="s">
        <v>3125</v>
      </c>
      <c r="B748" s="652">
        <v>2021</v>
      </c>
      <c r="C748" s="651" t="s">
        <v>721</v>
      </c>
      <c r="D748" s="651" t="s">
        <v>3158</v>
      </c>
      <c r="E748" s="651" t="s">
        <v>730</v>
      </c>
      <c r="F748" s="653">
        <v>0</v>
      </c>
      <c r="G748" s="651" t="s">
        <v>650</v>
      </c>
      <c r="H748" s="654"/>
      <c r="I748" s="655"/>
      <c r="J748" s="655"/>
      <c r="K748" s="653">
        <v>0</v>
      </c>
      <c r="L748" s="656">
        <v>0</v>
      </c>
    </row>
    <row r="749" spans="1:12" ht="42" x14ac:dyDescent="0.25">
      <c r="A749" s="651" t="s">
        <v>3125</v>
      </c>
      <c r="B749" s="652">
        <v>2021</v>
      </c>
      <c r="C749" s="651" t="s">
        <v>721</v>
      </c>
      <c r="D749" s="651" t="s">
        <v>3159</v>
      </c>
      <c r="E749" s="651" t="s">
        <v>142</v>
      </c>
      <c r="F749" s="653">
        <v>0</v>
      </c>
      <c r="G749" s="651" t="s">
        <v>650</v>
      </c>
      <c r="H749" s="654"/>
      <c r="I749" s="655"/>
      <c r="J749" s="655"/>
      <c r="K749" s="653">
        <v>0</v>
      </c>
      <c r="L749" s="656">
        <v>0</v>
      </c>
    </row>
    <row r="750" spans="1:12" ht="42" x14ac:dyDescent="0.25">
      <c r="A750" s="651" t="s">
        <v>3125</v>
      </c>
      <c r="B750" s="652">
        <v>2021</v>
      </c>
      <c r="C750" s="651" t="s">
        <v>721</v>
      </c>
      <c r="D750" s="651" t="s">
        <v>3160</v>
      </c>
      <c r="E750" s="651" t="s">
        <v>143</v>
      </c>
      <c r="F750" s="653">
        <v>0</v>
      </c>
      <c r="G750" s="651" t="s">
        <v>650</v>
      </c>
      <c r="H750" s="654"/>
      <c r="I750" s="655"/>
      <c r="J750" s="655"/>
      <c r="K750" s="653">
        <v>0</v>
      </c>
      <c r="L750" s="656">
        <v>0</v>
      </c>
    </row>
    <row r="751" spans="1:12" ht="42" x14ac:dyDescent="0.25">
      <c r="A751" s="651" t="s">
        <v>3125</v>
      </c>
      <c r="B751" s="652">
        <v>2021</v>
      </c>
      <c r="C751" s="651" t="s">
        <v>721</v>
      </c>
      <c r="D751" s="651" t="s">
        <v>3161</v>
      </c>
      <c r="E751" s="651" t="s">
        <v>182</v>
      </c>
      <c r="F751" s="653">
        <v>0</v>
      </c>
      <c r="G751" s="651" t="s">
        <v>650</v>
      </c>
      <c r="H751" s="654"/>
      <c r="I751" s="655"/>
      <c r="J751" s="655"/>
      <c r="K751" s="653">
        <v>0</v>
      </c>
      <c r="L751" s="656">
        <v>0</v>
      </c>
    </row>
    <row r="752" spans="1:12" ht="42" x14ac:dyDescent="0.25">
      <c r="A752" s="651" t="s">
        <v>3125</v>
      </c>
      <c r="B752" s="652">
        <v>2021</v>
      </c>
      <c r="C752" s="651" t="s">
        <v>721</v>
      </c>
      <c r="D752" s="651" t="s">
        <v>3162</v>
      </c>
      <c r="E752" s="651" t="s">
        <v>394</v>
      </c>
      <c r="F752" s="653">
        <v>0</v>
      </c>
      <c r="G752" s="651" t="s">
        <v>650</v>
      </c>
      <c r="H752" s="654"/>
      <c r="I752" s="655"/>
      <c r="J752" s="655"/>
      <c r="K752" s="653">
        <v>0</v>
      </c>
      <c r="L752" s="656">
        <v>0</v>
      </c>
    </row>
    <row r="753" spans="1:12" ht="42" x14ac:dyDescent="0.25">
      <c r="A753" s="651" t="s">
        <v>3125</v>
      </c>
      <c r="B753" s="652">
        <v>2021</v>
      </c>
      <c r="C753" s="651" t="s">
        <v>721</v>
      </c>
      <c r="D753" s="651" t="s">
        <v>3163</v>
      </c>
      <c r="E753" s="651" t="s">
        <v>423</v>
      </c>
      <c r="F753" s="653">
        <v>0</v>
      </c>
      <c r="G753" s="651" t="s">
        <v>650</v>
      </c>
      <c r="H753" s="654"/>
      <c r="I753" s="653">
        <v>33758</v>
      </c>
      <c r="J753" s="653">
        <v>-28025.060546875</v>
      </c>
      <c r="K753" s="653">
        <v>5732.93994140625</v>
      </c>
      <c r="L753" s="656">
        <v>5732.94</v>
      </c>
    </row>
    <row r="754" spans="1:12" ht="42" x14ac:dyDescent="0.25">
      <c r="A754" s="651" t="s">
        <v>3125</v>
      </c>
      <c r="B754" s="652">
        <v>2021</v>
      </c>
      <c r="C754" s="651" t="s">
        <v>721</v>
      </c>
      <c r="D754" s="651" t="s">
        <v>3164</v>
      </c>
      <c r="E754" s="651" t="s">
        <v>441</v>
      </c>
      <c r="F754" s="653">
        <v>0</v>
      </c>
      <c r="G754" s="651" t="s">
        <v>650</v>
      </c>
      <c r="H754" s="654"/>
      <c r="I754" s="653">
        <v>-426694.75</v>
      </c>
      <c r="J754" s="653">
        <v>2938.81005859375</v>
      </c>
      <c r="K754" s="653">
        <v>-423755.9375</v>
      </c>
      <c r="L754" s="656">
        <v>-423755.93</v>
      </c>
    </row>
    <row r="755" spans="1:12" ht="42" x14ac:dyDescent="0.25">
      <c r="A755" s="651" t="s">
        <v>3125</v>
      </c>
      <c r="B755" s="652">
        <v>2021</v>
      </c>
      <c r="C755" s="651" t="s">
        <v>721</v>
      </c>
      <c r="D755" s="651" t="s">
        <v>3165</v>
      </c>
      <c r="E755" s="651" t="s">
        <v>737</v>
      </c>
      <c r="F755" s="653">
        <v>36373.4</v>
      </c>
      <c r="G755" s="654"/>
      <c r="H755" s="654"/>
      <c r="I755" s="655"/>
      <c r="J755" s="655"/>
      <c r="K755" s="653">
        <v>0</v>
      </c>
      <c r="L755" s="656">
        <v>36373.4</v>
      </c>
    </row>
    <row r="756" spans="1:12" ht="14.5" x14ac:dyDescent="0.25">
      <c r="A756" s="651" t="s">
        <v>3125</v>
      </c>
      <c r="B756" s="652">
        <v>2021</v>
      </c>
      <c r="C756" s="651" t="s">
        <v>738</v>
      </c>
      <c r="D756" s="651" t="s">
        <v>3166</v>
      </c>
      <c r="E756" s="651" t="s">
        <v>7</v>
      </c>
      <c r="F756" s="653">
        <v>0</v>
      </c>
      <c r="G756" s="654"/>
      <c r="H756" s="651" t="s">
        <v>650</v>
      </c>
      <c r="I756" s="655"/>
      <c r="J756" s="655"/>
      <c r="K756" s="653">
        <v>0</v>
      </c>
      <c r="L756" s="656">
        <v>0</v>
      </c>
    </row>
    <row r="757" spans="1:12" ht="21" x14ac:dyDescent="0.25">
      <c r="A757" s="651" t="s">
        <v>3167</v>
      </c>
      <c r="B757" s="652">
        <v>2021</v>
      </c>
      <c r="C757" s="651" t="s">
        <v>647</v>
      </c>
      <c r="D757" s="651" t="s">
        <v>3168</v>
      </c>
      <c r="E757" s="651" t="s">
        <v>649</v>
      </c>
      <c r="F757" s="653">
        <v>2588390.35</v>
      </c>
      <c r="G757" s="654"/>
      <c r="H757" s="651" t="s">
        <v>650</v>
      </c>
      <c r="I757" s="655"/>
      <c r="J757" s="655"/>
      <c r="K757" s="653">
        <v>0</v>
      </c>
      <c r="L757" s="656">
        <v>2588390.35</v>
      </c>
    </row>
    <row r="758" spans="1:12" ht="14.5" x14ac:dyDescent="0.25">
      <c r="A758" s="651" t="s">
        <v>3167</v>
      </c>
      <c r="B758" s="652">
        <v>2021</v>
      </c>
      <c r="C758" s="651" t="s">
        <v>651</v>
      </c>
      <c r="D758" s="651" t="s">
        <v>3169</v>
      </c>
      <c r="E758" s="651" t="s">
        <v>653</v>
      </c>
      <c r="F758" s="653">
        <v>-458722.44</v>
      </c>
      <c r="G758" s="654"/>
      <c r="H758" s="651" t="s">
        <v>650</v>
      </c>
      <c r="I758" s="655"/>
      <c r="J758" s="655"/>
      <c r="K758" s="653">
        <v>0</v>
      </c>
      <c r="L758" s="656">
        <v>-458722.44</v>
      </c>
    </row>
    <row r="759" spans="1:12" ht="42" x14ac:dyDescent="0.25">
      <c r="A759" s="651" t="s">
        <v>3167</v>
      </c>
      <c r="B759" s="652">
        <v>2021</v>
      </c>
      <c r="C759" s="651" t="s">
        <v>654</v>
      </c>
      <c r="D759" s="651" t="s">
        <v>3170</v>
      </c>
      <c r="E759" s="651" t="s">
        <v>445</v>
      </c>
      <c r="F759" s="653">
        <v>0</v>
      </c>
      <c r="G759" s="654"/>
      <c r="H759" s="651" t="s">
        <v>650</v>
      </c>
      <c r="I759" s="655"/>
      <c r="J759" s="655"/>
      <c r="K759" s="653">
        <v>0</v>
      </c>
      <c r="L759" s="656">
        <v>0</v>
      </c>
    </row>
    <row r="760" spans="1:12" ht="21" x14ac:dyDescent="0.25">
      <c r="A760" s="651" t="s">
        <v>3167</v>
      </c>
      <c r="B760" s="652">
        <v>2021</v>
      </c>
      <c r="C760" s="651" t="s">
        <v>656</v>
      </c>
      <c r="D760" s="651" t="s">
        <v>3171</v>
      </c>
      <c r="E760" s="651" t="s">
        <v>658</v>
      </c>
      <c r="F760" s="653">
        <v>0</v>
      </c>
      <c r="G760" s="654"/>
      <c r="H760" s="651" t="s">
        <v>650</v>
      </c>
      <c r="I760" s="655"/>
      <c r="J760" s="655"/>
      <c r="K760" s="653">
        <v>0</v>
      </c>
      <c r="L760" s="656">
        <v>0</v>
      </c>
    </row>
    <row r="761" spans="1:12" ht="31.5" x14ac:dyDescent="0.25">
      <c r="A761" s="651" t="s">
        <v>3167</v>
      </c>
      <c r="B761" s="652">
        <v>2021</v>
      </c>
      <c r="C761" s="651" t="s">
        <v>659</v>
      </c>
      <c r="D761" s="651" t="s">
        <v>3172</v>
      </c>
      <c r="E761" s="651" t="s">
        <v>661</v>
      </c>
      <c r="F761" s="653">
        <v>0</v>
      </c>
      <c r="G761" s="654"/>
      <c r="H761" s="651" t="s">
        <v>650</v>
      </c>
      <c r="I761" s="655"/>
      <c r="J761" s="655"/>
      <c r="K761" s="653">
        <v>0</v>
      </c>
      <c r="L761" s="656">
        <v>0</v>
      </c>
    </row>
    <row r="762" spans="1:12" ht="21" x14ac:dyDescent="0.25">
      <c r="A762" s="651" t="s">
        <v>3167</v>
      </c>
      <c r="B762" s="652">
        <v>2021</v>
      </c>
      <c r="C762" s="651" t="s">
        <v>662</v>
      </c>
      <c r="D762" s="651" t="s">
        <v>3173</v>
      </c>
      <c r="E762" s="651" t="s">
        <v>664</v>
      </c>
      <c r="F762" s="653">
        <v>0</v>
      </c>
      <c r="G762" s="654"/>
      <c r="H762" s="651" t="s">
        <v>650</v>
      </c>
      <c r="I762" s="655"/>
      <c r="J762" s="655"/>
      <c r="K762" s="653">
        <v>0</v>
      </c>
      <c r="L762" s="656">
        <v>0</v>
      </c>
    </row>
    <row r="763" spans="1:12" ht="31.5" x14ac:dyDescent="0.25">
      <c r="A763" s="651" t="s">
        <v>3167</v>
      </c>
      <c r="B763" s="652">
        <v>2021</v>
      </c>
      <c r="C763" s="651" t="s">
        <v>665</v>
      </c>
      <c r="D763" s="651" t="s">
        <v>3174</v>
      </c>
      <c r="E763" s="651" t="s">
        <v>667</v>
      </c>
      <c r="F763" s="653">
        <v>-4014.34</v>
      </c>
      <c r="G763" s="654"/>
      <c r="H763" s="651" t="s">
        <v>650</v>
      </c>
      <c r="I763" s="655"/>
      <c r="J763" s="655"/>
      <c r="K763" s="653">
        <v>0</v>
      </c>
      <c r="L763" s="656">
        <v>-4014.34</v>
      </c>
    </row>
    <row r="764" spans="1:12" ht="21" x14ac:dyDescent="0.25">
      <c r="A764" s="651" t="s">
        <v>3167</v>
      </c>
      <c r="B764" s="652">
        <v>2021</v>
      </c>
      <c r="C764" s="651" t="s">
        <v>668</v>
      </c>
      <c r="D764" s="651" t="s">
        <v>3175</v>
      </c>
      <c r="E764" s="651" t="s">
        <v>12</v>
      </c>
      <c r="F764" s="653">
        <v>0</v>
      </c>
      <c r="G764" s="654"/>
      <c r="H764" s="651" t="s">
        <v>650</v>
      </c>
      <c r="I764" s="655"/>
      <c r="J764" s="655"/>
      <c r="K764" s="653">
        <v>0</v>
      </c>
      <c r="L764" s="656">
        <v>0</v>
      </c>
    </row>
    <row r="765" spans="1:12" ht="21" x14ac:dyDescent="0.25">
      <c r="A765" s="651" t="s">
        <v>3167</v>
      </c>
      <c r="B765" s="652">
        <v>2021</v>
      </c>
      <c r="C765" s="651" t="s">
        <v>670</v>
      </c>
      <c r="D765" s="651" t="s">
        <v>3176</v>
      </c>
      <c r="E765" s="651" t="s">
        <v>13</v>
      </c>
      <c r="F765" s="653">
        <v>0</v>
      </c>
      <c r="G765" s="654"/>
      <c r="H765" s="651" t="s">
        <v>650</v>
      </c>
      <c r="I765" s="655"/>
      <c r="J765" s="655"/>
      <c r="K765" s="653">
        <v>0</v>
      </c>
      <c r="L765" s="656">
        <v>0</v>
      </c>
    </row>
    <row r="766" spans="1:12" ht="21" x14ac:dyDescent="0.25">
      <c r="A766" s="651" t="s">
        <v>3167</v>
      </c>
      <c r="B766" s="652">
        <v>2021</v>
      </c>
      <c r="C766" s="651" t="s">
        <v>672</v>
      </c>
      <c r="D766" s="651" t="s">
        <v>3177</v>
      </c>
      <c r="E766" s="651" t="s">
        <v>15</v>
      </c>
      <c r="F766" s="653">
        <v>0</v>
      </c>
      <c r="G766" s="654"/>
      <c r="H766" s="651" t="s">
        <v>650</v>
      </c>
      <c r="I766" s="655"/>
      <c r="J766" s="655"/>
      <c r="K766" s="653">
        <v>0</v>
      </c>
      <c r="L766" s="656">
        <v>0</v>
      </c>
    </row>
    <row r="767" spans="1:12" ht="14.5" x14ac:dyDescent="0.25">
      <c r="A767" s="651" t="s">
        <v>3167</v>
      </c>
      <c r="B767" s="652">
        <v>2021</v>
      </c>
      <c r="C767" s="651" t="s">
        <v>674</v>
      </c>
      <c r="D767" s="651" t="s">
        <v>3178</v>
      </c>
      <c r="E767" s="651" t="s">
        <v>676</v>
      </c>
      <c r="F767" s="653">
        <v>1170621.22</v>
      </c>
      <c r="G767" s="654"/>
      <c r="H767" s="651" t="s">
        <v>650</v>
      </c>
      <c r="I767" s="655"/>
      <c r="J767" s="655"/>
      <c r="K767" s="653">
        <v>0</v>
      </c>
      <c r="L767" s="656">
        <v>1170621.22</v>
      </c>
    </row>
    <row r="768" spans="1:12" ht="14.5" x14ac:dyDescent="0.25">
      <c r="A768" s="651" t="s">
        <v>3167</v>
      </c>
      <c r="B768" s="652">
        <v>2021</v>
      </c>
      <c r="C768" s="651" t="s">
        <v>677</v>
      </c>
      <c r="D768" s="651" t="s">
        <v>3179</v>
      </c>
      <c r="E768" s="651" t="s">
        <v>23</v>
      </c>
      <c r="F768" s="653">
        <v>5970338.54</v>
      </c>
      <c r="G768" s="651" t="s">
        <v>650</v>
      </c>
      <c r="H768" s="654"/>
      <c r="I768" s="653">
        <v>5868587</v>
      </c>
      <c r="J768" s="653">
        <v>101751.421875</v>
      </c>
      <c r="K768" s="653">
        <v>5970338.5</v>
      </c>
      <c r="L768" s="656">
        <v>5970338.54</v>
      </c>
    </row>
    <row r="769" spans="1:12" ht="31.5" x14ac:dyDescent="0.25">
      <c r="A769" s="651" t="s">
        <v>3167</v>
      </c>
      <c r="B769" s="652">
        <v>2021</v>
      </c>
      <c r="C769" s="651" t="s">
        <v>679</v>
      </c>
      <c r="D769" s="651" t="s">
        <v>3180</v>
      </c>
      <c r="E769" s="651" t="s">
        <v>131</v>
      </c>
      <c r="F769" s="653">
        <v>-311449.98</v>
      </c>
      <c r="G769" s="651" t="s">
        <v>650</v>
      </c>
      <c r="H769" s="654"/>
      <c r="I769" s="653">
        <v>-301412.0625</v>
      </c>
      <c r="J769" s="653">
        <v>-10037.919921875</v>
      </c>
      <c r="K769" s="653">
        <v>-311449.96875</v>
      </c>
      <c r="L769" s="656">
        <v>-311449.98</v>
      </c>
    </row>
    <row r="770" spans="1:12" ht="31.5" x14ac:dyDescent="0.25">
      <c r="A770" s="651" t="s">
        <v>3167</v>
      </c>
      <c r="B770" s="652">
        <v>2021</v>
      </c>
      <c r="C770" s="651" t="s">
        <v>681</v>
      </c>
      <c r="D770" s="651" t="s">
        <v>3181</v>
      </c>
      <c r="E770" s="651" t="s">
        <v>683</v>
      </c>
      <c r="F770" s="653">
        <v>-26331.49</v>
      </c>
      <c r="G770" s="654"/>
      <c r="H770" s="651" t="s">
        <v>650</v>
      </c>
      <c r="I770" s="655"/>
      <c r="J770" s="655"/>
      <c r="K770" s="653">
        <v>0</v>
      </c>
      <c r="L770" s="656">
        <v>-26331.49</v>
      </c>
    </row>
    <row r="771" spans="1:12" ht="21" x14ac:dyDescent="0.25">
      <c r="A771" s="651" t="s">
        <v>3167</v>
      </c>
      <c r="B771" s="652">
        <v>2021</v>
      </c>
      <c r="C771" s="651" t="s">
        <v>681</v>
      </c>
      <c r="D771" s="651" t="s">
        <v>3181</v>
      </c>
      <c r="E771" s="651" t="s">
        <v>684</v>
      </c>
      <c r="F771" s="653">
        <v>-26331.49</v>
      </c>
      <c r="G771" s="654"/>
      <c r="H771" s="651" t="s">
        <v>650</v>
      </c>
      <c r="I771" s="655"/>
      <c r="J771" s="655"/>
      <c r="K771" s="653">
        <v>0</v>
      </c>
      <c r="L771" s="656">
        <v>-26331.49</v>
      </c>
    </row>
    <row r="772" spans="1:12" ht="21" x14ac:dyDescent="0.25">
      <c r="A772" s="651" t="s">
        <v>3167</v>
      </c>
      <c r="B772" s="652">
        <v>2021</v>
      </c>
      <c r="C772" s="651" t="s">
        <v>685</v>
      </c>
      <c r="D772" s="651" t="s">
        <v>3182</v>
      </c>
      <c r="E772" s="651" t="s">
        <v>687</v>
      </c>
      <c r="F772" s="653">
        <v>0</v>
      </c>
      <c r="G772" s="654"/>
      <c r="H772" s="651" t="s">
        <v>650</v>
      </c>
      <c r="I772" s="655"/>
      <c r="J772" s="655"/>
      <c r="K772" s="653">
        <v>0</v>
      </c>
      <c r="L772" s="656">
        <v>0</v>
      </c>
    </row>
    <row r="773" spans="1:12" ht="14.5" x14ac:dyDescent="0.25">
      <c r="A773" s="651" t="s">
        <v>3167</v>
      </c>
      <c r="B773" s="652">
        <v>2021</v>
      </c>
      <c r="C773" s="651" t="s">
        <v>688</v>
      </c>
      <c r="D773" s="651" t="s">
        <v>3183</v>
      </c>
      <c r="E773" s="651" t="s">
        <v>50</v>
      </c>
      <c r="F773" s="653">
        <v>2899846.98</v>
      </c>
      <c r="G773" s="654"/>
      <c r="H773" s="651" t="s">
        <v>650</v>
      </c>
      <c r="I773" s="655"/>
      <c r="J773" s="655"/>
      <c r="K773" s="653">
        <v>0</v>
      </c>
      <c r="L773" s="656">
        <v>2899846.98</v>
      </c>
    </row>
    <row r="774" spans="1:12" ht="21" x14ac:dyDescent="0.25">
      <c r="A774" s="651" t="s">
        <v>3167</v>
      </c>
      <c r="B774" s="652">
        <v>2021</v>
      </c>
      <c r="C774" s="651" t="s">
        <v>690</v>
      </c>
      <c r="D774" s="651" t="s">
        <v>3184</v>
      </c>
      <c r="E774" s="651" t="s">
        <v>692</v>
      </c>
      <c r="F774" s="653">
        <v>0</v>
      </c>
      <c r="G774" s="654"/>
      <c r="H774" s="651" t="s">
        <v>650</v>
      </c>
      <c r="I774" s="655"/>
      <c r="J774" s="655"/>
      <c r="K774" s="653">
        <v>0</v>
      </c>
      <c r="L774" s="656">
        <v>0</v>
      </c>
    </row>
    <row r="775" spans="1:12" ht="21" x14ac:dyDescent="0.25">
      <c r="A775" s="651" t="s">
        <v>3167</v>
      </c>
      <c r="B775" s="652">
        <v>2021</v>
      </c>
      <c r="C775" s="651" t="s">
        <v>693</v>
      </c>
      <c r="D775" s="651" t="s">
        <v>3185</v>
      </c>
      <c r="E775" s="651" t="s">
        <v>6</v>
      </c>
      <c r="F775" s="653">
        <v>0</v>
      </c>
      <c r="G775" s="654"/>
      <c r="H775" s="651" t="s">
        <v>650</v>
      </c>
      <c r="I775" s="655"/>
      <c r="J775" s="655"/>
      <c r="K775" s="653">
        <v>0</v>
      </c>
      <c r="L775" s="656">
        <v>0</v>
      </c>
    </row>
    <row r="776" spans="1:12" ht="31.5" x14ac:dyDescent="0.25">
      <c r="A776" s="651" t="s">
        <v>3167</v>
      </c>
      <c r="B776" s="652">
        <v>2021</v>
      </c>
      <c r="C776" s="651" t="s">
        <v>695</v>
      </c>
      <c r="D776" s="651" t="s">
        <v>3186</v>
      </c>
      <c r="E776" s="651" t="s">
        <v>697</v>
      </c>
      <c r="F776" s="653">
        <v>2976127.43</v>
      </c>
      <c r="G776" s="654"/>
      <c r="H776" s="651" t="s">
        <v>650</v>
      </c>
      <c r="I776" s="655"/>
      <c r="J776" s="655"/>
      <c r="K776" s="653">
        <v>0</v>
      </c>
      <c r="L776" s="656">
        <v>2976127.43</v>
      </c>
    </row>
    <row r="777" spans="1:12" ht="21" x14ac:dyDescent="0.25">
      <c r="A777" s="651" t="s">
        <v>3167</v>
      </c>
      <c r="B777" s="652">
        <v>2021</v>
      </c>
      <c r="C777" s="651" t="s">
        <v>698</v>
      </c>
      <c r="D777" s="651" t="s">
        <v>3187</v>
      </c>
      <c r="E777" s="651" t="s">
        <v>700</v>
      </c>
      <c r="F777" s="653">
        <v>0</v>
      </c>
      <c r="G777" s="654"/>
      <c r="H777" s="651" t="s">
        <v>650</v>
      </c>
      <c r="I777" s="655"/>
      <c r="J777" s="655"/>
      <c r="K777" s="653">
        <v>0</v>
      </c>
      <c r="L777" s="656">
        <v>0</v>
      </c>
    </row>
    <row r="778" spans="1:12" ht="21" x14ac:dyDescent="0.25">
      <c r="A778" s="651" t="s">
        <v>3167</v>
      </c>
      <c r="B778" s="652">
        <v>2021</v>
      </c>
      <c r="C778" s="651" t="s">
        <v>701</v>
      </c>
      <c r="D778" s="651" t="s">
        <v>3188</v>
      </c>
      <c r="E778" s="651" t="s">
        <v>1</v>
      </c>
      <c r="F778" s="653">
        <v>-4454891.7</v>
      </c>
      <c r="G778" s="651" t="s">
        <v>650</v>
      </c>
      <c r="H778" s="654"/>
      <c r="I778" s="653">
        <v>-4342786.5</v>
      </c>
      <c r="J778" s="653">
        <v>-112105.0234375</v>
      </c>
      <c r="K778" s="653">
        <v>-4454891.5</v>
      </c>
      <c r="L778" s="656">
        <v>-4454891.7</v>
      </c>
    </row>
    <row r="779" spans="1:12" ht="21" x14ac:dyDescent="0.25">
      <c r="A779" s="651" t="s">
        <v>3167</v>
      </c>
      <c r="B779" s="652">
        <v>2021</v>
      </c>
      <c r="C779" s="651" t="s">
        <v>701</v>
      </c>
      <c r="D779" s="651" t="s">
        <v>3188</v>
      </c>
      <c r="E779" s="651" t="s">
        <v>703</v>
      </c>
      <c r="F779" s="653">
        <v>0</v>
      </c>
      <c r="G779" s="654"/>
      <c r="H779" s="654"/>
      <c r="I779" s="655"/>
      <c r="J779" s="655"/>
      <c r="K779" s="653">
        <v>0</v>
      </c>
      <c r="L779" s="656">
        <v>0</v>
      </c>
    </row>
    <row r="780" spans="1:12" ht="21" x14ac:dyDescent="0.25">
      <c r="A780" s="651" t="s">
        <v>3167</v>
      </c>
      <c r="B780" s="652">
        <v>2021</v>
      </c>
      <c r="C780" s="651" t="s">
        <v>701</v>
      </c>
      <c r="D780" s="651" t="s">
        <v>3188</v>
      </c>
      <c r="E780" s="651" t="s">
        <v>704</v>
      </c>
      <c r="F780" s="653">
        <v>0</v>
      </c>
      <c r="G780" s="654"/>
      <c r="H780" s="654"/>
      <c r="I780" s="655"/>
      <c r="J780" s="655"/>
      <c r="K780" s="653">
        <v>0</v>
      </c>
      <c r="L780" s="656">
        <v>0</v>
      </c>
    </row>
    <row r="781" spans="1:12" ht="21" x14ac:dyDescent="0.25">
      <c r="A781" s="651" t="s">
        <v>3167</v>
      </c>
      <c r="B781" s="652">
        <v>2021</v>
      </c>
      <c r="C781" s="651" t="s">
        <v>701</v>
      </c>
      <c r="D781" s="651" t="s">
        <v>3188</v>
      </c>
      <c r="E781" s="651" t="s">
        <v>705</v>
      </c>
      <c r="F781" s="653">
        <v>-14769.85</v>
      </c>
      <c r="G781" s="654"/>
      <c r="H781" s="654"/>
      <c r="I781" s="655"/>
      <c r="J781" s="655"/>
      <c r="K781" s="653">
        <v>0</v>
      </c>
      <c r="L781" s="656">
        <v>-14769.85</v>
      </c>
    </row>
    <row r="782" spans="1:12" ht="21" x14ac:dyDescent="0.25">
      <c r="A782" s="651" t="s">
        <v>3167</v>
      </c>
      <c r="B782" s="652">
        <v>2021</v>
      </c>
      <c r="C782" s="651" t="s">
        <v>701</v>
      </c>
      <c r="D782" s="651" t="s">
        <v>3188</v>
      </c>
      <c r="E782" s="651" t="s">
        <v>706</v>
      </c>
      <c r="F782" s="653">
        <v>-522142.48</v>
      </c>
      <c r="G782" s="654"/>
      <c r="H782" s="654"/>
      <c r="I782" s="655"/>
      <c r="J782" s="655"/>
      <c r="K782" s="653">
        <v>0</v>
      </c>
      <c r="L782" s="656">
        <v>-522142.48</v>
      </c>
    </row>
    <row r="783" spans="1:12" ht="14.5" x14ac:dyDescent="0.25">
      <c r="A783" s="651" t="s">
        <v>3167</v>
      </c>
      <c r="B783" s="652">
        <v>2021</v>
      </c>
      <c r="C783" s="651" t="s">
        <v>707</v>
      </c>
      <c r="D783" s="651" t="s">
        <v>3189</v>
      </c>
      <c r="E783" s="651" t="s">
        <v>709</v>
      </c>
      <c r="F783" s="653">
        <v>0</v>
      </c>
      <c r="G783" s="654"/>
      <c r="H783" s="651" t="s">
        <v>650</v>
      </c>
      <c r="I783" s="655"/>
      <c r="J783" s="655"/>
      <c r="K783" s="653">
        <v>0</v>
      </c>
      <c r="L783" s="656">
        <v>0</v>
      </c>
    </row>
    <row r="784" spans="1:12" ht="31.5" x14ac:dyDescent="0.25">
      <c r="A784" s="651" t="s">
        <v>3167</v>
      </c>
      <c r="B784" s="652">
        <v>2021</v>
      </c>
      <c r="C784" s="651" t="s">
        <v>710</v>
      </c>
      <c r="D784" s="651" t="s">
        <v>3190</v>
      </c>
      <c r="E784" s="651" t="s">
        <v>2</v>
      </c>
      <c r="F784" s="653">
        <v>3163401.98</v>
      </c>
      <c r="G784" s="651" t="s">
        <v>650</v>
      </c>
      <c r="H784" s="654"/>
      <c r="I784" s="653">
        <v>3147613.25</v>
      </c>
      <c r="J784" s="653">
        <v>15788.6103515625</v>
      </c>
      <c r="K784" s="653">
        <v>3163402</v>
      </c>
      <c r="L784" s="656">
        <v>3163401.98</v>
      </c>
    </row>
    <row r="785" spans="1:12" ht="31.5" x14ac:dyDescent="0.25">
      <c r="A785" s="651" t="s">
        <v>3167</v>
      </c>
      <c r="B785" s="652">
        <v>2021</v>
      </c>
      <c r="C785" s="651" t="s">
        <v>712</v>
      </c>
      <c r="D785" s="651" t="s">
        <v>3191</v>
      </c>
      <c r="E785" s="651" t="s">
        <v>3</v>
      </c>
      <c r="F785" s="653">
        <v>2869036.01</v>
      </c>
      <c r="G785" s="651" t="s">
        <v>650</v>
      </c>
      <c r="H785" s="654"/>
      <c r="I785" s="653">
        <v>2833691</v>
      </c>
      <c r="J785" s="653">
        <v>35345.12890625</v>
      </c>
      <c r="K785" s="653">
        <v>2869036</v>
      </c>
      <c r="L785" s="656">
        <v>2869036.01</v>
      </c>
    </row>
    <row r="786" spans="1:12" ht="31.5" x14ac:dyDescent="0.25">
      <c r="A786" s="651" t="s">
        <v>3167</v>
      </c>
      <c r="B786" s="652">
        <v>2021</v>
      </c>
      <c r="C786" s="651" t="s">
        <v>714</v>
      </c>
      <c r="D786" s="651" t="s">
        <v>3192</v>
      </c>
      <c r="E786" s="651" t="s">
        <v>38</v>
      </c>
      <c r="F786" s="653">
        <v>-72924.27</v>
      </c>
      <c r="G786" s="651" t="s">
        <v>650</v>
      </c>
      <c r="H786" s="654"/>
      <c r="I786" s="653">
        <v>-21997.029296875</v>
      </c>
      <c r="J786" s="653">
        <v>-50927.23828125</v>
      </c>
      <c r="K786" s="653">
        <v>-72924.2734375</v>
      </c>
      <c r="L786" s="656">
        <v>-72924.27</v>
      </c>
    </row>
    <row r="787" spans="1:12" ht="21" x14ac:dyDescent="0.25">
      <c r="A787" s="651" t="s">
        <v>3167</v>
      </c>
      <c r="B787" s="652">
        <v>2021</v>
      </c>
      <c r="C787" s="651" t="s">
        <v>716</v>
      </c>
      <c r="D787" s="651" t="s">
        <v>3193</v>
      </c>
      <c r="E787" s="651" t="s">
        <v>66</v>
      </c>
      <c r="F787" s="653">
        <v>1436828.58</v>
      </c>
      <c r="G787" s="651" t="s">
        <v>650</v>
      </c>
      <c r="H787" s="654"/>
      <c r="I787" s="653">
        <v>1345759.125</v>
      </c>
      <c r="J787" s="653">
        <v>91069.4921875</v>
      </c>
      <c r="K787" s="653">
        <v>1436828.625</v>
      </c>
      <c r="L787" s="656">
        <v>1436828.58</v>
      </c>
    </row>
    <row r="788" spans="1:12" ht="31.5" x14ac:dyDescent="0.25">
      <c r="A788" s="651" t="s">
        <v>3167</v>
      </c>
      <c r="B788" s="652">
        <v>2021</v>
      </c>
      <c r="C788" s="651" t="s">
        <v>718</v>
      </c>
      <c r="D788" s="651" t="s">
        <v>3194</v>
      </c>
      <c r="E788" s="651" t="s">
        <v>720</v>
      </c>
      <c r="F788" s="653">
        <v>-2463181.46</v>
      </c>
      <c r="G788" s="654"/>
      <c r="H788" s="651" t="s">
        <v>650</v>
      </c>
      <c r="I788" s="655"/>
      <c r="J788" s="655"/>
      <c r="K788" s="653">
        <v>0</v>
      </c>
      <c r="L788" s="656">
        <v>-2463181.46</v>
      </c>
    </row>
    <row r="789" spans="1:12" ht="42" x14ac:dyDescent="0.25">
      <c r="A789" s="651" t="s">
        <v>3167</v>
      </c>
      <c r="B789" s="652">
        <v>2021</v>
      </c>
      <c r="C789" s="651" t="s">
        <v>721</v>
      </c>
      <c r="D789" s="651" t="s">
        <v>3195</v>
      </c>
      <c r="E789" s="651" t="s">
        <v>3016</v>
      </c>
      <c r="F789" s="653">
        <v>0</v>
      </c>
      <c r="G789" s="651" t="s">
        <v>650</v>
      </c>
      <c r="H789" s="654"/>
      <c r="I789" s="653">
        <v>366885.375</v>
      </c>
      <c r="J789" s="653">
        <v>-28288.119140625</v>
      </c>
      <c r="K789" s="653">
        <v>338597.28125</v>
      </c>
      <c r="L789" s="656">
        <v>338597.27</v>
      </c>
    </row>
    <row r="790" spans="1:12" ht="42" x14ac:dyDescent="0.25">
      <c r="A790" s="651" t="s">
        <v>3167</v>
      </c>
      <c r="B790" s="652">
        <v>2021</v>
      </c>
      <c r="C790" s="651" t="s">
        <v>721</v>
      </c>
      <c r="D790" s="651" t="s">
        <v>3195</v>
      </c>
      <c r="E790" s="651" t="s">
        <v>3058</v>
      </c>
      <c r="F790" s="653">
        <v>0</v>
      </c>
      <c r="G790" s="651" t="s">
        <v>650</v>
      </c>
      <c r="H790" s="654"/>
      <c r="I790" s="653">
        <v>-54573.87890625</v>
      </c>
      <c r="J790" s="653">
        <v>20793.099609375</v>
      </c>
      <c r="K790" s="653">
        <v>-33780.78125</v>
      </c>
      <c r="L790" s="656">
        <v>-33780.78</v>
      </c>
    </row>
    <row r="791" spans="1:12" ht="42" x14ac:dyDescent="0.25">
      <c r="A791" s="651" t="s">
        <v>3167</v>
      </c>
      <c r="B791" s="652">
        <v>2021</v>
      </c>
      <c r="C791" s="651" t="s">
        <v>721</v>
      </c>
      <c r="D791" s="651" t="s">
        <v>3196</v>
      </c>
      <c r="E791" s="651" t="s">
        <v>724</v>
      </c>
      <c r="F791" s="653">
        <v>0</v>
      </c>
      <c r="G791" s="651" t="s">
        <v>650</v>
      </c>
      <c r="H791" s="654"/>
      <c r="I791" s="655"/>
      <c r="J791" s="655"/>
      <c r="K791" s="653">
        <v>0</v>
      </c>
      <c r="L791" s="656">
        <v>0</v>
      </c>
    </row>
    <row r="792" spans="1:12" ht="42" x14ac:dyDescent="0.25">
      <c r="A792" s="651" t="s">
        <v>3167</v>
      </c>
      <c r="B792" s="652">
        <v>2021</v>
      </c>
      <c r="C792" s="651" t="s">
        <v>721</v>
      </c>
      <c r="D792" s="651" t="s">
        <v>3197</v>
      </c>
      <c r="E792" s="651" t="s">
        <v>55</v>
      </c>
      <c r="F792" s="653">
        <v>0</v>
      </c>
      <c r="G792" s="651" t="s">
        <v>650</v>
      </c>
      <c r="H792" s="654"/>
      <c r="I792" s="655"/>
      <c r="J792" s="655"/>
      <c r="K792" s="653">
        <v>0</v>
      </c>
      <c r="L792" s="656">
        <v>0</v>
      </c>
    </row>
    <row r="793" spans="1:12" ht="42" x14ac:dyDescent="0.25">
      <c r="A793" s="651" t="s">
        <v>3167</v>
      </c>
      <c r="B793" s="652">
        <v>2021</v>
      </c>
      <c r="C793" s="651" t="s">
        <v>721</v>
      </c>
      <c r="D793" s="651" t="s">
        <v>3198</v>
      </c>
      <c r="E793" s="651" t="s">
        <v>56</v>
      </c>
      <c r="F793" s="653">
        <v>0</v>
      </c>
      <c r="G793" s="651" t="s">
        <v>650</v>
      </c>
      <c r="H793" s="654"/>
      <c r="I793" s="655"/>
      <c r="J793" s="655"/>
      <c r="K793" s="653">
        <v>0</v>
      </c>
      <c r="L793" s="656">
        <v>0</v>
      </c>
    </row>
    <row r="794" spans="1:12" ht="42" x14ac:dyDescent="0.25">
      <c r="A794" s="651" t="s">
        <v>3167</v>
      </c>
      <c r="B794" s="652">
        <v>2021</v>
      </c>
      <c r="C794" s="651" t="s">
        <v>721</v>
      </c>
      <c r="D794" s="651" t="s">
        <v>3199</v>
      </c>
      <c r="E794" s="651" t="s">
        <v>728</v>
      </c>
      <c r="F794" s="653">
        <v>0</v>
      </c>
      <c r="G794" s="651" t="s">
        <v>650</v>
      </c>
      <c r="H794" s="654"/>
      <c r="I794" s="655"/>
      <c r="J794" s="655"/>
      <c r="K794" s="653">
        <v>0</v>
      </c>
      <c r="L794" s="656">
        <v>0</v>
      </c>
    </row>
    <row r="795" spans="1:12" ht="42" x14ac:dyDescent="0.25">
      <c r="A795" s="651" t="s">
        <v>3167</v>
      </c>
      <c r="B795" s="652">
        <v>2021</v>
      </c>
      <c r="C795" s="651" t="s">
        <v>721</v>
      </c>
      <c r="D795" s="651" t="s">
        <v>3200</v>
      </c>
      <c r="E795" s="651" t="s">
        <v>730</v>
      </c>
      <c r="F795" s="653">
        <v>0</v>
      </c>
      <c r="G795" s="651" t="s">
        <v>650</v>
      </c>
      <c r="H795" s="654"/>
      <c r="I795" s="655"/>
      <c r="J795" s="655"/>
      <c r="K795" s="653">
        <v>0</v>
      </c>
      <c r="L795" s="656">
        <v>0</v>
      </c>
    </row>
    <row r="796" spans="1:12" ht="42" x14ac:dyDescent="0.25">
      <c r="A796" s="651" t="s">
        <v>3167</v>
      </c>
      <c r="B796" s="652">
        <v>2021</v>
      </c>
      <c r="C796" s="651" t="s">
        <v>721</v>
      </c>
      <c r="D796" s="651" t="s">
        <v>3201</v>
      </c>
      <c r="E796" s="651" t="s">
        <v>142</v>
      </c>
      <c r="F796" s="653">
        <v>0</v>
      </c>
      <c r="G796" s="651" t="s">
        <v>650</v>
      </c>
      <c r="H796" s="654"/>
      <c r="I796" s="655"/>
      <c r="J796" s="655"/>
      <c r="K796" s="653">
        <v>0</v>
      </c>
      <c r="L796" s="656">
        <v>0</v>
      </c>
    </row>
    <row r="797" spans="1:12" ht="42" x14ac:dyDescent="0.25">
      <c r="A797" s="651" t="s">
        <v>3167</v>
      </c>
      <c r="B797" s="652">
        <v>2021</v>
      </c>
      <c r="C797" s="651" t="s">
        <v>721</v>
      </c>
      <c r="D797" s="651" t="s">
        <v>3202</v>
      </c>
      <c r="E797" s="651" t="s">
        <v>143</v>
      </c>
      <c r="F797" s="653">
        <v>0</v>
      </c>
      <c r="G797" s="651" t="s">
        <v>650</v>
      </c>
      <c r="H797" s="654"/>
      <c r="I797" s="655"/>
      <c r="J797" s="655"/>
      <c r="K797" s="653">
        <v>0</v>
      </c>
      <c r="L797" s="656">
        <v>0</v>
      </c>
    </row>
    <row r="798" spans="1:12" ht="42" x14ac:dyDescent="0.25">
      <c r="A798" s="651" t="s">
        <v>3167</v>
      </c>
      <c r="B798" s="652">
        <v>2021</v>
      </c>
      <c r="C798" s="651" t="s">
        <v>721</v>
      </c>
      <c r="D798" s="651" t="s">
        <v>3203</v>
      </c>
      <c r="E798" s="651" t="s">
        <v>182</v>
      </c>
      <c r="F798" s="653">
        <v>0</v>
      </c>
      <c r="G798" s="651" t="s">
        <v>650</v>
      </c>
      <c r="H798" s="654"/>
      <c r="I798" s="655"/>
      <c r="J798" s="655"/>
      <c r="K798" s="653">
        <v>0</v>
      </c>
      <c r="L798" s="656">
        <v>0</v>
      </c>
    </row>
    <row r="799" spans="1:12" ht="42" x14ac:dyDescent="0.25">
      <c r="A799" s="651" t="s">
        <v>3167</v>
      </c>
      <c r="B799" s="652">
        <v>2021</v>
      </c>
      <c r="C799" s="651" t="s">
        <v>721</v>
      </c>
      <c r="D799" s="651" t="s">
        <v>3204</v>
      </c>
      <c r="E799" s="651" t="s">
        <v>394</v>
      </c>
      <c r="F799" s="653">
        <v>0</v>
      </c>
      <c r="G799" s="651" t="s">
        <v>650</v>
      </c>
      <c r="H799" s="654"/>
      <c r="I799" s="653">
        <v>-23350.009765625</v>
      </c>
      <c r="J799" s="653">
        <v>19488.060546875</v>
      </c>
      <c r="K799" s="653">
        <v>-3861.94995117188</v>
      </c>
      <c r="L799" s="656">
        <v>-3861.95</v>
      </c>
    </row>
    <row r="800" spans="1:12" ht="42" x14ac:dyDescent="0.25">
      <c r="A800" s="651" t="s">
        <v>3167</v>
      </c>
      <c r="B800" s="652">
        <v>2021</v>
      </c>
      <c r="C800" s="651" t="s">
        <v>721</v>
      </c>
      <c r="D800" s="651" t="s">
        <v>3205</v>
      </c>
      <c r="E800" s="651" t="s">
        <v>423</v>
      </c>
      <c r="F800" s="653">
        <v>0</v>
      </c>
      <c r="G800" s="651" t="s">
        <v>650</v>
      </c>
      <c r="H800" s="654"/>
      <c r="I800" s="653">
        <v>-204505.625</v>
      </c>
      <c r="J800" s="653">
        <v>-143164.515625</v>
      </c>
      <c r="K800" s="653">
        <v>-347670.125</v>
      </c>
      <c r="L800" s="656">
        <v>-347670.14</v>
      </c>
    </row>
    <row r="801" spans="1:12" ht="42" x14ac:dyDescent="0.25">
      <c r="A801" s="651" t="s">
        <v>3167</v>
      </c>
      <c r="B801" s="652">
        <v>2021</v>
      </c>
      <c r="C801" s="651" t="s">
        <v>721</v>
      </c>
      <c r="D801" s="651" t="s">
        <v>3206</v>
      </c>
      <c r="E801" s="651" t="s">
        <v>441</v>
      </c>
      <c r="F801" s="653">
        <v>0</v>
      </c>
      <c r="G801" s="651" t="s">
        <v>650</v>
      </c>
      <c r="H801" s="654"/>
      <c r="I801" s="653">
        <v>143086.90625</v>
      </c>
      <c r="J801" s="653">
        <v>-21674.83984375</v>
      </c>
      <c r="K801" s="653">
        <v>121412.0703125</v>
      </c>
      <c r="L801" s="656">
        <v>121412.07</v>
      </c>
    </row>
    <row r="802" spans="1:12" ht="42" x14ac:dyDescent="0.25">
      <c r="A802" s="651" t="s">
        <v>3167</v>
      </c>
      <c r="B802" s="652">
        <v>2021</v>
      </c>
      <c r="C802" s="651" t="s">
        <v>721</v>
      </c>
      <c r="D802" s="651" t="s">
        <v>3207</v>
      </c>
      <c r="E802" s="651" t="s">
        <v>737</v>
      </c>
      <c r="F802" s="653">
        <v>74696.47</v>
      </c>
      <c r="G802" s="654"/>
      <c r="H802" s="654"/>
      <c r="I802" s="655"/>
      <c r="J802" s="655"/>
      <c r="K802" s="653">
        <v>0</v>
      </c>
      <c r="L802" s="656">
        <v>74696.47</v>
      </c>
    </row>
    <row r="803" spans="1:12" ht="14.5" x14ac:dyDescent="0.25">
      <c r="A803" s="651" t="s">
        <v>3167</v>
      </c>
      <c r="B803" s="652">
        <v>2021</v>
      </c>
      <c r="C803" s="651" t="s">
        <v>738</v>
      </c>
      <c r="D803" s="651" t="s">
        <v>3208</v>
      </c>
      <c r="E803" s="651" t="s">
        <v>7</v>
      </c>
      <c r="F803" s="653">
        <v>0</v>
      </c>
      <c r="G803" s="654"/>
      <c r="H803" s="651" t="s">
        <v>650</v>
      </c>
      <c r="I803" s="655"/>
      <c r="J803" s="655"/>
      <c r="K803" s="653">
        <v>0</v>
      </c>
      <c r="L803" s="656">
        <v>0</v>
      </c>
    </row>
    <row r="804" spans="1:12" ht="21" x14ac:dyDescent="0.25">
      <c r="A804" s="651" t="s">
        <v>198</v>
      </c>
      <c r="B804" s="652">
        <v>2021</v>
      </c>
      <c r="C804" s="651" t="s">
        <v>647</v>
      </c>
      <c r="D804" s="651" t="s">
        <v>1182</v>
      </c>
      <c r="E804" s="651" t="s">
        <v>649</v>
      </c>
      <c r="F804" s="653">
        <v>3661703.34</v>
      </c>
      <c r="G804" s="654"/>
      <c r="H804" s="651" t="s">
        <v>650</v>
      </c>
      <c r="I804" s="655"/>
      <c r="J804" s="655"/>
      <c r="K804" s="653">
        <v>0</v>
      </c>
      <c r="L804" s="656">
        <v>3661703.34</v>
      </c>
    </row>
    <row r="805" spans="1:12" ht="14.5" x14ac:dyDescent="0.25">
      <c r="A805" s="651" t="s">
        <v>198</v>
      </c>
      <c r="B805" s="652">
        <v>2021</v>
      </c>
      <c r="C805" s="651" t="s">
        <v>651</v>
      </c>
      <c r="D805" s="651" t="s">
        <v>1183</v>
      </c>
      <c r="E805" s="651" t="s">
        <v>653</v>
      </c>
      <c r="F805" s="653">
        <v>103577.99</v>
      </c>
      <c r="G805" s="654"/>
      <c r="H805" s="651" t="s">
        <v>650</v>
      </c>
      <c r="I805" s="655"/>
      <c r="J805" s="655"/>
      <c r="K805" s="653">
        <v>0</v>
      </c>
      <c r="L805" s="656">
        <v>103577.99</v>
      </c>
    </row>
    <row r="806" spans="1:12" ht="42" x14ac:dyDescent="0.25">
      <c r="A806" s="651" t="s">
        <v>198</v>
      </c>
      <c r="B806" s="652">
        <v>2021</v>
      </c>
      <c r="C806" s="651" t="s">
        <v>654</v>
      </c>
      <c r="D806" s="651" t="s">
        <v>1184</v>
      </c>
      <c r="E806" s="651" t="s">
        <v>445</v>
      </c>
      <c r="F806" s="653">
        <v>0</v>
      </c>
      <c r="G806" s="654"/>
      <c r="H806" s="651" t="s">
        <v>650</v>
      </c>
      <c r="I806" s="655"/>
      <c r="J806" s="655"/>
      <c r="K806" s="653">
        <v>0</v>
      </c>
      <c r="L806" s="656">
        <v>0</v>
      </c>
    </row>
    <row r="807" spans="1:12" ht="21" x14ac:dyDescent="0.25">
      <c r="A807" s="651" t="s">
        <v>198</v>
      </c>
      <c r="B807" s="652">
        <v>2021</v>
      </c>
      <c r="C807" s="651" t="s">
        <v>656</v>
      </c>
      <c r="D807" s="651" t="s">
        <v>1185</v>
      </c>
      <c r="E807" s="651" t="s">
        <v>658</v>
      </c>
      <c r="F807" s="653">
        <v>0</v>
      </c>
      <c r="G807" s="654"/>
      <c r="H807" s="651" t="s">
        <v>650</v>
      </c>
      <c r="I807" s="655"/>
      <c r="J807" s="655"/>
      <c r="K807" s="653">
        <v>0</v>
      </c>
      <c r="L807" s="656">
        <v>0</v>
      </c>
    </row>
    <row r="808" spans="1:12" ht="31.5" x14ac:dyDescent="0.25">
      <c r="A808" s="651" t="s">
        <v>198</v>
      </c>
      <c r="B808" s="652">
        <v>2021</v>
      </c>
      <c r="C808" s="651" t="s">
        <v>659</v>
      </c>
      <c r="D808" s="651" t="s">
        <v>1186</v>
      </c>
      <c r="E808" s="651" t="s">
        <v>661</v>
      </c>
      <c r="F808" s="653">
        <v>0</v>
      </c>
      <c r="G808" s="654"/>
      <c r="H808" s="651" t="s">
        <v>650</v>
      </c>
      <c r="I808" s="655"/>
      <c r="J808" s="655"/>
      <c r="K808" s="653">
        <v>0</v>
      </c>
      <c r="L808" s="656">
        <v>0</v>
      </c>
    </row>
    <row r="809" spans="1:12" ht="21" x14ac:dyDescent="0.25">
      <c r="A809" s="651" t="s">
        <v>198</v>
      </c>
      <c r="B809" s="652">
        <v>2021</v>
      </c>
      <c r="C809" s="651" t="s">
        <v>662</v>
      </c>
      <c r="D809" s="651" t="s">
        <v>1187</v>
      </c>
      <c r="E809" s="651" t="s">
        <v>664</v>
      </c>
      <c r="F809" s="653">
        <v>0</v>
      </c>
      <c r="G809" s="654"/>
      <c r="H809" s="651" t="s">
        <v>650</v>
      </c>
      <c r="I809" s="655"/>
      <c r="J809" s="655"/>
      <c r="K809" s="653">
        <v>0</v>
      </c>
      <c r="L809" s="656">
        <v>0</v>
      </c>
    </row>
    <row r="810" spans="1:12" ht="31.5" x14ac:dyDescent="0.25">
      <c r="A810" s="651" t="s">
        <v>198</v>
      </c>
      <c r="B810" s="652">
        <v>2021</v>
      </c>
      <c r="C810" s="651" t="s">
        <v>665</v>
      </c>
      <c r="D810" s="651" t="s">
        <v>1188</v>
      </c>
      <c r="E810" s="651" t="s">
        <v>667</v>
      </c>
      <c r="F810" s="653">
        <v>0</v>
      </c>
      <c r="G810" s="654"/>
      <c r="H810" s="651" t="s">
        <v>650</v>
      </c>
      <c r="I810" s="655"/>
      <c r="J810" s="655"/>
      <c r="K810" s="653">
        <v>0</v>
      </c>
      <c r="L810" s="656">
        <v>0</v>
      </c>
    </row>
    <row r="811" spans="1:12" ht="21" x14ac:dyDescent="0.25">
      <c r="A811" s="651" t="s">
        <v>198</v>
      </c>
      <c r="B811" s="652">
        <v>2021</v>
      </c>
      <c r="C811" s="651" t="s">
        <v>668</v>
      </c>
      <c r="D811" s="651" t="s">
        <v>1189</v>
      </c>
      <c r="E811" s="651" t="s">
        <v>12</v>
      </c>
      <c r="F811" s="653">
        <v>0</v>
      </c>
      <c r="G811" s="654"/>
      <c r="H811" s="651" t="s">
        <v>650</v>
      </c>
      <c r="I811" s="655"/>
      <c r="J811" s="655"/>
      <c r="K811" s="653">
        <v>0</v>
      </c>
      <c r="L811" s="656">
        <v>0</v>
      </c>
    </row>
    <row r="812" spans="1:12" ht="21" x14ac:dyDescent="0.25">
      <c r="A812" s="651" t="s">
        <v>198</v>
      </c>
      <c r="B812" s="652">
        <v>2021</v>
      </c>
      <c r="C812" s="651" t="s">
        <v>670</v>
      </c>
      <c r="D812" s="651" t="s">
        <v>1190</v>
      </c>
      <c r="E812" s="651" t="s">
        <v>13</v>
      </c>
      <c r="F812" s="653">
        <v>0</v>
      </c>
      <c r="G812" s="654"/>
      <c r="H812" s="651" t="s">
        <v>650</v>
      </c>
      <c r="I812" s="655"/>
      <c r="J812" s="655"/>
      <c r="K812" s="653">
        <v>0</v>
      </c>
      <c r="L812" s="656">
        <v>0</v>
      </c>
    </row>
    <row r="813" spans="1:12" ht="21" x14ac:dyDescent="0.25">
      <c r="A813" s="651" t="s">
        <v>198</v>
      </c>
      <c r="B813" s="652">
        <v>2021</v>
      </c>
      <c r="C813" s="651" t="s">
        <v>672</v>
      </c>
      <c r="D813" s="651" t="s">
        <v>1191</v>
      </c>
      <c r="E813" s="651" t="s">
        <v>15</v>
      </c>
      <c r="F813" s="653">
        <v>0</v>
      </c>
      <c r="G813" s="654"/>
      <c r="H813" s="651" t="s">
        <v>650</v>
      </c>
      <c r="I813" s="655"/>
      <c r="J813" s="655"/>
      <c r="K813" s="653">
        <v>0</v>
      </c>
      <c r="L813" s="656">
        <v>0</v>
      </c>
    </row>
    <row r="814" spans="1:12" ht="14.5" x14ac:dyDescent="0.25">
      <c r="A814" s="651" t="s">
        <v>198</v>
      </c>
      <c r="B814" s="652">
        <v>2021</v>
      </c>
      <c r="C814" s="651" t="s">
        <v>674</v>
      </c>
      <c r="D814" s="651" t="s">
        <v>1192</v>
      </c>
      <c r="E814" s="651" t="s">
        <v>676</v>
      </c>
      <c r="F814" s="653">
        <v>1378.26</v>
      </c>
      <c r="G814" s="654"/>
      <c r="H814" s="651" t="s">
        <v>650</v>
      </c>
      <c r="I814" s="655"/>
      <c r="J814" s="655"/>
      <c r="K814" s="653">
        <v>0</v>
      </c>
      <c r="L814" s="656">
        <v>1378.26</v>
      </c>
    </row>
    <row r="815" spans="1:12" ht="14.5" x14ac:dyDescent="0.25">
      <c r="A815" s="651" t="s">
        <v>198</v>
      </c>
      <c r="B815" s="652">
        <v>2021</v>
      </c>
      <c r="C815" s="651" t="s">
        <v>677</v>
      </c>
      <c r="D815" s="651" t="s">
        <v>1193</v>
      </c>
      <c r="E815" s="651" t="s">
        <v>23</v>
      </c>
      <c r="F815" s="653">
        <v>-314560.52</v>
      </c>
      <c r="G815" s="651" t="s">
        <v>650</v>
      </c>
      <c r="H815" s="654"/>
      <c r="I815" s="653">
        <v>-299499.71875</v>
      </c>
      <c r="J815" s="653">
        <v>-15060.7998046875</v>
      </c>
      <c r="K815" s="653">
        <v>-314560.53125</v>
      </c>
      <c r="L815" s="656">
        <v>-314560.52</v>
      </c>
    </row>
    <row r="816" spans="1:12" ht="31.5" x14ac:dyDescent="0.25">
      <c r="A816" s="651" t="s">
        <v>198</v>
      </c>
      <c r="B816" s="652">
        <v>2021</v>
      </c>
      <c r="C816" s="651" t="s">
        <v>679</v>
      </c>
      <c r="D816" s="651" t="s">
        <v>1194</v>
      </c>
      <c r="E816" s="651" t="s">
        <v>131</v>
      </c>
      <c r="F816" s="653">
        <v>-20980.76</v>
      </c>
      <c r="G816" s="651" t="s">
        <v>650</v>
      </c>
      <c r="H816" s="654"/>
      <c r="I816" s="653">
        <v>-20863.759765625</v>
      </c>
      <c r="J816" s="653">
        <v>-117</v>
      </c>
      <c r="K816" s="653">
        <v>-20980.759765625</v>
      </c>
      <c r="L816" s="656">
        <v>-20980.76</v>
      </c>
    </row>
    <row r="817" spans="1:12" ht="31.5" x14ac:dyDescent="0.25">
      <c r="A817" s="651" t="s">
        <v>198</v>
      </c>
      <c r="B817" s="652">
        <v>2021</v>
      </c>
      <c r="C817" s="651" t="s">
        <v>681</v>
      </c>
      <c r="D817" s="651" t="s">
        <v>1195</v>
      </c>
      <c r="E817" s="651" t="s">
        <v>683</v>
      </c>
      <c r="F817" s="653">
        <v>-169977.53</v>
      </c>
      <c r="G817" s="654"/>
      <c r="H817" s="651" t="s">
        <v>650</v>
      </c>
      <c r="I817" s="655"/>
      <c r="J817" s="655"/>
      <c r="K817" s="653">
        <v>0</v>
      </c>
      <c r="L817" s="656">
        <v>-169977.53</v>
      </c>
    </row>
    <row r="818" spans="1:12" ht="21" x14ac:dyDescent="0.25">
      <c r="A818" s="651" t="s">
        <v>198</v>
      </c>
      <c r="B818" s="652">
        <v>2021</v>
      </c>
      <c r="C818" s="651" t="s">
        <v>681</v>
      </c>
      <c r="D818" s="651" t="s">
        <v>1195</v>
      </c>
      <c r="E818" s="651" t="s">
        <v>684</v>
      </c>
      <c r="F818" s="653">
        <v>-3312.68</v>
      </c>
      <c r="G818" s="654"/>
      <c r="H818" s="651" t="s">
        <v>650</v>
      </c>
      <c r="I818" s="655"/>
      <c r="J818" s="655"/>
      <c r="K818" s="653">
        <v>0</v>
      </c>
      <c r="L818" s="656">
        <v>-3312.68</v>
      </c>
    </row>
    <row r="819" spans="1:12" ht="21" x14ac:dyDescent="0.25">
      <c r="A819" s="651" t="s">
        <v>198</v>
      </c>
      <c r="B819" s="652">
        <v>2021</v>
      </c>
      <c r="C819" s="651" t="s">
        <v>685</v>
      </c>
      <c r="D819" s="651" t="s">
        <v>1196</v>
      </c>
      <c r="E819" s="651" t="s">
        <v>687</v>
      </c>
      <c r="F819" s="653">
        <v>0.39</v>
      </c>
      <c r="G819" s="654"/>
      <c r="H819" s="651" t="s">
        <v>650</v>
      </c>
      <c r="I819" s="655"/>
      <c r="J819" s="655"/>
      <c r="K819" s="653">
        <v>0</v>
      </c>
      <c r="L819" s="656">
        <v>0.39</v>
      </c>
    </row>
    <row r="820" spans="1:12" ht="14.5" x14ac:dyDescent="0.25">
      <c r="A820" s="651" t="s">
        <v>198</v>
      </c>
      <c r="B820" s="652">
        <v>2021</v>
      </c>
      <c r="C820" s="651" t="s">
        <v>688</v>
      </c>
      <c r="D820" s="651" t="s">
        <v>1197</v>
      </c>
      <c r="E820" s="651" t="s">
        <v>50</v>
      </c>
      <c r="F820" s="653">
        <v>-0.52</v>
      </c>
      <c r="G820" s="654"/>
      <c r="H820" s="651" t="s">
        <v>650</v>
      </c>
      <c r="I820" s="655"/>
      <c r="J820" s="655"/>
      <c r="K820" s="653">
        <v>0</v>
      </c>
      <c r="L820" s="656">
        <v>-0.52</v>
      </c>
    </row>
    <row r="821" spans="1:12" ht="21" x14ac:dyDescent="0.25">
      <c r="A821" s="651" t="s">
        <v>198</v>
      </c>
      <c r="B821" s="652">
        <v>2021</v>
      </c>
      <c r="C821" s="651" t="s">
        <v>690</v>
      </c>
      <c r="D821" s="651" t="s">
        <v>1198</v>
      </c>
      <c r="E821" s="651" t="s">
        <v>692</v>
      </c>
      <c r="F821" s="653">
        <v>0</v>
      </c>
      <c r="G821" s="654"/>
      <c r="H821" s="651" t="s">
        <v>650</v>
      </c>
      <c r="I821" s="655"/>
      <c r="J821" s="655"/>
      <c r="K821" s="653">
        <v>0</v>
      </c>
      <c r="L821" s="656">
        <v>0</v>
      </c>
    </row>
    <row r="822" spans="1:12" ht="21" x14ac:dyDescent="0.25">
      <c r="A822" s="651" t="s">
        <v>198</v>
      </c>
      <c r="B822" s="652">
        <v>2021</v>
      </c>
      <c r="C822" s="651" t="s">
        <v>693</v>
      </c>
      <c r="D822" s="651" t="s">
        <v>1199</v>
      </c>
      <c r="E822" s="651" t="s">
        <v>6</v>
      </c>
      <c r="F822" s="653">
        <v>0</v>
      </c>
      <c r="G822" s="654"/>
      <c r="H822" s="651" t="s">
        <v>650</v>
      </c>
      <c r="I822" s="655"/>
      <c r="J822" s="655"/>
      <c r="K822" s="653">
        <v>0</v>
      </c>
      <c r="L822" s="656">
        <v>0</v>
      </c>
    </row>
    <row r="823" spans="1:12" ht="31.5" x14ac:dyDescent="0.25">
      <c r="A823" s="651" t="s">
        <v>198</v>
      </c>
      <c r="B823" s="652">
        <v>2021</v>
      </c>
      <c r="C823" s="651" t="s">
        <v>695</v>
      </c>
      <c r="D823" s="651" t="s">
        <v>1200</v>
      </c>
      <c r="E823" s="651" t="s">
        <v>697</v>
      </c>
      <c r="F823" s="653">
        <v>178387.41</v>
      </c>
      <c r="G823" s="654"/>
      <c r="H823" s="651" t="s">
        <v>650</v>
      </c>
      <c r="I823" s="655"/>
      <c r="J823" s="655"/>
      <c r="K823" s="653">
        <v>0</v>
      </c>
      <c r="L823" s="656">
        <v>178387.41</v>
      </c>
    </row>
    <row r="824" spans="1:12" ht="21" x14ac:dyDescent="0.25">
      <c r="A824" s="651" t="s">
        <v>198</v>
      </c>
      <c r="B824" s="652">
        <v>2021</v>
      </c>
      <c r="C824" s="651" t="s">
        <v>698</v>
      </c>
      <c r="D824" s="651" t="s">
        <v>1201</v>
      </c>
      <c r="E824" s="651" t="s">
        <v>700</v>
      </c>
      <c r="F824" s="653">
        <v>-105700.88</v>
      </c>
      <c r="G824" s="654"/>
      <c r="H824" s="651" t="s">
        <v>650</v>
      </c>
      <c r="I824" s="655"/>
      <c r="J824" s="655"/>
      <c r="K824" s="653">
        <v>0</v>
      </c>
      <c r="L824" s="656">
        <v>-105700.88</v>
      </c>
    </row>
    <row r="825" spans="1:12" ht="21" x14ac:dyDescent="0.25">
      <c r="A825" s="651" t="s">
        <v>198</v>
      </c>
      <c r="B825" s="652">
        <v>2021</v>
      </c>
      <c r="C825" s="651" t="s">
        <v>701</v>
      </c>
      <c r="D825" s="651" t="s">
        <v>1202</v>
      </c>
      <c r="E825" s="651" t="s">
        <v>1</v>
      </c>
      <c r="F825" s="653">
        <v>-1345671.89</v>
      </c>
      <c r="G825" s="651" t="s">
        <v>650</v>
      </c>
      <c r="H825" s="654"/>
      <c r="I825" s="653">
        <v>-1326544.875</v>
      </c>
      <c r="J825" s="653">
        <v>-19127</v>
      </c>
      <c r="K825" s="653">
        <v>-1345671.875</v>
      </c>
      <c r="L825" s="656">
        <v>-1345671.89</v>
      </c>
    </row>
    <row r="826" spans="1:12" ht="21" x14ac:dyDescent="0.25">
      <c r="A826" s="651" t="s">
        <v>198</v>
      </c>
      <c r="B826" s="652">
        <v>2021</v>
      </c>
      <c r="C826" s="651" t="s">
        <v>701</v>
      </c>
      <c r="D826" s="651" t="s">
        <v>1202</v>
      </c>
      <c r="E826" s="651" t="s">
        <v>703</v>
      </c>
      <c r="F826" s="653">
        <v>0</v>
      </c>
      <c r="G826" s="654"/>
      <c r="H826" s="654"/>
      <c r="I826" s="655"/>
      <c r="J826" s="655"/>
      <c r="K826" s="653">
        <v>0</v>
      </c>
      <c r="L826" s="656">
        <v>0</v>
      </c>
    </row>
    <row r="827" spans="1:12" ht="21" x14ac:dyDescent="0.25">
      <c r="A827" s="651" t="s">
        <v>198</v>
      </c>
      <c r="B827" s="652">
        <v>2021</v>
      </c>
      <c r="C827" s="651" t="s">
        <v>701</v>
      </c>
      <c r="D827" s="651" t="s">
        <v>1202</v>
      </c>
      <c r="E827" s="651" t="s">
        <v>704</v>
      </c>
      <c r="F827" s="653">
        <v>0</v>
      </c>
      <c r="G827" s="654"/>
      <c r="H827" s="654"/>
      <c r="I827" s="655"/>
      <c r="J827" s="655"/>
      <c r="K827" s="653">
        <v>0</v>
      </c>
      <c r="L827" s="656">
        <v>0</v>
      </c>
    </row>
    <row r="828" spans="1:12" ht="21" x14ac:dyDescent="0.25">
      <c r="A828" s="651" t="s">
        <v>198</v>
      </c>
      <c r="B828" s="652">
        <v>2021</v>
      </c>
      <c r="C828" s="651" t="s">
        <v>701</v>
      </c>
      <c r="D828" s="651" t="s">
        <v>1202</v>
      </c>
      <c r="E828" s="651" t="s">
        <v>705</v>
      </c>
      <c r="F828" s="653">
        <v>-3491.97</v>
      </c>
      <c r="G828" s="654"/>
      <c r="H828" s="654"/>
      <c r="I828" s="655"/>
      <c r="J828" s="655"/>
      <c r="K828" s="653">
        <v>0</v>
      </c>
      <c r="L828" s="656">
        <v>-3491.97</v>
      </c>
    </row>
    <row r="829" spans="1:12" ht="21" x14ac:dyDescent="0.25">
      <c r="A829" s="651" t="s">
        <v>198</v>
      </c>
      <c r="B829" s="652">
        <v>2021</v>
      </c>
      <c r="C829" s="651" t="s">
        <v>701</v>
      </c>
      <c r="D829" s="651" t="s">
        <v>1202</v>
      </c>
      <c r="E829" s="651" t="s">
        <v>706</v>
      </c>
      <c r="F829" s="653">
        <v>-171966.32</v>
      </c>
      <c r="G829" s="654"/>
      <c r="H829" s="654"/>
      <c r="I829" s="655"/>
      <c r="J829" s="655"/>
      <c r="K829" s="653">
        <v>0</v>
      </c>
      <c r="L829" s="656">
        <v>-171966.32</v>
      </c>
    </row>
    <row r="830" spans="1:12" ht="14.5" x14ac:dyDescent="0.25">
      <c r="A830" s="651" t="s">
        <v>198</v>
      </c>
      <c r="B830" s="652">
        <v>2021</v>
      </c>
      <c r="C830" s="651" t="s">
        <v>707</v>
      </c>
      <c r="D830" s="651" t="s">
        <v>1203</v>
      </c>
      <c r="E830" s="651" t="s">
        <v>709</v>
      </c>
      <c r="F830" s="653">
        <v>0</v>
      </c>
      <c r="G830" s="654"/>
      <c r="H830" s="651" t="s">
        <v>650</v>
      </c>
      <c r="I830" s="655"/>
      <c r="J830" s="655"/>
      <c r="K830" s="653">
        <v>0</v>
      </c>
      <c r="L830" s="656">
        <v>0</v>
      </c>
    </row>
    <row r="831" spans="1:12" ht="31.5" x14ac:dyDescent="0.25">
      <c r="A831" s="651" t="s">
        <v>198</v>
      </c>
      <c r="B831" s="652">
        <v>2021</v>
      </c>
      <c r="C831" s="651" t="s">
        <v>710</v>
      </c>
      <c r="D831" s="651" t="s">
        <v>1204</v>
      </c>
      <c r="E831" s="651" t="s">
        <v>2</v>
      </c>
      <c r="F831" s="653">
        <v>1664137.67</v>
      </c>
      <c r="G831" s="651" t="s">
        <v>650</v>
      </c>
      <c r="H831" s="654"/>
      <c r="I831" s="653">
        <v>1667303</v>
      </c>
      <c r="J831" s="653">
        <v>-3165.32006835938</v>
      </c>
      <c r="K831" s="653">
        <v>1664137.625</v>
      </c>
      <c r="L831" s="656">
        <v>1664137.67</v>
      </c>
    </row>
    <row r="832" spans="1:12" ht="31.5" x14ac:dyDescent="0.25">
      <c r="A832" s="651" t="s">
        <v>198</v>
      </c>
      <c r="B832" s="652">
        <v>2021</v>
      </c>
      <c r="C832" s="651" t="s">
        <v>712</v>
      </c>
      <c r="D832" s="651" t="s">
        <v>1205</v>
      </c>
      <c r="E832" s="651" t="s">
        <v>3</v>
      </c>
      <c r="F832" s="653">
        <v>1220679.06</v>
      </c>
      <c r="G832" s="651" t="s">
        <v>650</v>
      </c>
      <c r="H832" s="654"/>
      <c r="I832" s="653">
        <v>1210974.375</v>
      </c>
      <c r="J832" s="653">
        <v>9704.73046875</v>
      </c>
      <c r="K832" s="653">
        <v>1220679</v>
      </c>
      <c r="L832" s="656">
        <v>1220679.06</v>
      </c>
    </row>
    <row r="833" spans="1:12" ht="31.5" x14ac:dyDescent="0.25">
      <c r="A833" s="651" t="s">
        <v>198</v>
      </c>
      <c r="B833" s="652">
        <v>2021</v>
      </c>
      <c r="C833" s="651" t="s">
        <v>714</v>
      </c>
      <c r="D833" s="651" t="s">
        <v>1206</v>
      </c>
      <c r="E833" s="651" t="s">
        <v>38</v>
      </c>
      <c r="F833" s="653">
        <v>539037.31000000006</v>
      </c>
      <c r="G833" s="651" t="s">
        <v>650</v>
      </c>
      <c r="H833" s="654"/>
      <c r="I833" s="653">
        <v>533661</v>
      </c>
      <c r="J833" s="653">
        <v>5376.27978515625</v>
      </c>
      <c r="K833" s="653">
        <v>539037.3125</v>
      </c>
      <c r="L833" s="656">
        <v>539037.31000000006</v>
      </c>
    </row>
    <row r="834" spans="1:12" ht="21" x14ac:dyDescent="0.25">
      <c r="A834" s="651" t="s">
        <v>198</v>
      </c>
      <c r="B834" s="652">
        <v>2021</v>
      </c>
      <c r="C834" s="651" t="s">
        <v>716</v>
      </c>
      <c r="D834" s="651" t="s">
        <v>1207</v>
      </c>
      <c r="E834" s="651" t="s">
        <v>66</v>
      </c>
      <c r="F834" s="653">
        <v>2146758.4900000002</v>
      </c>
      <c r="G834" s="651" t="s">
        <v>650</v>
      </c>
      <c r="H834" s="654"/>
      <c r="I834" s="653">
        <v>2062074.125</v>
      </c>
      <c r="J834" s="653">
        <v>84684.3203125</v>
      </c>
      <c r="K834" s="653">
        <v>2146758.5</v>
      </c>
      <c r="L834" s="656">
        <v>2146758.4900000002</v>
      </c>
    </row>
    <row r="835" spans="1:12" ht="31.5" x14ac:dyDescent="0.25">
      <c r="A835" s="651" t="s">
        <v>198</v>
      </c>
      <c r="B835" s="652">
        <v>2021</v>
      </c>
      <c r="C835" s="651" t="s">
        <v>718</v>
      </c>
      <c r="D835" s="651" t="s">
        <v>1208</v>
      </c>
      <c r="E835" s="651" t="s">
        <v>720</v>
      </c>
      <c r="F835" s="653">
        <v>-621981.80000000005</v>
      </c>
      <c r="G835" s="654"/>
      <c r="H835" s="651" t="s">
        <v>650</v>
      </c>
      <c r="I835" s="655"/>
      <c r="J835" s="655"/>
      <c r="K835" s="653">
        <v>0</v>
      </c>
      <c r="L835" s="656">
        <v>-621981.80000000005</v>
      </c>
    </row>
    <row r="836" spans="1:12" ht="42" x14ac:dyDescent="0.25">
      <c r="A836" s="651" t="s">
        <v>198</v>
      </c>
      <c r="B836" s="652">
        <v>2021</v>
      </c>
      <c r="C836" s="651" t="s">
        <v>721</v>
      </c>
      <c r="D836" s="651" t="s">
        <v>1209</v>
      </c>
      <c r="E836" s="651" t="s">
        <v>3016</v>
      </c>
      <c r="F836" s="653">
        <v>0</v>
      </c>
      <c r="G836" s="651" t="s">
        <v>650</v>
      </c>
      <c r="H836" s="654"/>
      <c r="I836" s="653">
        <v>186817.234375</v>
      </c>
      <c r="J836" s="653">
        <v>35430</v>
      </c>
      <c r="K836" s="653">
        <v>222247.234375</v>
      </c>
      <c r="L836" s="656">
        <v>222247.23</v>
      </c>
    </row>
    <row r="837" spans="1:12" ht="42" x14ac:dyDescent="0.25">
      <c r="A837" s="651" t="s">
        <v>198</v>
      </c>
      <c r="B837" s="652">
        <v>2021</v>
      </c>
      <c r="C837" s="651" t="s">
        <v>721</v>
      </c>
      <c r="D837" s="651" t="s">
        <v>1209</v>
      </c>
      <c r="E837" s="651" t="s">
        <v>3058</v>
      </c>
      <c r="F837" s="653">
        <v>0</v>
      </c>
      <c r="G837" s="651" t="s">
        <v>650</v>
      </c>
      <c r="H837" s="654"/>
      <c r="I837" s="653">
        <v>-393151.1875</v>
      </c>
      <c r="J837" s="653">
        <v>-69209.4609375</v>
      </c>
      <c r="K837" s="653">
        <v>-462360.65625</v>
      </c>
      <c r="L837" s="656">
        <v>-462360.65</v>
      </c>
    </row>
    <row r="838" spans="1:12" ht="42" x14ac:dyDescent="0.25">
      <c r="A838" s="651" t="s">
        <v>198</v>
      </c>
      <c r="B838" s="652">
        <v>2021</v>
      </c>
      <c r="C838" s="651" t="s">
        <v>721</v>
      </c>
      <c r="D838" s="651" t="s">
        <v>1210</v>
      </c>
      <c r="E838" s="651" t="s">
        <v>724</v>
      </c>
      <c r="F838" s="653">
        <v>0</v>
      </c>
      <c r="G838" s="651" t="s">
        <v>650</v>
      </c>
      <c r="H838" s="654"/>
      <c r="I838" s="655"/>
      <c r="J838" s="655"/>
      <c r="K838" s="653">
        <v>0</v>
      </c>
      <c r="L838" s="656">
        <v>0</v>
      </c>
    </row>
    <row r="839" spans="1:12" ht="42" x14ac:dyDescent="0.25">
      <c r="A839" s="651" t="s">
        <v>198</v>
      </c>
      <c r="B839" s="652">
        <v>2021</v>
      </c>
      <c r="C839" s="651" t="s">
        <v>721</v>
      </c>
      <c r="D839" s="651" t="s">
        <v>1211</v>
      </c>
      <c r="E839" s="651" t="s">
        <v>55</v>
      </c>
      <c r="F839" s="653">
        <v>0</v>
      </c>
      <c r="G839" s="651" t="s">
        <v>650</v>
      </c>
      <c r="H839" s="654"/>
      <c r="I839" s="655"/>
      <c r="J839" s="655"/>
      <c r="K839" s="653">
        <v>0</v>
      </c>
      <c r="L839" s="656">
        <v>0</v>
      </c>
    </row>
    <row r="840" spans="1:12" ht="42" x14ac:dyDescent="0.25">
      <c r="A840" s="651" t="s">
        <v>198</v>
      </c>
      <c r="B840" s="652">
        <v>2021</v>
      </c>
      <c r="C840" s="651" t="s">
        <v>721</v>
      </c>
      <c r="D840" s="651" t="s">
        <v>1212</v>
      </c>
      <c r="E840" s="651" t="s">
        <v>56</v>
      </c>
      <c r="F840" s="653">
        <v>0</v>
      </c>
      <c r="G840" s="651" t="s">
        <v>650</v>
      </c>
      <c r="H840" s="654"/>
      <c r="I840" s="655"/>
      <c r="J840" s="655"/>
      <c r="K840" s="653">
        <v>0</v>
      </c>
      <c r="L840" s="656">
        <v>0</v>
      </c>
    </row>
    <row r="841" spans="1:12" ht="42" x14ac:dyDescent="0.25">
      <c r="A841" s="651" t="s">
        <v>198</v>
      </c>
      <c r="B841" s="652">
        <v>2021</v>
      </c>
      <c r="C841" s="651" t="s">
        <v>721</v>
      </c>
      <c r="D841" s="651" t="s">
        <v>1213</v>
      </c>
      <c r="E841" s="651" t="s">
        <v>728</v>
      </c>
      <c r="F841" s="653">
        <v>0</v>
      </c>
      <c r="G841" s="651" t="s">
        <v>650</v>
      </c>
      <c r="H841" s="654"/>
      <c r="I841" s="655"/>
      <c r="J841" s="655"/>
      <c r="K841" s="653">
        <v>0</v>
      </c>
      <c r="L841" s="656">
        <v>0</v>
      </c>
    </row>
    <row r="842" spans="1:12" ht="42" x14ac:dyDescent="0.25">
      <c r="A842" s="651" t="s">
        <v>198</v>
      </c>
      <c r="B842" s="652">
        <v>2021</v>
      </c>
      <c r="C842" s="651" t="s">
        <v>721</v>
      </c>
      <c r="D842" s="651" t="s">
        <v>1214</v>
      </c>
      <c r="E842" s="651" t="s">
        <v>730</v>
      </c>
      <c r="F842" s="653">
        <v>0</v>
      </c>
      <c r="G842" s="651" t="s">
        <v>650</v>
      </c>
      <c r="H842" s="654"/>
      <c r="I842" s="655"/>
      <c r="J842" s="655"/>
      <c r="K842" s="653">
        <v>0</v>
      </c>
      <c r="L842" s="656">
        <v>0</v>
      </c>
    </row>
    <row r="843" spans="1:12" ht="42" x14ac:dyDescent="0.25">
      <c r="A843" s="651" t="s">
        <v>198</v>
      </c>
      <c r="B843" s="652">
        <v>2021</v>
      </c>
      <c r="C843" s="651" t="s">
        <v>721</v>
      </c>
      <c r="D843" s="651" t="s">
        <v>1215</v>
      </c>
      <c r="E843" s="651" t="s">
        <v>142</v>
      </c>
      <c r="F843" s="653">
        <v>0</v>
      </c>
      <c r="G843" s="651" t="s">
        <v>650</v>
      </c>
      <c r="H843" s="654"/>
      <c r="I843" s="655"/>
      <c r="J843" s="655"/>
      <c r="K843" s="653">
        <v>0</v>
      </c>
      <c r="L843" s="656">
        <v>0</v>
      </c>
    </row>
    <row r="844" spans="1:12" ht="42" x14ac:dyDescent="0.25">
      <c r="A844" s="651" t="s">
        <v>198</v>
      </c>
      <c r="B844" s="652">
        <v>2021</v>
      </c>
      <c r="C844" s="651" t="s">
        <v>721</v>
      </c>
      <c r="D844" s="651" t="s">
        <v>1216</v>
      </c>
      <c r="E844" s="651" t="s">
        <v>143</v>
      </c>
      <c r="F844" s="653">
        <v>0</v>
      </c>
      <c r="G844" s="651" t="s">
        <v>650</v>
      </c>
      <c r="H844" s="654"/>
      <c r="I844" s="655"/>
      <c r="J844" s="655"/>
      <c r="K844" s="653">
        <v>0</v>
      </c>
      <c r="L844" s="656">
        <v>0</v>
      </c>
    </row>
    <row r="845" spans="1:12" ht="42" x14ac:dyDescent="0.25">
      <c r="A845" s="651" t="s">
        <v>198</v>
      </c>
      <c r="B845" s="652">
        <v>2021</v>
      </c>
      <c r="C845" s="651" t="s">
        <v>721</v>
      </c>
      <c r="D845" s="651" t="s">
        <v>1217</v>
      </c>
      <c r="E845" s="651" t="s">
        <v>182</v>
      </c>
      <c r="F845" s="653">
        <v>0</v>
      </c>
      <c r="G845" s="651" t="s">
        <v>650</v>
      </c>
      <c r="H845" s="654"/>
      <c r="I845" s="655"/>
      <c r="J845" s="655"/>
      <c r="K845" s="653">
        <v>0</v>
      </c>
      <c r="L845" s="656">
        <v>0</v>
      </c>
    </row>
    <row r="846" spans="1:12" ht="42" x14ac:dyDescent="0.25">
      <c r="A846" s="651" t="s">
        <v>198</v>
      </c>
      <c r="B846" s="652">
        <v>2021</v>
      </c>
      <c r="C846" s="651" t="s">
        <v>721</v>
      </c>
      <c r="D846" s="651" t="s">
        <v>1218</v>
      </c>
      <c r="E846" s="651" t="s">
        <v>394</v>
      </c>
      <c r="F846" s="653">
        <v>0</v>
      </c>
      <c r="G846" s="651" t="s">
        <v>650</v>
      </c>
      <c r="H846" s="654"/>
      <c r="I846" s="655"/>
      <c r="J846" s="655"/>
      <c r="K846" s="653">
        <v>0</v>
      </c>
      <c r="L846" s="656">
        <v>0</v>
      </c>
    </row>
    <row r="847" spans="1:12" ht="42" x14ac:dyDescent="0.25">
      <c r="A847" s="651" t="s">
        <v>198</v>
      </c>
      <c r="B847" s="652">
        <v>2021</v>
      </c>
      <c r="C847" s="651" t="s">
        <v>721</v>
      </c>
      <c r="D847" s="651" t="s">
        <v>1219</v>
      </c>
      <c r="E847" s="651" t="s">
        <v>423</v>
      </c>
      <c r="F847" s="653">
        <v>0</v>
      </c>
      <c r="G847" s="651" t="s">
        <v>650</v>
      </c>
      <c r="H847" s="654"/>
      <c r="I847" s="653">
        <v>-9390.58984375</v>
      </c>
      <c r="J847" s="653">
        <v>4011.17993164063</v>
      </c>
      <c r="K847" s="653">
        <v>-5379.41015625</v>
      </c>
      <c r="L847" s="656">
        <v>-5379.41</v>
      </c>
    </row>
    <row r="848" spans="1:12" ht="42" x14ac:dyDescent="0.25">
      <c r="A848" s="651" t="s">
        <v>198</v>
      </c>
      <c r="B848" s="652">
        <v>2021</v>
      </c>
      <c r="C848" s="651" t="s">
        <v>721</v>
      </c>
      <c r="D848" s="651" t="s">
        <v>3209</v>
      </c>
      <c r="E848" s="651" t="s">
        <v>441</v>
      </c>
      <c r="F848" s="653">
        <v>0</v>
      </c>
      <c r="G848" s="651" t="s">
        <v>650</v>
      </c>
      <c r="H848" s="654"/>
      <c r="I848" s="653">
        <v>2054967.5</v>
      </c>
      <c r="J848" s="653">
        <v>-323654.625</v>
      </c>
      <c r="K848" s="653">
        <v>1731312.875</v>
      </c>
      <c r="L848" s="656">
        <v>1731312.93</v>
      </c>
    </row>
    <row r="849" spans="1:12" ht="42" x14ac:dyDescent="0.25">
      <c r="A849" s="651" t="s">
        <v>198</v>
      </c>
      <c r="B849" s="652">
        <v>2021</v>
      </c>
      <c r="C849" s="651" t="s">
        <v>721</v>
      </c>
      <c r="D849" s="651" t="s">
        <v>1220</v>
      </c>
      <c r="E849" s="651" t="s">
        <v>737</v>
      </c>
      <c r="F849" s="653">
        <v>1485820.1</v>
      </c>
      <c r="G849" s="654"/>
      <c r="H849" s="654"/>
      <c r="I849" s="655"/>
      <c r="J849" s="655"/>
      <c r="K849" s="653">
        <v>0</v>
      </c>
      <c r="L849" s="656">
        <v>1485820.1</v>
      </c>
    </row>
    <row r="850" spans="1:12" ht="14.5" x14ac:dyDescent="0.25">
      <c r="A850" s="651" t="s">
        <v>198</v>
      </c>
      <c r="B850" s="652">
        <v>2021</v>
      </c>
      <c r="C850" s="651" t="s">
        <v>738</v>
      </c>
      <c r="D850" s="651" t="s">
        <v>1221</v>
      </c>
      <c r="E850" s="651" t="s">
        <v>7</v>
      </c>
      <c r="F850" s="653">
        <v>0</v>
      </c>
      <c r="G850" s="654"/>
      <c r="H850" s="651" t="s">
        <v>650</v>
      </c>
      <c r="I850" s="655"/>
      <c r="J850" s="655"/>
      <c r="K850" s="653">
        <v>0</v>
      </c>
      <c r="L850" s="656">
        <v>0</v>
      </c>
    </row>
    <row r="851" spans="1:12" ht="21" x14ac:dyDescent="0.25">
      <c r="A851" s="651" t="s">
        <v>87</v>
      </c>
      <c r="B851" s="652">
        <v>2021</v>
      </c>
      <c r="C851" s="651" t="s">
        <v>647</v>
      </c>
      <c r="D851" s="651" t="s">
        <v>1222</v>
      </c>
      <c r="E851" s="651" t="s">
        <v>649</v>
      </c>
      <c r="F851" s="653">
        <v>3284.72</v>
      </c>
      <c r="G851" s="654"/>
      <c r="H851" s="651" t="s">
        <v>650</v>
      </c>
      <c r="I851" s="655"/>
      <c r="J851" s="655"/>
      <c r="K851" s="653">
        <v>0</v>
      </c>
      <c r="L851" s="656">
        <v>3284.72</v>
      </c>
    </row>
    <row r="852" spans="1:12" ht="14.5" x14ac:dyDescent="0.25">
      <c r="A852" s="651" t="s">
        <v>87</v>
      </c>
      <c r="B852" s="652">
        <v>2021</v>
      </c>
      <c r="C852" s="651" t="s">
        <v>651</v>
      </c>
      <c r="D852" s="651" t="s">
        <v>1223</v>
      </c>
      <c r="E852" s="651" t="s">
        <v>653</v>
      </c>
      <c r="F852" s="653">
        <v>22697.97</v>
      </c>
      <c r="G852" s="654"/>
      <c r="H852" s="651" t="s">
        <v>650</v>
      </c>
      <c r="I852" s="655"/>
      <c r="J852" s="655"/>
      <c r="K852" s="653">
        <v>0</v>
      </c>
      <c r="L852" s="656">
        <v>22697.97</v>
      </c>
    </row>
    <row r="853" spans="1:12" ht="42" x14ac:dyDescent="0.25">
      <c r="A853" s="651" t="s">
        <v>87</v>
      </c>
      <c r="B853" s="652">
        <v>2021</v>
      </c>
      <c r="C853" s="651" t="s">
        <v>654</v>
      </c>
      <c r="D853" s="651" t="s">
        <v>1224</v>
      </c>
      <c r="E853" s="651" t="s">
        <v>445</v>
      </c>
      <c r="F853" s="653">
        <v>0</v>
      </c>
      <c r="G853" s="654"/>
      <c r="H853" s="651" t="s">
        <v>650</v>
      </c>
      <c r="I853" s="655"/>
      <c r="J853" s="655"/>
      <c r="K853" s="653">
        <v>0</v>
      </c>
      <c r="L853" s="656">
        <v>0</v>
      </c>
    </row>
    <row r="854" spans="1:12" ht="21" x14ac:dyDescent="0.25">
      <c r="A854" s="651" t="s">
        <v>87</v>
      </c>
      <c r="B854" s="652">
        <v>2021</v>
      </c>
      <c r="C854" s="651" t="s">
        <v>656</v>
      </c>
      <c r="D854" s="651" t="s">
        <v>1225</v>
      </c>
      <c r="E854" s="651" t="s">
        <v>658</v>
      </c>
      <c r="F854" s="653">
        <v>0</v>
      </c>
      <c r="G854" s="654"/>
      <c r="H854" s="651" t="s">
        <v>650</v>
      </c>
      <c r="I854" s="655"/>
      <c r="J854" s="655"/>
      <c r="K854" s="653">
        <v>0</v>
      </c>
      <c r="L854" s="656">
        <v>0</v>
      </c>
    </row>
    <row r="855" spans="1:12" ht="31.5" x14ac:dyDescent="0.25">
      <c r="A855" s="651" t="s">
        <v>87</v>
      </c>
      <c r="B855" s="652">
        <v>2021</v>
      </c>
      <c r="C855" s="651" t="s">
        <v>659</v>
      </c>
      <c r="D855" s="651" t="s">
        <v>1226</v>
      </c>
      <c r="E855" s="651" t="s">
        <v>661</v>
      </c>
      <c r="F855" s="653">
        <v>0</v>
      </c>
      <c r="G855" s="654"/>
      <c r="H855" s="651" t="s">
        <v>650</v>
      </c>
      <c r="I855" s="655"/>
      <c r="J855" s="655"/>
      <c r="K855" s="653">
        <v>0</v>
      </c>
      <c r="L855" s="656">
        <v>0</v>
      </c>
    </row>
    <row r="856" spans="1:12" ht="21" x14ac:dyDescent="0.25">
      <c r="A856" s="651" t="s">
        <v>87</v>
      </c>
      <c r="B856" s="652">
        <v>2021</v>
      </c>
      <c r="C856" s="651" t="s">
        <v>662</v>
      </c>
      <c r="D856" s="651" t="s">
        <v>1227</v>
      </c>
      <c r="E856" s="651" t="s">
        <v>664</v>
      </c>
      <c r="F856" s="653">
        <v>0</v>
      </c>
      <c r="G856" s="654"/>
      <c r="H856" s="651" t="s">
        <v>650</v>
      </c>
      <c r="I856" s="655"/>
      <c r="J856" s="655"/>
      <c r="K856" s="653">
        <v>0</v>
      </c>
      <c r="L856" s="656">
        <v>0</v>
      </c>
    </row>
    <row r="857" spans="1:12" ht="31.5" x14ac:dyDescent="0.25">
      <c r="A857" s="651" t="s">
        <v>87</v>
      </c>
      <c r="B857" s="652">
        <v>2021</v>
      </c>
      <c r="C857" s="651" t="s">
        <v>665</v>
      </c>
      <c r="D857" s="651" t="s">
        <v>1228</v>
      </c>
      <c r="E857" s="651" t="s">
        <v>667</v>
      </c>
      <c r="F857" s="653">
        <v>0</v>
      </c>
      <c r="G857" s="654"/>
      <c r="H857" s="651" t="s">
        <v>650</v>
      </c>
      <c r="I857" s="655"/>
      <c r="J857" s="655"/>
      <c r="K857" s="653">
        <v>0</v>
      </c>
      <c r="L857" s="656">
        <v>0</v>
      </c>
    </row>
    <row r="858" spans="1:12" ht="21" x14ac:dyDescent="0.25">
      <c r="A858" s="651" t="s">
        <v>87</v>
      </c>
      <c r="B858" s="652">
        <v>2021</v>
      </c>
      <c r="C858" s="651" t="s">
        <v>668</v>
      </c>
      <c r="D858" s="651" t="s">
        <v>1229</v>
      </c>
      <c r="E858" s="651" t="s">
        <v>12</v>
      </c>
      <c r="F858" s="653">
        <v>0</v>
      </c>
      <c r="G858" s="654"/>
      <c r="H858" s="651" t="s">
        <v>650</v>
      </c>
      <c r="I858" s="655"/>
      <c r="J858" s="655"/>
      <c r="K858" s="653">
        <v>0</v>
      </c>
      <c r="L858" s="656">
        <v>0</v>
      </c>
    </row>
    <row r="859" spans="1:12" ht="21" x14ac:dyDescent="0.25">
      <c r="A859" s="651" t="s">
        <v>87</v>
      </c>
      <c r="B859" s="652">
        <v>2021</v>
      </c>
      <c r="C859" s="651" t="s">
        <v>670</v>
      </c>
      <c r="D859" s="651" t="s">
        <v>1230</v>
      </c>
      <c r="E859" s="651" t="s">
        <v>13</v>
      </c>
      <c r="F859" s="653">
        <v>0</v>
      </c>
      <c r="G859" s="654"/>
      <c r="H859" s="651" t="s">
        <v>650</v>
      </c>
      <c r="I859" s="655"/>
      <c r="J859" s="655"/>
      <c r="K859" s="653">
        <v>0</v>
      </c>
      <c r="L859" s="656">
        <v>0</v>
      </c>
    </row>
    <row r="860" spans="1:12" ht="21" x14ac:dyDescent="0.25">
      <c r="A860" s="651" t="s">
        <v>87</v>
      </c>
      <c r="B860" s="652">
        <v>2021</v>
      </c>
      <c r="C860" s="651" t="s">
        <v>672</v>
      </c>
      <c r="D860" s="651" t="s">
        <v>1231</v>
      </c>
      <c r="E860" s="651" t="s">
        <v>15</v>
      </c>
      <c r="F860" s="653">
        <v>0</v>
      </c>
      <c r="G860" s="654"/>
      <c r="H860" s="651" t="s">
        <v>650</v>
      </c>
      <c r="I860" s="655"/>
      <c r="J860" s="655"/>
      <c r="K860" s="653">
        <v>0</v>
      </c>
      <c r="L860" s="656">
        <v>0</v>
      </c>
    </row>
    <row r="861" spans="1:12" ht="14.5" x14ac:dyDescent="0.25">
      <c r="A861" s="651" t="s">
        <v>87</v>
      </c>
      <c r="B861" s="652">
        <v>2021</v>
      </c>
      <c r="C861" s="651" t="s">
        <v>674</v>
      </c>
      <c r="D861" s="651" t="s">
        <v>1232</v>
      </c>
      <c r="E861" s="651" t="s">
        <v>676</v>
      </c>
      <c r="F861" s="653">
        <v>64324.85</v>
      </c>
      <c r="G861" s="654"/>
      <c r="H861" s="651" t="s">
        <v>650</v>
      </c>
      <c r="I861" s="655"/>
      <c r="J861" s="655"/>
      <c r="K861" s="653">
        <v>0</v>
      </c>
      <c r="L861" s="656">
        <v>64324.85</v>
      </c>
    </row>
    <row r="862" spans="1:12" ht="14.5" x14ac:dyDescent="0.25">
      <c r="A862" s="651" t="s">
        <v>87</v>
      </c>
      <c r="B862" s="652">
        <v>2021</v>
      </c>
      <c r="C862" s="651" t="s">
        <v>677</v>
      </c>
      <c r="D862" s="651" t="s">
        <v>1233</v>
      </c>
      <c r="E862" s="651" t="s">
        <v>23</v>
      </c>
      <c r="F862" s="653">
        <v>1680715.82</v>
      </c>
      <c r="G862" s="651" t="s">
        <v>650</v>
      </c>
      <c r="H862" s="654"/>
      <c r="I862" s="653">
        <v>1661588.25</v>
      </c>
      <c r="J862" s="653">
        <v>19127.509765625</v>
      </c>
      <c r="K862" s="653">
        <v>1680715.875</v>
      </c>
      <c r="L862" s="656">
        <v>1680715.82</v>
      </c>
    </row>
    <row r="863" spans="1:12" ht="31.5" x14ac:dyDescent="0.25">
      <c r="A863" s="651" t="s">
        <v>87</v>
      </c>
      <c r="B863" s="652">
        <v>2021</v>
      </c>
      <c r="C863" s="651" t="s">
        <v>679</v>
      </c>
      <c r="D863" s="651" t="s">
        <v>1234</v>
      </c>
      <c r="E863" s="651" t="s">
        <v>131</v>
      </c>
      <c r="F863" s="653">
        <v>-14858.97</v>
      </c>
      <c r="G863" s="651" t="s">
        <v>650</v>
      </c>
      <c r="H863" s="654"/>
      <c r="I863" s="653">
        <v>-14588.759765625</v>
      </c>
      <c r="J863" s="653">
        <v>-270.20999145507801</v>
      </c>
      <c r="K863" s="653">
        <v>-14858.9697265625</v>
      </c>
      <c r="L863" s="656">
        <v>-14858.97</v>
      </c>
    </row>
    <row r="864" spans="1:12" ht="31.5" x14ac:dyDescent="0.25">
      <c r="A864" s="651" t="s">
        <v>87</v>
      </c>
      <c r="B864" s="652">
        <v>2021</v>
      </c>
      <c r="C864" s="651" t="s">
        <v>681</v>
      </c>
      <c r="D864" s="651" t="s">
        <v>1235</v>
      </c>
      <c r="E864" s="651" t="s">
        <v>683</v>
      </c>
      <c r="F864" s="653">
        <v>-9204.84</v>
      </c>
      <c r="G864" s="654"/>
      <c r="H864" s="651" t="s">
        <v>650</v>
      </c>
      <c r="I864" s="655"/>
      <c r="J864" s="655"/>
      <c r="K864" s="653">
        <v>0</v>
      </c>
      <c r="L864" s="656">
        <v>-9204.84</v>
      </c>
    </row>
    <row r="865" spans="1:12" ht="21" x14ac:dyDescent="0.25">
      <c r="A865" s="651" t="s">
        <v>87</v>
      </c>
      <c r="B865" s="652">
        <v>2021</v>
      </c>
      <c r="C865" s="651" t="s">
        <v>681</v>
      </c>
      <c r="D865" s="651" t="s">
        <v>1235</v>
      </c>
      <c r="E865" s="651" t="s">
        <v>684</v>
      </c>
      <c r="F865" s="653">
        <v>0</v>
      </c>
      <c r="G865" s="654"/>
      <c r="H865" s="651" t="s">
        <v>650</v>
      </c>
      <c r="I865" s="655"/>
      <c r="J865" s="655"/>
      <c r="K865" s="653">
        <v>0</v>
      </c>
      <c r="L865" s="656">
        <v>0</v>
      </c>
    </row>
    <row r="866" spans="1:12" ht="21" x14ac:dyDescent="0.25">
      <c r="A866" s="651" t="s">
        <v>87</v>
      </c>
      <c r="B866" s="652">
        <v>2021</v>
      </c>
      <c r="C866" s="651" t="s">
        <v>685</v>
      </c>
      <c r="D866" s="651" t="s">
        <v>1236</v>
      </c>
      <c r="E866" s="651" t="s">
        <v>687</v>
      </c>
      <c r="F866" s="653">
        <v>0</v>
      </c>
      <c r="G866" s="654"/>
      <c r="H866" s="651" t="s">
        <v>650</v>
      </c>
      <c r="I866" s="655"/>
      <c r="J866" s="655"/>
      <c r="K866" s="653">
        <v>0</v>
      </c>
      <c r="L866" s="656">
        <v>0</v>
      </c>
    </row>
    <row r="867" spans="1:12" ht="14.5" x14ac:dyDescent="0.25">
      <c r="A867" s="651" t="s">
        <v>87</v>
      </c>
      <c r="B867" s="652">
        <v>2021</v>
      </c>
      <c r="C867" s="651" t="s">
        <v>688</v>
      </c>
      <c r="D867" s="651" t="s">
        <v>1237</v>
      </c>
      <c r="E867" s="651" t="s">
        <v>50</v>
      </c>
      <c r="F867" s="653">
        <v>726266.12</v>
      </c>
      <c r="G867" s="654"/>
      <c r="H867" s="651" t="s">
        <v>650</v>
      </c>
      <c r="I867" s="655"/>
      <c r="J867" s="655"/>
      <c r="K867" s="653">
        <v>0</v>
      </c>
      <c r="L867" s="656">
        <v>726266.12</v>
      </c>
    </row>
    <row r="868" spans="1:12" ht="21" x14ac:dyDescent="0.25">
      <c r="A868" s="651" t="s">
        <v>87</v>
      </c>
      <c r="B868" s="652">
        <v>2021</v>
      </c>
      <c r="C868" s="651" t="s">
        <v>690</v>
      </c>
      <c r="D868" s="651" t="s">
        <v>1238</v>
      </c>
      <c r="E868" s="651" t="s">
        <v>692</v>
      </c>
      <c r="F868" s="653">
        <v>0</v>
      </c>
      <c r="G868" s="654"/>
      <c r="H868" s="651" t="s">
        <v>650</v>
      </c>
      <c r="I868" s="655"/>
      <c r="J868" s="655"/>
      <c r="K868" s="653">
        <v>0</v>
      </c>
      <c r="L868" s="656">
        <v>0</v>
      </c>
    </row>
    <row r="869" spans="1:12" ht="21" x14ac:dyDescent="0.25">
      <c r="A869" s="651" t="s">
        <v>87</v>
      </c>
      <c r="B869" s="652">
        <v>2021</v>
      </c>
      <c r="C869" s="651" t="s">
        <v>693</v>
      </c>
      <c r="D869" s="651" t="s">
        <v>1239</v>
      </c>
      <c r="E869" s="651" t="s">
        <v>6</v>
      </c>
      <c r="F869" s="653">
        <v>0</v>
      </c>
      <c r="G869" s="654"/>
      <c r="H869" s="651" t="s">
        <v>650</v>
      </c>
      <c r="I869" s="655"/>
      <c r="J869" s="655"/>
      <c r="K869" s="653">
        <v>0</v>
      </c>
      <c r="L869" s="656">
        <v>0</v>
      </c>
    </row>
    <row r="870" spans="1:12" ht="31.5" x14ac:dyDescent="0.25">
      <c r="A870" s="651" t="s">
        <v>87</v>
      </c>
      <c r="B870" s="652">
        <v>2021</v>
      </c>
      <c r="C870" s="651" t="s">
        <v>695</v>
      </c>
      <c r="D870" s="651" t="s">
        <v>1240</v>
      </c>
      <c r="E870" s="651" t="s">
        <v>697</v>
      </c>
      <c r="F870" s="653">
        <v>0</v>
      </c>
      <c r="G870" s="654"/>
      <c r="H870" s="651" t="s">
        <v>650</v>
      </c>
      <c r="I870" s="655"/>
      <c r="J870" s="655"/>
      <c r="K870" s="653">
        <v>0</v>
      </c>
      <c r="L870" s="656">
        <v>0</v>
      </c>
    </row>
    <row r="871" spans="1:12" ht="21" x14ac:dyDescent="0.25">
      <c r="A871" s="651" t="s">
        <v>87</v>
      </c>
      <c r="B871" s="652">
        <v>2021</v>
      </c>
      <c r="C871" s="651" t="s">
        <v>698</v>
      </c>
      <c r="D871" s="651" t="s">
        <v>1241</v>
      </c>
      <c r="E871" s="651" t="s">
        <v>700</v>
      </c>
      <c r="F871" s="653">
        <v>-95664.73</v>
      </c>
      <c r="G871" s="654"/>
      <c r="H871" s="651" t="s">
        <v>650</v>
      </c>
      <c r="I871" s="655"/>
      <c r="J871" s="655"/>
      <c r="K871" s="653">
        <v>0</v>
      </c>
      <c r="L871" s="656">
        <v>-95664.73</v>
      </c>
    </row>
    <row r="872" spans="1:12" ht="21" x14ac:dyDescent="0.25">
      <c r="A872" s="651" t="s">
        <v>87</v>
      </c>
      <c r="B872" s="652">
        <v>2021</v>
      </c>
      <c r="C872" s="651" t="s">
        <v>701</v>
      </c>
      <c r="D872" s="651" t="s">
        <v>1242</v>
      </c>
      <c r="E872" s="651" t="s">
        <v>1</v>
      </c>
      <c r="F872" s="653">
        <v>-860387.05</v>
      </c>
      <c r="G872" s="651" t="s">
        <v>650</v>
      </c>
      <c r="H872" s="654"/>
      <c r="I872" s="653">
        <v>-850900.5</v>
      </c>
      <c r="J872" s="653">
        <v>-9486.5595703125</v>
      </c>
      <c r="K872" s="653">
        <v>-860387.0625</v>
      </c>
      <c r="L872" s="656">
        <v>-860387.05</v>
      </c>
    </row>
    <row r="873" spans="1:12" ht="21" x14ac:dyDescent="0.25">
      <c r="A873" s="651" t="s">
        <v>87</v>
      </c>
      <c r="B873" s="652">
        <v>2021</v>
      </c>
      <c r="C873" s="651" t="s">
        <v>701</v>
      </c>
      <c r="D873" s="651" t="s">
        <v>1242</v>
      </c>
      <c r="E873" s="651" t="s">
        <v>703</v>
      </c>
      <c r="F873" s="653">
        <v>0</v>
      </c>
      <c r="G873" s="654"/>
      <c r="H873" s="654"/>
      <c r="I873" s="655"/>
      <c r="J873" s="655"/>
      <c r="K873" s="653">
        <v>0</v>
      </c>
      <c r="L873" s="656">
        <v>0</v>
      </c>
    </row>
    <row r="874" spans="1:12" ht="21" x14ac:dyDescent="0.25">
      <c r="A874" s="651" t="s">
        <v>87</v>
      </c>
      <c r="B874" s="652">
        <v>2021</v>
      </c>
      <c r="C874" s="651" t="s">
        <v>701</v>
      </c>
      <c r="D874" s="651" t="s">
        <v>1242</v>
      </c>
      <c r="E874" s="651" t="s">
        <v>704</v>
      </c>
      <c r="F874" s="653">
        <v>0</v>
      </c>
      <c r="G874" s="654"/>
      <c r="H874" s="654"/>
      <c r="I874" s="655"/>
      <c r="J874" s="655"/>
      <c r="K874" s="653">
        <v>0</v>
      </c>
      <c r="L874" s="656">
        <v>0</v>
      </c>
    </row>
    <row r="875" spans="1:12" ht="21" x14ac:dyDescent="0.25">
      <c r="A875" s="651" t="s">
        <v>87</v>
      </c>
      <c r="B875" s="652">
        <v>2021</v>
      </c>
      <c r="C875" s="651" t="s">
        <v>701</v>
      </c>
      <c r="D875" s="651" t="s">
        <v>1242</v>
      </c>
      <c r="E875" s="651" t="s">
        <v>705</v>
      </c>
      <c r="F875" s="653">
        <v>-3187.32</v>
      </c>
      <c r="G875" s="654"/>
      <c r="H875" s="654"/>
      <c r="I875" s="655"/>
      <c r="J875" s="655"/>
      <c r="K875" s="653">
        <v>0</v>
      </c>
      <c r="L875" s="656">
        <v>-3187.32</v>
      </c>
    </row>
    <row r="876" spans="1:12" ht="21" x14ac:dyDescent="0.25">
      <c r="A876" s="651" t="s">
        <v>87</v>
      </c>
      <c r="B876" s="652">
        <v>2021</v>
      </c>
      <c r="C876" s="651" t="s">
        <v>701</v>
      </c>
      <c r="D876" s="651" t="s">
        <v>1242</v>
      </c>
      <c r="E876" s="651" t="s">
        <v>706</v>
      </c>
      <c r="F876" s="653">
        <v>-108037.03</v>
      </c>
      <c r="G876" s="654"/>
      <c r="H876" s="654"/>
      <c r="I876" s="655"/>
      <c r="J876" s="655"/>
      <c r="K876" s="653">
        <v>0</v>
      </c>
      <c r="L876" s="656">
        <v>-108037.03</v>
      </c>
    </row>
    <row r="877" spans="1:12" ht="14.5" x14ac:dyDescent="0.25">
      <c r="A877" s="651" t="s">
        <v>87</v>
      </c>
      <c r="B877" s="652">
        <v>2021</v>
      </c>
      <c r="C877" s="651" t="s">
        <v>707</v>
      </c>
      <c r="D877" s="651" t="s">
        <v>1243</v>
      </c>
      <c r="E877" s="651" t="s">
        <v>709</v>
      </c>
      <c r="F877" s="653">
        <v>118.91</v>
      </c>
      <c r="G877" s="654"/>
      <c r="H877" s="651" t="s">
        <v>650</v>
      </c>
      <c r="I877" s="655"/>
      <c r="J877" s="655"/>
      <c r="K877" s="653">
        <v>0</v>
      </c>
      <c r="L877" s="656">
        <v>118.91</v>
      </c>
    </row>
    <row r="878" spans="1:12" ht="31.5" x14ac:dyDescent="0.25">
      <c r="A878" s="651" t="s">
        <v>87</v>
      </c>
      <c r="B878" s="652">
        <v>2021</v>
      </c>
      <c r="C878" s="651" t="s">
        <v>710</v>
      </c>
      <c r="D878" s="651" t="s">
        <v>1244</v>
      </c>
      <c r="E878" s="651" t="s">
        <v>2</v>
      </c>
      <c r="F878" s="653">
        <v>494304.97</v>
      </c>
      <c r="G878" s="651" t="s">
        <v>650</v>
      </c>
      <c r="H878" s="654"/>
      <c r="I878" s="653">
        <v>489446.46875</v>
      </c>
      <c r="J878" s="653">
        <v>4858.5</v>
      </c>
      <c r="K878" s="653">
        <v>494304.96875</v>
      </c>
      <c r="L878" s="656">
        <v>494304.97</v>
      </c>
    </row>
    <row r="879" spans="1:12" ht="31.5" x14ac:dyDescent="0.25">
      <c r="A879" s="651" t="s">
        <v>87</v>
      </c>
      <c r="B879" s="652">
        <v>2021</v>
      </c>
      <c r="C879" s="651" t="s">
        <v>712</v>
      </c>
      <c r="D879" s="651" t="s">
        <v>1245</v>
      </c>
      <c r="E879" s="651" t="s">
        <v>3</v>
      </c>
      <c r="F879" s="653">
        <v>-298035.51</v>
      </c>
      <c r="G879" s="651" t="s">
        <v>650</v>
      </c>
      <c r="H879" s="654"/>
      <c r="I879" s="653">
        <v>-290333.78125</v>
      </c>
      <c r="J879" s="653">
        <v>-7701.740234375</v>
      </c>
      <c r="K879" s="653">
        <v>-298035.5</v>
      </c>
      <c r="L879" s="656">
        <v>-298035.51</v>
      </c>
    </row>
    <row r="880" spans="1:12" ht="31.5" x14ac:dyDescent="0.25">
      <c r="A880" s="651" t="s">
        <v>87</v>
      </c>
      <c r="B880" s="652">
        <v>2021</v>
      </c>
      <c r="C880" s="651" t="s">
        <v>714</v>
      </c>
      <c r="D880" s="651" t="s">
        <v>1246</v>
      </c>
      <c r="E880" s="651" t="s">
        <v>38</v>
      </c>
      <c r="F880" s="653">
        <v>283572.96999999997</v>
      </c>
      <c r="G880" s="651" t="s">
        <v>650</v>
      </c>
      <c r="H880" s="654"/>
      <c r="I880" s="653">
        <v>280580.625</v>
      </c>
      <c r="J880" s="653">
        <v>2992.35009765625</v>
      </c>
      <c r="K880" s="653">
        <v>283572.96875</v>
      </c>
      <c r="L880" s="656">
        <v>283572.96999999997</v>
      </c>
    </row>
    <row r="881" spans="1:12" ht="21" x14ac:dyDescent="0.25">
      <c r="A881" s="651" t="s">
        <v>87</v>
      </c>
      <c r="B881" s="652">
        <v>2021</v>
      </c>
      <c r="C881" s="651" t="s">
        <v>716</v>
      </c>
      <c r="D881" s="651" t="s">
        <v>1247</v>
      </c>
      <c r="E881" s="651" t="s">
        <v>66</v>
      </c>
      <c r="F881" s="653">
        <v>628437.73</v>
      </c>
      <c r="G881" s="651" t="s">
        <v>650</v>
      </c>
      <c r="H881" s="654"/>
      <c r="I881" s="653">
        <v>587749.75</v>
      </c>
      <c r="J881" s="653">
        <v>40687.94921875</v>
      </c>
      <c r="K881" s="653">
        <v>628437.75</v>
      </c>
      <c r="L881" s="656">
        <v>628437.73</v>
      </c>
    </row>
    <row r="882" spans="1:12" ht="31.5" x14ac:dyDescent="0.25">
      <c r="A882" s="651" t="s">
        <v>87</v>
      </c>
      <c r="B882" s="652">
        <v>2021</v>
      </c>
      <c r="C882" s="651" t="s">
        <v>718</v>
      </c>
      <c r="D882" s="651" t="s">
        <v>1248</v>
      </c>
      <c r="E882" s="651" t="s">
        <v>720</v>
      </c>
      <c r="F882" s="653">
        <v>-845664</v>
      </c>
      <c r="G882" s="654"/>
      <c r="H882" s="651" t="s">
        <v>650</v>
      </c>
      <c r="I882" s="655"/>
      <c r="J882" s="655"/>
      <c r="K882" s="653">
        <v>0</v>
      </c>
      <c r="L882" s="656">
        <v>-845664</v>
      </c>
    </row>
    <row r="883" spans="1:12" ht="42" x14ac:dyDescent="0.25">
      <c r="A883" s="651" t="s">
        <v>87</v>
      </c>
      <c r="B883" s="652">
        <v>2021</v>
      </c>
      <c r="C883" s="651" t="s">
        <v>721</v>
      </c>
      <c r="D883" s="651" t="s">
        <v>1249</v>
      </c>
      <c r="E883" s="651" t="s">
        <v>3016</v>
      </c>
      <c r="F883" s="653">
        <v>0</v>
      </c>
      <c r="G883" s="651" t="s">
        <v>650</v>
      </c>
      <c r="H883" s="654"/>
      <c r="I883" s="653">
        <v>15691.9501953125</v>
      </c>
      <c r="J883" s="653">
        <v>7541.18017578125</v>
      </c>
      <c r="K883" s="653">
        <v>23233.130859375</v>
      </c>
      <c r="L883" s="656">
        <v>23233.13</v>
      </c>
    </row>
    <row r="884" spans="1:12" ht="42" x14ac:dyDescent="0.25">
      <c r="A884" s="651" t="s">
        <v>87</v>
      </c>
      <c r="B884" s="652">
        <v>2021</v>
      </c>
      <c r="C884" s="651" t="s">
        <v>721</v>
      </c>
      <c r="D884" s="651" t="s">
        <v>1249</v>
      </c>
      <c r="E884" s="651" t="s">
        <v>3058</v>
      </c>
      <c r="F884" s="653">
        <v>0</v>
      </c>
      <c r="G884" s="651" t="s">
        <v>650</v>
      </c>
      <c r="H884" s="654"/>
      <c r="I884" s="653">
        <v>1241132.125</v>
      </c>
      <c r="J884" s="653">
        <v>-5504.89013671875</v>
      </c>
      <c r="K884" s="653">
        <v>1235627.25</v>
      </c>
      <c r="L884" s="656">
        <v>1235627.26</v>
      </c>
    </row>
    <row r="885" spans="1:12" ht="42" x14ac:dyDescent="0.25">
      <c r="A885" s="651" t="s">
        <v>87</v>
      </c>
      <c r="B885" s="652">
        <v>2021</v>
      </c>
      <c r="C885" s="651" t="s">
        <v>721</v>
      </c>
      <c r="D885" s="651" t="s">
        <v>1250</v>
      </c>
      <c r="E885" s="651" t="s">
        <v>724</v>
      </c>
      <c r="F885" s="653">
        <v>0</v>
      </c>
      <c r="G885" s="651" t="s">
        <v>650</v>
      </c>
      <c r="H885" s="654"/>
      <c r="I885" s="655"/>
      <c r="J885" s="655"/>
      <c r="K885" s="653">
        <v>0</v>
      </c>
      <c r="L885" s="656">
        <v>0</v>
      </c>
    </row>
    <row r="886" spans="1:12" ht="42" x14ac:dyDescent="0.25">
      <c r="A886" s="651" t="s">
        <v>87</v>
      </c>
      <c r="B886" s="652">
        <v>2021</v>
      </c>
      <c r="C886" s="651" t="s">
        <v>721</v>
      </c>
      <c r="D886" s="651" t="s">
        <v>1251</v>
      </c>
      <c r="E886" s="651" t="s">
        <v>55</v>
      </c>
      <c r="F886" s="653">
        <v>0</v>
      </c>
      <c r="G886" s="651" t="s">
        <v>650</v>
      </c>
      <c r="H886" s="654"/>
      <c r="I886" s="655"/>
      <c r="J886" s="655"/>
      <c r="K886" s="653">
        <v>0</v>
      </c>
      <c r="L886" s="656">
        <v>0</v>
      </c>
    </row>
    <row r="887" spans="1:12" ht="42" x14ac:dyDescent="0.25">
      <c r="A887" s="651" t="s">
        <v>87</v>
      </c>
      <c r="B887" s="652">
        <v>2021</v>
      </c>
      <c r="C887" s="651" t="s">
        <v>721</v>
      </c>
      <c r="D887" s="651" t="s">
        <v>1252</v>
      </c>
      <c r="E887" s="651" t="s">
        <v>56</v>
      </c>
      <c r="F887" s="653">
        <v>0</v>
      </c>
      <c r="G887" s="651" t="s">
        <v>650</v>
      </c>
      <c r="H887" s="654"/>
      <c r="I887" s="655"/>
      <c r="J887" s="655"/>
      <c r="K887" s="653">
        <v>0</v>
      </c>
      <c r="L887" s="656">
        <v>0</v>
      </c>
    </row>
    <row r="888" spans="1:12" ht="42" x14ac:dyDescent="0.25">
      <c r="A888" s="651" t="s">
        <v>87</v>
      </c>
      <c r="B888" s="652">
        <v>2021</v>
      </c>
      <c r="C888" s="651" t="s">
        <v>721</v>
      </c>
      <c r="D888" s="651" t="s">
        <v>1253</v>
      </c>
      <c r="E888" s="651" t="s">
        <v>728</v>
      </c>
      <c r="F888" s="653">
        <v>0</v>
      </c>
      <c r="G888" s="651" t="s">
        <v>650</v>
      </c>
      <c r="H888" s="654"/>
      <c r="I888" s="655"/>
      <c r="J888" s="655"/>
      <c r="K888" s="653">
        <v>0</v>
      </c>
      <c r="L888" s="656">
        <v>0</v>
      </c>
    </row>
    <row r="889" spans="1:12" ht="42" x14ac:dyDescent="0.25">
      <c r="A889" s="651" t="s">
        <v>87</v>
      </c>
      <c r="B889" s="652">
        <v>2021</v>
      </c>
      <c r="C889" s="651" t="s">
        <v>721</v>
      </c>
      <c r="D889" s="651" t="s">
        <v>1254</v>
      </c>
      <c r="E889" s="651" t="s">
        <v>730</v>
      </c>
      <c r="F889" s="653">
        <v>0</v>
      </c>
      <c r="G889" s="651" t="s">
        <v>650</v>
      </c>
      <c r="H889" s="654"/>
      <c r="I889" s="655"/>
      <c r="J889" s="655"/>
      <c r="K889" s="653">
        <v>0</v>
      </c>
      <c r="L889" s="656">
        <v>0</v>
      </c>
    </row>
    <row r="890" spans="1:12" ht="42" x14ac:dyDescent="0.25">
      <c r="A890" s="651" t="s">
        <v>87</v>
      </c>
      <c r="B890" s="652">
        <v>2021</v>
      </c>
      <c r="C890" s="651" t="s">
        <v>721</v>
      </c>
      <c r="D890" s="651" t="s">
        <v>1255</v>
      </c>
      <c r="E890" s="651" t="s">
        <v>142</v>
      </c>
      <c r="F890" s="653">
        <v>0</v>
      </c>
      <c r="G890" s="651" t="s">
        <v>650</v>
      </c>
      <c r="H890" s="654"/>
      <c r="I890" s="655"/>
      <c r="J890" s="655"/>
      <c r="K890" s="653">
        <v>0</v>
      </c>
      <c r="L890" s="656">
        <v>0</v>
      </c>
    </row>
    <row r="891" spans="1:12" ht="42" x14ac:dyDescent="0.25">
      <c r="A891" s="651" t="s">
        <v>87</v>
      </c>
      <c r="B891" s="652">
        <v>2021</v>
      </c>
      <c r="C891" s="651" t="s">
        <v>721</v>
      </c>
      <c r="D891" s="651" t="s">
        <v>1256</v>
      </c>
      <c r="E891" s="651" t="s">
        <v>143</v>
      </c>
      <c r="F891" s="653">
        <v>0</v>
      </c>
      <c r="G891" s="651" t="s">
        <v>650</v>
      </c>
      <c r="H891" s="654"/>
      <c r="I891" s="655"/>
      <c r="J891" s="655"/>
      <c r="K891" s="653">
        <v>0</v>
      </c>
      <c r="L891" s="656">
        <v>0</v>
      </c>
    </row>
    <row r="892" spans="1:12" ht="42" x14ac:dyDescent="0.25">
      <c r="A892" s="651" t="s">
        <v>87</v>
      </c>
      <c r="B892" s="652">
        <v>2021</v>
      </c>
      <c r="C892" s="651" t="s">
        <v>721</v>
      </c>
      <c r="D892" s="651" t="s">
        <v>1257</v>
      </c>
      <c r="E892" s="651" t="s">
        <v>182</v>
      </c>
      <c r="F892" s="653">
        <v>0</v>
      </c>
      <c r="G892" s="651" t="s">
        <v>650</v>
      </c>
      <c r="H892" s="654"/>
      <c r="I892" s="655"/>
      <c r="J892" s="655"/>
      <c r="K892" s="653">
        <v>0</v>
      </c>
      <c r="L892" s="656">
        <v>0</v>
      </c>
    </row>
    <row r="893" spans="1:12" ht="42" x14ac:dyDescent="0.25">
      <c r="A893" s="651" t="s">
        <v>87</v>
      </c>
      <c r="B893" s="652">
        <v>2021</v>
      </c>
      <c r="C893" s="651" t="s">
        <v>721</v>
      </c>
      <c r="D893" s="651" t="s">
        <v>1258</v>
      </c>
      <c r="E893" s="651" t="s">
        <v>394</v>
      </c>
      <c r="F893" s="653">
        <v>0</v>
      </c>
      <c r="G893" s="651" t="s">
        <v>650</v>
      </c>
      <c r="H893" s="654"/>
      <c r="I893" s="655"/>
      <c r="J893" s="655"/>
      <c r="K893" s="653">
        <v>0</v>
      </c>
      <c r="L893" s="656">
        <v>0</v>
      </c>
    </row>
    <row r="894" spans="1:12" ht="42" x14ac:dyDescent="0.25">
      <c r="A894" s="651" t="s">
        <v>87</v>
      </c>
      <c r="B894" s="652">
        <v>2021</v>
      </c>
      <c r="C894" s="651" t="s">
        <v>721</v>
      </c>
      <c r="D894" s="651" t="s">
        <v>1259</v>
      </c>
      <c r="E894" s="651" t="s">
        <v>423</v>
      </c>
      <c r="F894" s="653">
        <v>0</v>
      </c>
      <c r="G894" s="651" t="s">
        <v>650</v>
      </c>
      <c r="H894" s="654"/>
      <c r="I894" s="655"/>
      <c r="J894" s="655"/>
      <c r="K894" s="653">
        <v>0</v>
      </c>
      <c r="L894" s="656">
        <v>0</v>
      </c>
    </row>
    <row r="895" spans="1:12" ht="42" x14ac:dyDescent="0.25">
      <c r="A895" s="651" t="s">
        <v>87</v>
      </c>
      <c r="B895" s="652">
        <v>2021</v>
      </c>
      <c r="C895" s="651" t="s">
        <v>721</v>
      </c>
      <c r="D895" s="651" t="s">
        <v>3210</v>
      </c>
      <c r="E895" s="651" t="s">
        <v>441</v>
      </c>
      <c r="F895" s="653">
        <v>0</v>
      </c>
      <c r="G895" s="651" t="s">
        <v>650</v>
      </c>
      <c r="H895" s="654"/>
      <c r="I895" s="653">
        <v>281046.8125</v>
      </c>
      <c r="J895" s="653">
        <v>23994.619140625</v>
      </c>
      <c r="K895" s="653">
        <v>305041.4375</v>
      </c>
      <c r="L895" s="656">
        <v>305041.44</v>
      </c>
    </row>
    <row r="896" spans="1:12" ht="42" x14ac:dyDescent="0.25">
      <c r="A896" s="651" t="s">
        <v>87</v>
      </c>
      <c r="B896" s="652">
        <v>2021</v>
      </c>
      <c r="C896" s="651" t="s">
        <v>721</v>
      </c>
      <c r="D896" s="651" t="s">
        <v>1260</v>
      </c>
      <c r="E896" s="651" t="s">
        <v>737</v>
      </c>
      <c r="F896" s="653">
        <v>1563901.83</v>
      </c>
      <c r="G896" s="654"/>
      <c r="H896" s="654"/>
      <c r="I896" s="655"/>
      <c r="J896" s="655"/>
      <c r="K896" s="653">
        <v>0</v>
      </c>
      <c r="L896" s="656">
        <v>1563901.83</v>
      </c>
    </row>
    <row r="897" spans="1:12" ht="14.5" x14ac:dyDescent="0.25">
      <c r="A897" s="651" t="s">
        <v>87</v>
      </c>
      <c r="B897" s="652">
        <v>2021</v>
      </c>
      <c r="C897" s="651" t="s">
        <v>738</v>
      </c>
      <c r="D897" s="651" t="s">
        <v>1261</v>
      </c>
      <c r="E897" s="651" t="s">
        <v>7</v>
      </c>
      <c r="F897" s="653">
        <v>-625370.98</v>
      </c>
      <c r="G897" s="654"/>
      <c r="H897" s="651" t="s">
        <v>650</v>
      </c>
      <c r="I897" s="655"/>
      <c r="J897" s="655"/>
      <c r="K897" s="653">
        <v>0</v>
      </c>
      <c r="L897" s="656">
        <v>-625370.98</v>
      </c>
    </row>
    <row r="898" spans="1:12" ht="21" x14ac:dyDescent="0.25">
      <c r="A898" s="651" t="s">
        <v>88</v>
      </c>
      <c r="B898" s="652">
        <v>2021</v>
      </c>
      <c r="C898" s="651" t="s">
        <v>647</v>
      </c>
      <c r="D898" s="651" t="s">
        <v>1262</v>
      </c>
      <c r="E898" s="651" t="s">
        <v>649</v>
      </c>
      <c r="F898" s="653">
        <v>964166.61</v>
      </c>
      <c r="G898" s="654"/>
      <c r="H898" s="651" t="s">
        <v>650</v>
      </c>
      <c r="I898" s="655"/>
      <c r="J898" s="655"/>
      <c r="K898" s="653">
        <v>0</v>
      </c>
      <c r="L898" s="656">
        <v>964166.61</v>
      </c>
    </row>
    <row r="899" spans="1:12" ht="21" x14ac:dyDescent="0.25">
      <c r="A899" s="651" t="s">
        <v>88</v>
      </c>
      <c r="B899" s="652">
        <v>2021</v>
      </c>
      <c r="C899" s="651" t="s">
        <v>651</v>
      </c>
      <c r="D899" s="651" t="s">
        <v>1263</v>
      </c>
      <c r="E899" s="651" t="s">
        <v>653</v>
      </c>
      <c r="F899" s="653">
        <v>0</v>
      </c>
      <c r="G899" s="654"/>
      <c r="H899" s="651" t="s">
        <v>650</v>
      </c>
      <c r="I899" s="655"/>
      <c r="J899" s="655"/>
      <c r="K899" s="653">
        <v>0</v>
      </c>
      <c r="L899" s="656">
        <v>0</v>
      </c>
    </row>
    <row r="900" spans="1:12" ht="42" x14ac:dyDescent="0.25">
      <c r="A900" s="651" t="s">
        <v>88</v>
      </c>
      <c r="B900" s="652">
        <v>2021</v>
      </c>
      <c r="C900" s="651" t="s">
        <v>654</v>
      </c>
      <c r="D900" s="651" t="s">
        <v>1264</v>
      </c>
      <c r="E900" s="651" t="s">
        <v>445</v>
      </c>
      <c r="F900" s="653">
        <v>0</v>
      </c>
      <c r="G900" s="654"/>
      <c r="H900" s="651" t="s">
        <v>650</v>
      </c>
      <c r="I900" s="655"/>
      <c r="J900" s="655"/>
      <c r="K900" s="653">
        <v>0</v>
      </c>
      <c r="L900" s="656">
        <v>0</v>
      </c>
    </row>
    <row r="901" spans="1:12" ht="21" x14ac:dyDescent="0.25">
      <c r="A901" s="651" t="s">
        <v>88</v>
      </c>
      <c r="B901" s="652">
        <v>2021</v>
      </c>
      <c r="C901" s="651" t="s">
        <v>656</v>
      </c>
      <c r="D901" s="651" t="s">
        <v>1265</v>
      </c>
      <c r="E901" s="651" t="s">
        <v>658</v>
      </c>
      <c r="F901" s="653">
        <v>0</v>
      </c>
      <c r="G901" s="654"/>
      <c r="H901" s="651" t="s">
        <v>650</v>
      </c>
      <c r="I901" s="655"/>
      <c r="J901" s="655"/>
      <c r="K901" s="653">
        <v>0</v>
      </c>
      <c r="L901" s="656">
        <v>0</v>
      </c>
    </row>
    <row r="902" spans="1:12" ht="31.5" x14ac:dyDescent="0.25">
      <c r="A902" s="651" t="s">
        <v>88</v>
      </c>
      <c r="B902" s="652">
        <v>2021</v>
      </c>
      <c r="C902" s="651" t="s">
        <v>659</v>
      </c>
      <c r="D902" s="651" t="s">
        <v>1266</v>
      </c>
      <c r="E902" s="651" t="s">
        <v>661</v>
      </c>
      <c r="F902" s="653">
        <v>0</v>
      </c>
      <c r="G902" s="654"/>
      <c r="H902" s="651" t="s">
        <v>650</v>
      </c>
      <c r="I902" s="655"/>
      <c r="J902" s="655"/>
      <c r="K902" s="653">
        <v>0</v>
      </c>
      <c r="L902" s="656">
        <v>0</v>
      </c>
    </row>
    <row r="903" spans="1:12" ht="21" x14ac:dyDescent="0.25">
      <c r="A903" s="651" t="s">
        <v>88</v>
      </c>
      <c r="B903" s="652">
        <v>2021</v>
      </c>
      <c r="C903" s="651" t="s">
        <v>662</v>
      </c>
      <c r="D903" s="651" t="s">
        <v>1267</v>
      </c>
      <c r="E903" s="651" t="s">
        <v>664</v>
      </c>
      <c r="F903" s="653">
        <v>0</v>
      </c>
      <c r="G903" s="654"/>
      <c r="H903" s="651" t="s">
        <v>650</v>
      </c>
      <c r="I903" s="655"/>
      <c r="J903" s="655"/>
      <c r="K903" s="653">
        <v>0</v>
      </c>
      <c r="L903" s="656">
        <v>0</v>
      </c>
    </row>
    <row r="904" spans="1:12" ht="31.5" x14ac:dyDescent="0.25">
      <c r="A904" s="651" t="s">
        <v>88</v>
      </c>
      <c r="B904" s="652">
        <v>2021</v>
      </c>
      <c r="C904" s="651" t="s">
        <v>665</v>
      </c>
      <c r="D904" s="651" t="s">
        <v>1268</v>
      </c>
      <c r="E904" s="651" t="s">
        <v>667</v>
      </c>
      <c r="F904" s="653">
        <v>0</v>
      </c>
      <c r="G904" s="654"/>
      <c r="H904" s="651" t="s">
        <v>650</v>
      </c>
      <c r="I904" s="655"/>
      <c r="J904" s="655"/>
      <c r="K904" s="653">
        <v>0</v>
      </c>
      <c r="L904" s="656">
        <v>0</v>
      </c>
    </row>
    <row r="905" spans="1:12" ht="21" x14ac:dyDescent="0.25">
      <c r="A905" s="651" t="s">
        <v>88</v>
      </c>
      <c r="B905" s="652">
        <v>2021</v>
      </c>
      <c r="C905" s="651" t="s">
        <v>668</v>
      </c>
      <c r="D905" s="651" t="s">
        <v>1269</v>
      </c>
      <c r="E905" s="651" t="s">
        <v>12</v>
      </c>
      <c r="F905" s="653">
        <v>0</v>
      </c>
      <c r="G905" s="654"/>
      <c r="H905" s="651" t="s">
        <v>650</v>
      </c>
      <c r="I905" s="655"/>
      <c r="J905" s="655"/>
      <c r="K905" s="653">
        <v>0</v>
      </c>
      <c r="L905" s="656">
        <v>0</v>
      </c>
    </row>
    <row r="906" spans="1:12" ht="21" x14ac:dyDescent="0.25">
      <c r="A906" s="651" t="s">
        <v>88</v>
      </c>
      <c r="B906" s="652">
        <v>2021</v>
      </c>
      <c r="C906" s="651" t="s">
        <v>670</v>
      </c>
      <c r="D906" s="651" t="s">
        <v>1270</v>
      </c>
      <c r="E906" s="651" t="s">
        <v>13</v>
      </c>
      <c r="F906" s="653">
        <v>0</v>
      </c>
      <c r="G906" s="654"/>
      <c r="H906" s="651" t="s">
        <v>650</v>
      </c>
      <c r="I906" s="655"/>
      <c r="J906" s="655"/>
      <c r="K906" s="653">
        <v>0</v>
      </c>
      <c r="L906" s="656">
        <v>0</v>
      </c>
    </row>
    <row r="907" spans="1:12" ht="21" x14ac:dyDescent="0.25">
      <c r="A907" s="651" t="s">
        <v>88</v>
      </c>
      <c r="B907" s="652">
        <v>2021</v>
      </c>
      <c r="C907" s="651" t="s">
        <v>672</v>
      </c>
      <c r="D907" s="651" t="s">
        <v>1271</v>
      </c>
      <c r="E907" s="651" t="s">
        <v>15</v>
      </c>
      <c r="F907" s="653">
        <v>0</v>
      </c>
      <c r="G907" s="654"/>
      <c r="H907" s="651" t="s">
        <v>650</v>
      </c>
      <c r="I907" s="655"/>
      <c r="J907" s="655"/>
      <c r="K907" s="653">
        <v>0</v>
      </c>
      <c r="L907" s="656">
        <v>0</v>
      </c>
    </row>
    <row r="908" spans="1:12" ht="21" x14ac:dyDescent="0.25">
      <c r="A908" s="651" t="s">
        <v>88</v>
      </c>
      <c r="B908" s="652">
        <v>2021</v>
      </c>
      <c r="C908" s="651" t="s">
        <v>674</v>
      </c>
      <c r="D908" s="651" t="s">
        <v>1272</v>
      </c>
      <c r="E908" s="651" t="s">
        <v>676</v>
      </c>
      <c r="F908" s="653">
        <v>0</v>
      </c>
      <c r="G908" s="654"/>
      <c r="H908" s="651" t="s">
        <v>650</v>
      </c>
      <c r="I908" s="655"/>
      <c r="J908" s="655"/>
      <c r="K908" s="653">
        <v>0</v>
      </c>
      <c r="L908" s="656">
        <v>0</v>
      </c>
    </row>
    <row r="909" spans="1:12" ht="21" x14ac:dyDescent="0.25">
      <c r="A909" s="651" t="s">
        <v>88</v>
      </c>
      <c r="B909" s="652">
        <v>2021</v>
      </c>
      <c r="C909" s="651" t="s">
        <v>677</v>
      </c>
      <c r="D909" s="651" t="s">
        <v>1273</v>
      </c>
      <c r="E909" s="651" t="s">
        <v>23</v>
      </c>
      <c r="F909" s="653">
        <v>-122728.25</v>
      </c>
      <c r="G909" s="651" t="s">
        <v>650</v>
      </c>
      <c r="H909" s="654"/>
      <c r="I909" s="653">
        <v>-110838.3671875</v>
      </c>
      <c r="J909" s="653">
        <v>-11889.8798828125</v>
      </c>
      <c r="K909" s="653">
        <v>-122728.25</v>
      </c>
      <c r="L909" s="656">
        <v>-122728.25</v>
      </c>
    </row>
    <row r="910" spans="1:12" ht="31.5" x14ac:dyDescent="0.25">
      <c r="A910" s="651" t="s">
        <v>88</v>
      </c>
      <c r="B910" s="652">
        <v>2021</v>
      </c>
      <c r="C910" s="651" t="s">
        <v>679</v>
      </c>
      <c r="D910" s="651" t="s">
        <v>1274</v>
      </c>
      <c r="E910" s="651" t="s">
        <v>131</v>
      </c>
      <c r="F910" s="653">
        <v>-5629.47</v>
      </c>
      <c r="G910" s="651" t="s">
        <v>650</v>
      </c>
      <c r="H910" s="654"/>
      <c r="I910" s="653">
        <v>-5277.2001953125</v>
      </c>
      <c r="J910" s="653">
        <v>-352.26998901367199</v>
      </c>
      <c r="K910" s="653">
        <v>-5629.47021484375</v>
      </c>
      <c r="L910" s="656">
        <v>-5629.47</v>
      </c>
    </row>
    <row r="911" spans="1:12" ht="31.5" x14ac:dyDescent="0.25">
      <c r="A911" s="651" t="s">
        <v>88</v>
      </c>
      <c r="B911" s="652">
        <v>2021</v>
      </c>
      <c r="C911" s="651" t="s">
        <v>681</v>
      </c>
      <c r="D911" s="651" t="s">
        <v>1275</v>
      </c>
      <c r="E911" s="651" t="s">
        <v>683</v>
      </c>
      <c r="F911" s="653">
        <v>14637.03</v>
      </c>
      <c r="G911" s="654"/>
      <c r="H911" s="651" t="s">
        <v>650</v>
      </c>
      <c r="I911" s="655"/>
      <c r="J911" s="655"/>
      <c r="K911" s="653">
        <v>0</v>
      </c>
      <c r="L911" s="656">
        <v>14637.03</v>
      </c>
    </row>
    <row r="912" spans="1:12" ht="21" x14ac:dyDescent="0.25">
      <c r="A912" s="651" t="s">
        <v>88</v>
      </c>
      <c r="B912" s="652">
        <v>2021</v>
      </c>
      <c r="C912" s="651" t="s">
        <v>681</v>
      </c>
      <c r="D912" s="651" t="s">
        <v>1275</v>
      </c>
      <c r="E912" s="651" t="s">
        <v>684</v>
      </c>
      <c r="F912" s="653">
        <v>0</v>
      </c>
      <c r="G912" s="654"/>
      <c r="H912" s="651" t="s">
        <v>650</v>
      </c>
      <c r="I912" s="655"/>
      <c r="J912" s="655"/>
      <c r="K912" s="653">
        <v>0</v>
      </c>
      <c r="L912" s="656">
        <v>0</v>
      </c>
    </row>
    <row r="913" spans="1:12" ht="21" x14ac:dyDescent="0.25">
      <c r="A913" s="651" t="s">
        <v>88</v>
      </c>
      <c r="B913" s="652">
        <v>2021</v>
      </c>
      <c r="C913" s="651" t="s">
        <v>685</v>
      </c>
      <c r="D913" s="651" t="s">
        <v>1276</v>
      </c>
      <c r="E913" s="651" t="s">
        <v>687</v>
      </c>
      <c r="F913" s="653">
        <v>0</v>
      </c>
      <c r="G913" s="654"/>
      <c r="H913" s="651" t="s">
        <v>650</v>
      </c>
      <c r="I913" s="655"/>
      <c r="J913" s="655"/>
      <c r="K913" s="653">
        <v>0</v>
      </c>
      <c r="L913" s="656">
        <v>0</v>
      </c>
    </row>
    <row r="914" spans="1:12" ht="21" x14ac:dyDescent="0.25">
      <c r="A914" s="651" t="s">
        <v>88</v>
      </c>
      <c r="B914" s="652">
        <v>2021</v>
      </c>
      <c r="C914" s="651" t="s">
        <v>688</v>
      </c>
      <c r="D914" s="651" t="s">
        <v>1277</v>
      </c>
      <c r="E914" s="651" t="s">
        <v>50</v>
      </c>
      <c r="F914" s="653">
        <v>0</v>
      </c>
      <c r="G914" s="654"/>
      <c r="H914" s="651" t="s">
        <v>650</v>
      </c>
      <c r="I914" s="655"/>
      <c r="J914" s="655"/>
      <c r="K914" s="653">
        <v>0</v>
      </c>
      <c r="L914" s="656">
        <v>0</v>
      </c>
    </row>
    <row r="915" spans="1:12" ht="21" x14ac:dyDescent="0.25">
      <c r="A915" s="651" t="s">
        <v>88</v>
      </c>
      <c r="B915" s="652">
        <v>2021</v>
      </c>
      <c r="C915" s="651" t="s">
        <v>690</v>
      </c>
      <c r="D915" s="651" t="s">
        <v>1278</v>
      </c>
      <c r="E915" s="651" t="s">
        <v>692</v>
      </c>
      <c r="F915" s="653">
        <v>0</v>
      </c>
      <c r="G915" s="654"/>
      <c r="H915" s="651" t="s">
        <v>650</v>
      </c>
      <c r="I915" s="655"/>
      <c r="J915" s="655"/>
      <c r="K915" s="653">
        <v>0</v>
      </c>
      <c r="L915" s="656">
        <v>0</v>
      </c>
    </row>
    <row r="916" spans="1:12" ht="21" x14ac:dyDescent="0.25">
      <c r="A916" s="651" t="s">
        <v>88</v>
      </c>
      <c r="B916" s="652">
        <v>2021</v>
      </c>
      <c r="C916" s="651" t="s">
        <v>693</v>
      </c>
      <c r="D916" s="651" t="s">
        <v>1279</v>
      </c>
      <c r="E916" s="651" t="s">
        <v>6</v>
      </c>
      <c r="F916" s="653">
        <v>0</v>
      </c>
      <c r="G916" s="654"/>
      <c r="H916" s="651" t="s">
        <v>650</v>
      </c>
      <c r="I916" s="655"/>
      <c r="J916" s="655"/>
      <c r="K916" s="653">
        <v>0</v>
      </c>
      <c r="L916" s="656">
        <v>0</v>
      </c>
    </row>
    <row r="917" spans="1:12" ht="31.5" x14ac:dyDescent="0.25">
      <c r="A917" s="651" t="s">
        <v>88</v>
      </c>
      <c r="B917" s="652">
        <v>2021</v>
      </c>
      <c r="C917" s="651" t="s">
        <v>695</v>
      </c>
      <c r="D917" s="651" t="s">
        <v>1280</v>
      </c>
      <c r="E917" s="651" t="s">
        <v>697</v>
      </c>
      <c r="F917" s="653">
        <v>0</v>
      </c>
      <c r="G917" s="654"/>
      <c r="H917" s="651" t="s">
        <v>650</v>
      </c>
      <c r="I917" s="655"/>
      <c r="J917" s="655"/>
      <c r="K917" s="653">
        <v>0</v>
      </c>
      <c r="L917" s="656">
        <v>0</v>
      </c>
    </row>
    <row r="918" spans="1:12" ht="21" x14ac:dyDescent="0.25">
      <c r="A918" s="651" t="s">
        <v>88</v>
      </c>
      <c r="B918" s="652">
        <v>2021</v>
      </c>
      <c r="C918" s="651" t="s">
        <v>698</v>
      </c>
      <c r="D918" s="651" t="s">
        <v>1281</v>
      </c>
      <c r="E918" s="651" t="s">
        <v>700</v>
      </c>
      <c r="F918" s="653">
        <v>0</v>
      </c>
      <c r="G918" s="654"/>
      <c r="H918" s="651" t="s">
        <v>650</v>
      </c>
      <c r="I918" s="655"/>
      <c r="J918" s="655"/>
      <c r="K918" s="653">
        <v>0</v>
      </c>
      <c r="L918" s="656">
        <v>0</v>
      </c>
    </row>
    <row r="919" spans="1:12" ht="21" x14ac:dyDescent="0.25">
      <c r="A919" s="651" t="s">
        <v>88</v>
      </c>
      <c r="B919" s="652">
        <v>2021</v>
      </c>
      <c r="C919" s="651" t="s">
        <v>701</v>
      </c>
      <c r="D919" s="651" t="s">
        <v>1282</v>
      </c>
      <c r="E919" s="651" t="s">
        <v>1</v>
      </c>
      <c r="F919" s="653">
        <v>-91232.22</v>
      </c>
      <c r="G919" s="651" t="s">
        <v>650</v>
      </c>
      <c r="H919" s="654"/>
      <c r="I919" s="653">
        <v>-80975.359375</v>
      </c>
      <c r="J919" s="653">
        <v>-10256.8603515625</v>
      </c>
      <c r="K919" s="653">
        <v>-91232.21875</v>
      </c>
      <c r="L919" s="656">
        <v>-91232.22</v>
      </c>
    </row>
    <row r="920" spans="1:12" ht="21" x14ac:dyDescent="0.25">
      <c r="A920" s="651" t="s">
        <v>88</v>
      </c>
      <c r="B920" s="652">
        <v>2021</v>
      </c>
      <c r="C920" s="651" t="s">
        <v>701</v>
      </c>
      <c r="D920" s="651" t="s">
        <v>1282</v>
      </c>
      <c r="E920" s="651" t="s">
        <v>703</v>
      </c>
      <c r="F920" s="653">
        <v>0</v>
      </c>
      <c r="G920" s="654"/>
      <c r="H920" s="654"/>
      <c r="I920" s="655"/>
      <c r="J920" s="655"/>
      <c r="K920" s="653">
        <v>0</v>
      </c>
      <c r="L920" s="656">
        <v>0</v>
      </c>
    </row>
    <row r="921" spans="1:12" ht="21" x14ac:dyDescent="0.25">
      <c r="A921" s="651" t="s">
        <v>88</v>
      </c>
      <c r="B921" s="652">
        <v>2021</v>
      </c>
      <c r="C921" s="651" t="s">
        <v>701</v>
      </c>
      <c r="D921" s="651" t="s">
        <v>1282</v>
      </c>
      <c r="E921" s="651" t="s">
        <v>704</v>
      </c>
      <c r="F921" s="653">
        <v>0</v>
      </c>
      <c r="G921" s="654"/>
      <c r="H921" s="654"/>
      <c r="I921" s="655"/>
      <c r="J921" s="655"/>
      <c r="K921" s="653">
        <v>0</v>
      </c>
      <c r="L921" s="656">
        <v>0</v>
      </c>
    </row>
    <row r="922" spans="1:12" ht="21" x14ac:dyDescent="0.25">
      <c r="A922" s="651" t="s">
        <v>88</v>
      </c>
      <c r="B922" s="652">
        <v>2021</v>
      </c>
      <c r="C922" s="651" t="s">
        <v>701</v>
      </c>
      <c r="D922" s="651" t="s">
        <v>1282</v>
      </c>
      <c r="E922" s="651" t="s">
        <v>705</v>
      </c>
      <c r="F922" s="653">
        <v>0</v>
      </c>
      <c r="G922" s="654"/>
      <c r="H922" s="654"/>
      <c r="I922" s="655"/>
      <c r="J922" s="655"/>
      <c r="K922" s="653">
        <v>0</v>
      </c>
      <c r="L922" s="656">
        <v>0</v>
      </c>
    </row>
    <row r="923" spans="1:12" ht="21" x14ac:dyDescent="0.25">
      <c r="A923" s="651" t="s">
        <v>88</v>
      </c>
      <c r="B923" s="652">
        <v>2021</v>
      </c>
      <c r="C923" s="651" t="s">
        <v>701</v>
      </c>
      <c r="D923" s="651" t="s">
        <v>1282</v>
      </c>
      <c r="E923" s="651" t="s">
        <v>706</v>
      </c>
      <c r="F923" s="653">
        <v>0</v>
      </c>
      <c r="G923" s="654"/>
      <c r="H923" s="654"/>
      <c r="I923" s="655"/>
      <c r="J923" s="655"/>
      <c r="K923" s="653">
        <v>0</v>
      </c>
      <c r="L923" s="656">
        <v>0</v>
      </c>
    </row>
    <row r="924" spans="1:12" ht="21" x14ac:dyDescent="0.25">
      <c r="A924" s="651" t="s">
        <v>88</v>
      </c>
      <c r="B924" s="652">
        <v>2021</v>
      </c>
      <c r="C924" s="651" t="s">
        <v>707</v>
      </c>
      <c r="D924" s="651" t="s">
        <v>1283</v>
      </c>
      <c r="E924" s="651" t="s">
        <v>709</v>
      </c>
      <c r="F924" s="653">
        <v>0</v>
      </c>
      <c r="G924" s="654"/>
      <c r="H924" s="651" t="s">
        <v>650</v>
      </c>
      <c r="I924" s="655"/>
      <c r="J924" s="655"/>
      <c r="K924" s="653">
        <v>0</v>
      </c>
      <c r="L924" s="656">
        <v>0</v>
      </c>
    </row>
    <row r="925" spans="1:12" ht="31.5" x14ac:dyDescent="0.25">
      <c r="A925" s="651" t="s">
        <v>88</v>
      </c>
      <c r="B925" s="652">
        <v>2021</v>
      </c>
      <c r="C925" s="651" t="s">
        <v>710</v>
      </c>
      <c r="D925" s="651" t="s">
        <v>1284</v>
      </c>
      <c r="E925" s="651" t="s">
        <v>2</v>
      </c>
      <c r="F925" s="653">
        <v>32637.73</v>
      </c>
      <c r="G925" s="651" t="s">
        <v>650</v>
      </c>
      <c r="H925" s="654"/>
      <c r="I925" s="653">
        <v>35306.66015625</v>
      </c>
      <c r="J925" s="653">
        <v>-2668.92993164063</v>
      </c>
      <c r="K925" s="653">
        <v>32637.73046875</v>
      </c>
      <c r="L925" s="656">
        <v>32637.73</v>
      </c>
    </row>
    <row r="926" spans="1:12" ht="31.5" x14ac:dyDescent="0.25">
      <c r="A926" s="651" t="s">
        <v>88</v>
      </c>
      <c r="B926" s="652">
        <v>2021</v>
      </c>
      <c r="C926" s="651" t="s">
        <v>712</v>
      </c>
      <c r="D926" s="651" t="s">
        <v>1285</v>
      </c>
      <c r="E926" s="651" t="s">
        <v>3</v>
      </c>
      <c r="F926" s="653">
        <v>977894.84</v>
      </c>
      <c r="G926" s="651" t="s">
        <v>650</v>
      </c>
      <c r="H926" s="654"/>
      <c r="I926" s="653">
        <v>931853.875</v>
      </c>
      <c r="J926" s="653">
        <v>46040.98828125</v>
      </c>
      <c r="K926" s="653">
        <v>977894.8125</v>
      </c>
      <c r="L926" s="656">
        <v>977894.84</v>
      </c>
    </row>
    <row r="927" spans="1:12" ht="31.5" x14ac:dyDescent="0.25">
      <c r="A927" s="651" t="s">
        <v>88</v>
      </c>
      <c r="B927" s="652">
        <v>2021</v>
      </c>
      <c r="C927" s="651" t="s">
        <v>714</v>
      </c>
      <c r="D927" s="651" t="s">
        <v>1286</v>
      </c>
      <c r="E927" s="651" t="s">
        <v>38</v>
      </c>
      <c r="F927" s="653">
        <v>132141.54</v>
      </c>
      <c r="G927" s="651" t="s">
        <v>650</v>
      </c>
      <c r="H927" s="654"/>
      <c r="I927" s="653">
        <v>159615.34375</v>
      </c>
      <c r="J927" s="653">
        <v>-27473.80078125</v>
      </c>
      <c r="K927" s="653">
        <v>132141.546875</v>
      </c>
      <c r="L927" s="656">
        <v>132141.54</v>
      </c>
    </row>
    <row r="928" spans="1:12" ht="21" x14ac:dyDescent="0.25">
      <c r="A928" s="651" t="s">
        <v>88</v>
      </c>
      <c r="B928" s="652">
        <v>2021</v>
      </c>
      <c r="C928" s="651" t="s">
        <v>716</v>
      </c>
      <c r="D928" s="651" t="s">
        <v>1287</v>
      </c>
      <c r="E928" s="651" t="s">
        <v>66</v>
      </c>
      <c r="F928" s="653">
        <v>159912.54999999999</v>
      </c>
      <c r="G928" s="651" t="s">
        <v>650</v>
      </c>
      <c r="H928" s="654"/>
      <c r="I928" s="653">
        <v>154629.1875</v>
      </c>
      <c r="J928" s="653">
        <v>5283.35986328125</v>
      </c>
      <c r="K928" s="653">
        <v>159912.546875</v>
      </c>
      <c r="L928" s="656">
        <v>159912.54999999999</v>
      </c>
    </row>
    <row r="929" spans="1:12" ht="31.5" x14ac:dyDescent="0.25">
      <c r="A929" s="651" t="s">
        <v>88</v>
      </c>
      <c r="B929" s="652">
        <v>2021</v>
      </c>
      <c r="C929" s="651" t="s">
        <v>718</v>
      </c>
      <c r="D929" s="651" t="s">
        <v>1288</v>
      </c>
      <c r="E929" s="651" t="s">
        <v>720</v>
      </c>
      <c r="F929" s="653">
        <v>16151.36</v>
      </c>
      <c r="G929" s="654"/>
      <c r="H929" s="651" t="s">
        <v>650</v>
      </c>
      <c r="I929" s="655"/>
      <c r="J929" s="655"/>
      <c r="K929" s="653">
        <v>0</v>
      </c>
      <c r="L929" s="656">
        <v>16151.36</v>
      </c>
    </row>
    <row r="930" spans="1:12" ht="42" x14ac:dyDescent="0.25">
      <c r="A930" s="651" t="s">
        <v>88</v>
      </c>
      <c r="B930" s="652">
        <v>2021</v>
      </c>
      <c r="C930" s="651" t="s">
        <v>721</v>
      </c>
      <c r="D930" s="651" t="s">
        <v>1289</v>
      </c>
      <c r="E930" s="651" t="s">
        <v>3016</v>
      </c>
      <c r="F930" s="653">
        <v>0</v>
      </c>
      <c r="G930" s="651" t="s">
        <v>650</v>
      </c>
      <c r="H930" s="654"/>
      <c r="I930" s="655"/>
      <c r="J930" s="655"/>
      <c r="K930" s="653">
        <v>0</v>
      </c>
      <c r="L930" s="656">
        <v>0</v>
      </c>
    </row>
    <row r="931" spans="1:12" ht="42" x14ac:dyDescent="0.25">
      <c r="A931" s="651" t="s">
        <v>88</v>
      </c>
      <c r="B931" s="652">
        <v>2021</v>
      </c>
      <c r="C931" s="651" t="s">
        <v>721</v>
      </c>
      <c r="D931" s="651" t="s">
        <v>1289</v>
      </c>
      <c r="E931" s="651" t="s">
        <v>3058</v>
      </c>
      <c r="F931" s="653">
        <v>0</v>
      </c>
      <c r="G931" s="651" t="s">
        <v>650</v>
      </c>
      <c r="H931" s="654"/>
      <c r="I931" s="655"/>
      <c r="J931" s="655"/>
      <c r="K931" s="653">
        <v>0</v>
      </c>
      <c r="L931" s="656">
        <v>0</v>
      </c>
    </row>
    <row r="932" spans="1:12" ht="42" x14ac:dyDescent="0.25">
      <c r="A932" s="651" t="s">
        <v>88</v>
      </c>
      <c r="B932" s="652">
        <v>2021</v>
      </c>
      <c r="C932" s="651" t="s">
        <v>721</v>
      </c>
      <c r="D932" s="651" t="s">
        <v>1290</v>
      </c>
      <c r="E932" s="651" t="s">
        <v>724</v>
      </c>
      <c r="F932" s="653">
        <v>0</v>
      </c>
      <c r="G932" s="651" t="s">
        <v>650</v>
      </c>
      <c r="H932" s="654"/>
      <c r="I932" s="655"/>
      <c r="J932" s="655"/>
      <c r="K932" s="653">
        <v>0</v>
      </c>
      <c r="L932" s="656">
        <v>0</v>
      </c>
    </row>
    <row r="933" spans="1:12" ht="42" x14ac:dyDescent="0.25">
      <c r="A933" s="651" t="s">
        <v>88</v>
      </c>
      <c r="B933" s="652">
        <v>2021</v>
      </c>
      <c r="C933" s="651" t="s">
        <v>721</v>
      </c>
      <c r="D933" s="651" t="s">
        <v>1291</v>
      </c>
      <c r="E933" s="651" t="s">
        <v>55</v>
      </c>
      <c r="F933" s="653">
        <v>0</v>
      </c>
      <c r="G933" s="651" t="s">
        <v>650</v>
      </c>
      <c r="H933" s="654"/>
      <c r="I933" s="655"/>
      <c r="J933" s="655"/>
      <c r="K933" s="653">
        <v>0</v>
      </c>
      <c r="L933" s="656">
        <v>0</v>
      </c>
    </row>
    <row r="934" spans="1:12" ht="42" x14ac:dyDescent="0.25">
      <c r="A934" s="651" t="s">
        <v>88</v>
      </c>
      <c r="B934" s="652">
        <v>2021</v>
      </c>
      <c r="C934" s="651" t="s">
        <v>721</v>
      </c>
      <c r="D934" s="651" t="s">
        <v>1292</v>
      </c>
      <c r="E934" s="651" t="s">
        <v>56</v>
      </c>
      <c r="F934" s="653">
        <v>0</v>
      </c>
      <c r="G934" s="651" t="s">
        <v>650</v>
      </c>
      <c r="H934" s="654"/>
      <c r="I934" s="655"/>
      <c r="J934" s="655"/>
      <c r="K934" s="653">
        <v>0</v>
      </c>
      <c r="L934" s="656">
        <v>0</v>
      </c>
    </row>
    <row r="935" spans="1:12" ht="42" x14ac:dyDescent="0.25">
      <c r="A935" s="651" t="s">
        <v>88</v>
      </c>
      <c r="B935" s="652">
        <v>2021</v>
      </c>
      <c r="C935" s="651" t="s">
        <v>721</v>
      </c>
      <c r="D935" s="651" t="s">
        <v>1293</v>
      </c>
      <c r="E935" s="651" t="s">
        <v>728</v>
      </c>
      <c r="F935" s="653">
        <v>0</v>
      </c>
      <c r="G935" s="651" t="s">
        <v>650</v>
      </c>
      <c r="H935" s="654"/>
      <c r="I935" s="655"/>
      <c r="J935" s="655"/>
      <c r="K935" s="653">
        <v>0</v>
      </c>
      <c r="L935" s="656">
        <v>0</v>
      </c>
    </row>
    <row r="936" spans="1:12" ht="42" x14ac:dyDescent="0.25">
      <c r="A936" s="651" t="s">
        <v>88</v>
      </c>
      <c r="B936" s="652">
        <v>2021</v>
      </c>
      <c r="C936" s="651" t="s">
        <v>721</v>
      </c>
      <c r="D936" s="651" t="s">
        <v>1294</v>
      </c>
      <c r="E936" s="651" t="s">
        <v>730</v>
      </c>
      <c r="F936" s="653">
        <v>0</v>
      </c>
      <c r="G936" s="651" t="s">
        <v>650</v>
      </c>
      <c r="H936" s="654"/>
      <c r="I936" s="653">
        <v>25234.349609375</v>
      </c>
      <c r="J936" s="653">
        <v>-3225.15991210938</v>
      </c>
      <c r="K936" s="653">
        <v>22009.189453125</v>
      </c>
      <c r="L936" s="656">
        <v>22009.19</v>
      </c>
    </row>
    <row r="937" spans="1:12" ht="42" x14ac:dyDescent="0.25">
      <c r="A937" s="651" t="s">
        <v>88</v>
      </c>
      <c r="B937" s="652">
        <v>2021</v>
      </c>
      <c r="C937" s="651" t="s">
        <v>721</v>
      </c>
      <c r="D937" s="651" t="s">
        <v>1295</v>
      </c>
      <c r="E937" s="651" t="s">
        <v>142</v>
      </c>
      <c r="F937" s="653">
        <v>0</v>
      </c>
      <c r="G937" s="651" t="s">
        <v>650</v>
      </c>
      <c r="H937" s="654"/>
      <c r="I937" s="655"/>
      <c r="J937" s="655"/>
      <c r="K937" s="653">
        <v>0</v>
      </c>
      <c r="L937" s="656">
        <v>0</v>
      </c>
    </row>
    <row r="938" spans="1:12" ht="42" x14ac:dyDescent="0.25">
      <c r="A938" s="651" t="s">
        <v>88</v>
      </c>
      <c r="B938" s="652">
        <v>2021</v>
      </c>
      <c r="C938" s="651" t="s">
        <v>721</v>
      </c>
      <c r="D938" s="651" t="s">
        <v>1296</v>
      </c>
      <c r="E938" s="651" t="s">
        <v>143</v>
      </c>
      <c r="F938" s="653">
        <v>0</v>
      </c>
      <c r="G938" s="651" t="s">
        <v>650</v>
      </c>
      <c r="H938" s="654"/>
      <c r="I938" s="653">
        <v>53523.76171875</v>
      </c>
      <c r="J938" s="653">
        <v>-31394.349609375</v>
      </c>
      <c r="K938" s="653">
        <v>22129.41015625</v>
      </c>
      <c r="L938" s="656">
        <v>22129.41</v>
      </c>
    </row>
    <row r="939" spans="1:12" ht="42" x14ac:dyDescent="0.25">
      <c r="A939" s="651" t="s">
        <v>88</v>
      </c>
      <c r="B939" s="652">
        <v>2021</v>
      </c>
      <c r="C939" s="651" t="s">
        <v>721</v>
      </c>
      <c r="D939" s="651" t="s">
        <v>1297</v>
      </c>
      <c r="E939" s="651" t="s">
        <v>182</v>
      </c>
      <c r="F939" s="653">
        <v>0</v>
      </c>
      <c r="G939" s="651" t="s">
        <v>650</v>
      </c>
      <c r="H939" s="654"/>
      <c r="I939" s="655"/>
      <c r="J939" s="655"/>
      <c r="K939" s="653">
        <v>0</v>
      </c>
      <c r="L939" s="656">
        <v>0</v>
      </c>
    </row>
    <row r="940" spans="1:12" ht="42" x14ac:dyDescent="0.25">
      <c r="A940" s="651" t="s">
        <v>88</v>
      </c>
      <c r="B940" s="652">
        <v>2021</v>
      </c>
      <c r="C940" s="651" t="s">
        <v>721</v>
      </c>
      <c r="D940" s="651" t="s">
        <v>1298</v>
      </c>
      <c r="E940" s="651" t="s">
        <v>394</v>
      </c>
      <c r="F940" s="653">
        <v>0</v>
      </c>
      <c r="G940" s="651" t="s">
        <v>650</v>
      </c>
      <c r="H940" s="654"/>
      <c r="I940" s="653">
        <v>7251.27001953125</v>
      </c>
      <c r="J940" s="653">
        <v>-8812.33984375</v>
      </c>
      <c r="K940" s="653">
        <v>-1561.06994628906</v>
      </c>
      <c r="L940" s="656">
        <v>-1561.07</v>
      </c>
    </row>
    <row r="941" spans="1:12" ht="42" x14ac:dyDescent="0.25">
      <c r="A941" s="651" t="s">
        <v>88</v>
      </c>
      <c r="B941" s="652">
        <v>2021</v>
      </c>
      <c r="C941" s="651" t="s">
        <v>721</v>
      </c>
      <c r="D941" s="651" t="s">
        <v>1299</v>
      </c>
      <c r="E941" s="651" t="s">
        <v>423</v>
      </c>
      <c r="F941" s="653">
        <v>0</v>
      </c>
      <c r="G941" s="651" t="s">
        <v>650</v>
      </c>
      <c r="H941" s="654"/>
      <c r="I941" s="655"/>
      <c r="J941" s="655"/>
      <c r="K941" s="653">
        <v>0</v>
      </c>
      <c r="L941" s="656">
        <v>0</v>
      </c>
    </row>
    <row r="942" spans="1:12" ht="42" x14ac:dyDescent="0.25">
      <c r="A942" s="651" t="s">
        <v>88</v>
      </c>
      <c r="B942" s="652">
        <v>2021</v>
      </c>
      <c r="C942" s="651" t="s">
        <v>721</v>
      </c>
      <c r="D942" s="651" t="s">
        <v>3211</v>
      </c>
      <c r="E942" s="651" t="s">
        <v>441</v>
      </c>
      <c r="F942" s="653">
        <v>0</v>
      </c>
      <c r="G942" s="651" t="s">
        <v>650</v>
      </c>
      <c r="H942" s="654"/>
      <c r="I942" s="655"/>
      <c r="J942" s="655"/>
      <c r="K942" s="653">
        <v>0</v>
      </c>
      <c r="L942" s="656">
        <v>0</v>
      </c>
    </row>
    <row r="943" spans="1:12" ht="42" x14ac:dyDescent="0.25">
      <c r="A943" s="651" t="s">
        <v>88</v>
      </c>
      <c r="B943" s="652">
        <v>2021</v>
      </c>
      <c r="C943" s="651" t="s">
        <v>721</v>
      </c>
      <c r="D943" s="651" t="s">
        <v>1300</v>
      </c>
      <c r="E943" s="651" t="s">
        <v>737</v>
      </c>
      <c r="F943" s="653">
        <v>42577.53</v>
      </c>
      <c r="G943" s="654"/>
      <c r="H943" s="654"/>
      <c r="I943" s="655"/>
      <c r="J943" s="655"/>
      <c r="K943" s="653">
        <v>0</v>
      </c>
      <c r="L943" s="656">
        <v>42577.53</v>
      </c>
    </row>
    <row r="944" spans="1:12" ht="21" x14ac:dyDescent="0.25">
      <c r="A944" s="651" t="s">
        <v>88</v>
      </c>
      <c r="B944" s="652">
        <v>2021</v>
      </c>
      <c r="C944" s="651" t="s">
        <v>738</v>
      </c>
      <c r="D944" s="651" t="s">
        <v>1301</v>
      </c>
      <c r="E944" s="651" t="s">
        <v>7</v>
      </c>
      <c r="F944" s="653">
        <v>0</v>
      </c>
      <c r="G944" s="654"/>
      <c r="H944" s="651" t="s">
        <v>650</v>
      </c>
      <c r="I944" s="655"/>
      <c r="J944" s="655"/>
      <c r="K944" s="653">
        <v>0</v>
      </c>
      <c r="L944" s="656">
        <v>0</v>
      </c>
    </row>
    <row r="945" spans="1:12" ht="21" x14ac:dyDescent="0.25">
      <c r="A945" s="651" t="s">
        <v>89</v>
      </c>
      <c r="B945" s="652">
        <v>2021</v>
      </c>
      <c r="C945" s="651" t="s">
        <v>647</v>
      </c>
      <c r="D945" s="651" t="s">
        <v>1302</v>
      </c>
      <c r="E945" s="651" t="s">
        <v>649</v>
      </c>
      <c r="F945" s="653">
        <v>-348927.96</v>
      </c>
      <c r="G945" s="654"/>
      <c r="H945" s="651" t="s">
        <v>650</v>
      </c>
      <c r="I945" s="655"/>
      <c r="J945" s="655"/>
      <c r="K945" s="653">
        <v>0</v>
      </c>
      <c r="L945" s="656">
        <v>-348927.96</v>
      </c>
    </row>
    <row r="946" spans="1:12" ht="14.5" x14ac:dyDescent="0.25">
      <c r="A946" s="651" t="s">
        <v>89</v>
      </c>
      <c r="B946" s="652">
        <v>2021</v>
      </c>
      <c r="C946" s="651" t="s">
        <v>651</v>
      </c>
      <c r="D946" s="651" t="s">
        <v>1303</v>
      </c>
      <c r="E946" s="651" t="s">
        <v>653</v>
      </c>
      <c r="F946" s="653">
        <v>0</v>
      </c>
      <c r="G946" s="654"/>
      <c r="H946" s="651" t="s">
        <v>650</v>
      </c>
      <c r="I946" s="655"/>
      <c r="J946" s="655"/>
      <c r="K946" s="653">
        <v>0</v>
      </c>
      <c r="L946" s="656">
        <v>0</v>
      </c>
    </row>
    <row r="947" spans="1:12" ht="42" x14ac:dyDescent="0.25">
      <c r="A947" s="651" t="s">
        <v>89</v>
      </c>
      <c r="B947" s="652">
        <v>2021</v>
      </c>
      <c r="C947" s="651" t="s">
        <v>654</v>
      </c>
      <c r="D947" s="651" t="s">
        <v>1304</v>
      </c>
      <c r="E947" s="651" t="s">
        <v>445</v>
      </c>
      <c r="F947" s="653">
        <v>0</v>
      </c>
      <c r="G947" s="654"/>
      <c r="H947" s="651" t="s">
        <v>650</v>
      </c>
      <c r="I947" s="655"/>
      <c r="J947" s="655"/>
      <c r="K947" s="653">
        <v>0</v>
      </c>
      <c r="L947" s="656">
        <v>0</v>
      </c>
    </row>
    <row r="948" spans="1:12" ht="21" x14ac:dyDescent="0.25">
      <c r="A948" s="651" t="s">
        <v>89</v>
      </c>
      <c r="B948" s="652">
        <v>2021</v>
      </c>
      <c r="C948" s="651" t="s">
        <v>656</v>
      </c>
      <c r="D948" s="651" t="s">
        <v>1305</v>
      </c>
      <c r="E948" s="651" t="s">
        <v>658</v>
      </c>
      <c r="F948" s="653">
        <v>0</v>
      </c>
      <c r="G948" s="654"/>
      <c r="H948" s="651" t="s">
        <v>650</v>
      </c>
      <c r="I948" s="655"/>
      <c r="J948" s="655"/>
      <c r="K948" s="653">
        <v>0</v>
      </c>
      <c r="L948" s="656">
        <v>0</v>
      </c>
    </row>
    <row r="949" spans="1:12" ht="31.5" x14ac:dyDescent="0.25">
      <c r="A949" s="651" t="s">
        <v>89</v>
      </c>
      <c r="B949" s="652">
        <v>2021</v>
      </c>
      <c r="C949" s="651" t="s">
        <v>659</v>
      </c>
      <c r="D949" s="651" t="s">
        <v>1306</v>
      </c>
      <c r="E949" s="651" t="s">
        <v>661</v>
      </c>
      <c r="F949" s="653">
        <v>0</v>
      </c>
      <c r="G949" s="654"/>
      <c r="H949" s="651" t="s">
        <v>650</v>
      </c>
      <c r="I949" s="655"/>
      <c r="J949" s="655"/>
      <c r="K949" s="653">
        <v>0</v>
      </c>
      <c r="L949" s="656">
        <v>0</v>
      </c>
    </row>
    <row r="950" spans="1:12" ht="21" x14ac:dyDescent="0.25">
      <c r="A950" s="651" t="s">
        <v>89</v>
      </c>
      <c r="B950" s="652">
        <v>2021</v>
      </c>
      <c r="C950" s="651" t="s">
        <v>662</v>
      </c>
      <c r="D950" s="651" t="s">
        <v>1307</v>
      </c>
      <c r="E950" s="651" t="s">
        <v>664</v>
      </c>
      <c r="F950" s="653">
        <v>0</v>
      </c>
      <c r="G950" s="654"/>
      <c r="H950" s="651" t="s">
        <v>650</v>
      </c>
      <c r="I950" s="655"/>
      <c r="J950" s="655"/>
      <c r="K950" s="653">
        <v>0</v>
      </c>
      <c r="L950" s="656">
        <v>0</v>
      </c>
    </row>
    <row r="951" spans="1:12" ht="31.5" x14ac:dyDescent="0.25">
      <c r="A951" s="651" t="s">
        <v>89</v>
      </c>
      <c r="B951" s="652">
        <v>2021</v>
      </c>
      <c r="C951" s="651" t="s">
        <v>665</v>
      </c>
      <c r="D951" s="651" t="s">
        <v>1308</v>
      </c>
      <c r="E951" s="651" t="s">
        <v>667</v>
      </c>
      <c r="F951" s="653">
        <v>0</v>
      </c>
      <c r="G951" s="654"/>
      <c r="H951" s="651" t="s">
        <v>650</v>
      </c>
      <c r="I951" s="655"/>
      <c r="J951" s="655"/>
      <c r="K951" s="653">
        <v>0</v>
      </c>
      <c r="L951" s="656">
        <v>0</v>
      </c>
    </row>
    <row r="952" spans="1:12" ht="21" x14ac:dyDescent="0.25">
      <c r="A952" s="651" t="s">
        <v>89</v>
      </c>
      <c r="B952" s="652">
        <v>2021</v>
      </c>
      <c r="C952" s="651" t="s">
        <v>668</v>
      </c>
      <c r="D952" s="651" t="s">
        <v>1309</v>
      </c>
      <c r="E952" s="651" t="s">
        <v>12</v>
      </c>
      <c r="F952" s="653">
        <v>0</v>
      </c>
      <c r="G952" s="654"/>
      <c r="H952" s="651" t="s">
        <v>650</v>
      </c>
      <c r="I952" s="655"/>
      <c r="J952" s="655"/>
      <c r="K952" s="653">
        <v>0</v>
      </c>
      <c r="L952" s="656">
        <v>0</v>
      </c>
    </row>
    <row r="953" spans="1:12" ht="21" x14ac:dyDescent="0.25">
      <c r="A953" s="651" t="s">
        <v>89</v>
      </c>
      <c r="B953" s="652">
        <v>2021</v>
      </c>
      <c r="C953" s="651" t="s">
        <v>670</v>
      </c>
      <c r="D953" s="651" t="s">
        <v>1310</v>
      </c>
      <c r="E953" s="651" t="s">
        <v>13</v>
      </c>
      <c r="F953" s="653">
        <v>32239.52</v>
      </c>
      <c r="G953" s="654"/>
      <c r="H953" s="651" t="s">
        <v>650</v>
      </c>
      <c r="I953" s="655"/>
      <c r="J953" s="655"/>
      <c r="K953" s="653">
        <v>0</v>
      </c>
      <c r="L953" s="656">
        <v>32239.52</v>
      </c>
    </row>
    <row r="954" spans="1:12" ht="21" x14ac:dyDescent="0.25">
      <c r="A954" s="651" t="s">
        <v>89</v>
      </c>
      <c r="B954" s="652">
        <v>2021</v>
      </c>
      <c r="C954" s="651" t="s">
        <v>672</v>
      </c>
      <c r="D954" s="651" t="s">
        <v>1311</v>
      </c>
      <c r="E954" s="651" t="s">
        <v>15</v>
      </c>
      <c r="F954" s="653">
        <v>0</v>
      </c>
      <c r="G954" s="654"/>
      <c r="H954" s="651" t="s">
        <v>650</v>
      </c>
      <c r="I954" s="655"/>
      <c r="J954" s="655"/>
      <c r="K954" s="653">
        <v>0</v>
      </c>
      <c r="L954" s="656">
        <v>0</v>
      </c>
    </row>
    <row r="955" spans="1:12" ht="14.5" x14ac:dyDescent="0.25">
      <c r="A955" s="651" t="s">
        <v>89</v>
      </c>
      <c r="B955" s="652">
        <v>2021</v>
      </c>
      <c r="C955" s="651" t="s">
        <v>674</v>
      </c>
      <c r="D955" s="651" t="s">
        <v>1312</v>
      </c>
      <c r="E955" s="651" t="s">
        <v>676</v>
      </c>
      <c r="F955" s="653">
        <v>0</v>
      </c>
      <c r="G955" s="654"/>
      <c r="H955" s="651" t="s">
        <v>650</v>
      </c>
      <c r="I955" s="655"/>
      <c r="J955" s="655"/>
      <c r="K955" s="653">
        <v>0</v>
      </c>
      <c r="L955" s="656">
        <v>0</v>
      </c>
    </row>
    <row r="956" spans="1:12" ht="14.5" x14ac:dyDescent="0.25">
      <c r="A956" s="651" t="s">
        <v>89</v>
      </c>
      <c r="B956" s="652">
        <v>2021</v>
      </c>
      <c r="C956" s="651" t="s">
        <v>677</v>
      </c>
      <c r="D956" s="651" t="s">
        <v>1313</v>
      </c>
      <c r="E956" s="651" t="s">
        <v>23</v>
      </c>
      <c r="F956" s="653">
        <v>2905534.53</v>
      </c>
      <c r="G956" s="651" t="s">
        <v>650</v>
      </c>
      <c r="H956" s="654"/>
      <c r="I956" s="653">
        <v>2765232.75</v>
      </c>
      <c r="J956" s="653">
        <v>140301.8125</v>
      </c>
      <c r="K956" s="653">
        <v>2905534.5</v>
      </c>
      <c r="L956" s="656">
        <v>2905534.53</v>
      </c>
    </row>
    <row r="957" spans="1:12" ht="31.5" x14ac:dyDescent="0.25">
      <c r="A957" s="651" t="s">
        <v>89</v>
      </c>
      <c r="B957" s="652">
        <v>2021</v>
      </c>
      <c r="C957" s="651" t="s">
        <v>679</v>
      </c>
      <c r="D957" s="651" t="s">
        <v>1314</v>
      </c>
      <c r="E957" s="651" t="s">
        <v>131</v>
      </c>
      <c r="F957" s="653">
        <v>-39852.92</v>
      </c>
      <c r="G957" s="651" t="s">
        <v>650</v>
      </c>
      <c r="H957" s="654"/>
      <c r="I957" s="653">
        <v>-38137.71875</v>
      </c>
      <c r="J957" s="653">
        <v>-1715.19995117188</v>
      </c>
      <c r="K957" s="653">
        <v>-39852.921875</v>
      </c>
      <c r="L957" s="656">
        <v>-39852.92</v>
      </c>
    </row>
    <row r="958" spans="1:12" ht="31.5" x14ac:dyDescent="0.25">
      <c r="A958" s="651" t="s">
        <v>89</v>
      </c>
      <c r="B958" s="652">
        <v>2021</v>
      </c>
      <c r="C958" s="651" t="s">
        <v>681</v>
      </c>
      <c r="D958" s="651" t="s">
        <v>1315</v>
      </c>
      <c r="E958" s="651" t="s">
        <v>683</v>
      </c>
      <c r="F958" s="653">
        <v>0</v>
      </c>
      <c r="G958" s="654"/>
      <c r="H958" s="651" t="s">
        <v>650</v>
      </c>
      <c r="I958" s="655"/>
      <c r="J958" s="655"/>
      <c r="K958" s="653">
        <v>0</v>
      </c>
      <c r="L958" s="656">
        <v>0</v>
      </c>
    </row>
    <row r="959" spans="1:12" ht="21" x14ac:dyDescent="0.25">
      <c r="A959" s="651" t="s">
        <v>89</v>
      </c>
      <c r="B959" s="652">
        <v>2021</v>
      </c>
      <c r="C959" s="651" t="s">
        <v>681</v>
      </c>
      <c r="D959" s="651" t="s">
        <v>1315</v>
      </c>
      <c r="E959" s="651" t="s">
        <v>684</v>
      </c>
      <c r="F959" s="653">
        <v>0</v>
      </c>
      <c r="G959" s="654"/>
      <c r="H959" s="651" t="s">
        <v>650</v>
      </c>
      <c r="I959" s="655"/>
      <c r="J959" s="655"/>
      <c r="K959" s="653">
        <v>0</v>
      </c>
      <c r="L959" s="656">
        <v>0</v>
      </c>
    </row>
    <row r="960" spans="1:12" ht="21" x14ac:dyDescent="0.25">
      <c r="A960" s="651" t="s">
        <v>89</v>
      </c>
      <c r="B960" s="652">
        <v>2021</v>
      </c>
      <c r="C960" s="651" t="s">
        <v>685</v>
      </c>
      <c r="D960" s="651" t="s">
        <v>1316</v>
      </c>
      <c r="E960" s="651" t="s">
        <v>687</v>
      </c>
      <c r="F960" s="653">
        <v>0</v>
      </c>
      <c r="G960" s="654"/>
      <c r="H960" s="651" t="s">
        <v>650</v>
      </c>
      <c r="I960" s="655"/>
      <c r="J960" s="655"/>
      <c r="K960" s="653">
        <v>0</v>
      </c>
      <c r="L960" s="656">
        <v>0</v>
      </c>
    </row>
    <row r="961" spans="1:12" ht="14.5" x14ac:dyDescent="0.25">
      <c r="A961" s="651" t="s">
        <v>89</v>
      </c>
      <c r="B961" s="652">
        <v>2021</v>
      </c>
      <c r="C961" s="651" t="s">
        <v>688</v>
      </c>
      <c r="D961" s="651" t="s">
        <v>1317</v>
      </c>
      <c r="E961" s="651" t="s">
        <v>50</v>
      </c>
      <c r="F961" s="653">
        <v>0</v>
      </c>
      <c r="G961" s="654"/>
      <c r="H961" s="651" t="s">
        <v>650</v>
      </c>
      <c r="I961" s="655"/>
      <c r="J961" s="655"/>
      <c r="K961" s="653">
        <v>0</v>
      </c>
      <c r="L961" s="656">
        <v>0</v>
      </c>
    </row>
    <row r="962" spans="1:12" ht="21" x14ac:dyDescent="0.25">
      <c r="A962" s="651" t="s">
        <v>89</v>
      </c>
      <c r="B962" s="652">
        <v>2021</v>
      </c>
      <c r="C962" s="651" t="s">
        <v>690</v>
      </c>
      <c r="D962" s="651" t="s">
        <v>1318</v>
      </c>
      <c r="E962" s="651" t="s">
        <v>692</v>
      </c>
      <c r="F962" s="653">
        <v>0</v>
      </c>
      <c r="G962" s="654"/>
      <c r="H962" s="651" t="s">
        <v>650</v>
      </c>
      <c r="I962" s="655"/>
      <c r="J962" s="655"/>
      <c r="K962" s="653">
        <v>0</v>
      </c>
      <c r="L962" s="656">
        <v>0</v>
      </c>
    </row>
    <row r="963" spans="1:12" ht="21" x14ac:dyDescent="0.25">
      <c r="A963" s="651" t="s">
        <v>89</v>
      </c>
      <c r="B963" s="652">
        <v>2021</v>
      </c>
      <c r="C963" s="651" t="s">
        <v>693</v>
      </c>
      <c r="D963" s="651" t="s">
        <v>1319</v>
      </c>
      <c r="E963" s="651" t="s">
        <v>6</v>
      </c>
      <c r="F963" s="653">
        <v>0</v>
      </c>
      <c r="G963" s="654"/>
      <c r="H963" s="651" t="s">
        <v>650</v>
      </c>
      <c r="I963" s="655"/>
      <c r="J963" s="655"/>
      <c r="K963" s="653">
        <v>0</v>
      </c>
      <c r="L963" s="656">
        <v>0</v>
      </c>
    </row>
    <row r="964" spans="1:12" ht="31.5" x14ac:dyDescent="0.25">
      <c r="A964" s="651" t="s">
        <v>89</v>
      </c>
      <c r="B964" s="652">
        <v>2021</v>
      </c>
      <c r="C964" s="651" t="s">
        <v>695</v>
      </c>
      <c r="D964" s="651" t="s">
        <v>1320</v>
      </c>
      <c r="E964" s="651" t="s">
        <v>697</v>
      </c>
      <c r="F964" s="653">
        <v>0</v>
      </c>
      <c r="G964" s="654"/>
      <c r="H964" s="651" t="s">
        <v>650</v>
      </c>
      <c r="I964" s="655"/>
      <c r="J964" s="655"/>
      <c r="K964" s="653">
        <v>0</v>
      </c>
      <c r="L964" s="656">
        <v>0</v>
      </c>
    </row>
    <row r="965" spans="1:12" ht="21" x14ac:dyDescent="0.25">
      <c r="A965" s="651" t="s">
        <v>89</v>
      </c>
      <c r="B965" s="652">
        <v>2021</v>
      </c>
      <c r="C965" s="651" t="s">
        <v>698</v>
      </c>
      <c r="D965" s="651" t="s">
        <v>1321</v>
      </c>
      <c r="E965" s="651" t="s">
        <v>700</v>
      </c>
      <c r="F965" s="653">
        <v>147816.68</v>
      </c>
      <c r="G965" s="654"/>
      <c r="H965" s="651" t="s">
        <v>650</v>
      </c>
      <c r="I965" s="655"/>
      <c r="J965" s="655"/>
      <c r="K965" s="653">
        <v>0</v>
      </c>
      <c r="L965" s="656">
        <v>147816.68</v>
      </c>
    </row>
    <row r="966" spans="1:12" ht="21" x14ac:dyDescent="0.25">
      <c r="A966" s="651" t="s">
        <v>89</v>
      </c>
      <c r="B966" s="652">
        <v>2021</v>
      </c>
      <c r="C966" s="651" t="s">
        <v>701</v>
      </c>
      <c r="D966" s="651" t="s">
        <v>1322</v>
      </c>
      <c r="E966" s="651" t="s">
        <v>1</v>
      </c>
      <c r="F966" s="653">
        <v>-974050.26</v>
      </c>
      <c r="G966" s="651" t="s">
        <v>650</v>
      </c>
      <c r="H966" s="654"/>
      <c r="I966" s="653">
        <v>-935785.6875</v>
      </c>
      <c r="J966" s="653">
        <v>-38264.578125</v>
      </c>
      <c r="K966" s="653">
        <v>-974050.25</v>
      </c>
      <c r="L966" s="656">
        <v>-974050.26</v>
      </c>
    </row>
    <row r="967" spans="1:12" ht="21" x14ac:dyDescent="0.25">
      <c r="A967" s="651" t="s">
        <v>89</v>
      </c>
      <c r="B967" s="652">
        <v>2021</v>
      </c>
      <c r="C967" s="651" t="s">
        <v>701</v>
      </c>
      <c r="D967" s="651" t="s">
        <v>1322</v>
      </c>
      <c r="E967" s="651" t="s">
        <v>703</v>
      </c>
      <c r="F967" s="653">
        <v>0</v>
      </c>
      <c r="G967" s="654"/>
      <c r="H967" s="654"/>
      <c r="I967" s="655"/>
      <c r="J967" s="655"/>
      <c r="K967" s="653">
        <v>0</v>
      </c>
      <c r="L967" s="656">
        <v>0</v>
      </c>
    </row>
    <row r="968" spans="1:12" ht="21" x14ac:dyDescent="0.25">
      <c r="A968" s="651" t="s">
        <v>89</v>
      </c>
      <c r="B968" s="652">
        <v>2021</v>
      </c>
      <c r="C968" s="651" t="s">
        <v>701</v>
      </c>
      <c r="D968" s="651" t="s">
        <v>1322</v>
      </c>
      <c r="E968" s="651" t="s">
        <v>704</v>
      </c>
      <c r="F968" s="653">
        <v>0</v>
      </c>
      <c r="G968" s="654"/>
      <c r="H968" s="654"/>
      <c r="I968" s="655"/>
      <c r="J968" s="655"/>
      <c r="K968" s="653">
        <v>0</v>
      </c>
      <c r="L968" s="656">
        <v>0</v>
      </c>
    </row>
    <row r="969" spans="1:12" ht="21" x14ac:dyDescent="0.25">
      <c r="A969" s="651" t="s">
        <v>89</v>
      </c>
      <c r="B969" s="652">
        <v>2021</v>
      </c>
      <c r="C969" s="651" t="s">
        <v>701</v>
      </c>
      <c r="D969" s="651" t="s">
        <v>1322</v>
      </c>
      <c r="E969" s="651" t="s">
        <v>705</v>
      </c>
      <c r="F969" s="653">
        <v>-4122.76</v>
      </c>
      <c r="G969" s="654"/>
      <c r="H969" s="654"/>
      <c r="I969" s="655"/>
      <c r="J969" s="655"/>
      <c r="K969" s="653">
        <v>0</v>
      </c>
      <c r="L969" s="656">
        <v>-4122.76</v>
      </c>
    </row>
    <row r="970" spans="1:12" ht="21" x14ac:dyDescent="0.25">
      <c r="A970" s="651" t="s">
        <v>89</v>
      </c>
      <c r="B970" s="652">
        <v>2021</v>
      </c>
      <c r="C970" s="651" t="s">
        <v>701</v>
      </c>
      <c r="D970" s="651" t="s">
        <v>1322</v>
      </c>
      <c r="E970" s="651" t="s">
        <v>706</v>
      </c>
      <c r="F970" s="653">
        <v>-146008.62</v>
      </c>
      <c r="G970" s="654"/>
      <c r="H970" s="654"/>
      <c r="I970" s="655"/>
      <c r="J970" s="655"/>
      <c r="K970" s="653">
        <v>0</v>
      </c>
      <c r="L970" s="656">
        <v>-146008.62</v>
      </c>
    </row>
    <row r="971" spans="1:12" ht="14.5" x14ac:dyDescent="0.25">
      <c r="A971" s="651" t="s">
        <v>89</v>
      </c>
      <c r="B971" s="652">
        <v>2021</v>
      </c>
      <c r="C971" s="651" t="s">
        <v>707</v>
      </c>
      <c r="D971" s="651" t="s">
        <v>1323</v>
      </c>
      <c r="E971" s="651" t="s">
        <v>709</v>
      </c>
      <c r="F971" s="653">
        <v>0</v>
      </c>
      <c r="G971" s="654"/>
      <c r="H971" s="651" t="s">
        <v>650</v>
      </c>
      <c r="I971" s="655"/>
      <c r="J971" s="655"/>
      <c r="K971" s="653">
        <v>0</v>
      </c>
      <c r="L971" s="656">
        <v>0</v>
      </c>
    </row>
    <row r="972" spans="1:12" ht="31.5" x14ac:dyDescent="0.25">
      <c r="A972" s="651" t="s">
        <v>89</v>
      </c>
      <c r="B972" s="652">
        <v>2021</v>
      </c>
      <c r="C972" s="651" t="s">
        <v>710</v>
      </c>
      <c r="D972" s="651" t="s">
        <v>1324</v>
      </c>
      <c r="E972" s="651" t="s">
        <v>2</v>
      </c>
      <c r="F972" s="653">
        <v>932330.77</v>
      </c>
      <c r="G972" s="651" t="s">
        <v>650</v>
      </c>
      <c r="H972" s="654"/>
      <c r="I972" s="653">
        <v>832095.375</v>
      </c>
      <c r="J972" s="653">
        <v>100235.3828125</v>
      </c>
      <c r="K972" s="653">
        <v>932330.75</v>
      </c>
      <c r="L972" s="656">
        <v>932330.77</v>
      </c>
    </row>
    <row r="973" spans="1:12" ht="31.5" x14ac:dyDescent="0.25">
      <c r="A973" s="651" t="s">
        <v>89</v>
      </c>
      <c r="B973" s="652">
        <v>2021</v>
      </c>
      <c r="C973" s="651" t="s">
        <v>712</v>
      </c>
      <c r="D973" s="651" t="s">
        <v>1325</v>
      </c>
      <c r="E973" s="651" t="s">
        <v>3</v>
      </c>
      <c r="F973" s="653">
        <v>787126.68</v>
      </c>
      <c r="G973" s="651" t="s">
        <v>650</v>
      </c>
      <c r="H973" s="654"/>
      <c r="I973" s="653">
        <v>709572.3125</v>
      </c>
      <c r="J973" s="653">
        <v>77554.3515625</v>
      </c>
      <c r="K973" s="653">
        <v>787126.6875</v>
      </c>
      <c r="L973" s="656">
        <v>787126.68</v>
      </c>
    </row>
    <row r="974" spans="1:12" ht="31.5" x14ac:dyDescent="0.25">
      <c r="A974" s="651" t="s">
        <v>89</v>
      </c>
      <c r="B974" s="652">
        <v>2021</v>
      </c>
      <c r="C974" s="651" t="s">
        <v>714</v>
      </c>
      <c r="D974" s="651" t="s">
        <v>1326</v>
      </c>
      <c r="E974" s="651" t="s">
        <v>38</v>
      </c>
      <c r="F974" s="653">
        <v>-1214841.74</v>
      </c>
      <c r="G974" s="651" t="s">
        <v>650</v>
      </c>
      <c r="H974" s="654"/>
      <c r="I974" s="653">
        <v>-1116818.25</v>
      </c>
      <c r="J974" s="653">
        <v>-98023.4375</v>
      </c>
      <c r="K974" s="653">
        <v>-1214841.75</v>
      </c>
      <c r="L974" s="656">
        <v>-1214841.74</v>
      </c>
    </row>
    <row r="975" spans="1:12" ht="21" x14ac:dyDescent="0.25">
      <c r="A975" s="651" t="s">
        <v>89</v>
      </c>
      <c r="B975" s="652">
        <v>2021</v>
      </c>
      <c r="C975" s="651" t="s">
        <v>716</v>
      </c>
      <c r="D975" s="651" t="s">
        <v>1327</v>
      </c>
      <c r="E975" s="651" t="s">
        <v>66</v>
      </c>
      <c r="F975" s="653">
        <v>1776012.58</v>
      </c>
      <c r="G975" s="651" t="s">
        <v>650</v>
      </c>
      <c r="H975" s="654"/>
      <c r="I975" s="653">
        <v>1744153.625</v>
      </c>
      <c r="J975" s="653">
        <v>31859</v>
      </c>
      <c r="K975" s="653">
        <v>1776012.625</v>
      </c>
      <c r="L975" s="656">
        <v>1776012.58</v>
      </c>
    </row>
    <row r="976" spans="1:12" ht="31.5" x14ac:dyDescent="0.25">
      <c r="A976" s="651" t="s">
        <v>89</v>
      </c>
      <c r="B976" s="652">
        <v>2021</v>
      </c>
      <c r="C976" s="651" t="s">
        <v>718</v>
      </c>
      <c r="D976" s="651" t="s">
        <v>1328</v>
      </c>
      <c r="E976" s="651" t="s">
        <v>720</v>
      </c>
      <c r="F976" s="653">
        <v>-483551.48</v>
      </c>
      <c r="G976" s="654"/>
      <c r="H976" s="651" t="s">
        <v>650</v>
      </c>
      <c r="I976" s="655"/>
      <c r="J976" s="655"/>
      <c r="K976" s="653">
        <v>0</v>
      </c>
      <c r="L976" s="656">
        <v>-483551.48</v>
      </c>
    </row>
    <row r="977" spans="1:12" ht="42" x14ac:dyDescent="0.25">
      <c r="A977" s="651" t="s">
        <v>89</v>
      </c>
      <c r="B977" s="652">
        <v>2021</v>
      </c>
      <c r="C977" s="651" t="s">
        <v>721</v>
      </c>
      <c r="D977" s="651" t="s">
        <v>1329</v>
      </c>
      <c r="E977" s="651" t="s">
        <v>3016</v>
      </c>
      <c r="F977" s="653">
        <v>0</v>
      </c>
      <c r="G977" s="651" t="s">
        <v>650</v>
      </c>
      <c r="H977" s="654"/>
      <c r="I977" s="655"/>
      <c r="J977" s="655"/>
      <c r="K977" s="653">
        <v>0</v>
      </c>
      <c r="L977" s="656">
        <v>0</v>
      </c>
    </row>
    <row r="978" spans="1:12" ht="42" x14ac:dyDescent="0.25">
      <c r="A978" s="651" t="s">
        <v>89</v>
      </c>
      <c r="B978" s="652">
        <v>2021</v>
      </c>
      <c r="C978" s="651" t="s">
        <v>721</v>
      </c>
      <c r="D978" s="651" t="s">
        <v>1329</v>
      </c>
      <c r="E978" s="651" t="s">
        <v>3058</v>
      </c>
      <c r="F978" s="653">
        <v>0</v>
      </c>
      <c r="G978" s="651" t="s">
        <v>650</v>
      </c>
      <c r="H978" s="654"/>
      <c r="I978" s="653">
        <v>3220223.75</v>
      </c>
      <c r="J978" s="653">
        <v>21437.33984375</v>
      </c>
      <c r="K978" s="653">
        <v>3241661.25</v>
      </c>
      <c r="L978" s="656">
        <v>3241661.15</v>
      </c>
    </row>
    <row r="979" spans="1:12" ht="42" x14ac:dyDescent="0.25">
      <c r="A979" s="651" t="s">
        <v>89</v>
      </c>
      <c r="B979" s="652">
        <v>2021</v>
      </c>
      <c r="C979" s="651" t="s">
        <v>721</v>
      </c>
      <c r="D979" s="651" t="s">
        <v>1330</v>
      </c>
      <c r="E979" s="651" t="s">
        <v>724</v>
      </c>
      <c r="F979" s="653">
        <v>0</v>
      </c>
      <c r="G979" s="651" t="s">
        <v>650</v>
      </c>
      <c r="H979" s="654"/>
      <c r="I979" s="655"/>
      <c r="J979" s="655"/>
      <c r="K979" s="653">
        <v>0</v>
      </c>
      <c r="L979" s="656">
        <v>0</v>
      </c>
    </row>
    <row r="980" spans="1:12" ht="42" x14ac:dyDescent="0.25">
      <c r="A980" s="651" t="s">
        <v>89</v>
      </c>
      <c r="B980" s="652">
        <v>2021</v>
      </c>
      <c r="C980" s="651" t="s">
        <v>721</v>
      </c>
      <c r="D980" s="651" t="s">
        <v>1331</v>
      </c>
      <c r="E980" s="651" t="s">
        <v>55</v>
      </c>
      <c r="F980" s="653">
        <v>0</v>
      </c>
      <c r="G980" s="651" t="s">
        <v>650</v>
      </c>
      <c r="H980" s="654"/>
      <c r="I980" s="655"/>
      <c r="J980" s="655"/>
      <c r="K980" s="653">
        <v>0</v>
      </c>
      <c r="L980" s="656">
        <v>0</v>
      </c>
    </row>
    <row r="981" spans="1:12" ht="42" x14ac:dyDescent="0.25">
      <c r="A981" s="651" t="s">
        <v>89</v>
      </c>
      <c r="B981" s="652">
        <v>2021</v>
      </c>
      <c r="C981" s="651" t="s">
        <v>721</v>
      </c>
      <c r="D981" s="651" t="s">
        <v>1332</v>
      </c>
      <c r="E981" s="651" t="s">
        <v>56</v>
      </c>
      <c r="F981" s="653">
        <v>0</v>
      </c>
      <c r="G981" s="651" t="s">
        <v>650</v>
      </c>
      <c r="H981" s="654"/>
      <c r="I981" s="655"/>
      <c r="J981" s="655"/>
      <c r="K981" s="653">
        <v>0</v>
      </c>
      <c r="L981" s="656">
        <v>0</v>
      </c>
    </row>
    <row r="982" spans="1:12" ht="42" x14ac:dyDescent="0.25">
      <c r="A982" s="651" t="s">
        <v>89</v>
      </c>
      <c r="B982" s="652">
        <v>2021</v>
      </c>
      <c r="C982" s="651" t="s">
        <v>721</v>
      </c>
      <c r="D982" s="651" t="s">
        <v>1333</v>
      </c>
      <c r="E982" s="651" t="s">
        <v>728</v>
      </c>
      <c r="F982" s="653">
        <v>0</v>
      </c>
      <c r="G982" s="651" t="s">
        <v>650</v>
      </c>
      <c r="H982" s="654"/>
      <c r="I982" s="655"/>
      <c r="J982" s="655"/>
      <c r="K982" s="653">
        <v>0</v>
      </c>
      <c r="L982" s="656">
        <v>0</v>
      </c>
    </row>
    <row r="983" spans="1:12" ht="42" x14ac:dyDescent="0.25">
      <c r="A983" s="651" t="s">
        <v>89</v>
      </c>
      <c r="B983" s="652">
        <v>2021</v>
      </c>
      <c r="C983" s="651" t="s">
        <v>721</v>
      </c>
      <c r="D983" s="651" t="s">
        <v>1334</v>
      </c>
      <c r="E983" s="651" t="s">
        <v>730</v>
      </c>
      <c r="F983" s="653">
        <v>0</v>
      </c>
      <c r="G983" s="651" t="s">
        <v>650</v>
      </c>
      <c r="H983" s="654"/>
      <c r="I983" s="655"/>
      <c r="J983" s="655"/>
      <c r="K983" s="653">
        <v>0</v>
      </c>
      <c r="L983" s="656">
        <v>0</v>
      </c>
    </row>
    <row r="984" spans="1:12" ht="42" x14ac:dyDescent="0.25">
      <c r="A984" s="651" t="s">
        <v>89</v>
      </c>
      <c r="B984" s="652">
        <v>2021</v>
      </c>
      <c r="C984" s="651" t="s">
        <v>721</v>
      </c>
      <c r="D984" s="651" t="s">
        <v>1335</v>
      </c>
      <c r="E984" s="651" t="s">
        <v>142</v>
      </c>
      <c r="F984" s="653">
        <v>0</v>
      </c>
      <c r="G984" s="651" t="s">
        <v>650</v>
      </c>
      <c r="H984" s="654"/>
      <c r="I984" s="655"/>
      <c r="J984" s="655"/>
      <c r="K984" s="653">
        <v>0</v>
      </c>
      <c r="L984" s="656">
        <v>0</v>
      </c>
    </row>
    <row r="985" spans="1:12" ht="42" x14ac:dyDescent="0.25">
      <c r="A985" s="651" t="s">
        <v>89</v>
      </c>
      <c r="B985" s="652">
        <v>2021</v>
      </c>
      <c r="C985" s="651" t="s">
        <v>721</v>
      </c>
      <c r="D985" s="651" t="s">
        <v>1336</v>
      </c>
      <c r="E985" s="651" t="s">
        <v>143</v>
      </c>
      <c r="F985" s="653">
        <v>0</v>
      </c>
      <c r="G985" s="651" t="s">
        <v>650</v>
      </c>
      <c r="H985" s="654"/>
      <c r="I985" s="655"/>
      <c r="J985" s="655"/>
      <c r="K985" s="653">
        <v>0</v>
      </c>
      <c r="L985" s="656">
        <v>0</v>
      </c>
    </row>
    <row r="986" spans="1:12" ht="42" x14ac:dyDescent="0.25">
      <c r="A986" s="651" t="s">
        <v>89</v>
      </c>
      <c r="B986" s="652">
        <v>2021</v>
      </c>
      <c r="C986" s="651" t="s">
        <v>721</v>
      </c>
      <c r="D986" s="651" t="s">
        <v>1337</v>
      </c>
      <c r="E986" s="651" t="s">
        <v>182</v>
      </c>
      <c r="F986" s="653">
        <v>0</v>
      </c>
      <c r="G986" s="651" t="s">
        <v>650</v>
      </c>
      <c r="H986" s="654"/>
      <c r="I986" s="653">
        <v>2149571</v>
      </c>
      <c r="J986" s="653">
        <v>271195.9375</v>
      </c>
      <c r="K986" s="653">
        <v>2420767</v>
      </c>
      <c r="L986" s="656">
        <v>2420767.0499999998</v>
      </c>
    </row>
    <row r="987" spans="1:12" ht="42" x14ac:dyDescent="0.25">
      <c r="A987" s="651" t="s">
        <v>89</v>
      </c>
      <c r="B987" s="652">
        <v>2021</v>
      </c>
      <c r="C987" s="651" t="s">
        <v>721</v>
      </c>
      <c r="D987" s="651" t="s">
        <v>1338</v>
      </c>
      <c r="E987" s="651" t="s">
        <v>394</v>
      </c>
      <c r="F987" s="653">
        <v>0</v>
      </c>
      <c r="G987" s="651" t="s">
        <v>650</v>
      </c>
      <c r="H987" s="654"/>
      <c r="I987" s="655"/>
      <c r="J987" s="655"/>
      <c r="K987" s="653">
        <v>0</v>
      </c>
      <c r="L987" s="656">
        <v>0</v>
      </c>
    </row>
    <row r="988" spans="1:12" ht="42" x14ac:dyDescent="0.25">
      <c r="A988" s="651" t="s">
        <v>89</v>
      </c>
      <c r="B988" s="652">
        <v>2021</v>
      </c>
      <c r="C988" s="651" t="s">
        <v>721</v>
      </c>
      <c r="D988" s="651" t="s">
        <v>1339</v>
      </c>
      <c r="E988" s="651" t="s">
        <v>423</v>
      </c>
      <c r="F988" s="653">
        <v>0</v>
      </c>
      <c r="G988" s="651" t="s">
        <v>650</v>
      </c>
      <c r="H988" s="654"/>
      <c r="I988" s="655"/>
      <c r="J988" s="655"/>
      <c r="K988" s="653">
        <v>0</v>
      </c>
      <c r="L988" s="656">
        <v>0</v>
      </c>
    </row>
    <row r="989" spans="1:12" ht="42" x14ac:dyDescent="0.25">
      <c r="A989" s="651" t="s">
        <v>89</v>
      </c>
      <c r="B989" s="652">
        <v>2021</v>
      </c>
      <c r="C989" s="651" t="s">
        <v>721</v>
      </c>
      <c r="D989" s="651" t="s">
        <v>3212</v>
      </c>
      <c r="E989" s="651" t="s">
        <v>441</v>
      </c>
      <c r="F989" s="653">
        <v>0</v>
      </c>
      <c r="G989" s="651" t="s">
        <v>650</v>
      </c>
      <c r="H989" s="654"/>
      <c r="I989" s="653">
        <v>81726.3515625</v>
      </c>
      <c r="J989" s="653">
        <v>58045.08984375</v>
      </c>
      <c r="K989" s="653">
        <v>139771.4375</v>
      </c>
      <c r="L989" s="656">
        <v>139771.44</v>
      </c>
    </row>
    <row r="990" spans="1:12" ht="42" x14ac:dyDescent="0.25">
      <c r="A990" s="651" t="s">
        <v>89</v>
      </c>
      <c r="B990" s="652">
        <v>2021</v>
      </c>
      <c r="C990" s="651" t="s">
        <v>721</v>
      </c>
      <c r="D990" s="651" t="s">
        <v>1340</v>
      </c>
      <c r="E990" s="651" t="s">
        <v>737</v>
      </c>
      <c r="F990" s="653">
        <v>5802199.6399999997</v>
      </c>
      <c r="G990" s="654"/>
      <c r="H990" s="654"/>
      <c r="I990" s="655"/>
      <c r="J990" s="655"/>
      <c r="K990" s="653">
        <v>0</v>
      </c>
      <c r="L990" s="656">
        <v>5802199.6399999997</v>
      </c>
    </row>
    <row r="991" spans="1:12" ht="14.5" x14ac:dyDescent="0.25">
      <c r="A991" s="651" t="s">
        <v>89</v>
      </c>
      <c r="B991" s="652">
        <v>2021</v>
      </c>
      <c r="C991" s="651" t="s">
        <v>738</v>
      </c>
      <c r="D991" s="651" t="s">
        <v>1341</v>
      </c>
      <c r="E991" s="651" t="s">
        <v>7</v>
      </c>
      <c r="F991" s="653">
        <v>0</v>
      </c>
      <c r="G991" s="654"/>
      <c r="H991" s="651" t="s">
        <v>650</v>
      </c>
      <c r="I991" s="655"/>
      <c r="J991" s="655"/>
      <c r="K991" s="653">
        <v>0</v>
      </c>
      <c r="L991" s="656">
        <v>0</v>
      </c>
    </row>
    <row r="992" spans="1:12" ht="21" x14ac:dyDescent="0.25">
      <c r="A992" s="651" t="s">
        <v>90</v>
      </c>
      <c r="B992" s="652">
        <v>2021</v>
      </c>
      <c r="C992" s="651" t="s">
        <v>647</v>
      </c>
      <c r="D992" s="651" t="s">
        <v>1342</v>
      </c>
      <c r="E992" s="651" t="s">
        <v>649</v>
      </c>
      <c r="F992" s="653">
        <v>-52259.72</v>
      </c>
      <c r="G992" s="654"/>
      <c r="H992" s="651" t="s">
        <v>650</v>
      </c>
      <c r="I992" s="655"/>
      <c r="J992" s="655"/>
      <c r="K992" s="653">
        <v>0</v>
      </c>
      <c r="L992" s="656">
        <v>-52259.72</v>
      </c>
    </row>
    <row r="993" spans="1:12" ht="14.5" x14ac:dyDescent="0.25">
      <c r="A993" s="651" t="s">
        <v>90</v>
      </c>
      <c r="B993" s="652">
        <v>2021</v>
      </c>
      <c r="C993" s="651" t="s">
        <v>651</v>
      </c>
      <c r="D993" s="651" t="s">
        <v>1343</v>
      </c>
      <c r="E993" s="651" t="s">
        <v>653</v>
      </c>
      <c r="F993" s="653">
        <v>15837.61</v>
      </c>
      <c r="G993" s="654"/>
      <c r="H993" s="651" t="s">
        <v>650</v>
      </c>
      <c r="I993" s="655"/>
      <c r="J993" s="655"/>
      <c r="K993" s="653">
        <v>0</v>
      </c>
      <c r="L993" s="656">
        <v>15837.61</v>
      </c>
    </row>
    <row r="994" spans="1:12" ht="42" x14ac:dyDescent="0.25">
      <c r="A994" s="651" t="s">
        <v>90</v>
      </c>
      <c r="B994" s="652">
        <v>2021</v>
      </c>
      <c r="C994" s="651" t="s">
        <v>654</v>
      </c>
      <c r="D994" s="651" t="s">
        <v>1344</v>
      </c>
      <c r="E994" s="651" t="s">
        <v>445</v>
      </c>
      <c r="F994" s="653">
        <v>-27927.8</v>
      </c>
      <c r="G994" s="654"/>
      <c r="H994" s="651" t="s">
        <v>650</v>
      </c>
      <c r="I994" s="655"/>
      <c r="J994" s="655"/>
      <c r="K994" s="653">
        <v>0</v>
      </c>
      <c r="L994" s="656">
        <v>-27927.8</v>
      </c>
    </row>
    <row r="995" spans="1:12" ht="21" x14ac:dyDescent="0.25">
      <c r="A995" s="651" t="s">
        <v>90</v>
      </c>
      <c r="B995" s="652">
        <v>2021</v>
      </c>
      <c r="C995" s="651" t="s">
        <v>656</v>
      </c>
      <c r="D995" s="651" t="s">
        <v>1345</v>
      </c>
      <c r="E995" s="651" t="s">
        <v>658</v>
      </c>
      <c r="F995" s="653">
        <v>8007.94</v>
      </c>
      <c r="G995" s="654"/>
      <c r="H995" s="651" t="s">
        <v>650</v>
      </c>
      <c r="I995" s="655"/>
      <c r="J995" s="655"/>
      <c r="K995" s="653">
        <v>0</v>
      </c>
      <c r="L995" s="656">
        <v>8007.94</v>
      </c>
    </row>
    <row r="996" spans="1:12" ht="31.5" x14ac:dyDescent="0.25">
      <c r="A996" s="651" t="s">
        <v>90</v>
      </c>
      <c r="B996" s="652">
        <v>2021</v>
      </c>
      <c r="C996" s="651" t="s">
        <v>659</v>
      </c>
      <c r="D996" s="651" t="s">
        <v>1346</v>
      </c>
      <c r="E996" s="651" t="s">
        <v>661</v>
      </c>
      <c r="F996" s="653">
        <v>0</v>
      </c>
      <c r="G996" s="654"/>
      <c r="H996" s="651" t="s">
        <v>650</v>
      </c>
      <c r="I996" s="655"/>
      <c r="J996" s="655"/>
      <c r="K996" s="653">
        <v>0</v>
      </c>
      <c r="L996" s="656">
        <v>0</v>
      </c>
    </row>
    <row r="997" spans="1:12" ht="21" x14ac:dyDescent="0.25">
      <c r="A997" s="651" t="s">
        <v>90</v>
      </c>
      <c r="B997" s="652">
        <v>2021</v>
      </c>
      <c r="C997" s="651" t="s">
        <v>662</v>
      </c>
      <c r="D997" s="651" t="s">
        <v>1347</v>
      </c>
      <c r="E997" s="651" t="s">
        <v>664</v>
      </c>
      <c r="F997" s="653">
        <v>0</v>
      </c>
      <c r="G997" s="654"/>
      <c r="H997" s="651" t="s">
        <v>650</v>
      </c>
      <c r="I997" s="655"/>
      <c r="J997" s="655"/>
      <c r="K997" s="653">
        <v>0</v>
      </c>
      <c r="L997" s="656">
        <v>0</v>
      </c>
    </row>
    <row r="998" spans="1:12" ht="31.5" x14ac:dyDescent="0.25">
      <c r="A998" s="651" t="s">
        <v>90</v>
      </c>
      <c r="B998" s="652">
        <v>2021</v>
      </c>
      <c r="C998" s="651" t="s">
        <v>665</v>
      </c>
      <c r="D998" s="651" t="s">
        <v>1348</v>
      </c>
      <c r="E998" s="651" t="s">
        <v>667</v>
      </c>
      <c r="F998" s="653">
        <v>0</v>
      </c>
      <c r="G998" s="654"/>
      <c r="H998" s="651" t="s">
        <v>650</v>
      </c>
      <c r="I998" s="655"/>
      <c r="J998" s="655"/>
      <c r="K998" s="653">
        <v>0</v>
      </c>
      <c r="L998" s="656">
        <v>0</v>
      </c>
    </row>
    <row r="999" spans="1:12" ht="21" x14ac:dyDescent="0.25">
      <c r="A999" s="651" t="s">
        <v>90</v>
      </c>
      <c r="B999" s="652">
        <v>2021</v>
      </c>
      <c r="C999" s="651" t="s">
        <v>668</v>
      </c>
      <c r="D999" s="651" t="s">
        <v>1349</v>
      </c>
      <c r="E999" s="651" t="s">
        <v>12</v>
      </c>
      <c r="F999" s="653">
        <v>0</v>
      </c>
      <c r="G999" s="654"/>
      <c r="H999" s="651" t="s">
        <v>650</v>
      </c>
      <c r="I999" s="655"/>
      <c r="J999" s="655"/>
      <c r="K999" s="653">
        <v>0</v>
      </c>
      <c r="L999" s="656">
        <v>0</v>
      </c>
    </row>
    <row r="1000" spans="1:12" ht="21" x14ac:dyDescent="0.25">
      <c r="A1000" s="651" t="s">
        <v>90</v>
      </c>
      <c r="B1000" s="652">
        <v>2021</v>
      </c>
      <c r="C1000" s="651" t="s">
        <v>670</v>
      </c>
      <c r="D1000" s="651" t="s">
        <v>1350</v>
      </c>
      <c r="E1000" s="651" t="s">
        <v>13</v>
      </c>
      <c r="F1000" s="653">
        <v>0</v>
      </c>
      <c r="G1000" s="654"/>
      <c r="H1000" s="651" t="s">
        <v>650</v>
      </c>
      <c r="I1000" s="655"/>
      <c r="J1000" s="655"/>
      <c r="K1000" s="653">
        <v>0</v>
      </c>
      <c r="L1000" s="656">
        <v>0</v>
      </c>
    </row>
    <row r="1001" spans="1:12" ht="21" x14ac:dyDescent="0.25">
      <c r="A1001" s="651" t="s">
        <v>90</v>
      </c>
      <c r="B1001" s="652">
        <v>2021</v>
      </c>
      <c r="C1001" s="651" t="s">
        <v>672</v>
      </c>
      <c r="D1001" s="651" t="s">
        <v>1351</v>
      </c>
      <c r="E1001" s="651" t="s">
        <v>15</v>
      </c>
      <c r="F1001" s="653">
        <v>0</v>
      </c>
      <c r="G1001" s="654"/>
      <c r="H1001" s="651" t="s">
        <v>650</v>
      </c>
      <c r="I1001" s="655"/>
      <c r="J1001" s="655"/>
      <c r="K1001" s="653">
        <v>0</v>
      </c>
      <c r="L1001" s="656">
        <v>0</v>
      </c>
    </row>
    <row r="1002" spans="1:12" ht="14.5" x14ac:dyDescent="0.25">
      <c r="A1002" s="651" t="s">
        <v>90</v>
      </c>
      <c r="B1002" s="652">
        <v>2021</v>
      </c>
      <c r="C1002" s="651" t="s">
        <v>674</v>
      </c>
      <c r="D1002" s="651" t="s">
        <v>1352</v>
      </c>
      <c r="E1002" s="651" t="s">
        <v>676</v>
      </c>
      <c r="F1002" s="653">
        <v>-1130.07</v>
      </c>
      <c r="G1002" s="654"/>
      <c r="H1002" s="651" t="s">
        <v>650</v>
      </c>
      <c r="I1002" s="655"/>
      <c r="J1002" s="655"/>
      <c r="K1002" s="653">
        <v>0</v>
      </c>
      <c r="L1002" s="656">
        <v>-1130.07</v>
      </c>
    </row>
    <row r="1003" spans="1:12" ht="14.5" x14ac:dyDescent="0.25">
      <c r="A1003" s="651" t="s">
        <v>90</v>
      </c>
      <c r="B1003" s="652">
        <v>2021</v>
      </c>
      <c r="C1003" s="651" t="s">
        <v>677</v>
      </c>
      <c r="D1003" s="651" t="s">
        <v>1353</v>
      </c>
      <c r="E1003" s="651" t="s">
        <v>23</v>
      </c>
      <c r="F1003" s="653">
        <v>230518.37</v>
      </c>
      <c r="G1003" s="651" t="s">
        <v>650</v>
      </c>
      <c r="H1003" s="654"/>
      <c r="I1003" s="653">
        <v>229171.65625</v>
      </c>
      <c r="J1003" s="653">
        <v>1346.7099609375</v>
      </c>
      <c r="K1003" s="653">
        <v>230518.375</v>
      </c>
      <c r="L1003" s="656">
        <v>230518.37</v>
      </c>
    </row>
    <row r="1004" spans="1:12" ht="31.5" x14ac:dyDescent="0.25">
      <c r="A1004" s="651" t="s">
        <v>90</v>
      </c>
      <c r="B1004" s="652">
        <v>2021</v>
      </c>
      <c r="C1004" s="651" t="s">
        <v>679</v>
      </c>
      <c r="D1004" s="651" t="s">
        <v>1354</v>
      </c>
      <c r="E1004" s="651" t="s">
        <v>131</v>
      </c>
      <c r="F1004" s="653">
        <v>-19155.04</v>
      </c>
      <c r="G1004" s="651" t="s">
        <v>650</v>
      </c>
      <c r="H1004" s="654"/>
      <c r="I1004" s="653">
        <v>-18468.470703125</v>
      </c>
      <c r="J1004" s="653">
        <v>-686.57000732421898</v>
      </c>
      <c r="K1004" s="653">
        <v>-19155.0390625</v>
      </c>
      <c r="L1004" s="656">
        <v>-19155.04</v>
      </c>
    </row>
    <row r="1005" spans="1:12" ht="31.5" x14ac:dyDescent="0.25">
      <c r="A1005" s="651" t="s">
        <v>90</v>
      </c>
      <c r="B1005" s="652">
        <v>2021</v>
      </c>
      <c r="C1005" s="651" t="s">
        <v>681</v>
      </c>
      <c r="D1005" s="651" t="s">
        <v>1355</v>
      </c>
      <c r="E1005" s="651" t="s">
        <v>683</v>
      </c>
      <c r="F1005" s="653">
        <v>2286.14</v>
      </c>
      <c r="G1005" s="654"/>
      <c r="H1005" s="651" t="s">
        <v>650</v>
      </c>
      <c r="I1005" s="655"/>
      <c r="J1005" s="655"/>
      <c r="K1005" s="653">
        <v>0</v>
      </c>
      <c r="L1005" s="656">
        <v>2286.14</v>
      </c>
    </row>
    <row r="1006" spans="1:12" ht="21" x14ac:dyDescent="0.25">
      <c r="A1006" s="651" t="s">
        <v>90</v>
      </c>
      <c r="B1006" s="652">
        <v>2021</v>
      </c>
      <c r="C1006" s="651" t="s">
        <v>681</v>
      </c>
      <c r="D1006" s="651" t="s">
        <v>1355</v>
      </c>
      <c r="E1006" s="651" t="s">
        <v>684</v>
      </c>
      <c r="F1006" s="653">
        <v>2286.14</v>
      </c>
      <c r="G1006" s="654"/>
      <c r="H1006" s="651" t="s">
        <v>650</v>
      </c>
      <c r="I1006" s="655"/>
      <c r="J1006" s="655"/>
      <c r="K1006" s="653">
        <v>0</v>
      </c>
      <c r="L1006" s="656">
        <v>2286.14</v>
      </c>
    </row>
    <row r="1007" spans="1:12" ht="21" x14ac:dyDescent="0.25">
      <c r="A1007" s="651" t="s">
        <v>90</v>
      </c>
      <c r="B1007" s="652">
        <v>2021</v>
      </c>
      <c r="C1007" s="651" t="s">
        <v>685</v>
      </c>
      <c r="D1007" s="651" t="s">
        <v>1356</v>
      </c>
      <c r="E1007" s="651" t="s">
        <v>687</v>
      </c>
      <c r="F1007" s="653">
        <v>0</v>
      </c>
      <c r="G1007" s="654"/>
      <c r="H1007" s="651" t="s">
        <v>650</v>
      </c>
      <c r="I1007" s="655"/>
      <c r="J1007" s="655"/>
      <c r="K1007" s="653">
        <v>0</v>
      </c>
      <c r="L1007" s="656">
        <v>0</v>
      </c>
    </row>
    <row r="1008" spans="1:12" ht="14.5" x14ac:dyDescent="0.25">
      <c r="A1008" s="651" t="s">
        <v>90</v>
      </c>
      <c r="B1008" s="652">
        <v>2021</v>
      </c>
      <c r="C1008" s="651" t="s">
        <v>688</v>
      </c>
      <c r="D1008" s="651" t="s">
        <v>1357</v>
      </c>
      <c r="E1008" s="651" t="s">
        <v>50</v>
      </c>
      <c r="F1008" s="653">
        <v>494048.74</v>
      </c>
      <c r="G1008" s="654"/>
      <c r="H1008" s="651" t="s">
        <v>650</v>
      </c>
      <c r="I1008" s="655"/>
      <c r="J1008" s="655"/>
      <c r="K1008" s="653">
        <v>0</v>
      </c>
      <c r="L1008" s="656">
        <v>494048.74</v>
      </c>
    </row>
    <row r="1009" spans="1:12" ht="21" x14ac:dyDescent="0.25">
      <c r="A1009" s="651" t="s">
        <v>90</v>
      </c>
      <c r="B1009" s="652">
        <v>2021</v>
      </c>
      <c r="C1009" s="651" t="s">
        <v>690</v>
      </c>
      <c r="D1009" s="651" t="s">
        <v>1358</v>
      </c>
      <c r="E1009" s="651" t="s">
        <v>692</v>
      </c>
      <c r="F1009" s="653">
        <v>0</v>
      </c>
      <c r="G1009" s="654"/>
      <c r="H1009" s="651" t="s">
        <v>650</v>
      </c>
      <c r="I1009" s="655"/>
      <c r="J1009" s="655"/>
      <c r="K1009" s="653">
        <v>0</v>
      </c>
      <c r="L1009" s="656">
        <v>0</v>
      </c>
    </row>
    <row r="1010" spans="1:12" ht="21" x14ac:dyDescent="0.25">
      <c r="A1010" s="651" t="s">
        <v>90</v>
      </c>
      <c r="B1010" s="652">
        <v>2021</v>
      </c>
      <c r="C1010" s="651" t="s">
        <v>693</v>
      </c>
      <c r="D1010" s="651" t="s">
        <v>1359</v>
      </c>
      <c r="E1010" s="651" t="s">
        <v>6</v>
      </c>
      <c r="F1010" s="653">
        <v>0</v>
      </c>
      <c r="G1010" s="654"/>
      <c r="H1010" s="651" t="s">
        <v>650</v>
      </c>
      <c r="I1010" s="655"/>
      <c r="J1010" s="655"/>
      <c r="K1010" s="653">
        <v>0</v>
      </c>
      <c r="L1010" s="656">
        <v>0</v>
      </c>
    </row>
    <row r="1011" spans="1:12" ht="31.5" x14ac:dyDescent="0.25">
      <c r="A1011" s="651" t="s">
        <v>90</v>
      </c>
      <c r="B1011" s="652">
        <v>2021</v>
      </c>
      <c r="C1011" s="651" t="s">
        <v>695</v>
      </c>
      <c r="D1011" s="651" t="s">
        <v>1360</v>
      </c>
      <c r="E1011" s="651" t="s">
        <v>697</v>
      </c>
      <c r="F1011" s="653">
        <v>3432.76</v>
      </c>
      <c r="G1011" s="654"/>
      <c r="H1011" s="651" t="s">
        <v>650</v>
      </c>
      <c r="I1011" s="655"/>
      <c r="J1011" s="655"/>
      <c r="K1011" s="653">
        <v>0</v>
      </c>
      <c r="L1011" s="656">
        <v>3432.76</v>
      </c>
    </row>
    <row r="1012" spans="1:12" ht="21" x14ac:dyDescent="0.25">
      <c r="A1012" s="651" t="s">
        <v>90</v>
      </c>
      <c r="B1012" s="652">
        <v>2021</v>
      </c>
      <c r="C1012" s="651" t="s">
        <v>698</v>
      </c>
      <c r="D1012" s="651" t="s">
        <v>1361</v>
      </c>
      <c r="E1012" s="651" t="s">
        <v>700</v>
      </c>
      <c r="F1012" s="653">
        <v>-14215.78</v>
      </c>
      <c r="G1012" s="654"/>
      <c r="H1012" s="651" t="s">
        <v>650</v>
      </c>
      <c r="I1012" s="655"/>
      <c r="J1012" s="655"/>
      <c r="K1012" s="653">
        <v>0</v>
      </c>
      <c r="L1012" s="656">
        <v>-14215.78</v>
      </c>
    </row>
    <row r="1013" spans="1:12" ht="21" x14ac:dyDescent="0.25">
      <c r="A1013" s="651" t="s">
        <v>90</v>
      </c>
      <c r="B1013" s="652">
        <v>2021</v>
      </c>
      <c r="C1013" s="651" t="s">
        <v>701</v>
      </c>
      <c r="D1013" s="651" t="s">
        <v>1362</v>
      </c>
      <c r="E1013" s="651" t="s">
        <v>1</v>
      </c>
      <c r="F1013" s="653">
        <v>-452877.54</v>
      </c>
      <c r="G1013" s="651" t="s">
        <v>650</v>
      </c>
      <c r="H1013" s="654"/>
      <c r="I1013" s="653">
        <v>-446246.6875</v>
      </c>
      <c r="J1013" s="653">
        <v>-6630.85986328125</v>
      </c>
      <c r="K1013" s="653">
        <v>-452877.53125</v>
      </c>
      <c r="L1013" s="656">
        <v>-452877.54</v>
      </c>
    </row>
    <row r="1014" spans="1:12" ht="21" x14ac:dyDescent="0.25">
      <c r="A1014" s="651" t="s">
        <v>90</v>
      </c>
      <c r="B1014" s="652">
        <v>2021</v>
      </c>
      <c r="C1014" s="651" t="s">
        <v>701</v>
      </c>
      <c r="D1014" s="651" t="s">
        <v>1362</v>
      </c>
      <c r="E1014" s="651" t="s">
        <v>703</v>
      </c>
      <c r="F1014" s="653">
        <v>0</v>
      </c>
      <c r="G1014" s="654"/>
      <c r="H1014" s="654"/>
      <c r="I1014" s="655"/>
      <c r="J1014" s="655"/>
      <c r="K1014" s="653">
        <v>0</v>
      </c>
      <c r="L1014" s="656">
        <v>0</v>
      </c>
    </row>
    <row r="1015" spans="1:12" ht="21" x14ac:dyDescent="0.25">
      <c r="A1015" s="651" t="s">
        <v>90</v>
      </c>
      <c r="B1015" s="652">
        <v>2021</v>
      </c>
      <c r="C1015" s="651" t="s">
        <v>701</v>
      </c>
      <c r="D1015" s="651" t="s">
        <v>1362</v>
      </c>
      <c r="E1015" s="651" t="s">
        <v>704</v>
      </c>
      <c r="F1015" s="653">
        <v>0</v>
      </c>
      <c r="G1015" s="654"/>
      <c r="H1015" s="654"/>
      <c r="I1015" s="655"/>
      <c r="J1015" s="655"/>
      <c r="K1015" s="653">
        <v>0</v>
      </c>
      <c r="L1015" s="656">
        <v>0</v>
      </c>
    </row>
    <row r="1016" spans="1:12" ht="21" x14ac:dyDescent="0.25">
      <c r="A1016" s="651" t="s">
        <v>90</v>
      </c>
      <c r="B1016" s="652">
        <v>2021</v>
      </c>
      <c r="C1016" s="651" t="s">
        <v>701</v>
      </c>
      <c r="D1016" s="651" t="s">
        <v>1362</v>
      </c>
      <c r="E1016" s="651" t="s">
        <v>705</v>
      </c>
      <c r="F1016" s="653">
        <v>-483.64</v>
      </c>
      <c r="G1016" s="654"/>
      <c r="H1016" s="654"/>
      <c r="I1016" s="655"/>
      <c r="J1016" s="655"/>
      <c r="K1016" s="653">
        <v>0</v>
      </c>
      <c r="L1016" s="656">
        <v>-483.64</v>
      </c>
    </row>
    <row r="1017" spans="1:12" ht="21" x14ac:dyDescent="0.25">
      <c r="A1017" s="651" t="s">
        <v>90</v>
      </c>
      <c r="B1017" s="652">
        <v>2021</v>
      </c>
      <c r="C1017" s="651" t="s">
        <v>701</v>
      </c>
      <c r="D1017" s="651" t="s">
        <v>1362</v>
      </c>
      <c r="E1017" s="651" t="s">
        <v>706</v>
      </c>
      <c r="F1017" s="653">
        <v>-38936.629999999997</v>
      </c>
      <c r="G1017" s="654"/>
      <c r="H1017" s="654"/>
      <c r="I1017" s="655"/>
      <c r="J1017" s="655"/>
      <c r="K1017" s="653">
        <v>0</v>
      </c>
      <c r="L1017" s="656">
        <v>-38936.629999999997</v>
      </c>
    </row>
    <row r="1018" spans="1:12" ht="14.5" x14ac:dyDescent="0.25">
      <c r="A1018" s="651" t="s">
        <v>90</v>
      </c>
      <c r="B1018" s="652">
        <v>2021</v>
      </c>
      <c r="C1018" s="651" t="s">
        <v>707</v>
      </c>
      <c r="D1018" s="651" t="s">
        <v>1363</v>
      </c>
      <c r="E1018" s="651" t="s">
        <v>709</v>
      </c>
      <c r="F1018" s="653">
        <v>0</v>
      </c>
      <c r="G1018" s="654"/>
      <c r="H1018" s="651" t="s">
        <v>650</v>
      </c>
      <c r="I1018" s="655"/>
      <c r="J1018" s="655"/>
      <c r="K1018" s="653">
        <v>0</v>
      </c>
      <c r="L1018" s="656">
        <v>0</v>
      </c>
    </row>
    <row r="1019" spans="1:12" ht="31.5" x14ac:dyDescent="0.25">
      <c r="A1019" s="651" t="s">
        <v>90</v>
      </c>
      <c r="B1019" s="652">
        <v>2021</v>
      </c>
      <c r="C1019" s="651" t="s">
        <v>710</v>
      </c>
      <c r="D1019" s="651" t="s">
        <v>1364</v>
      </c>
      <c r="E1019" s="651" t="s">
        <v>2</v>
      </c>
      <c r="F1019" s="653">
        <v>44199.7</v>
      </c>
      <c r="G1019" s="651" t="s">
        <v>650</v>
      </c>
      <c r="H1019" s="654"/>
      <c r="I1019" s="653">
        <v>48538.96875</v>
      </c>
      <c r="J1019" s="653">
        <v>-4339.27001953125</v>
      </c>
      <c r="K1019" s="653">
        <v>44199.69921875</v>
      </c>
      <c r="L1019" s="656">
        <v>44199.7</v>
      </c>
    </row>
    <row r="1020" spans="1:12" ht="31.5" x14ac:dyDescent="0.25">
      <c r="A1020" s="651" t="s">
        <v>90</v>
      </c>
      <c r="B1020" s="652">
        <v>2021</v>
      </c>
      <c r="C1020" s="651" t="s">
        <v>712</v>
      </c>
      <c r="D1020" s="651" t="s">
        <v>1365</v>
      </c>
      <c r="E1020" s="651" t="s">
        <v>3</v>
      </c>
      <c r="F1020" s="653">
        <v>82993.570000000007</v>
      </c>
      <c r="G1020" s="651" t="s">
        <v>650</v>
      </c>
      <c r="H1020" s="654"/>
      <c r="I1020" s="653">
        <v>78470</v>
      </c>
      <c r="J1020" s="653">
        <v>4523.56982421875</v>
      </c>
      <c r="K1020" s="653">
        <v>82993.5703125</v>
      </c>
      <c r="L1020" s="656">
        <v>82993.570000000007</v>
      </c>
    </row>
    <row r="1021" spans="1:12" ht="31.5" x14ac:dyDescent="0.25">
      <c r="A1021" s="651" t="s">
        <v>90</v>
      </c>
      <c r="B1021" s="652">
        <v>2021</v>
      </c>
      <c r="C1021" s="651" t="s">
        <v>714</v>
      </c>
      <c r="D1021" s="651" t="s">
        <v>1366</v>
      </c>
      <c r="E1021" s="651" t="s">
        <v>38</v>
      </c>
      <c r="F1021" s="653">
        <v>-954149.43</v>
      </c>
      <c r="G1021" s="651" t="s">
        <v>650</v>
      </c>
      <c r="H1021" s="654"/>
      <c r="I1021" s="653">
        <v>-944642.25</v>
      </c>
      <c r="J1021" s="653">
        <v>-9507.1796875</v>
      </c>
      <c r="K1021" s="653">
        <v>-954149.4375</v>
      </c>
      <c r="L1021" s="656">
        <v>-954149.43</v>
      </c>
    </row>
    <row r="1022" spans="1:12" ht="21" x14ac:dyDescent="0.25">
      <c r="A1022" s="651" t="s">
        <v>90</v>
      </c>
      <c r="B1022" s="652">
        <v>2021</v>
      </c>
      <c r="C1022" s="651" t="s">
        <v>716</v>
      </c>
      <c r="D1022" s="651" t="s">
        <v>1367</v>
      </c>
      <c r="E1022" s="651" t="s">
        <v>66</v>
      </c>
      <c r="F1022" s="653">
        <v>1166267.7</v>
      </c>
      <c r="G1022" s="651" t="s">
        <v>650</v>
      </c>
      <c r="H1022" s="654"/>
      <c r="I1022" s="653">
        <v>1160699.125</v>
      </c>
      <c r="J1022" s="653">
        <v>5568.56982421875</v>
      </c>
      <c r="K1022" s="653">
        <v>1166267.75</v>
      </c>
      <c r="L1022" s="656">
        <v>1166267.7</v>
      </c>
    </row>
    <row r="1023" spans="1:12" ht="31.5" x14ac:dyDescent="0.25">
      <c r="A1023" s="651" t="s">
        <v>90</v>
      </c>
      <c r="B1023" s="652">
        <v>2021</v>
      </c>
      <c r="C1023" s="651" t="s">
        <v>718</v>
      </c>
      <c r="D1023" s="651" t="s">
        <v>1368</v>
      </c>
      <c r="E1023" s="651" t="s">
        <v>720</v>
      </c>
      <c r="F1023" s="653">
        <v>-272186.34000000003</v>
      </c>
      <c r="G1023" s="654"/>
      <c r="H1023" s="651" t="s">
        <v>650</v>
      </c>
      <c r="I1023" s="655"/>
      <c r="J1023" s="655"/>
      <c r="K1023" s="653">
        <v>0</v>
      </c>
      <c r="L1023" s="656">
        <v>-272186.34000000003</v>
      </c>
    </row>
    <row r="1024" spans="1:12" ht="42" x14ac:dyDescent="0.25">
      <c r="A1024" s="651" t="s">
        <v>90</v>
      </c>
      <c r="B1024" s="652">
        <v>2021</v>
      </c>
      <c r="C1024" s="651" t="s">
        <v>721</v>
      </c>
      <c r="D1024" s="651" t="s">
        <v>1369</v>
      </c>
      <c r="E1024" s="651" t="s">
        <v>3016</v>
      </c>
      <c r="F1024" s="653">
        <v>0</v>
      </c>
      <c r="G1024" s="651" t="s">
        <v>650</v>
      </c>
      <c r="H1024" s="654"/>
      <c r="I1024" s="655"/>
      <c r="J1024" s="655"/>
      <c r="K1024" s="653">
        <v>0</v>
      </c>
      <c r="L1024" s="656">
        <v>0</v>
      </c>
    </row>
    <row r="1025" spans="1:12" ht="42" x14ac:dyDescent="0.25">
      <c r="A1025" s="651" t="s">
        <v>90</v>
      </c>
      <c r="B1025" s="652">
        <v>2021</v>
      </c>
      <c r="C1025" s="651" t="s">
        <v>721</v>
      </c>
      <c r="D1025" s="651" t="s">
        <v>1369</v>
      </c>
      <c r="E1025" s="651" t="s">
        <v>3058</v>
      </c>
      <c r="F1025" s="653">
        <v>0</v>
      </c>
      <c r="G1025" s="651" t="s">
        <v>650</v>
      </c>
      <c r="H1025" s="654"/>
      <c r="I1025" s="655"/>
      <c r="J1025" s="655"/>
      <c r="K1025" s="653">
        <v>0</v>
      </c>
      <c r="L1025" s="656">
        <v>0</v>
      </c>
    </row>
    <row r="1026" spans="1:12" ht="42" x14ac:dyDescent="0.25">
      <c r="A1026" s="651" t="s">
        <v>90</v>
      </c>
      <c r="B1026" s="652">
        <v>2021</v>
      </c>
      <c r="C1026" s="651" t="s">
        <v>721</v>
      </c>
      <c r="D1026" s="651" t="s">
        <v>1370</v>
      </c>
      <c r="E1026" s="651" t="s">
        <v>724</v>
      </c>
      <c r="F1026" s="653">
        <v>0</v>
      </c>
      <c r="G1026" s="651" t="s">
        <v>650</v>
      </c>
      <c r="H1026" s="654"/>
      <c r="I1026" s="655"/>
      <c r="J1026" s="655"/>
      <c r="K1026" s="653">
        <v>0</v>
      </c>
      <c r="L1026" s="656">
        <v>0</v>
      </c>
    </row>
    <row r="1027" spans="1:12" ht="42" x14ac:dyDescent="0.25">
      <c r="A1027" s="651" t="s">
        <v>90</v>
      </c>
      <c r="B1027" s="652">
        <v>2021</v>
      </c>
      <c r="C1027" s="651" t="s">
        <v>721</v>
      </c>
      <c r="D1027" s="651" t="s">
        <v>1371</v>
      </c>
      <c r="E1027" s="651" t="s">
        <v>55</v>
      </c>
      <c r="F1027" s="653">
        <v>0</v>
      </c>
      <c r="G1027" s="651" t="s">
        <v>650</v>
      </c>
      <c r="H1027" s="654"/>
      <c r="I1027" s="655"/>
      <c r="J1027" s="655"/>
      <c r="K1027" s="653">
        <v>0</v>
      </c>
      <c r="L1027" s="656">
        <v>0</v>
      </c>
    </row>
    <row r="1028" spans="1:12" ht="42" x14ac:dyDescent="0.25">
      <c r="A1028" s="651" t="s">
        <v>90</v>
      </c>
      <c r="B1028" s="652">
        <v>2021</v>
      </c>
      <c r="C1028" s="651" t="s">
        <v>721</v>
      </c>
      <c r="D1028" s="651" t="s">
        <v>1372</v>
      </c>
      <c r="E1028" s="651" t="s">
        <v>56</v>
      </c>
      <c r="F1028" s="653">
        <v>0</v>
      </c>
      <c r="G1028" s="651" t="s">
        <v>650</v>
      </c>
      <c r="H1028" s="654"/>
      <c r="I1028" s="655"/>
      <c r="J1028" s="655"/>
      <c r="K1028" s="653">
        <v>0</v>
      </c>
      <c r="L1028" s="656">
        <v>0</v>
      </c>
    </row>
    <row r="1029" spans="1:12" ht="42" x14ac:dyDescent="0.25">
      <c r="A1029" s="651" t="s">
        <v>90</v>
      </c>
      <c r="B1029" s="652">
        <v>2021</v>
      </c>
      <c r="C1029" s="651" t="s">
        <v>721</v>
      </c>
      <c r="D1029" s="651" t="s">
        <v>1373</v>
      </c>
      <c r="E1029" s="651" t="s">
        <v>728</v>
      </c>
      <c r="F1029" s="653">
        <v>0</v>
      </c>
      <c r="G1029" s="651" t="s">
        <v>650</v>
      </c>
      <c r="H1029" s="654"/>
      <c r="I1029" s="655"/>
      <c r="J1029" s="655"/>
      <c r="K1029" s="653">
        <v>0</v>
      </c>
      <c r="L1029" s="656">
        <v>0</v>
      </c>
    </row>
    <row r="1030" spans="1:12" ht="42" x14ac:dyDescent="0.25">
      <c r="A1030" s="651" t="s">
        <v>90</v>
      </c>
      <c r="B1030" s="652">
        <v>2021</v>
      </c>
      <c r="C1030" s="651" t="s">
        <v>721</v>
      </c>
      <c r="D1030" s="651" t="s">
        <v>1374</v>
      </c>
      <c r="E1030" s="651" t="s">
        <v>730</v>
      </c>
      <c r="F1030" s="653">
        <v>0</v>
      </c>
      <c r="G1030" s="651" t="s">
        <v>650</v>
      </c>
      <c r="H1030" s="654"/>
      <c r="I1030" s="655"/>
      <c r="J1030" s="655"/>
      <c r="K1030" s="653">
        <v>0</v>
      </c>
      <c r="L1030" s="656">
        <v>0</v>
      </c>
    </row>
    <row r="1031" spans="1:12" ht="42" x14ac:dyDescent="0.25">
      <c r="A1031" s="651" t="s">
        <v>90</v>
      </c>
      <c r="B1031" s="652">
        <v>2021</v>
      </c>
      <c r="C1031" s="651" t="s">
        <v>721</v>
      </c>
      <c r="D1031" s="651" t="s">
        <v>1375</v>
      </c>
      <c r="E1031" s="651" t="s">
        <v>142</v>
      </c>
      <c r="F1031" s="653">
        <v>0</v>
      </c>
      <c r="G1031" s="651" t="s">
        <v>650</v>
      </c>
      <c r="H1031" s="654"/>
      <c r="I1031" s="655"/>
      <c r="J1031" s="655"/>
      <c r="K1031" s="653">
        <v>0</v>
      </c>
      <c r="L1031" s="656">
        <v>0</v>
      </c>
    </row>
    <row r="1032" spans="1:12" ht="42" x14ac:dyDescent="0.25">
      <c r="A1032" s="651" t="s">
        <v>90</v>
      </c>
      <c r="B1032" s="652">
        <v>2021</v>
      </c>
      <c r="C1032" s="651" t="s">
        <v>721</v>
      </c>
      <c r="D1032" s="651" t="s">
        <v>1376</v>
      </c>
      <c r="E1032" s="651" t="s">
        <v>143</v>
      </c>
      <c r="F1032" s="653">
        <v>0</v>
      </c>
      <c r="G1032" s="651" t="s">
        <v>650</v>
      </c>
      <c r="H1032" s="654"/>
      <c r="I1032" s="655"/>
      <c r="J1032" s="655"/>
      <c r="K1032" s="653">
        <v>0</v>
      </c>
      <c r="L1032" s="656">
        <v>0</v>
      </c>
    </row>
    <row r="1033" spans="1:12" ht="42" x14ac:dyDescent="0.25">
      <c r="A1033" s="651" t="s">
        <v>90</v>
      </c>
      <c r="B1033" s="652">
        <v>2021</v>
      </c>
      <c r="C1033" s="651" t="s">
        <v>721</v>
      </c>
      <c r="D1033" s="651" t="s">
        <v>1377</v>
      </c>
      <c r="E1033" s="651" t="s">
        <v>182</v>
      </c>
      <c r="F1033" s="653">
        <v>0</v>
      </c>
      <c r="G1033" s="651" t="s">
        <v>650</v>
      </c>
      <c r="H1033" s="654"/>
      <c r="I1033" s="653">
        <v>0.74000000953674305</v>
      </c>
      <c r="J1033" s="655"/>
      <c r="K1033" s="653">
        <v>0.74000000953674305</v>
      </c>
      <c r="L1033" s="656">
        <v>0.74</v>
      </c>
    </row>
    <row r="1034" spans="1:12" ht="42" x14ac:dyDescent="0.25">
      <c r="A1034" s="651" t="s">
        <v>90</v>
      </c>
      <c r="B1034" s="652">
        <v>2021</v>
      </c>
      <c r="C1034" s="651" t="s">
        <v>721</v>
      </c>
      <c r="D1034" s="651" t="s">
        <v>1378</v>
      </c>
      <c r="E1034" s="651" t="s">
        <v>394</v>
      </c>
      <c r="F1034" s="653">
        <v>0</v>
      </c>
      <c r="G1034" s="651" t="s">
        <v>650</v>
      </c>
      <c r="H1034" s="654"/>
      <c r="I1034" s="653">
        <v>68063.90625</v>
      </c>
      <c r="J1034" s="653">
        <v>18719.580078125</v>
      </c>
      <c r="K1034" s="653">
        <v>86783.4921875</v>
      </c>
      <c r="L1034" s="656">
        <v>86783.49</v>
      </c>
    </row>
    <row r="1035" spans="1:12" ht="42" x14ac:dyDescent="0.25">
      <c r="A1035" s="651" t="s">
        <v>90</v>
      </c>
      <c r="B1035" s="652">
        <v>2021</v>
      </c>
      <c r="C1035" s="651" t="s">
        <v>721</v>
      </c>
      <c r="D1035" s="651" t="s">
        <v>1379</v>
      </c>
      <c r="E1035" s="651" t="s">
        <v>423</v>
      </c>
      <c r="F1035" s="653">
        <v>0</v>
      </c>
      <c r="G1035" s="651" t="s">
        <v>650</v>
      </c>
      <c r="H1035" s="654"/>
      <c r="I1035" s="653">
        <v>-13146.0498046875</v>
      </c>
      <c r="J1035" s="653">
        <v>7538.25</v>
      </c>
      <c r="K1035" s="653">
        <v>-5607.7998046875</v>
      </c>
      <c r="L1035" s="656">
        <v>-5607.8</v>
      </c>
    </row>
    <row r="1036" spans="1:12" ht="42" x14ac:dyDescent="0.25">
      <c r="A1036" s="651" t="s">
        <v>90</v>
      </c>
      <c r="B1036" s="652">
        <v>2021</v>
      </c>
      <c r="C1036" s="651" t="s">
        <v>721</v>
      </c>
      <c r="D1036" s="651" t="s">
        <v>3213</v>
      </c>
      <c r="E1036" s="651" t="s">
        <v>441</v>
      </c>
      <c r="F1036" s="653">
        <v>0</v>
      </c>
      <c r="G1036" s="651" t="s">
        <v>650</v>
      </c>
      <c r="H1036" s="654"/>
      <c r="I1036" s="653">
        <v>14879.7001953125</v>
      </c>
      <c r="J1036" s="653">
        <v>-30524.759765625</v>
      </c>
      <c r="K1036" s="653">
        <v>-15645.0595703125</v>
      </c>
      <c r="L1036" s="656">
        <v>-15645.06</v>
      </c>
    </row>
    <row r="1037" spans="1:12" ht="42" x14ac:dyDescent="0.25">
      <c r="A1037" s="651" t="s">
        <v>90</v>
      </c>
      <c r="B1037" s="652">
        <v>2021</v>
      </c>
      <c r="C1037" s="651" t="s">
        <v>721</v>
      </c>
      <c r="D1037" s="651" t="s">
        <v>1380</v>
      </c>
      <c r="E1037" s="651" t="s">
        <v>737</v>
      </c>
      <c r="F1037" s="653">
        <v>65531.37</v>
      </c>
      <c r="G1037" s="654"/>
      <c r="H1037" s="654"/>
      <c r="I1037" s="655"/>
      <c r="J1037" s="655"/>
      <c r="K1037" s="653">
        <v>0</v>
      </c>
      <c r="L1037" s="656">
        <v>65531.37</v>
      </c>
    </row>
    <row r="1038" spans="1:12" ht="14.5" x14ac:dyDescent="0.25">
      <c r="A1038" s="651" t="s">
        <v>90</v>
      </c>
      <c r="B1038" s="652">
        <v>2021</v>
      </c>
      <c r="C1038" s="651" t="s">
        <v>738</v>
      </c>
      <c r="D1038" s="651" t="s">
        <v>1381</v>
      </c>
      <c r="E1038" s="651" t="s">
        <v>7</v>
      </c>
      <c r="F1038" s="653">
        <v>0</v>
      </c>
      <c r="G1038" s="654"/>
      <c r="H1038" s="651" t="s">
        <v>650</v>
      </c>
      <c r="I1038" s="655"/>
      <c r="J1038" s="655"/>
      <c r="K1038" s="653">
        <v>0</v>
      </c>
      <c r="L1038" s="656">
        <v>0</v>
      </c>
    </row>
    <row r="1039" spans="1:12" ht="21" x14ac:dyDescent="0.25">
      <c r="A1039" s="651" t="s">
        <v>91</v>
      </c>
      <c r="B1039" s="652">
        <v>2021</v>
      </c>
      <c r="C1039" s="651" t="s">
        <v>647</v>
      </c>
      <c r="D1039" s="651" t="s">
        <v>1382</v>
      </c>
      <c r="E1039" s="651" t="s">
        <v>649</v>
      </c>
      <c r="F1039" s="653">
        <v>7484.38</v>
      </c>
      <c r="G1039" s="654"/>
      <c r="H1039" s="651" t="s">
        <v>650</v>
      </c>
      <c r="I1039" s="655"/>
      <c r="J1039" s="655"/>
      <c r="K1039" s="653">
        <v>0</v>
      </c>
      <c r="L1039" s="656">
        <v>7484.38</v>
      </c>
    </row>
    <row r="1040" spans="1:12" ht="14.5" x14ac:dyDescent="0.25">
      <c r="A1040" s="651" t="s">
        <v>91</v>
      </c>
      <c r="B1040" s="652">
        <v>2021</v>
      </c>
      <c r="C1040" s="651" t="s">
        <v>651</v>
      </c>
      <c r="D1040" s="651" t="s">
        <v>1383</v>
      </c>
      <c r="E1040" s="651" t="s">
        <v>653</v>
      </c>
      <c r="F1040" s="653">
        <v>0</v>
      </c>
      <c r="G1040" s="654"/>
      <c r="H1040" s="651" t="s">
        <v>650</v>
      </c>
      <c r="I1040" s="655"/>
      <c r="J1040" s="655"/>
      <c r="K1040" s="653">
        <v>0</v>
      </c>
      <c r="L1040" s="656">
        <v>0</v>
      </c>
    </row>
    <row r="1041" spans="1:12" ht="42" x14ac:dyDescent="0.25">
      <c r="A1041" s="651" t="s">
        <v>91</v>
      </c>
      <c r="B1041" s="652">
        <v>2021</v>
      </c>
      <c r="C1041" s="651" t="s">
        <v>654</v>
      </c>
      <c r="D1041" s="651" t="s">
        <v>1384</v>
      </c>
      <c r="E1041" s="651" t="s">
        <v>445</v>
      </c>
      <c r="F1041" s="653">
        <v>0</v>
      </c>
      <c r="G1041" s="654"/>
      <c r="H1041" s="651" t="s">
        <v>650</v>
      </c>
      <c r="I1041" s="655"/>
      <c r="J1041" s="655"/>
      <c r="K1041" s="653">
        <v>0</v>
      </c>
      <c r="L1041" s="656">
        <v>0</v>
      </c>
    </row>
    <row r="1042" spans="1:12" ht="21" x14ac:dyDescent="0.25">
      <c r="A1042" s="651" t="s">
        <v>91</v>
      </c>
      <c r="B1042" s="652">
        <v>2021</v>
      </c>
      <c r="C1042" s="651" t="s">
        <v>656</v>
      </c>
      <c r="D1042" s="651" t="s">
        <v>1385</v>
      </c>
      <c r="E1042" s="651" t="s">
        <v>658</v>
      </c>
      <c r="F1042" s="653">
        <v>0</v>
      </c>
      <c r="G1042" s="654"/>
      <c r="H1042" s="651" t="s">
        <v>650</v>
      </c>
      <c r="I1042" s="655"/>
      <c r="J1042" s="655"/>
      <c r="K1042" s="653">
        <v>0</v>
      </c>
      <c r="L1042" s="656">
        <v>0</v>
      </c>
    </row>
    <row r="1043" spans="1:12" ht="31.5" x14ac:dyDescent="0.25">
      <c r="A1043" s="651" t="s">
        <v>91</v>
      </c>
      <c r="B1043" s="652">
        <v>2021</v>
      </c>
      <c r="C1043" s="651" t="s">
        <v>659</v>
      </c>
      <c r="D1043" s="651" t="s">
        <v>1386</v>
      </c>
      <c r="E1043" s="651" t="s">
        <v>661</v>
      </c>
      <c r="F1043" s="653">
        <v>87334.5</v>
      </c>
      <c r="G1043" s="654"/>
      <c r="H1043" s="651" t="s">
        <v>650</v>
      </c>
      <c r="I1043" s="655"/>
      <c r="J1043" s="655"/>
      <c r="K1043" s="653">
        <v>0</v>
      </c>
      <c r="L1043" s="656">
        <v>87334.5</v>
      </c>
    </row>
    <row r="1044" spans="1:12" ht="21" x14ac:dyDescent="0.25">
      <c r="A1044" s="651" t="s">
        <v>91</v>
      </c>
      <c r="B1044" s="652">
        <v>2021</v>
      </c>
      <c r="C1044" s="651" t="s">
        <v>662</v>
      </c>
      <c r="D1044" s="651" t="s">
        <v>1387</v>
      </c>
      <c r="E1044" s="651" t="s">
        <v>664</v>
      </c>
      <c r="F1044" s="653">
        <v>28880.45</v>
      </c>
      <c r="G1044" s="654"/>
      <c r="H1044" s="651" t="s">
        <v>650</v>
      </c>
      <c r="I1044" s="655"/>
      <c r="J1044" s="655"/>
      <c r="K1044" s="653">
        <v>0</v>
      </c>
      <c r="L1044" s="656">
        <v>28880.45</v>
      </c>
    </row>
    <row r="1045" spans="1:12" ht="31.5" x14ac:dyDescent="0.25">
      <c r="A1045" s="651" t="s">
        <v>91</v>
      </c>
      <c r="B1045" s="652">
        <v>2021</v>
      </c>
      <c r="C1045" s="651" t="s">
        <v>665</v>
      </c>
      <c r="D1045" s="651" t="s">
        <v>1388</v>
      </c>
      <c r="E1045" s="651" t="s">
        <v>667</v>
      </c>
      <c r="F1045" s="653">
        <v>-13756</v>
      </c>
      <c r="G1045" s="654"/>
      <c r="H1045" s="651" t="s">
        <v>650</v>
      </c>
      <c r="I1045" s="655"/>
      <c r="J1045" s="655"/>
      <c r="K1045" s="653">
        <v>0</v>
      </c>
      <c r="L1045" s="656">
        <v>-13756</v>
      </c>
    </row>
    <row r="1046" spans="1:12" ht="21" x14ac:dyDescent="0.25">
      <c r="A1046" s="651" t="s">
        <v>91</v>
      </c>
      <c r="B1046" s="652">
        <v>2021</v>
      </c>
      <c r="C1046" s="651" t="s">
        <v>668</v>
      </c>
      <c r="D1046" s="651" t="s">
        <v>1389</v>
      </c>
      <c r="E1046" s="651" t="s">
        <v>12</v>
      </c>
      <c r="F1046" s="653">
        <v>0</v>
      </c>
      <c r="G1046" s="654"/>
      <c r="H1046" s="651" t="s">
        <v>650</v>
      </c>
      <c r="I1046" s="655"/>
      <c r="J1046" s="655"/>
      <c r="K1046" s="653">
        <v>0</v>
      </c>
      <c r="L1046" s="656">
        <v>0</v>
      </c>
    </row>
    <row r="1047" spans="1:12" ht="21" x14ac:dyDescent="0.25">
      <c r="A1047" s="651" t="s">
        <v>91</v>
      </c>
      <c r="B1047" s="652">
        <v>2021</v>
      </c>
      <c r="C1047" s="651" t="s">
        <v>670</v>
      </c>
      <c r="D1047" s="651" t="s">
        <v>1390</v>
      </c>
      <c r="E1047" s="651" t="s">
        <v>13</v>
      </c>
      <c r="F1047" s="653">
        <v>0</v>
      </c>
      <c r="G1047" s="654"/>
      <c r="H1047" s="651" t="s">
        <v>650</v>
      </c>
      <c r="I1047" s="655"/>
      <c r="J1047" s="655"/>
      <c r="K1047" s="653">
        <v>0</v>
      </c>
      <c r="L1047" s="656">
        <v>0</v>
      </c>
    </row>
    <row r="1048" spans="1:12" ht="21" x14ac:dyDescent="0.25">
      <c r="A1048" s="651" t="s">
        <v>91</v>
      </c>
      <c r="B1048" s="652">
        <v>2021</v>
      </c>
      <c r="C1048" s="651" t="s">
        <v>672</v>
      </c>
      <c r="D1048" s="651" t="s">
        <v>1391</v>
      </c>
      <c r="E1048" s="651" t="s">
        <v>15</v>
      </c>
      <c r="F1048" s="653">
        <v>0</v>
      </c>
      <c r="G1048" s="654"/>
      <c r="H1048" s="651" t="s">
        <v>650</v>
      </c>
      <c r="I1048" s="655"/>
      <c r="J1048" s="655"/>
      <c r="K1048" s="653">
        <v>0</v>
      </c>
      <c r="L1048" s="656">
        <v>0</v>
      </c>
    </row>
    <row r="1049" spans="1:12" ht="14.5" x14ac:dyDescent="0.25">
      <c r="A1049" s="651" t="s">
        <v>91</v>
      </c>
      <c r="B1049" s="652">
        <v>2021</v>
      </c>
      <c r="C1049" s="651" t="s">
        <v>674</v>
      </c>
      <c r="D1049" s="651" t="s">
        <v>1392</v>
      </c>
      <c r="E1049" s="651" t="s">
        <v>676</v>
      </c>
      <c r="F1049" s="653">
        <v>0</v>
      </c>
      <c r="G1049" s="654"/>
      <c r="H1049" s="651" t="s">
        <v>650</v>
      </c>
      <c r="I1049" s="655"/>
      <c r="J1049" s="655"/>
      <c r="K1049" s="653">
        <v>0</v>
      </c>
      <c r="L1049" s="656">
        <v>0</v>
      </c>
    </row>
    <row r="1050" spans="1:12" ht="14.5" x14ac:dyDescent="0.25">
      <c r="A1050" s="651" t="s">
        <v>91</v>
      </c>
      <c r="B1050" s="652">
        <v>2021</v>
      </c>
      <c r="C1050" s="651" t="s">
        <v>677</v>
      </c>
      <c r="D1050" s="651" t="s">
        <v>1393</v>
      </c>
      <c r="E1050" s="651" t="s">
        <v>23</v>
      </c>
      <c r="F1050" s="653">
        <v>0</v>
      </c>
      <c r="G1050" s="651" t="s">
        <v>650</v>
      </c>
      <c r="H1050" s="654"/>
      <c r="I1050" s="655"/>
      <c r="J1050" s="655"/>
      <c r="K1050" s="653">
        <v>0</v>
      </c>
      <c r="L1050" s="656">
        <v>0</v>
      </c>
    </row>
    <row r="1051" spans="1:12" ht="31.5" x14ac:dyDescent="0.25">
      <c r="A1051" s="651" t="s">
        <v>91</v>
      </c>
      <c r="B1051" s="652">
        <v>2021</v>
      </c>
      <c r="C1051" s="651" t="s">
        <v>679</v>
      </c>
      <c r="D1051" s="651" t="s">
        <v>1394</v>
      </c>
      <c r="E1051" s="651" t="s">
        <v>131</v>
      </c>
      <c r="F1051" s="653">
        <v>-2422.31</v>
      </c>
      <c r="G1051" s="651" t="s">
        <v>650</v>
      </c>
      <c r="H1051" s="654"/>
      <c r="I1051" s="653">
        <v>-2331.7900390625</v>
      </c>
      <c r="J1051" s="653">
        <v>-90.519996643066406</v>
      </c>
      <c r="K1051" s="653">
        <v>-2422.31005859375</v>
      </c>
      <c r="L1051" s="656">
        <v>-2422.31</v>
      </c>
    </row>
    <row r="1052" spans="1:12" ht="31.5" x14ac:dyDescent="0.25">
      <c r="A1052" s="651" t="s">
        <v>91</v>
      </c>
      <c r="B1052" s="652">
        <v>2021</v>
      </c>
      <c r="C1052" s="651" t="s">
        <v>681</v>
      </c>
      <c r="D1052" s="651" t="s">
        <v>1395</v>
      </c>
      <c r="E1052" s="651" t="s">
        <v>683</v>
      </c>
      <c r="F1052" s="653">
        <v>1994.5</v>
      </c>
      <c r="G1052" s="654"/>
      <c r="H1052" s="651" t="s">
        <v>650</v>
      </c>
      <c r="I1052" s="655"/>
      <c r="J1052" s="655"/>
      <c r="K1052" s="653">
        <v>0</v>
      </c>
      <c r="L1052" s="656">
        <v>1994.5</v>
      </c>
    </row>
    <row r="1053" spans="1:12" ht="21" x14ac:dyDescent="0.25">
      <c r="A1053" s="651" t="s">
        <v>91</v>
      </c>
      <c r="B1053" s="652">
        <v>2021</v>
      </c>
      <c r="C1053" s="651" t="s">
        <v>681</v>
      </c>
      <c r="D1053" s="651" t="s">
        <v>1395</v>
      </c>
      <c r="E1053" s="651" t="s">
        <v>684</v>
      </c>
      <c r="F1053" s="653">
        <v>0</v>
      </c>
      <c r="G1053" s="654"/>
      <c r="H1053" s="651" t="s">
        <v>650</v>
      </c>
      <c r="I1053" s="655"/>
      <c r="J1053" s="655"/>
      <c r="K1053" s="653">
        <v>0</v>
      </c>
      <c r="L1053" s="656">
        <v>0</v>
      </c>
    </row>
    <row r="1054" spans="1:12" ht="21" x14ac:dyDescent="0.25">
      <c r="A1054" s="651" t="s">
        <v>91</v>
      </c>
      <c r="B1054" s="652">
        <v>2021</v>
      </c>
      <c r="C1054" s="651" t="s">
        <v>685</v>
      </c>
      <c r="D1054" s="651" t="s">
        <v>1396</v>
      </c>
      <c r="E1054" s="651" t="s">
        <v>687</v>
      </c>
      <c r="F1054" s="653">
        <v>0</v>
      </c>
      <c r="G1054" s="654"/>
      <c r="H1054" s="651" t="s">
        <v>650</v>
      </c>
      <c r="I1054" s="655"/>
      <c r="J1054" s="655"/>
      <c r="K1054" s="653">
        <v>0</v>
      </c>
      <c r="L1054" s="656">
        <v>0</v>
      </c>
    </row>
    <row r="1055" spans="1:12" ht="14.5" x14ac:dyDescent="0.25">
      <c r="A1055" s="651" t="s">
        <v>91</v>
      </c>
      <c r="B1055" s="652">
        <v>2021</v>
      </c>
      <c r="C1055" s="651" t="s">
        <v>688</v>
      </c>
      <c r="D1055" s="651" t="s">
        <v>1397</v>
      </c>
      <c r="E1055" s="651" t="s">
        <v>50</v>
      </c>
      <c r="F1055" s="653">
        <v>48208.93</v>
      </c>
      <c r="G1055" s="654"/>
      <c r="H1055" s="651" t="s">
        <v>650</v>
      </c>
      <c r="I1055" s="655"/>
      <c r="J1055" s="655"/>
      <c r="K1055" s="653">
        <v>0</v>
      </c>
      <c r="L1055" s="656">
        <v>48208.93</v>
      </c>
    </row>
    <row r="1056" spans="1:12" ht="21" x14ac:dyDescent="0.25">
      <c r="A1056" s="651" t="s">
        <v>91</v>
      </c>
      <c r="B1056" s="652">
        <v>2021</v>
      </c>
      <c r="C1056" s="651" t="s">
        <v>690</v>
      </c>
      <c r="D1056" s="651" t="s">
        <v>1398</v>
      </c>
      <c r="E1056" s="651" t="s">
        <v>692</v>
      </c>
      <c r="F1056" s="653">
        <v>0</v>
      </c>
      <c r="G1056" s="654"/>
      <c r="H1056" s="651" t="s">
        <v>650</v>
      </c>
      <c r="I1056" s="655"/>
      <c r="J1056" s="655"/>
      <c r="K1056" s="653">
        <v>0</v>
      </c>
      <c r="L1056" s="656">
        <v>0</v>
      </c>
    </row>
    <row r="1057" spans="1:12" ht="21" x14ac:dyDescent="0.25">
      <c r="A1057" s="651" t="s">
        <v>91</v>
      </c>
      <c r="B1057" s="652">
        <v>2021</v>
      </c>
      <c r="C1057" s="651" t="s">
        <v>693</v>
      </c>
      <c r="D1057" s="651" t="s">
        <v>1399</v>
      </c>
      <c r="E1057" s="651" t="s">
        <v>6</v>
      </c>
      <c r="F1057" s="653">
        <v>0</v>
      </c>
      <c r="G1057" s="654"/>
      <c r="H1057" s="651" t="s">
        <v>650</v>
      </c>
      <c r="I1057" s="655"/>
      <c r="J1057" s="655"/>
      <c r="K1057" s="653">
        <v>0</v>
      </c>
      <c r="L1057" s="656">
        <v>0</v>
      </c>
    </row>
    <row r="1058" spans="1:12" ht="31.5" x14ac:dyDescent="0.25">
      <c r="A1058" s="651" t="s">
        <v>91</v>
      </c>
      <c r="B1058" s="652">
        <v>2021</v>
      </c>
      <c r="C1058" s="651" t="s">
        <v>695</v>
      </c>
      <c r="D1058" s="651" t="s">
        <v>1400</v>
      </c>
      <c r="E1058" s="651" t="s">
        <v>697</v>
      </c>
      <c r="F1058" s="653">
        <v>0</v>
      </c>
      <c r="G1058" s="654"/>
      <c r="H1058" s="651" t="s">
        <v>650</v>
      </c>
      <c r="I1058" s="655"/>
      <c r="J1058" s="655"/>
      <c r="K1058" s="653">
        <v>0</v>
      </c>
      <c r="L1058" s="656">
        <v>0</v>
      </c>
    </row>
    <row r="1059" spans="1:12" ht="21" x14ac:dyDescent="0.25">
      <c r="A1059" s="651" t="s">
        <v>91</v>
      </c>
      <c r="B1059" s="652">
        <v>2021</v>
      </c>
      <c r="C1059" s="651" t="s">
        <v>698</v>
      </c>
      <c r="D1059" s="651" t="s">
        <v>1401</v>
      </c>
      <c r="E1059" s="651" t="s">
        <v>700</v>
      </c>
      <c r="F1059" s="653">
        <v>21410.59</v>
      </c>
      <c r="G1059" s="654"/>
      <c r="H1059" s="651" t="s">
        <v>650</v>
      </c>
      <c r="I1059" s="655"/>
      <c r="J1059" s="655"/>
      <c r="K1059" s="653">
        <v>0</v>
      </c>
      <c r="L1059" s="656">
        <v>21410.59</v>
      </c>
    </row>
    <row r="1060" spans="1:12" ht="21" x14ac:dyDescent="0.25">
      <c r="A1060" s="651" t="s">
        <v>91</v>
      </c>
      <c r="B1060" s="652">
        <v>2021</v>
      </c>
      <c r="C1060" s="651" t="s">
        <v>701</v>
      </c>
      <c r="D1060" s="651" t="s">
        <v>1402</v>
      </c>
      <c r="E1060" s="651" t="s">
        <v>1</v>
      </c>
      <c r="F1060" s="653">
        <v>-330758.19</v>
      </c>
      <c r="G1060" s="651" t="s">
        <v>650</v>
      </c>
      <c r="H1060" s="654"/>
      <c r="I1060" s="653">
        <v>-316171.625</v>
      </c>
      <c r="J1060" s="653">
        <v>-14586.5595703125</v>
      </c>
      <c r="K1060" s="653">
        <v>-330758.1875</v>
      </c>
      <c r="L1060" s="656">
        <v>-330758.19</v>
      </c>
    </row>
    <row r="1061" spans="1:12" ht="21" x14ac:dyDescent="0.25">
      <c r="A1061" s="651" t="s">
        <v>91</v>
      </c>
      <c r="B1061" s="652">
        <v>2021</v>
      </c>
      <c r="C1061" s="651" t="s">
        <v>701</v>
      </c>
      <c r="D1061" s="651" t="s">
        <v>1402</v>
      </c>
      <c r="E1061" s="651" t="s">
        <v>703</v>
      </c>
      <c r="F1061" s="653">
        <v>0</v>
      </c>
      <c r="G1061" s="654"/>
      <c r="H1061" s="654"/>
      <c r="I1061" s="655"/>
      <c r="J1061" s="655"/>
      <c r="K1061" s="653">
        <v>0</v>
      </c>
      <c r="L1061" s="656">
        <v>0</v>
      </c>
    </row>
    <row r="1062" spans="1:12" ht="21" x14ac:dyDescent="0.25">
      <c r="A1062" s="651" t="s">
        <v>91</v>
      </c>
      <c r="B1062" s="652">
        <v>2021</v>
      </c>
      <c r="C1062" s="651" t="s">
        <v>701</v>
      </c>
      <c r="D1062" s="651" t="s">
        <v>1402</v>
      </c>
      <c r="E1062" s="651" t="s">
        <v>704</v>
      </c>
      <c r="F1062" s="653">
        <v>0</v>
      </c>
      <c r="G1062" s="654"/>
      <c r="H1062" s="654"/>
      <c r="I1062" s="655"/>
      <c r="J1062" s="655"/>
      <c r="K1062" s="653">
        <v>0</v>
      </c>
      <c r="L1062" s="656">
        <v>0</v>
      </c>
    </row>
    <row r="1063" spans="1:12" ht="21" x14ac:dyDescent="0.25">
      <c r="A1063" s="651" t="s">
        <v>91</v>
      </c>
      <c r="B1063" s="652">
        <v>2021</v>
      </c>
      <c r="C1063" s="651" t="s">
        <v>701</v>
      </c>
      <c r="D1063" s="651" t="s">
        <v>1402</v>
      </c>
      <c r="E1063" s="651" t="s">
        <v>705</v>
      </c>
      <c r="F1063" s="653">
        <v>-2223.37</v>
      </c>
      <c r="G1063" s="654"/>
      <c r="H1063" s="654"/>
      <c r="I1063" s="655"/>
      <c r="J1063" s="655"/>
      <c r="K1063" s="653">
        <v>0</v>
      </c>
      <c r="L1063" s="656">
        <v>-2223.37</v>
      </c>
    </row>
    <row r="1064" spans="1:12" ht="21" x14ac:dyDescent="0.25">
      <c r="A1064" s="651" t="s">
        <v>91</v>
      </c>
      <c r="B1064" s="652">
        <v>2021</v>
      </c>
      <c r="C1064" s="651" t="s">
        <v>701</v>
      </c>
      <c r="D1064" s="651" t="s">
        <v>1402</v>
      </c>
      <c r="E1064" s="651" t="s">
        <v>706</v>
      </c>
      <c r="F1064" s="653">
        <v>-66843.78</v>
      </c>
      <c r="G1064" s="654"/>
      <c r="H1064" s="654"/>
      <c r="I1064" s="655"/>
      <c r="J1064" s="655"/>
      <c r="K1064" s="653">
        <v>0</v>
      </c>
      <c r="L1064" s="656">
        <v>-66843.78</v>
      </c>
    </row>
    <row r="1065" spans="1:12" ht="14.5" x14ac:dyDescent="0.25">
      <c r="A1065" s="651" t="s">
        <v>91</v>
      </c>
      <c r="B1065" s="652">
        <v>2021</v>
      </c>
      <c r="C1065" s="651" t="s">
        <v>707</v>
      </c>
      <c r="D1065" s="651" t="s">
        <v>1403</v>
      </c>
      <c r="E1065" s="651" t="s">
        <v>709</v>
      </c>
      <c r="F1065" s="653">
        <v>0</v>
      </c>
      <c r="G1065" s="654"/>
      <c r="H1065" s="651" t="s">
        <v>650</v>
      </c>
      <c r="I1065" s="655"/>
      <c r="J1065" s="655"/>
      <c r="K1065" s="653">
        <v>0</v>
      </c>
      <c r="L1065" s="656">
        <v>0</v>
      </c>
    </row>
    <row r="1066" spans="1:12" ht="31.5" x14ac:dyDescent="0.25">
      <c r="A1066" s="651" t="s">
        <v>91</v>
      </c>
      <c r="B1066" s="652">
        <v>2021</v>
      </c>
      <c r="C1066" s="651" t="s">
        <v>710</v>
      </c>
      <c r="D1066" s="651" t="s">
        <v>1404</v>
      </c>
      <c r="E1066" s="651" t="s">
        <v>2</v>
      </c>
      <c r="F1066" s="653">
        <v>24951.62</v>
      </c>
      <c r="G1066" s="651" t="s">
        <v>650</v>
      </c>
      <c r="H1066" s="654"/>
      <c r="I1066" s="653">
        <v>24592.759765625</v>
      </c>
      <c r="J1066" s="653">
        <v>358.85998535156301</v>
      </c>
      <c r="K1066" s="653">
        <v>24951.619140625</v>
      </c>
      <c r="L1066" s="656">
        <v>24951.62</v>
      </c>
    </row>
    <row r="1067" spans="1:12" ht="31.5" x14ac:dyDescent="0.25">
      <c r="A1067" s="651" t="s">
        <v>91</v>
      </c>
      <c r="B1067" s="652">
        <v>2021</v>
      </c>
      <c r="C1067" s="651" t="s">
        <v>712</v>
      </c>
      <c r="D1067" s="651" t="s">
        <v>1405</v>
      </c>
      <c r="E1067" s="651" t="s">
        <v>3</v>
      </c>
      <c r="F1067" s="653">
        <v>3421.32</v>
      </c>
      <c r="G1067" s="651" t="s">
        <v>650</v>
      </c>
      <c r="H1067" s="654"/>
      <c r="I1067" s="653">
        <v>3045.71997070313</v>
      </c>
      <c r="J1067" s="653">
        <v>375.60000610351602</v>
      </c>
      <c r="K1067" s="653">
        <v>3421.32006835938</v>
      </c>
      <c r="L1067" s="656">
        <v>3421.32</v>
      </c>
    </row>
    <row r="1068" spans="1:12" ht="31.5" x14ac:dyDescent="0.25">
      <c r="A1068" s="651" t="s">
        <v>91</v>
      </c>
      <c r="B1068" s="652">
        <v>2021</v>
      </c>
      <c r="C1068" s="651" t="s">
        <v>714</v>
      </c>
      <c r="D1068" s="651" t="s">
        <v>1406</v>
      </c>
      <c r="E1068" s="651" t="s">
        <v>38</v>
      </c>
      <c r="F1068" s="653">
        <v>137476.54</v>
      </c>
      <c r="G1068" s="651" t="s">
        <v>650</v>
      </c>
      <c r="H1068" s="654"/>
      <c r="I1068" s="653">
        <v>129669.703125</v>
      </c>
      <c r="J1068" s="653">
        <v>7806.83984375</v>
      </c>
      <c r="K1068" s="653">
        <v>137476.546875</v>
      </c>
      <c r="L1068" s="656">
        <v>137476.54</v>
      </c>
    </row>
    <row r="1069" spans="1:12" ht="21" x14ac:dyDescent="0.25">
      <c r="A1069" s="651" t="s">
        <v>91</v>
      </c>
      <c r="B1069" s="652">
        <v>2021</v>
      </c>
      <c r="C1069" s="651" t="s">
        <v>716</v>
      </c>
      <c r="D1069" s="651" t="s">
        <v>1407</v>
      </c>
      <c r="E1069" s="651" t="s">
        <v>66</v>
      </c>
      <c r="F1069" s="653">
        <v>771444.61</v>
      </c>
      <c r="G1069" s="651" t="s">
        <v>650</v>
      </c>
      <c r="H1069" s="654"/>
      <c r="I1069" s="653">
        <v>765777.75</v>
      </c>
      <c r="J1069" s="653">
        <v>5666.89013671875</v>
      </c>
      <c r="K1069" s="653">
        <v>771444.625</v>
      </c>
      <c r="L1069" s="656">
        <v>771444.61</v>
      </c>
    </row>
    <row r="1070" spans="1:12" ht="31.5" x14ac:dyDescent="0.25">
      <c r="A1070" s="651" t="s">
        <v>91</v>
      </c>
      <c r="B1070" s="652">
        <v>2021</v>
      </c>
      <c r="C1070" s="651" t="s">
        <v>718</v>
      </c>
      <c r="D1070" s="651" t="s">
        <v>1408</v>
      </c>
      <c r="E1070" s="651" t="s">
        <v>720</v>
      </c>
      <c r="F1070" s="653">
        <v>-62617.21</v>
      </c>
      <c r="G1070" s="654"/>
      <c r="H1070" s="651" t="s">
        <v>650</v>
      </c>
      <c r="I1070" s="655"/>
      <c r="J1070" s="655"/>
      <c r="K1070" s="653">
        <v>0</v>
      </c>
      <c r="L1070" s="656">
        <v>-62617.21</v>
      </c>
    </row>
    <row r="1071" spans="1:12" ht="42" x14ac:dyDescent="0.25">
      <c r="A1071" s="651" t="s">
        <v>91</v>
      </c>
      <c r="B1071" s="652">
        <v>2021</v>
      </c>
      <c r="C1071" s="651" t="s">
        <v>721</v>
      </c>
      <c r="D1071" s="651" t="s">
        <v>1409</v>
      </c>
      <c r="E1071" s="651" t="s">
        <v>3016</v>
      </c>
      <c r="F1071" s="653">
        <v>0</v>
      </c>
      <c r="G1071" s="651" t="s">
        <v>650</v>
      </c>
      <c r="H1071" s="654"/>
      <c r="I1071" s="655"/>
      <c r="J1071" s="655"/>
      <c r="K1071" s="653">
        <v>0</v>
      </c>
      <c r="L1071" s="656">
        <v>0</v>
      </c>
    </row>
    <row r="1072" spans="1:12" ht="42" x14ac:dyDescent="0.25">
      <c r="A1072" s="651" t="s">
        <v>91</v>
      </c>
      <c r="B1072" s="652">
        <v>2021</v>
      </c>
      <c r="C1072" s="651" t="s">
        <v>721</v>
      </c>
      <c r="D1072" s="651" t="s">
        <v>1409</v>
      </c>
      <c r="E1072" s="651" t="s">
        <v>3058</v>
      </c>
      <c r="F1072" s="653">
        <v>0</v>
      </c>
      <c r="G1072" s="651" t="s">
        <v>650</v>
      </c>
      <c r="H1072" s="654"/>
      <c r="I1072" s="655"/>
      <c r="J1072" s="655"/>
      <c r="K1072" s="653">
        <v>0</v>
      </c>
      <c r="L1072" s="656">
        <v>0</v>
      </c>
    </row>
    <row r="1073" spans="1:12" ht="42" x14ac:dyDescent="0.25">
      <c r="A1073" s="651" t="s">
        <v>91</v>
      </c>
      <c r="B1073" s="652">
        <v>2021</v>
      </c>
      <c r="C1073" s="651" t="s">
        <v>721</v>
      </c>
      <c r="D1073" s="651" t="s">
        <v>1410</v>
      </c>
      <c r="E1073" s="651" t="s">
        <v>724</v>
      </c>
      <c r="F1073" s="653">
        <v>0</v>
      </c>
      <c r="G1073" s="651" t="s">
        <v>650</v>
      </c>
      <c r="H1073" s="654"/>
      <c r="I1073" s="655"/>
      <c r="J1073" s="655"/>
      <c r="K1073" s="653">
        <v>0</v>
      </c>
      <c r="L1073" s="656">
        <v>0</v>
      </c>
    </row>
    <row r="1074" spans="1:12" ht="42" x14ac:dyDescent="0.25">
      <c r="A1074" s="651" t="s">
        <v>91</v>
      </c>
      <c r="B1074" s="652">
        <v>2021</v>
      </c>
      <c r="C1074" s="651" t="s">
        <v>721</v>
      </c>
      <c r="D1074" s="651" t="s">
        <v>1411</v>
      </c>
      <c r="E1074" s="651" t="s">
        <v>55</v>
      </c>
      <c r="F1074" s="653">
        <v>0</v>
      </c>
      <c r="G1074" s="651" t="s">
        <v>650</v>
      </c>
      <c r="H1074" s="654"/>
      <c r="I1074" s="655"/>
      <c r="J1074" s="655"/>
      <c r="K1074" s="653">
        <v>0</v>
      </c>
      <c r="L1074" s="656">
        <v>0</v>
      </c>
    </row>
    <row r="1075" spans="1:12" ht="42" x14ac:dyDescent="0.25">
      <c r="A1075" s="651" t="s">
        <v>91</v>
      </c>
      <c r="B1075" s="652">
        <v>2021</v>
      </c>
      <c r="C1075" s="651" t="s">
        <v>721</v>
      </c>
      <c r="D1075" s="651" t="s">
        <v>1412</v>
      </c>
      <c r="E1075" s="651" t="s">
        <v>56</v>
      </c>
      <c r="F1075" s="653">
        <v>0</v>
      </c>
      <c r="G1075" s="651" t="s">
        <v>650</v>
      </c>
      <c r="H1075" s="654"/>
      <c r="I1075" s="655"/>
      <c r="J1075" s="655"/>
      <c r="K1075" s="653">
        <v>0</v>
      </c>
      <c r="L1075" s="656">
        <v>0</v>
      </c>
    </row>
    <row r="1076" spans="1:12" ht="42" x14ac:dyDescent="0.25">
      <c r="A1076" s="651" t="s">
        <v>91</v>
      </c>
      <c r="B1076" s="652">
        <v>2021</v>
      </c>
      <c r="C1076" s="651" t="s">
        <v>721</v>
      </c>
      <c r="D1076" s="651" t="s">
        <v>1413</v>
      </c>
      <c r="E1076" s="651" t="s">
        <v>728</v>
      </c>
      <c r="F1076" s="653">
        <v>0</v>
      </c>
      <c r="G1076" s="651" t="s">
        <v>650</v>
      </c>
      <c r="H1076" s="654"/>
      <c r="I1076" s="655"/>
      <c r="J1076" s="655"/>
      <c r="K1076" s="653">
        <v>0</v>
      </c>
      <c r="L1076" s="656">
        <v>0</v>
      </c>
    </row>
    <row r="1077" spans="1:12" ht="42" x14ac:dyDescent="0.25">
      <c r="A1077" s="651" t="s">
        <v>91</v>
      </c>
      <c r="B1077" s="652">
        <v>2021</v>
      </c>
      <c r="C1077" s="651" t="s">
        <v>721</v>
      </c>
      <c r="D1077" s="651" t="s">
        <v>1414</v>
      </c>
      <c r="E1077" s="651" t="s">
        <v>730</v>
      </c>
      <c r="F1077" s="653">
        <v>0</v>
      </c>
      <c r="G1077" s="651" t="s">
        <v>650</v>
      </c>
      <c r="H1077" s="654"/>
      <c r="I1077" s="655"/>
      <c r="J1077" s="655"/>
      <c r="K1077" s="653">
        <v>0</v>
      </c>
      <c r="L1077" s="656">
        <v>0</v>
      </c>
    </row>
    <row r="1078" spans="1:12" ht="42" x14ac:dyDescent="0.25">
      <c r="A1078" s="651" t="s">
        <v>91</v>
      </c>
      <c r="B1078" s="652">
        <v>2021</v>
      </c>
      <c r="C1078" s="651" t="s">
        <v>721</v>
      </c>
      <c r="D1078" s="651" t="s">
        <v>1415</v>
      </c>
      <c r="E1078" s="651" t="s">
        <v>142</v>
      </c>
      <c r="F1078" s="653">
        <v>0</v>
      </c>
      <c r="G1078" s="651" t="s">
        <v>650</v>
      </c>
      <c r="H1078" s="654"/>
      <c r="I1078" s="655"/>
      <c r="J1078" s="655"/>
      <c r="K1078" s="653">
        <v>0</v>
      </c>
      <c r="L1078" s="656">
        <v>0</v>
      </c>
    </row>
    <row r="1079" spans="1:12" ht="42" x14ac:dyDescent="0.25">
      <c r="A1079" s="651" t="s">
        <v>91</v>
      </c>
      <c r="B1079" s="652">
        <v>2021</v>
      </c>
      <c r="C1079" s="651" t="s">
        <v>721</v>
      </c>
      <c r="D1079" s="651" t="s">
        <v>1416</v>
      </c>
      <c r="E1079" s="651" t="s">
        <v>143</v>
      </c>
      <c r="F1079" s="653">
        <v>0</v>
      </c>
      <c r="G1079" s="651" t="s">
        <v>650</v>
      </c>
      <c r="H1079" s="654"/>
      <c r="I1079" s="653">
        <v>26176.58984375</v>
      </c>
      <c r="J1079" s="653">
        <v>-2100.3701171875</v>
      </c>
      <c r="K1079" s="653">
        <v>24076.220703125</v>
      </c>
      <c r="L1079" s="656">
        <v>24076.22</v>
      </c>
    </row>
    <row r="1080" spans="1:12" ht="42" x14ac:dyDescent="0.25">
      <c r="A1080" s="651" t="s">
        <v>91</v>
      </c>
      <c r="B1080" s="652">
        <v>2021</v>
      </c>
      <c r="C1080" s="651" t="s">
        <v>721</v>
      </c>
      <c r="D1080" s="651" t="s">
        <v>1417</v>
      </c>
      <c r="E1080" s="651" t="s">
        <v>182</v>
      </c>
      <c r="F1080" s="653">
        <v>0</v>
      </c>
      <c r="G1080" s="651" t="s">
        <v>650</v>
      </c>
      <c r="H1080" s="654"/>
      <c r="I1080" s="653">
        <v>60306.8984375</v>
      </c>
      <c r="J1080" s="653">
        <v>-14911.6396484375</v>
      </c>
      <c r="K1080" s="653">
        <v>45395.26171875</v>
      </c>
      <c r="L1080" s="656">
        <v>45395.26</v>
      </c>
    </row>
    <row r="1081" spans="1:12" ht="42" x14ac:dyDescent="0.25">
      <c r="A1081" s="651" t="s">
        <v>91</v>
      </c>
      <c r="B1081" s="652">
        <v>2021</v>
      </c>
      <c r="C1081" s="651" t="s">
        <v>721</v>
      </c>
      <c r="D1081" s="651" t="s">
        <v>1418</v>
      </c>
      <c r="E1081" s="651" t="s">
        <v>394</v>
      </c>
      <c r="F1081" s="653">
        <v>0</v>
      </c>
      <c r="G1081" s="651" t="s">
        <v>650</v>
      </c>
      <c r="H1081" s="654"/>
      <c r="I1081" s="655"/>
      <c r="J1081" s="655"/>
      <c r="K1081" s="653">
        <v>0</v>
      </c>
      <c r="L1081" s="656">
        <v>0</v>
      </c>
    </row>
    <row r="1082" spans="1:12" ht="42" x14ac:dyDescent="0.25">
      <c r="A1082" s="651" t="s">
        <v>91</v>
      </c>
      <c r="B1082" s="652">
        <v>2021</v>
      </c>
      <c r="C1082" s="651" t="s">
        <v>721</v>
      </c>
      <c r="D1082" s="651" t="s">
        <v>1419</v>
      </c>
      <c r="E1082" s="651" t="s">
        <v>423</v>
      </c>
      <c r="F1082" s="653">
        <v>0</v>
      </c>
      <c r="G1082" s="651" t="s">
        <v>650</v>
      </c>
      <c r="H1082" s="654"/>
      <c r="I1082" s="655"/>
      <c r="J1082" s="655"/>
      <c r="K1082" s="653">
        <v>0</v>
      </c>
      <c r="L1082" s="656">
        <v>0</v>
      </c>
    </row>
    <row r="1083" spans="1:12" ht="42" x14ac:dyDescent="0.25">
      <c r="A1083" s="651" t="s">
        <v>91</v>
      </c>
      <c r="B1083" s="652">
        <v>2021</v>
      </c>
      <c r="C1083" s="651" t="s">
        <v>721</v>
      </c>
      <c r="D1083" s="651" t="s">
        <v>3214</v>
      </c>
      <c r="E1083" s="651" t="s">
        <v>441</v>
      </c>
      <c r="F1083" s="653">
        <v>0</v>
      </c>
      <c r="G1083" s="651" t="s">
        <v>650</v>
      </c>
      <c r="H1083" s="654"/>
      <c r="I1083" s="655"/>
      <c r="J1083" s="655"/>
      <c r="K1083" s="653">
        <v>0</v>
      </c>
      <c r="L1083" s="656">
        <v>0</v>
      </c>
    </row>
    <row r="1084" spans="1:12" ht="42" x14ac:dyDescent="0.25">
      <c r="A1084" s="651" t="s">
        <v>91</v>
      </c>
      <c r="B1084" s="652">
        <v>2021</v>
      </c>
      <c r="C1084" s="651" t="s">
        <v>721</v>
      </c>
      <c r="D1084" s="651" t="s">
        <v>1420</v>
      </c>
      <c r="E1084" s="651" t="s">
        <v>737</v>
      </c>
      <c r="F1084" s="653">
        <v>69471.48</v>
      </c>
      <c r="G1084" s="654"/>
      <c r="H1084" s="654"/>
      <c r="I1084" s="655"/>
      <c r="J1084" s="655"/>
      <c r="K1084" s="653">
        <v>0</v>
      </c>
      <c r="L1084" s="656">
        <v>69471.48</v>
      </c>
    </row>
    <row r="1085" spans="1:12" ht="14.5" x14ac:dyDescent="0.25">
      <c r="A1085" s="651" t="s">
        <v>91</v>
      </c>
      <c r="B1085" s="652">
        <v>2021</v>
      </c>
      <c r="C1085" s="651" t="s">
        <v>738</v>
      </c>
      <c r="D1085" s="651" t="s">
        <v>1421</v>
      </c>
      <c r="E1085" s="651" t="s">
        <v>7</v>
      </c>
      <c r="F1085" s="653">
        <v>-106223.95</v>
      </c>
      <c r="G1085" s="654"/>
      <c r="H1085" s="651" t="s">
        <v>650</v>
      </c>
      <c r="I1085" s="655"/>
      <c r="J1085" s="655"/>
      <c r="K1085" s="653">
        <v>0</v>
      </c>
      <c r="L1085" s="656">
        <v>-106223.95</v>
      </c>
    </row>
    <row r="1086" spans="1:12" ht="21" x14ac:dyDescent="0.25">
      <c r="A1086" s="651" t="s">
        <v>92</v>
      </c>
      <c r="B1086" s="652">
        <v>2021</v>
      </c>
      <c r="C1086" s="651" t="s">
        <v>647</v>
      </c>
      <c r="D1086" s="651" t="s">
        <v>1422</v>
      </c>
      <c r="E1086" s="651" t="s">
        <v>649</v>
      </c>
      <c r="F1086" s="653">
        <v>28194945.039999999</v>
      </c>
      <c r="G1086" s="654"/>
      <c r="H1086" s="651" t="s">
        <v>650</v>
      </c>
      <c r="I1086" s="655"/>
      <c r="J1086" s="655"/>
      <c r="K1086" s="653">
        <v>0</v>
      </c>
      <c r="L1086" s="656">
        <v>28194945.039999999</v>
      </c>
    </row>
    <row r="1087" spans="1:12" ht="14.5" x14ac:dyDescent="0.25">
      <c r="A1087" s="651" t="s">
        <v>92</v>
      </c>
      <c r="B1087" s="652">
        <v>2021</v>
      </c>
      <c r="C1087" s="651" t="s">
        <v>651</v>
      </c>
      <c r="D1087" s="651" t="s">
        <v>1423</v>
      </c>
      <c r="E1087" s="651" t="s">
        <v>653</v>
      </c>
      <c r="F1087" s="653">
        <v>0</v>
      </c>
      <c r="G1087" s="654"/>
      <c r="H1087" s="651" t="s">
        <v>650</v>
      </c>
      <c r="I1087" s="655"/>
      <c r="J1087" s="655"/>
      <c r="K1087" s="653">
        <v>0</v>
      </c>
      <c r="L1087" s="656">
        <v>0</v>
      </c>
    </row>
    <row r="1088" spans="1:12" ht="42" x14ac:dyDescent="0.25">
      <c r="A1088" s="651" t="s">
        <v>92</v>
      </c>
      <c r="B1088" s="652">
        <v>2021</v>
      </c>
      <c r="C1088" s="651" t="s">
        <v>654</v>
      </c>
      <c r="D1088" s="651" t="s">
        <v>1424</v>
      </c>
      <c r="E1088" s="651" t="s">
        <v>445</v>
      </c>
      <c r="F1088" s="653">
        <v>0</v>
      </c>
      <c r="G1088" s="654"/>
      <c r="H1088" s="651" t="s">
        <v>650</v>
      </c>
      <c r="I1088" s="655"/>
      <c r="J1088" s="655"/>
      <c r="K1088" s="653">
        <v>0</v>
      </c>
      <c r="L1088" s="656">
        <v>0</v>
      </c>
    </row>
    <row r="1089" spans="1:12" ht="21" x14ac:dyDescent="0.25">
      <c r="A1089" s="651" t="s">
        <v>92</v>
      </c>
      <c r="B1089" s="652">
        <v>2021</v>
      </c>
      <c r="C1089" s="651" t="s">
        <v>656</v>
      </c>
      <c r="D1089" s="651" t="s">
        <v>1425</v>
      </c>
      <c r="E1089" s="651" t="s">
        <v>658</v>
      </c>
      <c r="F1089" s="653">
        <v>475267.1</v>
      </c>
      <c r="G1089" s="654"/>
      <c r="H1089" s="651" t="s">
        <v>650</v>
      </c>
      <c r="I1089" s="655"/>
      <c r="J1089" s="655"/>
      <c r="K1089" s="653">
        <v>0</v>
      </c>
      <c r="L1089" s="656">
        <v>475267.1</v>
      </c>
    </row>
    <row r="1090" spans="1:12" ht="31.5" x14ac:dyDescent="0.25">
      <c r="A1090" s="651" t="s">
        <v>92</v>
      </c>
      <c r="B1090" s="652">
        <v>2021</v>
      </c>
      <c r="C1090" s="651" t="s">
        <v>659</v>
      </c>
      <c r="D1090" s="651" t="s">
        <v>1426</v>
      </c>
      <c r="E1090" s="651" t="s">
        <v>661</v>
      </c>
      <c r="F1090" s="653">
        <v>0</v>
      </c>
      <c r="G1090" s="654"/>
      <c r="H1090" s="651" t="s">
        <v>650</v>
      </c>
      <c r="I1090" s="655"/>
      <c r="J1090" s="655"/>
      <c r="K1090" s="653">
        <v>0</v>
      </c>
      <c r="L1090" s="656">
        <v>0</v>
      </c>
    </row>
    <row r="1091" spans="1:12" ht="21" x14ac:dyDescent="0.25">
      <c r="A1091" s="651" t="s">
        <v>92</v>
      </c>
      <c r="B1091" s="652">
        <v>2021</v>
      </c>
      <c r="C1091" s="651" t="s">
        <v>662</v>
      </c>
      <c r="D1091" s="651" t="s">
        <v>1427</v>
      </c>
      <c r="E1091" s="651" t="s">
        <v>664</v>
      </c>
      <c r="F1091" s="653">
        <v>0</v>
      </c>
      <c r="G1091" s="654"/>
      <c r="H1091" s="651" t="s">
        <v>650</v>
      </c>
      <c r="I1091" s="655"/>
      <c r="J1091" s="655"/>
      <c r="K1091" s="653">
        <v>0</v>
      </c>
      <c r="L1091" s="656">
        <v>0</v>
      </c>
    </row>
    <row r="1092" spans="1:12" ht="31.5" x14ac:dyDescent="0.25">
      <c r="A1092" s="651" t="s">
        <v>92</v>
      </c>
      <c r="B1092" s="652">
        <v>2021</v>
      </c>
      <c r="C1092" s="651" t="s">
        <v>665</v>
      </c>
      <c r="D1092" s="651" t="s">
        <v>1428</v>
      </c>
      <c r="E1092" s="651" t="s">
        <v>667</v>
      </c>
      <c r="F1092" s="653">
        <v>0</v>
      </c>
      <c r="G1092" s="654"/>
      <c r="H1092" s="651" t="s">
        <v>650</v>
      </c>
      <c r="I1092" s="655"/>
      <c r="J1092" s="655"/>
      <c r="K1092" s="653">
        <v>0</v>
      </c>
      <c r="L1092" s="656">
        <v>0</v>
      </c>
    </row>
    <row r="1093" spans="1:12" ht="21" x14ac:dyDescent="0.25">
      <c r="A1093" s="651" t="s">
        <v>92</v>
      </c>
      <c r="B1093" s="652">
        <v>2021</v>
      </c>
      <c r="C1093" s="651" t="s">
        <v>668</v>
      </c>
      <c r="D1093" s="651" t="s">
        <v>1429</v>
      </c>
      <c r="E1093" s="651" t="s">
        <v>12</v>
      </c>
      <c r="F1093" s="653">
        <v>0</v>
      </c>
      <c r="G1093" s="654"/>
      <c r="H1093" s="651" t="s">
        <v>650</v>
      </c>
      <c r="I1093" s="655"/>
      <c r="J1093" s="655"/>
      <c r="K1093" s="653">
        <v>0</v>
      </c>
      <c r="L1093" s="656">
        <v>0</v>
      </c>
    </row>
    <row r="1094" spans="1:12" ht="21" x14ac:dyDescent="0.25">
      <c r="A1094" s="651" t="s">
        <v>92</v>
      </c>
      <c r="B1094" s="652">
        <v>2021</v>
      </c>
      <c r="C1094" s="651" t="s">
        <v>670</v>
      </c>
      <c r="D1094" s="651" t="s">
        <v>1430</v>
      </c>
      <c r="E1094" s="651" t="s">
        <v>13</v>
      </c>
      <c r="F1094" s="653">
        <v>0</v>
      </c>
      <c r="G1094" s="654"/>
      <c r="H1094" s="651" t="s">
        <v>650</v>
      </c>
      <c r="I1094" s="655"/>
      <c r="J1094" s="655"/>
      <c r="K1094" s="653">
        <v>0</v>
      </c>
      <c r="L1094" s="656">
        <v>0</v>
      </c>
    </row>
    <row r="1095" spans="1:12" ht="21" x14ac:dyDescent="0.25">
      <c r="A1095" s="651" t="s">
        <v>92</v>
      </c>
      <c r="B1095" s="652">
        <v>2021</v>
      </c>
      <c r="C1095" s="651" t="s">
        <v>672</v>
      </c>
      <c r="D1095" s="651" t="s">
        <v>1431</v>
      </c>
      <c r="E1095" s="651" t="s">
        <v>15</v>
      </c>
      <c r="F1095" s="653">
        <v>0</v>
      </c>
      <c r="G1095" s="654"/>
      <c r="H1095" s="651" t="s">
        <v>650</v>
      </c>
      <c r="I1095" s="655"/>
      <c r="J1095" s="655"/>
      <c r="K1095" s="653">
        <v>0</v>
      </c>
      <c r="L1095" s="656">
        <v>0</v>
      </c>
    </row>
    <row r="1096" spans="1:12" ht="14.5" x14ac:dyDescent="0.25">
      <c r="A1096" s="651" t="s">
        <v>92</v>
      </c>
      <c r="B1096" s="652">
        <v>2021</v>
      </c>
      <c r="C1096" s="651" t="s">
        <v>674</v>
      </c>
      <c r="D1096" s="651" t="s">
        <v>1432</v>
      </c>
      <c r="E1096" s="651" t="s">
        <v>676</v>
      </c>
      <c r="F1096" s="653">
        <v>0</v>
      </c>
      <c r="G1096" s="654"/>
      <c r="H1096" s="651" t="s">
        <v>650</v>
      </c>
      <c r="I1096" s="655"/>
      <c r="J1096" s="655"/>
      <c r="K1096" s="653">
        <v>0</v>
      </c>
      <c r="L1096" s="656">
        <v>0</v>
      </c>
    </row>
    <row r="1097" spans="1:12" ht="14.5" x14ac:dyDescent="0.25">
      <c r="A1097" s="651" t="s">
        <v>92</v>
      </c>
      <c r="B1097" s="652">
        <v>2021</v>
      </c>
      <c r="C1097" s="651" t="s">
        <v>677</v>
      </c>
      <c r="D1097" s="651" t="s">
        <v>1433</v>
      </c>
      <c r="E1097" s="651" t="s">
        <v>23</v>
      </c>
      <c r="F1097" s="653">
        <v>349341.14</v>
      </c>
      <c r="G1097" s="651" t="s">
        <v>650</v>
      </c>
      <c r="H1097" s="654"/>
      <c r="I1097" s="653">
        <v>341438.84375</v>
      </c>
      <c r="J1097" s="653">
        <v>7902.31005859375</v>
      </c>
      <c r="K1097" s="653">
        <v>349341.125</v>
      </c>
      <c r="L1097" s="656">
        <v>349341.14</v>
      </c>
    </row>
    <row r="1098" spans="1:12" ht="31.5" x14ac:dyDescent="0.25">
      <c r="A1098" s="651" t="s">
        <v>92</v>
      </c>
      <c r="B1098" s="652">
        <v>2021</v>
      </c>
      <c r="C1098" s="651" t="s">
        <v>679</v>
      </c>
      <c r="D1098" s="651" t="s">
        <v>1434</v>
      </c>
      <c r="E1098" s="651" t="s">
        <v>131</v>
      </c>
      <c r="F1098" s="653">
        <v>-12978.64</v>
      </c>
      <c r="G1098" s="651" t="s">
        <v>650</v>
      </c>
      <c r="H1098" s="654"/>
      <c r="I1098" s="653">
        <v>-12400.2802734375</v>
      </c>
      <c r="J1098" s="653">
        <v>-578.35998535156295</v>
      </c>
      <c r="K1098" s="653">
        <v>-12978.6396484375</v>
      </c>
      <c r="L1098" s="656">
        <v>-12978.64</v>
      </c>
    </row>
    <row r="1099" spans="1:12" ht="31.5" x14ac:dyDescent="0.25">
      <c r="A1099" s="651" t="s">
        <v>92</v>
      </c>
      <c r="B1099" s="652">
        <v>2021</v>
      </c>
      <c r="C1099" s="651" t="s">
        <v>681</v>
      </c>
      <c r="D1099" s="651" t="s">
        <v>1435</v>
      </c>
      <c r="E1099" s="651" t="s">
        <v>683</v>
      </c>
      <c r="F1099" s="653">
        <v>0</v>
      </c>
      <c r="G1099" s="654"/>
      <c r="H1099" s="651" t="s">
        <v>650</v>
      </c>
      <c r="I1099" s="655"/>
      <c r="J1099" s="655"/>
      <c r="K1099" s="653">
        <v>0</v>
      </c>
      <c r="L1099" s="656">
        <v>0</v>
      </c>
    </row>
    <row r="1100" spans="1:12" ht="21" x14ac:dyDescent="0.25">
      <c r="A1100" s="651" t="s">
        <v>92</v>
      </c>
      <c r="B1100" s="652">
        <v>2021</v>
      </c>
      <c r="C1100" s="651" t="s">
        <v>681</v>
      </c>
      <c r="D1100" s="651" t="s">
        <v>1435</v>
      </c>
      <c r="E1100" s="651" t="s">
        <v>684</v>
      </c>
      <c r="F1100" s="653">
        <v>0</v>
      </c>
      <c r="G1100" s="654"/>
      <c r="H1100" s="651" t="s">
        <v>650</v>
      </c>
      <c r="I1100" s="655"/>
      <c r="J1100" s="655"/>
      <c r="K1100" s="653">
        <v>0</v>
      </c>
      <c r="L1100" s="656">
        <v>0</v>
      </c>
    </row>
    <row r="1101" spans="1:12" ht="21" x14ac:dyDescent="0.25">
      <c r="A1101" s="651" t="s">
        <v>92</v>
      </c>
      <c r="B1101" s="652">
        <v>2021</v>
      </c>
      <c r="C1101" s="651" t="s">
        <v>685</v>
      </c>
      <c r="D1101" s="651" t="s">
        <v>1436</v>
      </c>
      <c r="E1101" s="651" t="s">
        <v>687</v>
      </c>
      <c r="F1101" s="653">
        <v>0</v>
      </c>
      <c r="G1101" s="654"/>
      <c r="H1101" s="651" t="s">
        <v>650</v>
      </c>
      <c r="I1101" s="655"/>
      <c r="J1101" s="655"/>
      <c r="K1101" s="653">
        <v>0</v>
      </c>
      <c r="L1101" s="656">
        <v>0</v>
      </c>
    </row>
    <row r="1102" spans="1:12" ht="14.5" x14ac:dyDescent="0.25">
      <c r="A1102" s="651" t="s">
        <v>92</v>
      </c>
      <c r="B1102" s="652">
        <v>2021</v>
      </c>
      <c r="C1102" s="651" t="s">
        <v>688</v>
      </c>
      <c r="D1102" s="651" t="s">
        <v>1437</v>
      </c>
      <c r="E1102" s="651" t="s">
        <v>50</v>
      </c>
      <c r="F1102" s="653">
        <v>677331.08</v>
      </c>
      <c r="G1102" s="654"/>
      <c r="H1102" s="651" t="s">
        <v>650</v>
      </c>
      <c r="I1102" s="655"/>
      <c r="J1102" s="655"/>
      <c r="K1102" s="653">
        <v>0</v>
      </c>
      <c r="L1102" s="656">
        <v>677331.08</v>
      </c>
    </row>
    <row r="1103" spans="1:12" ht="21" x14ac:dyDescent="0.25">
      <c r="A1103" s="651" t="s">
        <v>92</v>
      </c>
      <c r="B1103" s="652">
        <v>2021</v>
      </c>
      <c r="C1103" s="651" t="s">
        <v>690</v>
      </c>
      <c r="D1103" s="651" t="s">
        <v>1438</v>
      </c>
      <c r="E1103" s="651" t="s">
        <v>692</v>
      </c>
      <c r="F1103" s="653">
        <v>0</v>
      </c>
      <c r="G1103" s="654"/>
      <c r="H1103" s="651" t="s">
        <v>650</v>
      </c>
      <c r="I1103" s="655"/>
      <c r="J1103" s="655"/>
      <c r="K1103" s="653">
        <v>0</v>
      </c>
      <c r="L1103" s="656">
        <v>0</v>
      </c>
    </row>
    <row r="1104" spans="1:12" ht="21" x14ac:dyDescent="0.25">
      <c r="A1104" s="651" t="s">
        <v>92</v>
      </c>
      <c r="B1104" s="652">
        <v>2021</v>
      </c>
      <c r="C1104" s="651" t="s">
        <v>693</v>
      </c>
      <c r="D1104" s="651" t="s">
        <v>1439</v>
      </c>
      <c r="E1104" s="651" t="s">
        <v>6</v>
      </c>
      <c r="F1104" s="653">
        <v>0</v>
      </c>
      <c r="G1104" s="654"/>
      <c r="H1104" s="651" t="s">
        <v>650</v>
      </c>
      <c r="I1104" s="655"/>
      <c r="J1104" s="655"/>
      <c r="K1104" s="653">
        <v>0</v>
      </c>
      <c r="L1104" s="656">
        <v>0</v>
      </c>
    </row>
    <row r="1105" spans="1:12" ht="31.5" x14ac:dyDescent="0.25">
      <c r="A1105" s="651" t="s">
        <v>92</v>
      </c>
      <c r="B1105" s="652">
        <v>2021</v>
      </c>
      <c r="C1105" s="651" t="s">
        <v>695</v>
      </c>
      <c r="D1105" s="651" t="s">
        <v>1440</v>
      </c>
      <c r="E1105" s="651" t="s">
        <v>697</v>
      </c>
      <c r="F1105" s="653">
        <v>2823993.59</v>
      </c>
      <c r="G1105" s="654"/>
      <c r="H1105" s="651" t="s">
        <v>650</v>
      </c>
      <c r="I1105" s="655"/>
      <c r="J1105" s="655"/>
      <c r="K1105" s="653">
        <v>0</v>
      </c>
      <c r="L1105" s="656">
        <v>2823993.59</v>
      </c>
    </row>
    <row r="1106" spans="1:12" ht="21" x14ac:dyDescent="0.25">
      <c r="A1106" s="651" t="s">
        <v>92</v>
      </c>
      <c r="B1106" s="652">
        <v>2021</v>
      </c>
      <c r="C1106" s="651" t="s">
        <v>698</v>
      </c>
      <c r="D1106" s="651" t="s">
        <v>1441</v>
      </c>
      <c r="E1106" s="651" t="s">
        <v>700</v>
      </c>
      <c r="F1106" s="653">
        <v>0</v>
      </c>
      <c r="G1106" s="654"/>
      <c r="H1106" s="651" t="s">
        <v>650</v>
      </c>
      <c r="I1106" s="655"/>
      <c r="J1106" s="655"/>
      <c r="K1106" s="653">
        <v>0</v>
      </c>
      <c r="L1106" s="656">
        <v>0</v>
      </c>
    </row>
    <row r="1107" spans="1:12" ht="21" x14ac:dyDescent="0.25">
      <c r="A1107" s="651" t="s">
        <v>92</v>
      </c>
      <c r="B1107" s="652">
        <v>2021</v>
      </c>
      <c r="C1107" s="651" t="s">
        <v>701</v>
      </c>
      <c r="D1107" s="651" t="s">
        <v>1442</v>
      </c>
      <c r="E1107" s="651" t="s">
        <v>1</v>
      </c>
      <c r="F1107" s="653">
        <v>-864356.97</v>
      </c>
      <c r="G1107" s="651" t="s">
        <v>650</v>
      </c>
      <c r="H1107" s="654"/>
      <c r="I1107" s="653">
        <v>-846200.8125</v>
      </c>
      <c r="J1107" s="653">
        <v>-18156.150390625</v>
      </c>
      <c r="K1107" s="653">
        <v>-864357</v>
      </c>
      <c r="L1107" s="656">
        <v>-864356.97</v>
      </c>
    </row>
    <row r="1108" spans="1:12" ht="21" x14ac:dyDescent="0.25">
      <c r="A1108" s="651" t="s">
        <v>92</v>
      </c>
      <c r="B1108" s="652">
        <v>2021</v>
      </c>
      <c r="C1108" s="651" t="s">
        <v>701</v>
      </c>
      <c r="D1108" s="651" t="s">
        <v>1442</v>
      </c>
      <c r="E1108" s="651" t="s">
        <v>703</v>
      </c>
      <c r="F1108" s="653">
        <v>5.6</v>
      </c>
      <c r="G1108" s="654"/>
      <c r="H1108" s="654"/>
      <c r="I1108" s="655"/>
      <c r="J1108" s="655"/>
      <c r="K1108" s="653">
        <v>0</v>
      </c>
      <c r="L1108" s="656">
        <v>5.6</v>
      </c>
    </row>
    <row r="1109" spans="1:12" ht="21" x14ac:dyDescent="0.25">
      <c r="A1109" s="651" t="s">
        <v>92</v>
      </c>
      <c r="B1109" s="652">
        <v>2021</v>
      </c>
      <c r="C1109" s="651" t="s">
        <v>701</v>
      </c>
      <c r="D1109" s="651" t="s">
        <v>1442</v>
      </c>
      <c r="E1109" s="651" t="s">
        <v>704</v>
      </c>
      <c r="F1109" s="653">
        <v>394.33</v>
      </c>
      <c r="G1109" s="654"/>
      <c r="H1109" s="654"/>
      <c r="I1109" s="655"/>
      <c r="J1109" s="655"/>
      <c r="K1109" s="653">
        <v>0</v>
      </c>
      <c r="L1109" s="656">
        <v>394.33</v>
      </c>
    </row>
    <row r="1110" spans="1:12" ht="21" x14ac:dyDescent="0.25">
      <c r="A1110" s="651" t="s">
        <v>92</v>
      </c>
      <c r="B1110" s="652">
        <v>2021</v>
      </c>
      <c r="C1110" s="651" t="s">
        <v>701</v>
      </c>
      <c r="D1110" s="651" t="s">
        <v>1442</v>
      </c>
      <c r="E1110" s="651" t="s">
        <v>705</v>
      </c>
      <c r="F1110" s="653">
        <v>2304.9299999999998</v>
      </c>
      <c r="G1110" s="654"/>
      <c r="H1110" s="654"/>
      <c r="I1110" s="655"/>
      <c r="J1110" s="655"/>
      <c r="K1110" s="653">
        <v>0</v>
      </c>
      <c r="L1110" s="656">
        <v>2304.9299999999998</v>
      </c>
    </row>
    <row r="1111" spans="1:12" ht="21" x14ac:dyDescent="0.25">
      <c r="A1111" s="651" t="s">
        <v>92</v>
      </c>
      <c r="B1111" s="652">
        <v>2021</v>
      </c>
      <c r="C1111" s="651" t="s">
        <v>701</v>
      </c>
      <c r="D1111" s="651" t="s">
        <v>1442</v>
      </c>
      <c r="E1111" s="651" t="s">
        <v>706</v>
      </c>
      <c r="F1111" s="653">
        <v>170394.59</v>
      </c>
      <c r="G1111" s="654"/>
      <c r="H1111" s="654"/>
      <c r="I1111" s="655"/>
      <c r="J1111" s="655"/>
      <c r="K1111" s="653">
        <v>0</v>
      </c>
      <c r="L1111" s="656">
        <v>170394.59</v>
      </c>
    </row>
    <row r="1112" spans="1:12" ht="14.5" x14ac:dyDescent="0.25">
      <c r="A1112" s="651" t="s">
        <v>92</v>
      </c>
      <c r="B1112" s="652">
        <v>2021</v>
      </c>
      <c r="C1112" s="651" t="s">
        <v>707</v>
      </c>
      <c r="D1112" s="651" t="s">
        <v>1443</v>
      </c>
      <c r="E1112" s="651" t="s">
        <v>709</v>
      </c>
      <c r="F1112" s="653">
        <v>0</v>
      </c>
      <c r="G1112" s="654"/>
      <c r="H1112" s="651" t="s">
        <v>650</v>
      </c>
      <c r="I1112" s="655"/>
      <c r="J1112" s="655"/>
      <c r="K1112" s="653">
        <v>0</v>
      </c>
      <c r="L1112" s="656">
        <v>0</v>
      </c>
    </row>
    <row r="1113" spans="1:12" ht="31.5" x14ac:dyDescent="0.25">
      <c r="A1113" s="651" t="s">
        <v>92</v>
      </c>
      <c r="B1113" s="652">
        <v>2021</v>
      </c>
      <c r="C1113" s="651" t="s">
        <v>710</v>
      </c>
      <c r="D1113" s="651" t="s">
        <v>1444</v>
      </c>
      <c r="E1113" s="651" t="s">
        <v>2</v>
      </c>
      <c r="F1113" s="653">
        <v>993841.05</v>
      </c>
      <c r="G1113" s="651" t="s">
        <v>650</v>
      </c>
      <c r="H1113" s="654"/>
      <c r="I1113" s="653">
        <v>990683.6875</v>
      </c>
      <c r="J1113" s="653">
        <v>3157.3701171875</v>
      </c>
      <c r="K1113" s="653">
        <v>993841.0625</v>
      </c>
      <c r="L1113" s="656">
        <v>993841.05</v>
      </c>
    </row>
    <row r="1114" spans="1:12" ht="31.5" x14ac:dyDescent="0.25">
      <c r="A1114" s="651" t="s">
        <v>92</v>
      </c>
      <c r="B1114" s="652">
        <v>2021</v>
      </c>
      <c r="C1114" s="651" t="s">
        <v>712</v>
      </c>
      <c r="D1114" s="651" t="s">
        <v>1445</v>
      </c>
      <c r="E1114" s="651" t="s">
        <v>3</v>
      </c>
      <c r="F1114" s="653">
        <v>818212.55</v>
      </c>
      <c r="G1114" s="651" t="s">
        <v>650</v>
      </c>
      <c r="H1114" s="654"/>
      <c r="I1114" s="653">
        <v>811022.375</v>
      </c>
      <c r="J1114" s="653">
        <v>7190.16015625</v>
      </c>
      <c r="K1114" s="653">
        <v>818212.5625</v>
      </c>
      <c r="L1114" s="656">
        <v>818212.55</v>
      </c>
    </row>
    <row r="1115" spans="1:12" ht="31.5" x14ac:dyDescent="0.25">
      <c r="A1115" s="651" t="s">
        <v>92</v>
      </c>
      <c r="B1115" s="652">
        <v>2021</v>
      </c>
      <c r="C1115" s="651" t="s">
        <v>714</v>
      </c>
      <c r="D1115" s="651" t="s">
        <v>1446</v>
      </c>
      <c r="E1115" s="651" t="s">
        <v>38</v>
      </c>
      <c r="F1115" s="653">
        <v>-474400.34</v>
      </c>
      <c r="G1115" s="651" t="s">
        <v>650</v>
      </c>
      <c r="H1115" s="654"/>
      <c r="I1115" s="653">
        <v>-449929.8125</v>
      </c>
      <c r="J1115" s="653">
        <v>-24470.51953125</v>
      </c>
      <c r="K1115" s="653">
        <v>-474400.34375</v>
      </c>
      <c r="L1115" s="656">
        <v>-474400.34</v>
      </c>
    </row>
    <row r="1116" spans="1:12" ht="21" x14ac:dyDescent="0.25">
      <c r="A1116" s="651" t="s">
        <v>92</v>
      </c>
      <c r="B1116" s="652">
        <v>2021</v>
      </c>
      <c r="C1116" s="651" t="s">
        <v>716</v>
      </c>
      <c r="D1116" s="651" t="s">
        <v>1447</v>
      </c>
      <c r="E1116" s="651" t="s">
        <v>66</v>
      </c>
      <c r="F1116" s="653">
        <v>361629.27</v>
      </c>
      <c r="G1116" s="651" t="s">
        <v>650</v>
      </c>
      <c r="H1116" s="654"/>
      <c r="I1116" s="653">
        <v>347956.53125</v>
      </c>
      <c r="J1116" s="653">
        <v>13672.73046875</v>
      </c>
      <c r="K1116" s="653">
        <v>361629.28125</v>
      </c>
      <c r="L1116" s="656">
        <v>361629.27</v>
      </c>
    </row>
    <row r="1117" spans="1:12" ht="31.5" x14ac:dyDescent="0.25">
      <c r="A1117" s="651" t="s">
        <v>92</v>
      </c>
      <c r="B1117" s="652">
        <v>2021</v>
      </c>
      <c r="C1117" s="651" t="s">
        <v>718</v>
      </c>
      <c r="D1117" s="651" t="s">
        <v>1448</v>
      </c>
      <c r="E1117" s="651" t="s">
        <v>720</v>
      </c>
      <c r="F1117" s="653">
        <v>-209102.62</v>
      </c>
      <c r="G1117" s="654"/>
      <c r="H1117" s="651" t="s">
        <v>650</v>
      </c>
      <c r="I1117" s="655"/>
      <c r="J1117" s="655"/>
      <c r="K1117" s="653">
        <v>0</v>
      </c>
      <c r="L1117" s="656">
        <v>-209102.62</v>
      </c>
    </row>
    <row r="1118" spans="1:12" ht="42" x14ac:dyDescent="0.25">
      <c r="A1118" s="651" t="s">
        <v>92</v>
      </c>
      <c r="B1118" s="652">
        <v>2021</v>
      </c>
      <c r="C1118" s="651" t="s">
        <v>721</v>
      </c>
      <c r="D1118" s="651" t="s">
        <v>1449</v>
      </c>
      <c r="E1118" s="651" t="s">
        <v>3016</v>
      </c>
      <c r="F1118" s="653">
        <v>0</v>
      </c>
      <c r="G1118" s="651" t="s">
        <v>650</v>
      </c>
      <c r="H1118" s="654"/>
      <c r="I1118" s="653">
        <v>67781.15625</v>
      </c>
      <c r="J1118" s="653">
        <v>-88502.5</v>
      </c>
      <c r="K1118" s="653">
        <v>-20721.33984375</v>
      </c>
      <c r="L1118" s="656">
        <v>-20721.34</v>
      </c>
    </row>
    <row r="1119" spans="1:12" ht="42" x14ac:dyDescent="0.25">
      <c r="A1119" s="651" t="s">
        <v>92</v>
      </c>
      <c r="B1119" s="652">
        <v>2021</v>
      </c>
      <c r="C1119" s="651" t="s">
        <v>721</v>
      </c>
      <c r="D1119" s="651" t="s">
        <v>1449</v>
      </c>
      <c r="E1119" s="651" t="s">
        <v>3058</v>
      </c>
      <c r="F1119" s="653">
        <v>0</v>
      </c>
      <c r="G1119" s="651" t="s">
        <v>650</v>
      </c>
      <c r="H1119" s="654"/>
      <c r="I1119" s="653">
        <v>-907256.6875</v>
      </c>
      <c r="J1119" s="653">
        <v>-8213.26953125</v>
      </c>
      <c r="K1119" s="653">
        <v>-915469.9375</v>
      </c>
      <c r="L1119" s="656">
        <v>-915469.95</v>
      </c>
    </row>
    <row r="1120" spans="1:12" ht="42" x14ac:dyDescent="0.25">
      <c r="A1120" s="651" t="s">
        <v>92</v>
      </c>
      <c r="B1120" s="652">
        <v>2021</v>
      </c>
      <c r="C1120" s="651" t="s">
        <v>721</v>
      </c>
      <c r="D1120" s="651" t="s">
        <v>1450</v>
      </c>
      <c r="E1120" s="651" t="s">
        <v>724</v>
      </c>
      <c r="F1120" s="653">
        <v>0</v>
      </c>
      <c r="G1120" s="651" t="s">
        <v>650</v>
      </c>
      <c r="H1120" s="654"/>
      <c r="I1120" s="655"/>
      <c r="J1120" s="655"/>
      <c r="K1120" s="653">
        <v>0</v>
      </c>
      <c r="L1120" s="656">
        <v>0</v>
      </c>
    </row>
    <row r="1121" spans="1:12" ht="42" x14ac:dyDescent="0.25">
      <c r="A1121" s="651" t="s">
        <v>92</v>
      </c>
      <c r="B1121" s="652">
        <v>2021</v>
      </c>
      <c r="C1121" s="651" t="s">
        <v>721</v>
      </c>
      <c r="D1121" s="651" t="s">
        <v>1451</v>
      </c>
      <c r="E1121" s="651" t="s">
        <v>55</v>
      </c>
      <c r="F1121" s="653">
        <v>0</v>
      </c>
      <c r="G1121" s="651" t="s">
        <v>650</v>
      </c>
      <c r="H1121" s="654"/>
      <c r="I1121" s="655"/>
      <c r="J1121" s="655"/>
      <c r="K1121" s="653">
        <v>0</v>
      </c>
      <c r="L1121" s="656">
        <v>0</v>
      </c>
    </row>
    <row r="1122" spans="1:12" ht="42" x14ac:dyDescent="0.25">
      <c r="A1122" s="651" t="s">
        <v>92</v>
      </c>
      <c r="B1122" s="652">
        <v>2021</v>
      </c>
      <c r="C1122" s="651" t="s">
        <v>721</v>
      </c>
      <c r="D1122" s="651" t="s">
        <v>1452</v>
      </c>
      <c r="E1122" s="651" t="s">
        <v>56</v>
      </c>
      <c r="F1122" s="653">
        <v>0</v>
      </c>
      <c r="G1122" s="651" t="s">
        <v>650</v>
      </c>
      <c r="H1122" s="654"/>
      <c r="I1122" s="655"/>
      <c r="J1122" s="655"/>
      <c r="K1122" s="653">
        <v>0</v>
      </c>
      <c r="L1122" s="656">
        <v>0</v>
      </c>
    </row>
    <row r="1123" spans="1:12" ht="42" x14ac:dyDescent="0.25">
      <c r="A1123" s="651" t="s">
        <v>92</v>
      </c>
      <c r="B1123" s="652">
        <v>2021</v>
      </c>
      <c r="C1123" s="651" t="s">
        <v>721</v>
      </c>
      <c r="D1123" s="651" t="s">
        <v>1453</v>
      </c>
      <c r="E1123" s="651" t="s">
        <v>728</v>
      </c>
      <c r="F1123" s="653">
        <v>0</v>
      </c>
      <c r="G1123" s="651" t="s">
        <v>650</v>
      </c>
      <c r="H1123" s="654"/>
      <c r="I1123" s="655"/>
      <c r="J1123" s="655"/>
      <c r="K1123" s="653">
        <v>0</v>
      </c>
      <c r="L1123" s="656">
        <v>0</v>
      </c>
    </row>
    <row r="1124" spans="1:12" ht="42" x14ac:dyDescent="0.25">
      <c r="A1124" s="651" t="s">
        <v>92</v>
      </c>
      <c r="B1124" s="652">
        <v>2021</v>
      </c>
      <c r="C1124" s="651" t="s">
        <v>721</v>
      </c>
      <c r="D1124" s="651" t="s">
        <v>1454</v>
      </c>
      <c r="E1124" s="651" t="s">
        <v>730</v>
      </c>
      <c r="F1124" s="653">
        <v>0</v>
      </c>
      <c r="G1124" s="651" t="s">
        <v>650</v>
      </c>
      <c r="H1124" s="654"/>
      <c r="I1124" s="655"/>
      <c r="J1124" s="655"/>
      <c r="K1124" s="653">
        <v>0</v>
      </c>
      <c r="L1124" s="656">
        <v>0</v>
      </c>
    </row>
    <row r="1125" spans="1:12" ht="42" x14ac:dyDescent="0.25">
      <c r="A1125" s="651" t="s">
        <v>92</v>
      </c>
      <c r="B1125" s="652">
        <v>2021</v>
      </c>
      <c r="C1125" s="651" t="s">
        <v>721</v>
      </c>
      <c r="D1125" s="651" t="s">
        <v>1455</v>
      </c>
      <c r="E1125" s="651" t="s">
        <v>142</v>
      </c>
      <c r="F1125" s="653">
        <v>0</v>
      </c>
      <c r="G1125" s="651" t="s">
        <v>650</v>
      </c>
      <c r="H1125" s="654"/>
      <c r="I1125" s="655"/>
      <c r="J1125" s="655"/>
      <c r="K1125" s="653">
        <v>0</v>
      </c>
      <c r="L1125" s="656">
        <v>0</v>
      </c>
    </row>
    <row r="1126" spans="1:12" ht="42" x14ac:dyDescent="0.25">
      <c r="A1126" s="651" t="s">
        <v>92</v>
      </c>
      <c r="B1126" s="652">
        <v>2021</v>
      </c>
      <c r="C1126" s="651" t="s">
        <v>721</v>
      </c>
      <c r="D1126" s="651" t="s">
        <v>1456</v>
      </c>
      <c r="E1126" s="651" t="s">
        <v>143</v>
      </c>
      <c r="F1126" s="653">
        <v>0</v>
      </c>
      <c r="G1126" s="651" t="s">
        <v>650</v>
      </c>
      <c r="H1126" s="654"/>
      <c r="I1126" s="655"/>
      <c r="J1126" s="655"/>
      <c r="K1126" s="653">
        <v>0</v>
      </c>
      <c r="L1126" s="656">
        <v>0</v>
      </c>
    </row>
    <row r="1127" spans="1:12" ht="42" x14ac:dyDescent="0.25">
      <c r="A1127" s="651" t="s">
        <v>92</v>
      </c>
      <c r="B1127" s="652">
        <v>2021</v>
      </c>
      <c r="C1127" s="651" t="s">
        <v>721</v>
      </c>
      <c r="D1127" s="651" t="s">
        <v>1457</v>
      </c>
      <c r="E1127" s="651" t="s">
        <v>182</v>
      </c>
      <c r="F1127" s="653">
        <v>0</v>
      </c>
      <c r="G1127" s="651" t="s">
        <v>650</v>
      </c>
      <c r="H1127" s="654"/>
      <c r="I1127" s="655"/>
      <c r="J1127" s="655"/>
      <c r="K1127" s="653">
        <v>0</v>
      </c>
      <c r="L1127" s="656">
        <v>0</v>
      </c>
    </row>
    <row r="1128" spans="1:12" ht="42" x14ac:dyDescent="0.25">
      <c r="A1128" s="651" t="s">
        <v>92</v>
      </c>
      <c r="B1128" s="652">
        <v>2021</v>
      </c>
      <c r="C1128" s="651" t="s">
        <v>721</v>
      </c>
      <c r="D1128" s="651" t="s">
        <v>1458</v>
      </c>
      <c r="E1128" s="651" t="s">
        <v>394</v>
      </c>
      <c r="F1128" s="653">
        <v>0</v>
      </c>
      <c r="G1128" s="651" t="s">
        <v>650</v>
      </c>
      <c r="H1128" s="654"/>
      <c r="I1128" s="655"/>
      <c r="J1128" s="655"/>
      <c r="K1128" s="653">
        <v>0</v>
      </c>
      <c r="L1128" s="656">
        <v>0</v>
      </c>
    </row>
    <row r="1129" spans="1:12" ht="42" x14ac:dyDescent="0.25">
      <c r="A1129" s="651" t="s">
        <v>92</v>
      </c>
      <c r="B1129" s="652">
        <v>2021</v>
      </c>
      <c r="C1129" s="651" t="s">
        <v>721</v>
      </c>
      <c r="D1129" s="651" t="s">
        <v>1459</v>
      </c>
      <c r="E1129" s="651" t="s">
        <v>423</v>
      </c>
      <c r="F1129" s="653">
        <v>0</v>
      </c>
      <c r="G1129" s="651" t="s">
        <v>650</v>
      </c>
      <c r="H1129" s="654"/>
      <c r="I1129" s="653">
        <v>-52179.69921875</v>
      </c>
      <c r="J1129" s="653">
        <v>-13364.759765625</v>
      </c>
      <c r="K1129" s="653">
        <v>-65544.4609375</v>
      </c>
      <c r="L1129" s="656">
        <v>-65544.460000000006</v>
      </c>
    </row>
    <row r="1130" spans="1:12" ht="42" x14ac:dyDescent="0.25">
      <c r="A1130" s="651" t="s">
        <v>92</v>
      </c>
      <c r="B1130" s="652">
        <v>2021</v>
      </c>
      <c r="C1130" s="651" t="s">
        <v>721</v>
      </c>
      <c r="D1130" s="651" t="s">
        <v>3215</v>
      </c>
      <c r="E1130" s="651" t="s">
        <v>441</v>
      </c>
      <c r="F1130" s="653">
        <v>0</v>
      </c>
      <c r="G1130" s="651" t="s">
        <v>650</v>
      </c>
      <c r="H1130" s="654"/>
      <c r="I1130" s="653">
        <v>155600</v>
      </c>
      <c r="J1130" s="653">
        <v>5324.6298828125</v>
      </c>
      <c r="K1130" s="653">
        <v>160924.625</v>
      </c>
      <c r="L1130" s="656">
        <v>160924.63</v>
      </c>
    </row>
    <row r="1131" spans="1:12" ht="42" x14ac:dyDescent="0.25">
      <c r="A1131" s="651" t="s">
        <v>92</v>
      </c>
      <c r="B1131" s="652">
        <v>2021</v>
      </c>
      <c r="C1131" s="651" t="s">
        <v>721</v>
      </c>
      <c r="D1131" s="651" t="s">
        <v>1460</v>
      </c>
      <c r="E1131" s="651" t="s">
        <v>737</v>
      </c>
      <c r="F1131" s="653">
        <v>-840811.12</v>
      </c>
      <c r="G1131" s="654"/>
      <c r="H1131" s="654"/>
      <c r="I1131" s="655"/>
      <c r="J1131" s="655"/>
      <c r="K1131" s="653">
        <v>0</v>
      </c>
      <c r="L1131" s="656">
        <v>-840811.12</v>
      </c>
    </row>
    <row r="1132" spans="1:12" ht="14.5" x14ac:dyDescent="0.25">
      <c r="A1132" s="651" t="s">
        <v>92</v>
      </c>
      <c r="B1132" s="652">
        <v>2021</v>
      </c>
      <c r="C1132" s="651" t="s">
        <v>738</v>
      </c>
      <c r="D1132" s="651" t="s">
        <v>1461</v>
      </c>
      <c r="E1132" s="651" t="s">
        <v>7</v>
      </c>
      <c r="F1132" s="653">
        <v>0</v>
      </c>
      <c r="G1132" s="654"/>
      <c r="H1132" s="651" t="s">
        <v>650</v>
      </c>
      <c r="I1132" s="655"/>
      <c r="J1132" s="655"/>
      <c r="K1132" s="653">
        <v>0</v>
      </c>
      <c r="L1132" s="656">
        <v>0</v>
      </c>
    </row>
    <row r="1133" spans="1:12" ht="21" x14ac:dyDescent="0.25">
      <c r="A1133" s="651" t="s">
        <v>199</v>
      </c>
      <c r="B1133" s="652">
        <v>2021</v>
      </c>
      <c r="C1133" s="651" t="s">
        <v>647</v>
      </c>
      <c r="D1133" s="651" t="s">
        <v>1462</v>
      </c>
      <c r="E1133" s="651" t="s">
        <v>649</v>
      </c>
      <c r="F1133" s="653">
        <v>-26780.03</v>
      </c>
      <c r="G1133" s="654"/>
      <c r="H1133" s="651" t="s">
        <v>650</v>
      </c>
      <c r="I1133" s="655"/>
      <c r="J1133" s="655"/>
      <c r="K1133" s="653">
        <v>0</v>
      </c>
      <c r="L1133" s="656">
        <v>-26780.03</v>
      </c>
    </row>
    <row r="1134" spans="1:12" ht="14.5" x14ac:dyDescent="0.25">
      <c r="A1134" s="651" t="s">
        <v>199</v>
      </c>
      <c r="B1134" s="652">
        <v>2021</v>
      </c>
      <c r="C1134" s="651" t="s">
        <v>651</v>
      </c>
      <c r="D1134" s="651" t="s">
        <v>1463</v>
      </c>
      <c r="E1134" s="651" t="s">
        <v>653</v>
      </c>
      <c r="F1134" s="653">
        <v>25055.119999999999</v>
      </c>
      <c r="G1134" s="654"/>
      <c r="H1134" s="651" t="s">
        <v>650</v>
      </c>
      <c r="I1134" s="655"/>
      <c r="J1134" s="655"/>
      <c r="K1134" s="653">
        <v>0</v>
      </c>
      <c r="L1134" s="656">
        <v>25055.119999999999</v>
      </c>
    </row>
    <row r="1135" spans="1:12" ht="42" x14ac:dyDescent="0.25">
      <c r="A1135" s="651" t="s">
        <v>199</v>
      </c>
      <c r="B1135" s="652">
        <v>2021</v>
      </c>
      <c r="C1135" s="651" t="s">
        <v>654</v>
      </c>
      <c r="D1135" s="651" t="s">
        <v>1464</v>
      </c>
      <c r="E1135" s="651" t="s">
        <v>445</v>
      </c>
      <c r="F1135" s="653">
        <v>0</v>
      </c>
      <c r="G1135" s="654"/>
      <c r="H1135" s="651" t="s">
        <v>650</v>
      </c>
      <c r="I1135" s="655"/>
      <c r="J1135" s="655"/>
      <c r="K1135" s="653">
        <v>0</v>
      </c>
      <c r="L1135" s="656">
        <v>0</v>
      </c>
    </row>
    <row r="1136" spans="1:12" ht="21" x14ac:dyDescent="0.25">
      <c r="A1136" s="651" t="s">
        <v>199</v>
      </c>
      <c r="B1136" s="652">
        <v>2021</v>
      </c>
      <c r="C1136" s="651" t="s">
        <v>656</v>
      </c>
      <c r="D1136" s="651" t="s">
        <v>1465</v>
      </c>
      <c r="E1136" s="651" t="s">
        <v>658</v>
      </c>
      <c r="F1136" s="653">
        <v>0</v>
      </c>
      <c r="G1136" s="654"/>
      <c r="H1136" s="651" t="s">
        <v>650</v>
      </c>
      <c r="I1136" s="655"/>
      <c r="J1136" s="655"/>
      <c r="K1136" s="653">
        <v>0</v>
      </c>
      <c r="L1136" s="656">
        <v>0</v>
      </c>
    </row>
    <row r="1137" spans="1:12" ht="31.5" x14ac:dyDescent="0.25">
      <c r="A1137" s="651" t="s">
        <v>199</v>
      </c>
      <c r="B1137" s="652">
        <v>2021</v>
      </c>
      <c r="C1137" s="651" t="s">
        <v>659</v>
      </c>
      <c r="D1137" s="651" t="s">
        <v>1466</v>
      </c>
      <c r="E1137" s="651" t="s">
        <v>661</v>
      </c>
      <c r="F1137" s="653">
        <v>0</v>
      </c>
      <c r="G1137" s="654"/>
      <c r="H1137" s="651" t="s">
        <v>650</v>
      </c>
      <c r="I1137" s="655"/>
      <c r="J1137" s="655"/>
      <c r="K1137" s="653">
        <v>0</v>
      </c>
      <c r="L1137" s="656">
        <v>0</v>
      </c>
    </row>
    <row r="1138" spans="1:12" ht="21" x14ac:dyDescent="0.25">
      <c r="A1138" s="651" t="s">
        <v>199</v>
      </c>
      <c r="B1138" s="652">
        <v>2021</v>
      </c>
      <c r="C1138" s="651" t="s">
        <v>662</v>
      </c>
      <c r="D1138" s="651" t="s">
        <v>1467</v>
      </c>
      <c r="E1138" s="651" t="s">
        <v>664</v>
      </c>
      <c r="F1138" s="653">
        <v>0</v>
      </c>
      <c r="G1138" s="654"/>
      <c r="H1138" s="651" t="s">
        <v>650</v>
      </c>
      <c r="I1138" s="655"/>
      <c r="J1138" s="655"/>
      <c r="K1138" s="653">
        <v>0</v>
      </c>
      <c r="L1138" s="656">
        <v>0</v>
      </c>
    </row>
    <row r="1139" spans="1:12" ht="31.5" x14ac:dyDescent="0.25">
      <c r="A1139" s="651" t="s">
        <v>199</v>
      </c>
      <c r="B1139" s="652">
        <v>2021</v>
      </c>
      <c r="C1139" s="651" t="s">
        <v>665</v>
      </c>
      <c r="D1139" s="651" t="s">
        <v>1468</v>
      </c>
      <c r="E1139" s="651" t="s">
        <v>667</v>
      </c>
      <c r="F1139" s="653">
        <v>0</v>
      </c>
      <c r="G1139" s="654"/>
      <c r="H1139" s="651" t="s">
        <v>650</v>
      </c>
      <c r="I1139" s="655"/>
      <c r="J1139" s="655"/>
      <c r="K1139" s="653">
        <v>0</v>
      </c>
      <c r="L1139" s="656">
        <v>0</v>
      </c>
    </row>
    <row r="1140" spans="1:12" ht="21" x14ac:dyDescent="0.25">
      <c r="A1140" s="651" t="s">
        <v>199</v>
      </c>
      <c r="B1140" s="652">
        <v>2021</v>
      </c>
      <c r="C1140" s="651" t="s">
        <v>668</v>
      </c>
      <c r="D1140" s="651" t="s">
        <v>1469</v>
      </c>
      <c r="E1140" s="651" t="s">
        <v>12</v>
      </c>
      <c r="F1140" s="653">
        <v>0</v>
      </c>
      <c r="G1140" s="654"/>
      <c r="H1140" s="651" t="s">
        <v>650</v>
      </c>
      <c r="I1140" s="655"/>
      <c r="J1140" s="655"/>
      <c r="K1140" s="653">
        <v>0</v>
      </c>
      <c r="L1140" s="656">
        <v>0</v>
      </c>
    </row>
    <row r="1141" spans="1:12" ht="21" x14ac:dyDescent="0.25">
      <c r="A1141" s="651" t="s">
        <v>199</v>
      </c>
      <c r="B1141" s="652">
        <v>2021</v>
      </c>
      <c r="C1141" s="651" t="s">
        <v>670</v>
      </c>
      <c r="D1141" s="651" t="s">
        <v>1470</v>
      </c>
      <c r="E1141" s="651" t="s">
        <v>13</v>
      </c>
      <c r="F1141" s="653">
        <v>0</v>
      </c>
      <c r="G1141" s="654"/>
      <c r="H1141" s="651" t="s">
        <v>650</v>
      </c>
      <c r="I1141" s="655"/>
      <c r="J1141" s="655"/>
      <c r="K1141" s="653">
        <v>0</v>
      </c>
      <c r="L1141" s="656">
        <v>0</v>
      </c>
    </row>
    <row r="1142" spans="1:12" ht="21" x14ac:dyDescent="0.25">
      <c r="A1142" s="651" t="s">
        <v>199</v>
      </c>
      <c r="B1142" s="652">
        <v>2021</v>
      </c>
      <c r="C1142" s="651" t="s">
        <v>672</v>
      </c>
      <c r="D1142" s="651" t="s">
        <v>1471</v>
      </c>
      <c r="E1142" s="651" t="s">
        <v>15</v>
      </c>
      <c r="F1142" s="653">
        <v>0</v>
      </c>
      <c r="G1142" s="654"/>
      <c r="H1142" s="651" t="s">
        <v>650</v>
      </c>
      <c r="I1142" s="655"/>
      <c r="J1142" s="655"/>
      <c r="K1142" s="653">
        <v>0</v>
      </c>
      <c r="L1142" s="656">
        <v>0</v>
      </c>
    </row>
    <row r="1143" spans="1:12" ht="14.5" x14ac:dyDescent="0.25">
      <c r="A1143" s="651" t="s">
        <v>199</v>
      </c>
      <c r="B1143" s="652">
        <v>2021</v>
      </c>
      <c r="C1143" s="651" t="s">
        <v>674</v>
      </c>
      <c r="D1143" s="651" t="s">
        <v>1472</v>
      </c>
      <c r="E1143" s="651" t="s">
        <v>676</v>
      </c>
      <c r="F1143" s="653">
        <v>14402.15</v>
      </c>
      <c r="G1143" s="654"/>
      <c r="H1143" s="651" t="s">
        <v>650</v>
      </c>
      <c r="I1143" s="655"/>
      <c r="J1143" s="655"/>
      <c r="K1143" s="653">
        <v>0</v>
      </c>
      <c r="L1143" s="656">
        <v>14402.15</v>
      </c>
    </row>
    <row r="1144" spans="1:12" ht="14.5" x14ac:dyDescent="0.25">
      <c r="A1144" s="651" t="s">
        <v>199</v>
      </c>
      <c r="B1144" s="652">
        <v>2021</v>
      </c>
      <c r="C1144" s="651" t="s">
        <v>677</v>
      </c>
      <c r="D1144" s="651" t="s">
        <v>1473</v>
      </c>
      <c r="E1144" s="651" t="s">
        <v>23</v>
      </c>
      <c r="F1144" s="653">
        <v>445096.79</v>
      </c>
      <c r="G1144" s="651" t="s">
        <v>650</v>
      </c>
      <c r="H1144" s="654"/>
      <c r="I1144" s="653">
        <v>440605.3125</v>
      </c>
      <c r="J1144" s="653">
        <v>4491.47021484375</v>
      </c>
      <c r="K1144" s="653">
        <v>445096.78125</v>
      </c>
      <c r="L1144" s="656">
        <v>445096.79</v>
      </c>
    </row>
    <row r="1145" spans="1:12" ht="31.5" x14ac:dyDescent="0.25">
      <c r="A1145" s="651" t="s">
        <v>199</v>
      </c>
      <c r="B1145" s="652">
        <v>2021</v>
      </c>
      <c r="C1145" s="651" t="s">
        <v>679</v>
      </c>
      <c r="D1145" s="651" t="s">
        <v>1474</v>
      </c>
      <c r="E1145" s="651" t="s">
        <v>131</v>
      </c>
      <c r="F1145" s="653">
        <v>-3175.97</v>
      </c>
      <c r="G1145" s="651" t="s">
        <v>650</v>
      </c>
      <c r="H1145" s="654"/>
      <c r="I1145" s="653">
        <v>-3071.61010742188</v>
      </c>
      <c r="J1145" s="653">
        <v>-104.360000610352</v>
      </c>
      <c r="K1145" s="653">
        <v>-3175.96997070313</v>
      </c>
      <c r="L1145" s="656">
        <v>-3175.97</v>
      </c>
    </row>
    <row r="1146" spans="1:12" ht="31.5" x14ac:dyDescent="0.25">
      <c r="A1146" s="651" t="s">
        <v>199</v>
      </c>
      <c r="B1146" s="652">
        <v>2021</v>
      </c>
      <c r="C1146" s="651" t="s">
        <v>681</v>
      </c>
      <c r="D1146" s="651" t="s">
        <v>1475</v>
      </c>
      <c r="E1146" s="651" t="s">
        <v>683</v>
      </c>
      <c r="F1146" s="653">
        <v>0</v>
      </c>
      <c r="G1146" s="654"/>
      <c r="H1146" s="651" t="s">
        <v>650</v>
      </c>
      <c r="I1146" s="655"/>
      <c r="J1146" s="655"/>
      <c r="K1146" s="653">
        <v>0</v>
      </c>
      <c r="L1146" s="656">
        <v>0</v>
      </c>
    </row>
    <row r="1147" spans="1:12" ht="21" x14ac:dyDescent="0.25">
      <c r="A1147" s="651" t="s">
        <v>199</v>
      </c>
      <c r="B1147" s="652">
        <v>2021</v>
      </c>
      <c r="C1147" s="651" t="s">
        <v>681</v>
      </c>
      <c r="D1147" s="651" t="s">
        <v>1475</v>
      </c>
      <c r="E1147" s="651" t="s">
        <v>684</v>
      </c>
      <c r="F1147" s="653">
        <v>0</v>
      </c>
      <c r="G1147" s="654"/>
      <c r="H1147" s="651" t="s">
        <v>650</v>
      </c>
      <c r="I1147" s="655"/>
      <c r="J1147" s="655"/>
      <c r="K1147" s="653">
        <v>0</v>
      </c>
      <c r="L1147" s="656">
        <v>0</v>
      </c>
    </row>
    <row r="1148" spans="1:12" ht="21" x14ac:dyDescent="0.25">
      <c r="A1148" s="651" t="s">
        <v>199</v>
      </c>
      <c r="B1148" s="652">
        <v>2021</v>
      </c>
      <c r="C1148" s="651" t="s">
        <v>685</v>
      </c>
      <c r="D1148" s="651" t="s">
        <v>1476</v>
      </c>
      <c r="E1148" s="651" t="s">
        <v>687</v>
      </c>
      <c r="F1148" s="653">
        <v>0</v>
      </c>
      <c r="G1148" s="654"/>
      <c r="H1148" s="651" t="s">
        <v>650</v>
      </c>
      <c r="I1148" s="655"/>
      <c r="J1148" s="655"/>
      <c r="K1148" s="653">
        <v>0</v>
      </c>
      <c r="L1148" s="656">
        <v>0</v>
      </c>
    </row>
    <row r="1149" spans="1:12" ht="14.5" x14ac:dyDescent="0.25">
      <c r="A1149" s="651" t="s">
        <v>199</v>
      </c>
      <c r="B1149" s="652">
        <v>2021</v>
      </c>
      <c r="C1149" s="651" t="s">
        <v>688</v>
      </c>
      <c r="D1149" s="651" t="s">
        <v>1477</v>
      </c>
      <c r="E1149" s="651" t="s">
        <v>50</v>
      </c>
      <c r="F1149" s="653">
        <v>130786.2</v>
      </c>
      <c r="G1149" s="654"/>
      <c r="H1149" s="651" t="s">
        <v>650</v>
      </c>
      <c r="I1149" s="655"/>
      <c r="J1149" s="655"/>
      <c r="K1149" s="653">
        <v>0</v>
      </c>
      <c r="L1149" s="656">
        <v>130786.2</v>
      </c>
    </row>
    <row r="1150" spans="1:12" ht="21" x14ac:dyDescent="0.25">
      <c r="A1150" s="651" t="s">
        <v>199</v>
      </c>
      <c r="B1150" s="652">
        <v>2021</v>
      </c>
      <c r="C1150" s="651" t="s">
        <v>690</v>
      </c>
      <c r="D1150" s="651" t="s">
        <v>1478</v>
      </c>
      <c r="E1150" s="651" t="s">
        <v>692</v>
      </c>
      <c r="F1150" s="653">
        <v>0</v>
      </c>
      <c r="G1150" s="654"/>
      <c r="H1150" s="651" t="s">
        <v>650</v>
      </c>
      <c r="I1150" s="655"/>
      <c r="J1150" s="655"/>
      <c r="K1150" s="653">
        <v>0</v>
      </c>
      <c r="L1150" s="656">
        <v>0</v>
      </c>
    </row>
    <row r="1151" spans="1:12" ht="21" x14ac:dyDescent="0.25">
      <c r="A1151" s="651" t="s">
        <v>199</v>
      </c>
      <c r="B1151" s="652">
        <v>2021</v>
      </c>
      <c r="C1151" s="651" t="s">
        <v>693</v>
      </c>
      <c r="D1151" s="651" t="s">
        <v>1479</v>
      </c>
      <c r="E1151" s="651" t="s">
        <v>6</v>
      </c>
      <c r="F1151" s="653">
        <v>0</v>
      </c>
      <c r="G1151" s="654"/>
      <c r="H1151" s="651" t="s">
        <v>650</v>
      </c>
      <c r="I1151" s="655"/>
      <c r="J1151" s="655"/>
      <c r="K1151" s="653">
        <v>0</v>
      </c>
      <c r="L1151" s="656">
        <v>0</v>
      </c>
    </row>
    <row r="1152" spans="1:12" ht="31.5" x14ac:dyDescent="0.25">
      <c r="A1152" s="651" t="s">
        <v>199</v>
      </c>
      <c r="B1152" s="652">
        <v>2021</v>
      </c>
      <c r="C1152" s="651" t="s">
        <v>695</v>
      </c>
      <c r="D1152" s="651" t="s">
        <v>1480</v>
      </c>
      <c r="E1152" s="651" t="s">
        <v>697</v>
      </c>
      <c r="F1152" s="653">
        <v>0</v>
      </c>
      <c r="G1152" s="654"/>
      <c r="H1152" s="651" t="s">
        <v>650</v>
      </c>
      <c r="I1152" s="655"/>
      <c r="J1152" s="655"/>
      <c r="K1152" s="653">
        <v>0</v>
      </c>
      <c r="L1152" s="656">
        <v>0</v>
      </c>
    </row>
    <row r="1153" spans="1:12" ht="21" x14ac:dyDescent="0.25">
      <c r="A1153" s="651" t="s">
        <v>199</v>
      </c>
      <c r="B1153" s="652">
        <v>2021</v>
      </c>
      <c r="C1153" s="651" t="s">
        <v>698</v>
      </c>
      <c r="D1153" s="651" t="s">
        <v>1481</v>
      </c>
      <c r="E1153" s="651" t="s">
        <v>700</v>
      </c>
      <c r="F1153" s="653">
        <v>0</v>
      </c>
      <c r="G1153" s="654"/>
      <c r="H1153" s="651" t="s">
        <v>650</v>
      </c>
      <c r="I1153" s="655"/>
      <c r="J1153" s="655"/>
      <c r="K1153" s="653">
        <v>0</v>
      </c>
      <c r="L1153" s="656">
        <v>0</v>
      </c>
    </row>
    <row r="1154" spans="1:12" ht="21" x14ac:dyDescent="0.25">
      <c r="A1154" s="651" t="s">
        <v>199</v>
      </c>
      <c r="B1154" s="652">
        <v>2021</v>
      </c>
      <c r="C1154" s="651" t="s">
        <v>701</v>
      </c>
      <c r="D1154" s="651" t="s">
        <v>1482</v>
      </c>
      <c r="E1154" s="651" t="s">
        <v>1</v>
      </c>
      <c r="F1154" s="653">
        <v>-132339.9</v>
      </c>
      <c r="G1154" s="651" t="s">
        <v>650</v>
      </c>
      <c r="H1154" s="654"/>
      <c r="I1154" s="653">
        <v>-131202.171875</v>
      </c>
      <c r="J1154" s="653">
        <v>-1137.72998046875</v>
      </c>
      <c r="K1154" s="653">
        <v>-132339.90625</v>
      </c>
      <c r="L1154" s="656">
        <v>-132339.9</v>
      </c>
    </row>
    <row r="1155" spans="1:12" ht="21" x14ac:dyDescent="0.25">
      <c r="A1155" s="651" t="s">
        <v>199</v>
      </c>
      <c r="B1155" s="652">
        <v>2021</v>
      </c>
      <c r="C1155" s="651" t="s">
        <v>701</v>
      </c>
      <c r="D1155" s="651" t="s">
        <v>1482</v>
      </c>
      <c r="E1155" s="651" t="s">
        <v>703</v>
      </c>
      <c r="F1155" s="653">
        <v>0</v>
      </c>
      <c r="G1155" s="654"/>
      <c r="H1155" s="654"/>
      <c r="I1155" s="655"/>
      <c r="J1155" s="655"/>
      <c r="K1155" s="653">
        <v>0</v>
      </c>
      <c r="L1155" s="656">
        <v>0</v>
      </c>
    </row>
    <row r="1156" spans="1:12" ht="21" x14ac:dyDescent="0.25">
      <c r="A1156" s="651" t="s">
        <v>199</v>
      </c>
      <c r="B1156" s="652">
        <v>2021</v>
      </c>
      <c r="C1156" s="651" t="s">
        <v>701</v>
      </c>
      <c r="D1156" s="651" t="s">
        <v>1482</v>
      </c>
      <c r="E1156" s="651" t="s">
        <v>704</v>
      </c>
      <c r="F1156" s="653">
        <v>0</v>
      </c>
      <c r="G1156" s="654"/>
      <c r="H1156" s="654"/>
      <c r="I1156" s="655"/>
      <c r="J1156" s="655"/>
      <c r="K1156" s="653">
        <v>0</v>
      </c>
      <c r="L1156" s="656">
        <v>0</v>
      </c>
    </row>
    <row r="1157" spans="1:12" ht="21" x14ac:dyDescent="0.25">
      <c r="A1157" s="651" t="s">
        <v>199</v>
      </c>
      <c r="B1157" s="652">
        <v>2021</v>
      </c>
      <c r="C1157" s="651" t="s">
        <v>701</v>
      </c>
      <c r="D1157" s="651" t="s">
        <v>1482</v>
      </c>
      <c r="E1157" s="651" t="s">
        <v>705</v>
      </c>
      <c r="F1157" s="653">
        <v>0</v>
      </c>
      <c r="G1157" s="654"/>
      <c r="H1157" s="654"/>
      <c r="I1157" s="655"/>
      <c r="J1157" s="655"/>
      <c r="K1157" s="653">
        <v>0</v>
      </c>
      <c r="L1157" s="656">
        <v>0</v>
      </c>
    </row>
    <row r="1158" spans="1:12" ht="21" x14ac:dyDescent="0.25">
      <c r="A1158" s="651" t="s">
        <v>199</v>
      </c>
      <c r="B1158" s="652">
        <v>2021</v>
      </c>
      <c r="C1158" s="651" t="s">
        <v>701</v>
      </c>
      <c r="D1158" s="651" t="s">
        <v>1482</v>
      </c>
      <c r="E1158" s="651" t="s">
        <v>706</v>
      </c>
      <c r="F1158" s="653">
        <v>-19281.73</v>
      </c>
      <c r="G1158" s="654"/>
      <c r="H1158" s="654"/>
      <c r="I1158" s="655"/>
      <c r="J1158" s="655"/>
      <c r="K1158" s="653">
        <v>0</v>
      </c>
      <c r="L1158" s="656">
        <v>-19281.73</v>
      </c>
    </row>
    <row r="1159" spans="1:12" ht="14.5" x14ac:dyDescent="0.25">
      <c r="A1159" s="651" t="s">
        <v>199</v>
      </c>
      <c r="B1159" s="652">
        <v>2021</v>
      </c>
      <c r="C1159" s="651" t="s">
        <v>707</v>
      </c>
      <c r="D1159" s="651" t="s">
        <v>1483</v>
      </c>
      <c r="E1159" s="651" t="s">
        <v>709</v>
      </c>
      <c r="F1159" s="653">
        <v>0</v>
      </c>
      <c r="G1159" s="654"/>
      <c r="H1159" s="651" t="s">
        <v>650</v>
      </c>
      <c r="I1159" s="655"/>
      <c r="J1159" s="655"/>
      <c r="K1159" s="653">
        <v>0</v>
      </c>
      <c r="L1159" s="656">
        <v>0</v>
      </c>
    </row>
    <row r="1160" spans="1:12" ht="31.5" x14ac:dyDescent="0.25">
      <c r="A1160" s="651" t="s">
        <v>199</v>
      </c>
      <c r="B1160" s="652">
        <v>2021</v>
      </c>
      <c r="C1160" s="651" t="s">
        <v>710</v>
      </c>
      <c r="D1160" s="651" t="s">
        <v>1484</v>
      </c>
      <c r="E1160" s="651" t="s">
        <v>2</v>
      </c>
      <c r="F1160" s="653">
        <v>408820.03</v>
      </c>
      <c r="G1160" s="651" t="s">
        <v>650</v>
      </c>
      <c r="H1160" s="654"/>
      <c r="I1160" s="653">
        <v>404061.0625</v>
      </c>
      <c r="J1160" s="653">
        <v>4758.97021484375</v>
      </c>
      <c r="K1160" s="653">
        <v>408820.03125</v>
      </c>
      <c r="L1160" s="656">
        <v>408820.03</v>
      </c>
    </row>
    <row r="1161" spans="1:12" ht="31.5" x14ac:dyDescent="0.25">
      <c r="A1161" s="651" t="s">
        <v>199</v>
      </c>
      <c r="B1161" s="652">
        <v>2021</v>
      </c>
      <c r="C1161" s="651" t="s">
        <v>712</v>
      </c>
      <c r="D1161" s="651" t="s">
        <v>1485</v>
      </c>
      <c r="E1161" s="651" t="s">
        <v>3</v>
      </c>
      <c r="F1161" s="653">
        <v>85466.65</v>
      </c>
      <c r="G1161" s="651" t="s">
        <v>650</v>
      </c>
      <c r="H1161" s="654"/>
      <c r="I1161" s="653">
        <v>84486.5</v>
      </c>
      <c r="J1161" s="653">
        <v>980.15002441406295</v>
      </c>
      <c r="K1161" s="653">
        <v>85466.6484375</v>
      </c>
      <c r="L1161" s="656">
        <v>85466.65</v>
      </c>
    </row>
    <row r="1162" spans="1:12" ht="31.5" x14ac:dyDescent="0.25">
      <c r="A1162" s="651" t="s">
        <v>199</v>
      </c>
      <c r="B1162" s="652">
        <v>2021</v>
      </c>
      <c r="C1162" s="651" t="s">
        <v>714</v>
      </c>
      <c r="D1162" s="651" t="s">
        <v>1486</v>
      </c>
      <c r="E1162" s="651" t="s">
        <v>38</v>
      </c>
      <c r="F1162" s="653">
        <v>119969.27</v>
      </c>
      <c r="G1162" s="651" t="s">
        <v>650</v>
      </c>
      <c r="H1162" s="654"/>
      <c r="I1162" s="653">
        <v>116629.453125</v>
      </c>
      <c r="J1162" s="653">
        <v>3339.82006835938</v>
      </c>
      <c r="K1162" s="653">
        <v>119969.2734375</v>
      </c>
      <c r="L1162" s="656">
        <v>119969.27</v>
      </c>
    </row>
    <row r="1163" spans="1:12" ht="21" x14ac:dyDescent="0.25">
      <c r="A1163" s="651" t="s">
        <v>199</v>
      </c>
      <c r="B1163" s="652">
        <v>2021</v>
      </c>
      <c r="C1163" s="651" t="s">
        <v>716</v>
      </c>
      <c r="D1163" s="651" t="s">
        <v>1487</v>
      </c>
      <c r="E1163" s="651" t="s">
        <v>66</v>
      </c>
      <c r="F1163" s="653">
        <v>299986.3</v>
      </c>
      <c r="G1163" s="651" t="s">
        <v>650</v>
      </c>
      <c r="H1163" s="654"/>
      <c r="I1163" s="653">
        <v>297015.96875</v>
      </c>
      <c r="J1163" s="653">
        <v>2970.32006835938</v>
      </c>
      <c r="K1163" s="653">
        <v>299986.3125</v>
      </c>
      <c r="L1163" s="656">
        <v>299986.3</v>
      </c>
    </row>
    <row r="1164" spans="1:12" ht="31.5" x14ac:dyDescent="0.25">
      <c r="A1164" s="651" t="s">
        <v>199</v>
      </c>
      <c r="B1164" s="652">
        <v>2021</v>
      </c>
      <c r="C1164" s="651" t="s">
        <v>718</v>
      </c>
      <c r="D1164" s="651" t="s">
        <v>1488</v>
      </c>
      <c r="E1164" s="651" t="s">
        <v>720</v>
      </c>
      <c r="F1164" s="653">
        <v>-168250.97</v>
      </c>
      <c r="G1164" s="654"/>
      <c r="H1164" s="651" t="s">
        <v>650</v>
      </c>
      <c r="I1164" s="655"/>
      <c r="J1164" s="655"/>
      <c r="K1164" s="653">
        <v>0</v>
      </c>
      <c r="L1164" s="656">
        <v>-168250.97</v>
      </c>
    </row>
    <row r="1165" spans="1:12" ht="42" x14ac:dyDescent="0.25">
      <c r="A1165" s="651" t="s">
        <v>199</v>
      </c>
      <c r="B1165" s="652">
        <v>2021</v>
      </c>
      <c r="C1165" s="651" t="s">
        <v>721</v>
      </c>
      <c r="D1165" s="651" t="s">
        <v>1489</v>
      </c>
      <c r="E1165" s="651" t="s">
        <v>3016</v>
      </c>
      <c r="F1165" s="653">
        <v>0</v>
      </c>
      <c r="G1165" s="651" t="s">
        <v>650</v>
      </c>
      <c r="H1165" s="654"/>
      <c r="I1165" s="653">
        <v>108502.15625</v>
      </c>
      <c r="J1165" s="653">
        <v>-123079.671875</v>
      </c>
      <c r="K1165" s="653">
        <v>-14577.509765625</v>
      </c>
      <c r="L1165" s="656">
        <v>-14577.51</v>
      </c>
    </row>
    <row r="1166" spans="1:12" ht="42" x14ac:dyDescent="0.25">
      <c r="A1166" s="651" t="s">
        <v>199</v>
      </c>
      <c r="B1166" s="652">
        <v>2021</v>
      </c>
      <c r="C1166" s="651" t="s">
        <v>721</v>
      </c>
      <c r="D1166" s="651" t="s">
        <v>1489</v>
      </c>
      <c r="E1166" s="651" t="s">
        <v>3058</v>
      </c>
      <c r="F1166" s="653">
        <v>0</v>
      </c>
      <c r="G1166" s="651" t="s">
        <v>650</v>
      </c>
      <c r="H1166" s="654"/>
      <c r="I1166" s="653">
        <v>1126.34997558594</v>
      </c>
      <c r="J1166" s="653">
        <v>11773.169921875</v>
      </c>
      <c r="K1166" s="653">
        <v>12899.51953125</v>
      </c>
      <c r="L1166" s="656">
        <v>12899.52</v>
      </c>
    </row>
    <row r="1167" spans="1:12" ht="42" x14ac:dyDescent="0.25">
      <c r="A1167" s="651" t="s">
        <v>199</v>
      </c>
      <c r="B1167" s="652">
        <v>2021</v>
      </c>
      <c r="C1167" s="651" t="s">
        <v>721</v>
      </c>
      <c r="D1167" s="651" t="s">
        <v>1490</v>
      </c>
      <c r="E1167" s="651" t="s">
        <v>724</v>
      </c>
      <c r="F1167" s="653">
        <v>0</v>
      </c>
      <c r="G1167" s="651" t="s">
        <v>650</v>
      </c>
      <c r="H1167" s="654"/>
      <c r="I1167" s="655"/>
      <c r="J1167" s="655"/>
      <c r="K1167" s="653">
        <v>0</v>
      </c>
      <c r="L1167" s="656">
        <v>0</v>
      </c>
    </row>
    <row r="1168" spans="1:12" ht="42" x14ac:dyDescent="0.25">
      <c r="A1168" s="651" t="s">
        <v>199</v>
      </c>
      <c r="B1168" s="652">
        <v>2021</v>
      </c>
      <c r="C1168" s="651" t="s">
        <v>721</v>
      </c>
      <c r="D1168" s="651" t="s">
        <v>1491</v>
      </c>
      <c r="E1168" s="651" t="s">
        <v>55</v>
      </c>
      <c r="F1168" s="653">
        <v>0</v>
      </c>
      <c r="G1168" s="651" t="s">
        <v>650</v>
      </c>
      <c r="H1168" s="654"/>
      <c r="I1168" s="655"/>
      <c r="J1168" s="655"/>
      <c r="K1168" s="653">
        <v>0</v>
      </c>
      <c r="L1168" s="656">
        <v>0</v>
      </c>
    </row>
    <row r="1169" spans="1:12" ht="42" x14ac:dyDescent="0.25">
      <c r="A1169" s="651" t="s">
        <v>199</v>
      </c>
      <c r="B1169" s="652">
        <v>2021</v>
      </c>
      <c r="C1169" s="651" t="s">
        <v>721</v>
      </c>
      <c r="D1169" s="651" t="s">
        <v>1492</v>
      </c>
      <c r="E1169" s="651" t="s">
        <v>56</v>
      </c>
      <c r="F1169" s="653">
        <v>0</v>
      </c>
      <c r="G1169" s="651" t="s">
        <v>650</v>
      </c>
      <c r="H1169" s="654"/>
      <c r="I1169" s="655"/>
      <c r="J1169" s="655"/>
      <c r="K1169" s="653">
        <v>0</v>
      </c>
      <c r="L1169" s="656">
        <v>0</v>
      </c>
    </row>
    <row r="1170" spans="1:12" ht="42" x14ac:dyDescent="0.25">
      <c r="A1170" s="651" t="s">
        <v>199</v>
      </c>
      <c r="B1170" s="652">
        <v>2021</v>
      </c>
      <c r="C1170" s="651" t="s">
        <v>721</v>
      </c>
      <c r="D1170" s="651" t="s">
        <v>1493</v>
      </c>
      <c r="E1170" s="651" t="s">
        <v>728</v>
      </c>
      <c r="F1170" s="653">
        <v>0</v>
      </c>
      <c r="G1170" s="651" t="s">
        <v>650</v>
      </c>
      <c r="H1170" s="654"/>
      <c r="I1170" s="655"/>
      <c r="J1170" s="655"/>
      <c r="K1170" s="653">
        <v>0</v>
      </c>
      <c r="L1170" s="656">
        <v>0</v>
      </c>
    </row>
    <row r="1171" spans="1:12" ht="42" x14ac:dyDescent="0.25">
      <c r="A1171" s="651" t="s">
        <v>199</v>
      </c>
      <c r="B1171" s="652">
        <v>2021</v>
      </c>
      <c r="C1171" s="651" t="s">
        <v>721</v>
      </c>
      <c r="D1171" s="651" t="s">
        <v>1494</v>
      </c>
      <c r="E1171" s="651" t="s">
        <v>730</v>
      </c>
      <c r="F1171" s="653">
        <v>0</v>
      </c>
      <c r="G1171" s="651" t="s">
        <v>650</v>
      </c>
      <c r="H1171" s="654"/>
      <c r="I1171" s="655"/>
      <c r="J1171" s="655"/>
      <c r="K1171" s="653">
        <v>0</v>
      </c>
      <c r="L1171" s="656">
        <v>0</v>
      </c>
    </row>
    <row r="1172" spans="1:12" ht="42" x14ac:dyDescent="0.25">
      <c r="A1172" s="651" t="s">
        <v>199</v>
      </c>
      <c r="B1172" s="652">
        <v>2021</v>
      </c>
      <c r="C1172" s="651" t="s">
        <v>721</v>
      </c>
      <c r="D1172" s="651" t="s">
        <v>1495</v>
      </c>
      <c r="E1172" s="651" t="s">
        <v>142</v>
      </c>
      <c r="F1172" s="653">
        <v>0</v>
      </c>
      <c r="G1172" s="651" t="s">
        <v>650</v>
      </c>
      <c r="H1172" s="654"/>
      <c r="I1172" s="655"/>
      <c r="J1172" s="655"/>
      <c r="K1172" s="653">
        <v>0</v>
      </c>
      <c r="L1172" s="656">
        <v>0</v>
      </c>
    </row>
    <row r="1173" spans="1:12" ht="42" x14ac:dyDescent="0.25">
      <c r="A1173" s="651" t="s">
        <v>199</v>
      </c>
      <c r="B1173" s="652">
        <v>2021</v>
      </c>
      <c r="C1173" s="651" t="s">
        <v>721</v>
      </c>
      <c r="D1173" s="651" t="s">
        <v>1496</v>
      </c>
      <c r="E1173" s="651" t="s">
        <v>143</v>
      </c>
      <c r="F1173" s="653">
        <v>0</v>
      </c>
      <c r="G1173" s="651" t="s">
        <v>650</v>
      </c>
      <c r="H1173" s="654"/>
      <c r="I1173" s="655"/>
      <c r="J1173" s="655"/>
      <c r="K1173" s="653">
        <v>0</v>
      </c>
      <c r="L1173" s="656">
        <v>0</v>
      </c>
    </row>
    <row r="1174" spans="1:12" ht="42" x14ac:dyDescent="0.25">
      <c r="A1174" s="651" t="s">
        <v>199</v>
      </c>
      <c r="B1174" s="652">
        <v>2021</v>
      </c>
      <c r="C1174" s="651" t="s">
        <v>721</v>
      </c>
      <c r="D1174" s="651" t="s">
        <v>1497</v>
      </c>
      <c r="E1174" s="651" t="s">
        <v>182</v>
      </c>
      <c r="F1174" s="653">
        <v>0</v>
      </c>
      <c r="G1174" s="651" t="s">
        <v>650</v>
      </c>
      <c r="H1174" s="654"/>
      <c r="I1174" s="655"/>
      <c r="J1174" s="655"/>
      <c r="K1174" s="653">
        <v>0</v>
      </c>
      <c r="L1174" s="656">
        <v>0</v>
      </c>
    </row>
    <row r="1175" spans="1:12" ht="42" x14ac:dyDescent="0.25">
      <c r="A1175" s="651" t="s">
        <v>199</v>
      </c>
      <c r="B1175" s="652">
        <v>2021</v>
      </c>
      <c r="C1175" s="651" t="s">
        <v>721</v>
      </c>
      <c r="D1175" s="651" t="s">
        <v>1498</v>
      </c>
      <c r="E1175" s="651" t="s">
        <v>394</v>
      </c>
      <c r="F1175" s="653">
        <v>0</v>
      </c>
      <c r="G1175" s="651" t="s">
        <v>650</v>
      </c>
      <c r="H1175" s="654"/>
      <c r="I1175" s="655"/>
      <c r="J1175" s="655"/>
      <c r="K1175" s="653">
        <v>0</v>
      </c>
      <c r="L1175" s="656">
        <v>0</v>
      </c>
    </row>
    <row r="1176" spans="1:12" ht="42" x14ac:dyDescent="0.25">
      <c r="A1176" s="651" t="s">
        <v>199</v>
      </c>
      <c r="B1176" s="652">
        <v>2021</v>
      </c>
      <c r="C1176" s="651" t="s">
        <v>721</v>
      </c>
      <c r="D1176" s="651" t="s">
        <v>1499</v>
      </c>
      <c r="E1176" s="651" t="s">
        <v>423</v>
      </c>
      <c r="F1176" s="653">
        <v>0</v>
      </c>
      <c r="G1176" s="651" t="s">
        <v>650</v>
      </c>
      <c r="H1176" s="654"/>
      <c r="I1176" s="655"/>
      <c r="J1176" s="653">
        <v>865.69000244140602</v>
      </c>
      <c r="K1176" s="653">
        <v>865.69000244140602</v>
      </c>
      <c r="L1176" s="656">
        <v>865.69</v>
      </c>
    </row>
    <row r="1177" spans="1:12" ht="42" x14ac:dyDescent="0.25">
      <c r="A1177" s="651" t="s">
        <v>199</v>
      </c>
      <c r="B1177" s="652">
        <v>2021</v>
      </c>
      <c r="C1177" s="651" t="s">
        <v>721</v>
      </c>
      <c r="D1177" s="651" t="s">
        <v>3216</v>
      </c>
      <c r="E1177" s="651" t="s">
        <v>441</v>
      </c>
      <c r="F1177" s="653">
        <v>0</v>
      </c>
      <c r="G1177" s="651" t="s">
        <v>650</v>
      </c>
      <c r="H1177" s="654"/>
      <c r="I1177" s="653">
        <v>-589.92999267578102</v>
      </c>
      <c r="J1177" s="653">
        <v>-82.519996643066406</v>
      </c>
      <c r="K1177" s="653">
        <v>-672.45001220703102</v>
      </c>
      <c r="L1177" s="656">
        <v>-672.45</v>
      </c>
    </row>
    <row r="1178" spans="1:12" ht="42" x14ac:dyDescent="0.25">
      <c r="A1178" s="651" t="s">
        <v>199</v>
      </c>
      <c r="B1178" s="652">
        <v>2021</v>
      </c>
      <c r="C1178" s="651" t="s">
        <v>721</v>
      </c>
      <c r="D1178" s="651" t="s">
        <v>1500</v>
      </c>
      <c r="E1178" s="651" t="s">
        <v>737</v>
      </c>
      <c r="F1178" s="653">
        <v>-1484.75</v>
      </c>
      <c r="G1178" s="654"/>
      <c r="H1178" s="654"/>
      <c r="I1178" s="655"/>
      <c r="J1178" s="655"/>
      <c r="K1178" s="653">
        <v>0</v>
      </c>
      <c r="L1178" s="656">
        <v>-1484.75</v>
      </c>
    </row>
    <row r="1179" spans="1:12" ht="14.5" x14ac:dyDescent="0.25">
      <c r="A1179" s="651" t="s">
        <v>199</v>
      </c>
      <c r="B1179" s="652">
        <v>2021</v>
      </c>
      <c r="C1179" s="651" t="s">
        <v>738</v>
      </c>
      <c r="D1179" s="651" t="s">
        <v>1501</v>
      </c>
      <c r="E1179" s="651" t="s">
        <v>7</v>
      </c>
      <c r="F1179" s="653">
        <v>0</v>
      </c>
      <c r="G1179" s="654"/>
      <c r="H1179" s="651" t="s">
        <v>650</v>
      </c>
      <c r="I1179" s="655"/>
      <c r="J1179" s="655"/>
      <c r="K1179" s="653">
        <v>0</v>
      </c>
      <c r="L1179" s="656">
        <v>0</v>
      </c>
    </row>
    <row r="1180" spans="1:12" ht="21" x14ac:dyDescent="0.25">
      <c r="A1180" s="651" t="s">
        <v>93</v>
      </c>
      <c r="B1180" s="652">
        <v>2021</v>
      </c>
      <c r="C1180" s="651" t="s">
        <v>647</v>
      </c>
      <c r="D1180" s="651" t="s">
        <v>1502</v>
      </c>
      <c r="E1180" s="651" t="s">
        <v>649</v>
      </c>
      <c r="F1180" s="653">
        <v>-103206.19</v>
      </c>
      <c r="G1180" s="654"/>
      <c r="H1180" s="651" t="s">
        <v>650</v>
      </c>
      <c r="I1180" s="655"/>
      <c r="J1180" s="655"/>
      <c r="K1180" s="653">
        <v>0</v>
      </c>
      <c r="L1180" s="656">
        <v>-103206.19</v>
      </c>
    </row>
    <row r="1181" spans="1:12" ht="14.5" x14ac:dyDescent="0.25">
      <c r="A1181" s="651" t="s">
        <v>93</v>
      </c>
      <c r="B1181" s="652">
        <v>2021</v>
      </c>
      <c r="C1181" s="651" t="s">
        <v>651</v>
      </c>
      <c r="D1181" s="651" t="s">
        <v>1503</v>
      </c>
      <c r="E1181" s="651" t="s">
        <v>653</v>
      </c>
      <c r="F1181" s="653">
        <v>34495.879999999997</v>
      </c>
      <c r="G1181" s="654"/>
      <c r="H1181" s="651" t="s">
        <v>650</v>
      </c>
      <c r="I1181" s="655"/>
      <c r="J1181" s="655"/>
      <c r="K1181" s="653">
        <v>0</v>
      </c>
      <c r="L1181" s="656">
        <v>34495.879999999997</v>
      </c>
    </row>
    <row r="1182" spans="1:12" ht="42" x14ac:dyDescent="0.25">
      <c r="A1182" s="651" t="s">
        <v>93</v>
      </c>
      <c r="B1182" s="652">
        <v>2021</v>
      </c>
      <c r="C1182" s="651" t="s">
        <v>654</v>
      </c>
      <c r="D1182" s="651" t="s">
        <v>1504</v>
      </c>
      <c r="E1182" s="651" t="s">
        <v>445</v>
      </c>
      <c r="F1182" s="653">
        <v>0</v>
      </c>
      <c r="G1182" s="654"/>
      <c r="H1182" s="651" t="s">
        <v>650</v>
      </c>
      <c r="I1182" s="655"/>
      <c r="J1182" s="655"/>
      <c r="K1182" s="653">
        <v>0</v>
      </c>
      <c r="L1182" s="656">
        <v>0</v>
      </c>
    </row>
    <row r="1183" spans="1:12" ht="21" x14ac:dyDescent="0.25">
      <c r="A1183" s="651" t="s">
        <v>93</v>
      </c>
      <c r="B1183" s="652">
        <v>2021</v>
      </c>
      <c r="C1183" s="651" t="s">
        <v>656</v>
      </c>
      <c r="D1183" s="651" t="s">
        <v>1505</v>
      </c>
      <c r="E1183" s="651" t="s">
        <v>658</v>
      </c>
      <c r="F1183" s="653">
        <v>0</v>
      </c>
      <c r="G1183" s="654"/>
      <c r="H1183" s="651" t="s">
        <v>650</v>
      </c>
      <c r="I1183" s="655"/>
      <c r="J1183" s="655"/>
      <c r="K1183" s="653">
        <v>0</v>
      </c>
      <c r="L1183" s="656">
        <v>0</v>
      </c>
    </row>
    <row r="1184" spans="1:12" ht="31.5" x14ac:dyDescent="0.25">
      <c r="A1184" s="651" t="s">
        <v>93</v>
      </c>
      <c r="B1184" s="652">
        <v>2021</v>
      </c>
      <c r="C1184" s="651" t="s">
        <v>659</v>
      </c>
      <c r="D1184" s="651" t="s">
        <v>1506</v>
      </c>
      <c r="E1184" s="651" t="s">
        <v>661</v>
      </c>
      <c r="F1184" s="653">
        <v>0</v>
      </c>
      <c r="G1184" s="654"/>
      <c r="H1184" s="651" t="s">
        <v>650</v>
      </c>
      <c r="I1184" s="655"/>
      <c r="J1184" s="655"/>
      <c r="K1184" s="653">
        <v>0</v>
      </c>
      <c r="L1184" s="656">
        <v>0</v>
      </c>
    </row>
    <row r="1185" spans="1:12" ht="21" x14ac:dyDescent="0.25">
      <c r="A1185" s="651" t="s">
        <v>93</v>
      </c>
      <c r="B1185" s="652">
        <v>2021</v>
      </c>
      <c r="C1185" s="651" t="s">
        <v>662</v>
      </c>
      <c r="D1185" s="651" t="s">
        <v>1507</v>
      </c>
      <c r="E1185" s="651" t="s">
        <v>664</v>
      </c>
      <c r="F1185" s="653">
        <v>0</v>
      </c>
      <c r="G1185" s="654"/>
      <c r="H1185" s="651" t="s">
        <v>650</v>
      </c>
      <c r="I1185" s="655"/>
      <c r="J1185" s="655"/>
      <c r="K1185" s="653">
        <v>0</v>
      </c>
      <c r="L1185" s="656">
        <v>0</v>
      </c>
    </row>
    <row r="1186" spans="1:12" ht="31.5" x14ac:dyDescent="0.25">
      <c r="A1186" s="651" t="s">
        <v>93</v>
      </c>
      <c r="B1186" s="652">
        <v>2021</v>
      </c>
      <c r="C1186" s="651" t="s">
        <v>665</v>
      </c>
      <c r="D1186" s="651" t="s">
        <v>1508</v>
      </c>
      <c r="E1186" s="651" t="s">
        <v>667</v>
      </c>
      <c r="F1186" s="653">
        <v>0</v>
      </c>
      <c r="G1186" s="654"/>
      <c r="H1186" s="651" t="s">
        <v>650</v>
      </c>
      <c r="I1186" s="655"/>
      <c r="J1186" s="655"/>
      <c r="K1186" s="653">
        <v>0</v>
      </c>
      <c r="L1186" s="656">
        <v>0</v>
      </c>
    </row>
    <row r="1187" spans="1:12" ht="21" x14ac:dyDescent="0.25">
      <c r="A1187" s="651" t="s">
        <v>93</v>
      </c>
      <c r="B1187" s="652">
        <v>2021</v>
      </c>
      <c r="C1187" s="651" t="s">
        <v>668</v>
      </c>
      <c r="D1187" s="651" t="s">
        <v>1509</v>
      </c>
      <c r="E1187" s="651" t="s">
        <v>12</v>
      </c>
      <c r="F1187" s="653">
        <v>0</v>
      </c>
      <c r="G1187" s="654"/>
      <c r="H1187" s="651" t="s">
        <v>650</v>
      </c>
      <c r="I1187" s="655"/>
      <c r="J1187" s="655"/>
      <c r="K1187" s="653">
        <v>0</v>
      </c>
      <c r="L1187" s="656">
        <v>0</v>
      </c>
    </row>
    <row r="1188" spans="1:12" ht="21" x14ac:dyDescent="0.25">
      <c r="A1188" s="651" t="s">
        <v>93</v>
      </c>
      <c r="B1188" s="652">
        <v>2021</v>
      </c>
      <c r="C1188" s="651" t="s">
        <v>670</v>
      </c>
      <c r="D1188" s="651" t="s">
        <v>1510</v>
      </c>
      <c r="E1188" s="651" t="s">
        <v>13</v>
      </c>
      <c r="F1188" s="653">
        <v>0</v>
      </c>
      <c r="G1188" s="654"/>
      <c r="H1188" s="651" t="s">
        <v>650</v>
      </c>
      <c r="I1188" s="655"/>
      <c r="J1188" s="655"/>
      <c r="K1188" s="653">
        <v>0</v>
      </c>
      <c r="L1188" s="656">
        <v>0</v>
      </c>
    </row>
    <row r="1189" spans="1:12" ht="21" x14ac:dyDescent="0.25">
      <c r="A1189" s="651" t="s">
        <v>93</v>
      </c>
      <c r="B1189" s="652">
        <v>2021</v>
      </c>
      <c r="C1189" s="651" t="s">
        <v>672</v>
      </c>
      <c r="D1189" s="651" t="s">
        <v>1511</v>
      </c>
      <c r="E1189" s="651" t="s">
        <v>15</v>
      </c>
      <c r="F1189" s="653">
        <v>0</v>
      </c>
      <c r="G1189" s="654"/>
      <c r="H1189" s="651" t="s">
        <v>650</v>
      </c>
      <c r="I1189" s="655"/>
      <c r="J1189" s="655"/>
      <c r="K1189" s="653">
        <v>0</v>
      </c>
      <c r="L1189" s="656">
        <v>0</v>
      </c>
    </row>
    <row r="1190" spans="1:12" ht="14.5" x14ac:dyDescent="0.25">
      <c r="A1190" s="651" t="s">
        <v>93</v>
      </c>
      <c r="B1190" s="652">
        <v>2021</v>
      </c>
      <c r="C1190" s="651" t="s">
        <v>674</v>
      </c>
      <c r="D1190" s="651" t="s">
        <v>1512</v>
      </c>
      <c r="E1190" s="651" t="s">
        <v>676</v>
      </c>
      <c r="F1190" s="653">
        <v>551.41999999999996</v>
      </c>
      <c r="G1190" s="654"/>
      <c r="H1190" s="651" t="s">
        <v>650</v>
      </c>
      <c r="I1190" s="655"/>
      <c r="J1190" s="655"/>
      <c r="K1190" s="653">
        <v>0</v>
      </c>
      <c r="L1190" s="656">
        <v>551.41999999999996</v>
      </c>
    </row>
    <row r="1191" spans="1:12" ht="14.5" x14ac:dyDescent="0.25">
      <c r="A1191" s="651" t="s">
        <v>93</v>
      </c>
      <c r="B1191" s="652">
        <v>2021</v>
      </c>
      <c r="C1191" s="651" t="s">
        <v>677</v>
      </c>
      <c r="D1191" s="651" t="s">
        <v>1513</v>
      </c>
      <c r="E1191" s="651" t="s">
        <v>23</v>
      </c>
      <c r="F1191" s="653">
        <v>812706.54</v>
      </c>
      <c r="G1191" s="651" t="s">
        <v>650</v>
      </c>
      <c r="H1191" s="654"/>
      <c r="I1191" s="653">
        <v>811066.375</v>
      </c>
      <c r="J1191" s="653">
        <v>1640.14001464844</v>
      </c>
      <c r="K1191" s="653">
        <v>812706.5625</v>
      </c>
      <c r="L1191" s="656">
        <v>812706.54</v>
      </c>
    </row>
    <row r="1192" spans="1:12" ht="31.5" x14ac:dyDescent="0.25">
      <c r="A1192" s="651" t="s">
        <v>93</v>
      </c>
      <c r="B1192" s="652">
        <v>2021</v>
      </c>
      <c r="C1192" s="651" t="s">
        <v>679</v>
      </c>
      <c r="D1192" s="651" t="s">
        <v>1514</v>
      </c>
      <c r="E1192" s="651" t="s">
        <v>131</v>
      </c>
      <c r="F1192" s="653">
        <v>-32709.86</v>
      </c>
      <c r="G1192" s="651" t="s">
        <v>650</v>
      </c>
      <c r="H1192" s="654"/>
      <c r="I1192" s="653">
        <v>-31376.109375</v>
      </c>
      <c r="J1192" s="653">
        <v>-1333.75</v>
      </c>
      <c r="K1192" s="653">
        <v>-32709.859375</v>
      </c>
      <c r="L1192" s="656">
        <v>-32709.86</v>
      </c>
    </row>
    <row r="1193" spans="1:12" ht="31.5" x14ac:dyDescent="0.25">
      <c r="A1193" s="651" t="s">
        <v>93</v>
      </c>
      <c r="B1193" s="652">
        <v>2021</v>
      </c>
      <c r="C1193" s="651" t="s">
        <v>681</v>
      </c>
      <c r="D1193" s="651" t="s">
        <v>1515</v>
      </c>
      <c r="E1193" s="651" t="s">
        <v>683</v>
      </c>
      <c r="F1193" s="653">
        <v>99347.34</v>
      </c>
      <c r="G1193" s="654"/>
      <c r="H1193" s="651" t="s">
        <v>650</v>
      </c>
      <c r="I1193" s="655"/>
      <c r="J1193" s="655"/>
      <c r="K1193" s="653">
        <v>0</v>
      </c>
      <c r="L1193" s="656">
        <v>99347.34</v>
      </c>
    </row>
    <row r="1194" spans="1:12" ht="21" x14ac:dyDescent="0.25">
      <c r="A1194" s="651" t="s">
        <v>93</v>
      </c>
      <c r="B1194" s="652">
        <v>2021</v>
      </c>
      <c r="C1194" s="651" t="s">
        <v>681</v>
      </c>
      <c r="D1194" s="651" t="s">
        <v>1515</v>
      </c>
      <c r="E1194" s="651" t="s">
        <v>684</v>
      </c>
      <c r="F1194" s="653">
        <v>0</v>
      </c>
      <c r="G1194" s="654"/>
      <c r="H1194" s="651" t="s">
        <v>650</v>
      </c>
      <c r="I1194" s="655"/>
      <c r="J1194" s="655"/>
      <c r="K1194" s="653">
        <v>0</v>
      </c>
      <c r="L1194" s="656">
        <v>0</v>
      </c>
    </row>
    <row r="1195" spans="1:12" ht="21" x14ac:dyDescent="0.25">
      <c r="A1195" s="651" t="s">
        <v>93</v>
      </c>
      <c r="B1195" s="652">
        <v>2021</v>
      </c>
      <c r="C1195" s="651" t="s">
        <v>685</v>
      </c>
      <c r="D1195" s="651" t="s">
        <v>1516</v>
      </c>
      <c r="E1195" s="651" t="s">
        <v>687</v>
      </c>
      <c r="F1195" s="653">
        <v>0</v>
      </c>
      <c r="G1195" s="654"/>
      <c r="H1195" s="651" t="s">
        <v>650</v>
      </c>
      <c r="I1195" s="655"/>
      <c r="J1195" s="655"/>
      <c r="K1195" s="653">
        <v>0</v>
      </c>
      <c r="L1195" s="656">
        <v>0</v>
      </c>
    </row>
    <row r="1196" spans="1:12" ht="14.5" x14ac:dyDescent="0.25">
      <c r="A1196" s="651" t="s">
        <v>93</v>
      </c>
      <c r="B1196" s="652">
        <v>2021</v>
      </c>
      <c r="C1196" s="651" t="s">
        <v>688</v>
      </c>
      <c r="D1196" s="651" t="s">
        <v>1517</v>
      </c>
      <c r="E1196" s="651" t="s">
        <v>50</v>
      </c>
      <c r="F1196" s="653">
        <v>465599.29</v>
      </c>
      <c r="G1196" s="654"/>
      <c r="H1196" s="651" t="s">
        <v>650</v>
      </c>
      <c r="I1196" s="655"/>
      <c r="J1196" s="655"/>
      <c r="K1196" s="653">
        <v>0</v>
      </c>
      <c r="L1196" s="656">
        <v>465599.29</v>
      </c>
    </row>
    <row r="1197" spans="1:12" ht="21" x14ac:dyDescent="0.25">
      <c r="A1197" s="651" t="s">
        <v>93</v>
      </c>
      <c r="B1197" s="652">
        <v>2021</v>
      </c>
      <c r="C1197" s="651" t="s">
        <v>690</v>
      </c>
      <c r="D1197" s="651" t="s">
        <v>1518</v>
      </c>
      <c r="E1197" s="651" t="s">
        <v>692</v>
      </c>
      <c r="F1197" s="653">
        <v>0</v>
      </c>
      <c r="G1197" s="654"/>
      <c r="H1197" s="651" t="s">
        <v>650</v>
      </c>
      <c r="I1197" s="655"/>
      <c r="J1197" s="655"/>
      <c r="K1197" s="653">
        <v>0</v>
      </c>
      <c r="L1197" s="656">
        <v>0</v>
      </c>
    </row>
    <row r="1198" spans="1:12" ht="21" x14ac:dyDescent="0.25">
      <c r="A1198" s="651" t="s">
        <v>93</v>
      </c>
      <c r="B1198" s="652">
        <v>2021</v>
      </c>
      <c r="C1198" s="651" t="s">
        <v>693</v>
      </c>
      <c r="D1198" s="651" t="s">
        <v>1519</v>
      </c>
      <c r="E1198" s="651" t="s">
        <v>6</v>
      </c>
      <c r="F1198" s="653">
        <v>0</v>
      </c>
      <c r="G1198" s="654"/>
      <c r="H1198" s="651" t="s">
        <v>650</v>
      </c>
      <c r="I1198" s="655"/>
      <c r="J1198" s="655"/>
      <c r="K1198" s="653">
        <v>0</v>
      </c>
      <c r="L1198" s="656">
        <v>0</v>
      </c>
    </row>
    <row r="1199" spans="1:12" ht="31.5" x14ac:dyDescent="0.25">
      <c r="A1199" s="651" t="s">
        <v>93</v>
      </c>
      <c r="B1199" s="652">
        <v>2021</v>
      </c>
      <c r="C1199" s="651" t="s">
        <v>695</v>
      </c>
      <c r="D1199" s="651" t="s">
        <v>1520</v>
      </c>
      <c r="E1199" s="651" t="s">
        <v>697</v>
      </c>
      <c r="F1199" s="653">
        <v>0</v>
      </c>
      <c r="G1199" s="654"/>
      <c r="H1199" s="651" t="s">
        <v>650</v>
      </c>
      <c r="I1199" s="655"/>
      <c r="J1199" s="655"/>
      <c r="K1199" s="653">
        <v>0</v>
      </c>
      <c r="L1199" s="656">
        <v>0</v>
      </c>
    </row>
    <row r="1200" spans="1:12" ht="21" x14ac:dyDescent="0.25">
      <c r="A1200" s="651" t="s">
        <v>93</v>
      </c>
      <c r="B1200" s="652">
        <v>2021</v>
      </c>
      <c r="C1200" s="651" t="s">
        <v>698</v>
      </c>
      <c r="D1200" s="651" t="s">
        <v>1521</v>
      </c>
      <c r="E1200" s="651" t="s">
        <v>700</v>
      </c>
      <c r="F1200" s="653">
        <v>0</v>
      </c>
      <c r="G1200" s="654"/>
      <c r="H1200" s="651" t="s">
        <v>650</v>
      </c>
      <c r="I1200" s="655"/>
      <c r="J1200" s="655"/>
      <c r="K1200" s="653">
        <v>0</v>
      </c>
      <c r="L1200" s="656">
        <v>0</v>
      </c>
    </row>
    <row r="1201" spans="1:12" ht="21" x14ac:dyDescent="0.25">
      <c r="A1201" s="651" t="s">
        <v>93</v>
      </c>
      <c r="B1201" s="652">
        <v>2021</v>
      </c>
      <c r="C1201" s="651" t="s">
        <v>701</v>
      </c>
      <c r="D1201" s="651" t="s">
        <v>1522</v>
      </c>
      <c r="E1201" s="651" t="s">
        <v>1</v>
      </c>
      <c r="F1201" s="653">
        <v>-505444.17</v>
      </c>
      <c r="G1201" s="651" t="s">
        <v>650</v>
      </c>
      <c r="H1201" s="654"/>
      <c r="I1201" s="653">
        <v>-488405.625</v>
      </c>
      <c r="J1201" s="653">
        <v>-17038.529296875</v>
      </c>
      <c r="K1201" s="653">
        <v>-505444.15625</v>
      </c>
      <c r="L1201" s="656">
        <v>-505444.17</v>
      </c>
    </row>
    <row r="1202" spans="1:12" ht="21" x14ac:dyDescent="0.25">
      <c r="A1202" s="651" t="s">
        <v>93</v>
      </c>
      <c r="B1202" s="652">
        <v>2021</v>
      </c>
      <c r="C1202" s="651" t="s">
        <v>701</v>
      </c>
      <c r="D1202" s="651" t="s">
        <v>1522</v>
      </c>
      <c r="E1202" s="651" t="s">
        <v>703</v>
      </c>
      <c r="F1202" s="653">
        <v>0</v>
      </c>
      <c r="G1202" s="654"/>
      <c r="H1202" s="654"/>
      <c r="I1202" s="655"/>
      <c r="J1202" s="655"/>
      <c r="K1202" s="653">
        <v>0</v>
      </c>
      <c r="L1202" s="656">
        <v>0</v>
      </c>
    </row>
    <row r="1203" spans="1:12" ht="21" x14ac:dyDescent="0.25">
      <c r="A1203" s="651" t="s">
        <v>93</v>
      </c>
      <c r="B1203" s="652">
        <v>2021</v>
      </c>
      <c r="C1203" s="651" t="s">
        <v>701</v>
      </c>
      <c r="D1203" s="651" t="s">
        <v>1522</v>
      </c>
      <c r="E1203" s="651" t="s">
        <v>704</v>
      </c>
      <c r="F1203" s="653">
        <v>0</v>
      </c>
      <c r="G1203" s="654"/>
      <c r="H1203" s="654"/>
      <c r="I1203" s="655"/>
      <c r="J1203" s="655"/>
      <c r="K1203" s="653">
        <v>0</v>
      </c>
      <c r="L1203" s="656">
        <v>0</v>
      </c>
    </row>
    <row r="1204" spans="1:12" ht="21" x14ac:dyDescent="0.25">
      <c r="A1204" s="651" t="s">
        <v>93</v>
      </c>
      <c r="B1204" s="652">
        <v>2021</v>
      </c>
      <c r="C1204" s="651" t="s">
        <v>701</v>
      </c>
      <c r="D1204" s="651" t="s">
        <v>1522</v>
      </c>
      <c r="E1204" s="651" t="s">
        <v>705</v>
      </c>
      <c r="F1204" s="653">
        <v>-2328</v>
      </c>
      <c r="G1204" s="654"/>
      <c r="H1204" s="654"/>
      <c r="I1204" s="655"/>
      <c r="J1204" s="655"/>
      <c r="K1204" s="653">
        <v>0</v>
      </c>
      <c r="L1204" s="656">
        <v>-2328</v>
      </c>
    </row>
    <row r="1205" spans="1:12" ht="21" x14ac:dyDescent="0.25">
      <c r="A1205" s="651" t="s">
        <v>93</v>
      </c>
      <c r="B1205" s="652">
        <v>2021</v>
      </c>
      <c r="C1205" s="651" t="s">
        <v>701</v>
      </c>
      <c r="D1205" s="651" t="s">
        <v>1522</v>
      </c>
      <c r="E1205" s="651" t="s">
        <v>706</v>
      </c>
      <c r="F1205" s="653">
        <v>-64097</v>
      </c>
      <c r="G1205" s="654"/>
      <c r="H1205" s="654"/>
      <c r="I1205" s="655"/>
      <c r="J1205" s="655"/>
      <c r="K1205" s="653">
        <v>0</v>
      </c>
      <c r="L1205" s="656">
        <v>-64097</v>
      </c>
    </row>
    <row r="1206" spans="1:12" ht="14.5" x14ac:dyDescent="0.25">
      <c r="A1206" s="651" t="s">
        <v>93</v>
      </c>
      <c r="B1206" s="652">
        <v>2021</v>
      </c>
      <c r="C1206" s="651" t="s">
        <v>707</v>
      </c>
      <c r="D1206" s="651" t="s">
        <v>1523</v>
      </c>
      <c r="E1206" s="651" t="s">
        <v>709</v>
      </c>
      <c r="F1206" s="653">
        <v>0</v>
      </c>
      <c r="G1206" s="654"/>
      <c r="H1206" s="651" t="s">
        <v>650</v>
      </c>
      <c r="I1206" s="655"/>
      <c r="J1206" s="655"/>
      <c r="K1206" s="653">
        <v>0</v>
      </c>
      <c r="L1206" s="656">
        <v>0</v>
      </c>
    </row>
    <row r="1207" spans="1:12" ht="31.5" x14ac:dyDescent="0.25">
      <c r="A1207" s="651" t="s">
        <v>93</v>
      </c>
      <c r="B1207" s="652">
        <v>2021</v>
      </c>
      <c r="C1207" s="651" t="s">
        <v>710</v>
      </c>
      <c r="D1207" s="651" t="s">
        <v>1524</v>
      </c>
      <c r="E1207" s="651" t="s">
        <v>2</v>
      </c>
      <c r="F1207" s="653">
        <v>557357.17000000004</v>
      </c>
      <c r="G1207" s="651" t="s">
        <v>650</v>
      </c>
      <c r="H1207" s="654"/>
      <c r="I1207" s="653">
        <v>549695.375</v>
      </c>
      <c r="J1207" s="653">
        <v>7661.7998046875</v>
      </c>
      <c r="K1207" s="653">
        <v>557357.1875</v>
      </c>
      <c r="L1207" s="656">
        <v>557357.17000000004</v>
      </c>
    </row>
    <row r="1208" spans="1:12" ht="31.5" x14ac:dyDescent="0.25">
      <c r="A1208" s="651" t="s">
        <v>93</v>
      </c>
      <c r="B1208" s="652">
        <v>2021</v>
      </c>
      <c r="C1208" s="651" t="s">
        <v>712</v>
      </c>
      <c r="D1208" s="651" t="s">
        <v>1525</v>
      </c>
      <c r="E1208" s="651" t="s">
        <v>3</v>
      </c>
      <c r="F1208" s="653">
        <v>256125.58</v>
      </c>
      <c r="G1208" s="651" t="s">
        <v>650</v>
      </c>
      <c r="H1208" s="654"/>
      <c r="I1208" s="653">
        <v>253441.8125</v>
      </c>
      <c r="J1208" s="653">
        <v>2683.77001953125</v>
      </c>
      <c r="K1208" s="653">
        <v>256125.578125</v>
      </c>
      <c r="L1208" s="656">
        <v>256125.58</v>
      </c>
    </row>
    <row r="1209" spans="1:12" ht="31.5" x14ac:dyDescent="0.25">
      <c r="A1209" s="651" t="s">
        <v>93</v>
      </c>
      <c r="B1209" s="652">
        <v>2021</v>
      </c>
      <c r="C1209" s="651" t="s">
        <v>714</v>
      </c>
      <c r="D1209" s="651" t="s">
        <v>1526</v>
      </c>
      <c r="E1209" s="651" t="s">
        <v>38</v>
      </c>
      <c r="F1209" s="653">
        <v>-1201561.8899999999</v>
      </c>
      <c r="G1209" s="651" t="s">
        <v>650</v>
      </c>
      <c r="H1209" s="654"/>
      <c r="I1209" s="653">
        <v>-1225004.75</v>
      </c>
      <c r="J1209" s="653">
        <v>23442.869140625</v>
      </c>
      <c r="K1209" s="653">
        <v>-1201561.875</v>
      </c>
      <c r="L1209" s="656">
        <v>-1201561.8899999999</v>
      </c>
    </row>
    <row r="1210" spans="1:12" ht="21" x14ac:dyDescent="0.25">
      <c r="A1210" s="651" t="s">
        <v>93</v>
      </c>
      <c r="B1210" s="652">
        <v>2021</v>
      </c>
      <c r="C1210" s="651" t="s">
        <v>716</v>
      </c>
      <c r="D1210" s="651" t="s">
        <v>1527</v>
      </c>
      <c r="E1210" s="651" t="s">
        <v>66</v>
      </c>
      <c r="F1210" s="653">
        <v>-2214698.7799999998</v>
      </c>
      <c r="G1210" s="651" t="s">
        <v>650</v>
      </c>
      <c r="H1210" s="654"/>
      <c r="I1210" s="653">
        <v>-2152928.75</v>
      </c>
      <c r="J1210" s="653">
        <v>-61769.94140625</v>
      </c>
      <c r="K1210" s="653">
        <v>-2214698.75</v>
      </c>
      <c r="L1210" s="656">
        <v>-2214698.7799999998</v>
      </c>
    </row>
    <row r="1211" spans="1:12" ht="31.5" x14ac:dyDescent="0.25">
      <c r="A1211" s="651" t="s">
        <v>93</v>
      </c>
      <c r="B1211" s="652">
        <v>2021</v>
      </c>
      <c r="C1211" s="651" t="s">
        <v>718</v>
      </c>
      <c r="D1211" s="651" t="s">
        <v>1528</v>
      </c>
      <c r="E1211" s="651" t="s">
        <v>720</v>
      </c>
      <c r="F1211" s="653">
        <v>0</v>
      </c>
      <c r="G1211" s="654"/>
      <c r="H1211" s="651" t="s">
        <v>650</v>
      </c>
      <c r="I1211" s="655"/>
      <c r="J1211" s="655"/>
      <c r="K1211" s="653">
        <v>0</v>
      </c>
      <c r="L1211" s="656">
        <v>0</v>
      </c>
    </row>
    <row r="1212" spans="1:12" ht="42" x14ac:dyDescent="0.25">
      <c r="A1212" s="651" t="s">
        <v>93</v>
      </c>
      <c r="B1212" s="652">
        <v>2021</v>
      </c>
      <c r="C1212" s="651" t="s">
        <v>721</v>
      </c>
      <c r="D1212" s="651" t="s">
        <v>1529</v>
      </c>
      <c r="E1212" s="651" t="s">
        <v>3016</v>
      </c>
      <c r="F1212" s="653">
        <v>0</v>
      </c>
      <c r="G1212" s="651" t="s">
        <v>650</v>
      </c>
      <c r="H1212" s="654"/>
      <c r="I1212" s="653">
        <v>-28298</v>
      </c>
      <c r="J1212" s="653">
        <v>-20484.2890625</v>
      </c>
      <c r="K1212" s="653">
        <v>-48782.2890625</v>
      </c>
      <c r="L1212" s="656">
        <v>-48782.29</v>
      </c>
    </row>
    <row r="1213" spans="1:12" ht="42" x14ac:dyDescent="0.25">
      <c r="A1213" s="651" t="s">
        <v>93</v>
      </c>
      <c r="B1213" s="652">
        <v>2021</v>
      </c>
      <c r="C1213" s="651" t="s">
        <v>721</v>
      </c>
      <c r="D1213" s="651" t="s">
        <v>1529</v>
      </c>
      <c r="E1213" s="651" t="s">
        <v>3058</v>
      </c>
      <c r="F1213" s="653">
        <v>0</v>
      </c>
      <c r="G1213" s="651" t="s">
        <v>650</v>
      </c>
      <c r="H1213" s="654"/>
      <c r="I1213" s="655"/>
      <c r="J1213" s="655"/>
      <c r="K1213" s="653">
        <v>0</v>
      </c>
      <c r="L1213" s="656">
        <v>0</v>
      </c>
    </row>
    <row r="1214" spans="1:12" ht="42" x14ac:dyDescent="0.25">
      <c r="A1214" s="651" t="s">
        <v>93</v>
      </c>
      <c r="B1214" s="652">
        <v>2021</v>
      </c>
      <c r="C1214" s="651" t="s">
        <v>721</v>
      </c>
      <c r="D1214" s="651" t="s">
        <v>1530</v>
      </c>
      <c r="E1214" s="651" t="s">
        <v>724</v>
      </c>
      <c r="F1214" s="653">
        <v>0</v>
      </c>
      <c r="G1214" s="651" t="s">
        <v>650</v>
      </c>
      <c r="H1214" s="654"/>
      <c r="I1214" s="655"/>
      <c r="J1214" s="655"/>
      <c r="K1214" s="653">
        <v>0</v>
      </c>
      <c r="L1214" s="656">
        <v>0</v>
      </c>
    </row>
    <row r="1215" spans="1:12" ht="42" x14ac:dyDescent="0.25">
      <c r="A1215" s="651" t="s">
        <v>93</v>
      </c>
      <c r="B1215" s="652">
        <v>2021</v>
      </c>
      <c r="C1215" s="651" t="s">
        <v>721</v>
      </c>
      <c r="D1215" s="651" t="s">
        <v>1531</v>
      </c>
      <c r="E1215" s="651" t="s">
        <v>55</v>
      </c>
      <c r="F1215" s="653">
        <v>0</v>
      </c>
      <c r="G1215" s="651" t="s">
        <v>650</v>
      </c>
      <c r="H1215" s="654"/>
      <c r="I1215" s="655"/>
      <c r="J1215" s="655"/>
      <c r="K1215" s="653">
        <v>0</v>
      </c>
      <c r="L1215" s="656">
        <v>0</v>
      </c>
    </row>
    <row r="1216" spans="1:12" ht="42" x14ac:dyDescent="0.25">
      <c r="A1216" s="651" t="s">
        <v>93</v>
      </c>
      <c r="B1216" s="652">
        <v>2021</v>
      </c>
      <c r="C1216" s="651" t="s">
        <v>721</v>
      </c>
      <c r="D1216" s="651" t="s">
        <v>1532</v>
      </c>
      <c r="E1216" s="651" t="s">
        <v>56</v>
      </c>
      <c r="F1216" s="653">
        <v>0</v>
      </c>
      <c r="G1216" s="651" t="s">
        <v>650</v>
      </c>
      <c r="H1216" s="654"/>
      <c r="I1216" s="655"/>
      <c r="J1216" s="655"/>
      <c r="K1216" s="653">
        <v>0</v>
      </c>
      <c r="L1216" s="656">
        <v>0</v>
      </c>
    </row>
    <row r="1217" spans="1:12" ht="42" x14ac:dyDescent="0.25">
      <c r="A1217" s="651" t="s">
        <v>93</v>
      </c>
      <c r="B1217" s="652">
        <v>2021</v>
      </c>
      <c r="C1217" s="651" t="s">
        <v>721</v>
      </c>
      <c r="D1217" s="651" t="s">
        <v>1533</v>
      </c>
      <c r="E1217" s="651" t="s">
        <v>728</v>
      </c>
      <c r="F1217" s="653">
        <v>0</v>
      </c>
      <c r="G1217" s="651" t="s">
        <v>650</v>
      </c>
      <c r="H1217" s="654"/>
      <c r="I1217" s="655"/>
      <c r="J1217" s="655"/>
      <c r="K1217" s="653">
        <v>0</v>
      </c>
      <c r="L1217" s="656">
        <v>0</v>
      </c>
    </row>
    <row r="1218" spans="1:12" ht="42" x14ac:dyDescent="0.25">
      <c r="A1218" s="651" t="s">
        <v>93</v>
      </c>
      <c r="B1218" s="652">
        <v>2021</v>
      </c>
      <c r="C1218" s="651" t="s">
        <v>721</v>
      </c>
      <c r="D1218" s="651" t="s">
        <v>1534</v>
      </c>
      <c r="E1218" s="651" t="s">
        <v>730</v>
      </c>
      <c r="F1218" s="653">
        <v>0</v>
      </c>
      <c r="G1218" s="651" t="s">
        <v>650</v>
      </c>
      <c r="H1218" s="654"/>
      <c r="I1218" s="655"/>
      <c r="J1218" s="655"/>
      <c r="K1218" s="653">
        <v>0</v>
      </c>
      <c r="L1218" s="656">
        <v>0</v>
      </c>
    </row>
    <row r="1219" spans="1:12" ht="42" x14ac:dyDescent="0.25">
      <c r="A1219" s="651" t="s">
        <v>93</v>
      </c>
      <c r="B1219" s="652">
        <v>2021</v>
      </c>
      <c r="C1219" s="651" t="s">
        <v>721</v>
      </c>
      <c r="D1219" s="651" t="s">
        <v>1535</v>
      </c>
      <c r="E1219" s="651" t="s">
        <v>142</v>
      </c>
      <c r="F1219" s="653">
        <v>0</v>
      </c>
      <c r="G1219" s="651" t="s">
        <v>650</v>
      </c>
      <c r="H1219" s="654"/>
      <c r="I1219" s="655"/>
      <c r="J1219" s="655"/>
      <c r="K1219" s="653">
        <v>0</v>
      </c>
      <c r="L1219" s="656">
        <v>0</v>
      </c>
    </row>
    <row r="1220" spans="1:12" ht="42" x14ac:dyDescent="0.25">
      <c r="A1220" s="651" t="s">
        <v>93</v>
      </c>
      <c r="B1220" s="652">
        <v>2021</v>
      </c>
      <c r="C1220" s="651" t="s">
        <v>721</v>
      </c>
      <c r="D1220" s="651" t="s">
        <v>1536</v>
      </c>
      <c r="E1220" s="651" t="s">
        <v>143</v>
      </c>
      <c r="F1220" s="653">
        <v>0</v>
      </c>
      <c r="G1220" s="651" t="s">
        <v>650</v>
      </c>
      <c r="H1220" s="654"/>
      <c r="I1220" s="655"/>
      <c r="J1220" s="655"/>
      <c r="K1220" s="653">
        <v>0</v>
      </c>
      <c r="L1220" s="656">
        <v>0</v>
      </c>
    </row>
    <row r="1221" spans="1:12" ht="42" x14ac:dyDescent="0.25">
      <c r="A1221" s="651" t="s">
        <v>93</v>
      </c>
      <c r="B1221" s="652">
        <v>2021</v>
      </c>
      <c r="C1221" s="651" t="s">
        <v>721</v>
      </c>
      <c r="D1221" s="651" t="s">
        <v>1537</v>
      </c>
      <c r="E1221" s="651" t="s">
        <v>182</v>
      </c>
      <c r="F1221" s="653">
        <v>0</v>
      </c>
      <c r="G1221" s="651" t="s">
        <v>650</v>
      </c>
      <c r="H1221" s="654"/>
      <c r="I1221" s="655"/>
      <c r="J1221" s="655"/>
      <c r="K1221" s="653">
        <v>0</v>
      </c>
      <c r="L1221" s="656">
        <v>0</v>
      </c>
    </row>
    <row r="1222" spans="1:12" ht="42" x14ac:dyDescent="0.25">
      <c r="A1222" s="651" t="s">
        <v>93</v>
      </c>
      <c r="B1222" s="652">
        <v>2021</v>
      </c>
      <c r="C1222" s="651" t="s">
        <v>721</v>
      </c>
      <c r="D1222" s="651" t="s">
        <v>1538</v>
      </c>
      <c r="E1222" s="651" t="s">
        <v>394</v>
      </c>
      <c r="F1222" s="653">
        <v>0</v>
      </c>
      <c r="G1222" s="651" t="s">
        <v>650</v>
      </c>
      <c r="H1222" s="654"/>
      <c r="I1222" s="653">
        <v>-27867</v>
      </c>
      <c r="J1222" s="653">
        <v>62189.828125</v>
      </c>
      <c r="K1222" s="653">
        <v>34322.828125</v>
      </c>
      <c r="L1222" s="656">
        <v>34322.83</v>
      </c>
    </row>
    <row r="1223" spans="1:12" ht="42" x14ac:dyDescent="0.25">
      <c r="A1223" s="651" t="s">
        <v>93</v>
      </c>
      <c r="B1223" s="652">
        <v>2021</v>
      </c>
      <c r="C1223" s="651" t="s">
        <v>721</v>
      </c>
      <c r="D1223" s="651" t="s">
        <v>1539</v>
      </c>
      <c r="E1223" s="651" t="s">
        <v>423</v>
      </c>
      <c r="F1223" s="653">
        <v>0</v>
      </c>
      <c r="G1223" s="651" t="s">
        <v>650</v>
      </c>
      <c r="H1223" s="654"/>
      <c r="I1223" s="655"/>
      <c r="J1223" s="655"/>
      <c r="K1223" s="653">
        <v>0</v>
      </c>
      <c r="L1223" s="656">
        <v>0</v>
      </c>
    </row>
    <row r="1224" spans="1:12" ht="42" x14ac:dyDescent="0.25">
      <c r="A1224" s="651" t="s">
        <v>93</v>
      </c>
      <c r="B1224" s="652">
        <v>2021</v>
      </c>
      <c r="C1224" s="651" t="s">
        <v>721</v>
      </c>
      <c r="D1224" s="651" t="s">
        <v>3217</v>
      </c>
      <c r="E1224" s="651" t="s">
        <v>441</v>
      </c>
      <c r="F1224" s="653">
        <v>0</v>
      </c>
      <c r="G1224" s="651" t="s">
        <v>650</v>
      </c>
      <c r="H1224" s="654"/>
      <c r="I1224" s="653">
        <v>-217814.6875</v>
      </c>
      <c r="J1224" s="653">
        <v>200170.0625</v>
      </c>
      <c r="K1224" s="653">
        <v>-17644.619140625</v>
      </c>
      <c r="L1224" s="656">
        <v>-17644.62</v>
      </c>
    </row>
    <row r="1225" spans="1:12" ht="42" x14ac:dyDescent="0.25">
      <c r="A1225" s="651" t="s">
        <v>93</v>
      </c>
      <c r="B1225" s="652">
        <v>2021</v>
      </c>
      <c r="C1225" s="651" t="s">
        <v>721</v>
      </c>
      <c r="D1225" s="651" t="s">
        <v>1540</v>
      </c>
      <c r="E1225" s="651" t="s">
        <v>737</v>
      </c>
      <c r="F1225" s="653">
        <v>-32104.080000000002</v>
      </c>
      <c r="G1225" s="654"/>
      <c r="H1225" s="654"/>
      <c r="I1225" s="655"/>
      <c r="J1225" s="655"/>
      <c r="K1225" s="653">
        <v>0</v>
      </c>
      <c r="L1225" s="656">
        <v>-32104.080000000002</v>
      </c>
    </row>
    <row r="1226" spans="1:12" ht="14.5" x14ac:dyDescent="0.25">
      <c r="A1226" s="651" t="s">
        <v>93</v>
      </c>
      <c r="B1226" s="652">
        <v>2021</v>
      </c>
      <c r="C1226" s="651" t="s">
        <v>738</v>
      </c>
      <c r="D1226" s="651" t="s">
        <v>1541</v>
      </c>
      <c r="E1226" s="651" t="s">
        <v>7</v>
      </c>
      <c r="F1226" s="653">
        <v>-325058.65000000002</v>
      </c>
      <c r="G1226" s="654"/>
      <c r="H1226" s="651" t="s">
        <v>650</v>
      </c>
      <c r="I1226" s="655"/>
      <c r="J1226" s="655"/>
      <c r="K1226" s="653">
        <v>0</v>
      </c>
      <c r="L1226" s="656">
        <v>-325058.65000000002</v>
      </c>
    </row>
    <row r="1227" spans="1:12" ht="21" x14ac:dyDescent="0.25">
      <c r="A1227" s="651" t="s">
        <v>3218</v>
      </c>
      <c r="B1227" s="652">
        <v>2021</v>
      </c>
      <c r="C1227" s="651" t="s">
        <v>647</v>
      </c>
      <c r="D1227" s="651" t="s">
        <v>3219</v>
      </c>
      <c r="E1227" s="651" t="s">
        <v>649</v>
      </c>
      <c r="F1227" s="653">
        <v>-67070.179999999993</v>
      </c>
      <c r="G1227" s="654"/>
      <c r="H1227" s="651" t="s">
        <v>650</v>
      </c>
      <c r="I1227" s="655"/>
      <c r="J1227" s="655"/>
      <c r="K1227" s="653">
        <v>0</v>
      </c>
      <c r="L1227" s="656">
        <v>-67070.179999999993</v>
      </c>
    </row>
    <row r="1228" spans="1:12" ht="21" x14ac:dyDescent="0.25">
      <c r="A1228" s="651" t="s">
        <v>3218</v>
      </c>
      <c r="B1228" s="652">
        <v>2021</v>
      </c>
      <c r="C1228" s="651" t="s">
        <v>651</v>
      </c>
      <c r="D1228" s="651" t="s">
        <v>3220</v>
      </c>
      <c r="E1228" s="651" t="s">
        <v>653</v>
      </c>
      <c r="F1228" s="653">
        <v>4826.3100000000004</v>
      </c>
      <c r="G1228" s="654"/>
      <c r="H1228" s="651" t="s">
        <v>650</v>
      </c>
      <c r="I1228" s="655"/>
      <c r="J1228" s="655"/>
      <c r="K1228" s="653">
        <v>0</v>
      </c>
      <c r="L1228" s="656">
        <v>4826.3100000000004</v>
      </c>
    </row>
    <row r="1229" spans="1:12" ht="42" x14ac:dyDescent="0.25">
      <c r="A1229" s="651" t="s">
        <v>3218</v>
      </c>
      <c r="B1229" s="652">
        <v>2021</v>
      </c>
      <c r="C1229" s="651" t="s">
        <v>654</v>
      </c>
      <c r="D1229" s="651" t="s">
        <v>3221</v>
      </c>
      <c r="E1229" s="651" t="s">
        <v>445</v>
      </c>
      <c r="F1229" s="653">
        <v>0</v>
      </c>
      <c r="G1229" s="654"/>
      <c r="H1229" s="651" t="s">
        <v>650</v>
      </c>
      <c r="I1229" s="655"/>
      <c r="J1229" s="655"/>
      <c r="K1229" s="653">
        <v>0</v>
      </c>
      <c r="L1229" s="656">
        <v>0</v>
      </c>
    </row>
    <row r="1230" spans="1:12" ht="21" x14ac:dyDescent="0.25">
      <c r="A1230" s="651" t="s">
        <v>3218</v>
      </c>
      <c r="B1230" s="652">
        <v>2021</v>
      </c>
      <c r="C1230" s="651" t="s">
        <v>656</v>
      </c>
      <c r="D1230" s="651" t="s">
        <v>3222</v>
      </c>
      <c r="E1230" s="651" t="s">
        <v>658</v>
      </c>
      <c r="F1230" s="653">
        <v>4.2</v>
      </c>
      <c r="G1230" s="654"/>
      <c r="H1230" s="651" t="s">
        <v>650</v>
      </c>
      <c r="I1230" s="655"/>
      <c r="J1230" s="655"/>
      <c r="K1230" s="653">
        <v>0</v>
      </c>
      <c r="L1230" s="656">
        <v>4.2</v>
      </c>
    </row>
    <row r="1231" spans="1:12" ht="31.5" x14ac:dyDescent="0.25">
      <c r="A1231" s="651" t="s">
        <v>3218</v>
      </c>
      <c r="B1231" s="652">
        <v>2021</v>
      </c>
      <c r="C1231" s="651" t="s">
        <v>659</v>
      </c>
      <c r="D1231" s="651" t="s">
        <v>3223</v>
      </c>
      <c r="E1231" s="651" t="s">
        <v>661</v>
      </c>
      <c r="F1231" s="653">
        <v>0</v>
      </c>
      <c r="G1231" s="654"/>
      <c r="H1231" s="651" t="s">
        <v>650</v>
      </c>
      <c r="I1231" s="655"/>
      <c r="J1231" s="655"/>
      <c r="K1231" s="653">
        <v>0</v>
      </c>
      <c r="L1231" s="656">
        <v>0</v>
      </c>
    </row>
    <row r="1232" spans="1:12" ht="21" x14ac:dyDescent="0.25">
      <c r="A1232" s="651" t="s">
        <v>3218</v>
      </c>
      <c r="B1232" s="652">
        <v>2021</v>
      </c>
      <c r="C1232" s="651" t="s">
        <v>662</v>
      </c>
      <c r="D1232" s="651" t="s">
        <v>3224</v>
      </c>
      <c r="E1232" s="651" t="s">
        <v>664</v>
      </c>
      <c r="F1232" s="653">
        <v>0</v>
      </c>
      <c r="G1232" s="654"/>
      <c r="H1232" s="651" t="s">
        <v>650</v>
      </c>
      <c r="I1232" s="655"/>
      <c r="J1232" s="655"/>
      <c r="K1232" s="653">
        <v>0</v>
      </c>
      <c r="L1232" s="656">
        <v>0</v>
      </c>
    </row>
    <row r="1233" spans="1:12" ht="31.5" x14ac:dyDescent="0.25">
      <c r="A1233" s="651" t="s">
        <v>3218</v>
      </c>
      <c r="B1233" s="652">
        <v>2021</v>
      </c>
      <c r="C1233" s="651" t="s">
        <v>665</v>
      </c>
      <c r="D1233" s="651" t="s">
        <v>3225</v>
      </c>
      <c r="E1233" s="651" t="s">
        <v>667</v>
      </c>
      <c r="F1233" s="653">
        <v>0</v>
      </c>
      <c r="G1233" s="654"/>
      <c r="H1233" s="651" t="s">
        <v>650</v>
      </c>
      <c r="I1233" s="655"/>
      <c r="J1233" s="655"/>
      <c r="K1233" s="653">
        <v>0</v>
      </c>
      <c r="L1233" s="656">
        <v>0</v>
      </c>
    </row>
    <row r="1234" spans="1:12" ht="21" x14ac:dyDescent="0.25">
      <c r="A1234" s="651" t="s">
        <v>3218</v>
      </c>
      <c r="B1234" s="652">
        <v>2021</v>
      </c>
      <c r="C1234" s="651" t="s">
        <v>668</v>
      </c>
      <c r="D1234" s="651" t="s">
        <v>3226</v>
      </c>
      <c r="E1234" s="651" t="s">
        <v>12</v>
      </c>
      <c r="F1234" s="653">
        <v>0</v>
      </c>
      <c r="G1234" s="654"/>
      <c r="H1234" s="651" t="s">
        <v>650</v>
      </c>
      <c r="I1234" s="655"/>
      <c r="J1234" s="655"/>
      <c r="K1234" s="653">
        <v>0</v>
      </c>
      <c r="L1234" s="656">
        <v>0</v>
      </c>
    </row>
    <row r="1235" spans="1:12" ht="21" x14ac:dyDescent="0.25">
      <c r="A1235" s="651" t="s">
        <v>3218</v>
      </c>
      <c r="B1235" s="652">
        <v>2021</v>
      </c>
      <c r="C1235" s="651" t="s">
        <v>670</v>
      </c>
      <c r="D1235" s="651" t="s">
        <v>3227</v>
      </c>
      <c r="E1235" s="651" t="s">
        <v>13</v>
      </c>
      <c r="F1235" s="653">
        <v>0</v>
      </c>
      <c r="G1235" s="654"/>
      <c r="H1235" s="651" t="s">
        <v>650</v>
      </c>
      <c r="I1235" s="655"/>
      <c r="J1235" s="655"/>
      <c r="K1235" s="653">
        <v>0</v>
      </c>
      <c r="L1235" s="656">
        <v>0</v>
      </c>
    </row>
    <row r="1236" spans="1:12" ht="21" x14ac:dyDescent="0.25">
      <c r="A1236" s="651" t="s">
        <v>3218</v>
      </c>
      <c r="B1236" s="652">
        <v>2021</v>
      </c>
      <c r="C1236" s="651" t="s">
        <v>672</v>
      </c>
      <c r="D1236" s="651" t="s">
        <v>3228</v>
      </c>
      <c r="E1236" s="651" t="s">
        <v>15</v>
      </c>
      <c r="F1236" s="653">
        <v>0</v>
      </c>
      <c r="G1236" s="654"/>
      <c r="H1236" s="651" t="s">
        <v>650</v>
      </c>
      <c r="I1236" s="655"/>
      <c r="J1236" s="655"/>
      <c r="K1236" s="653">
        <v>0</v>
      </c>
      <c r="L1236" s="656">
        <v>0</v>
      </c>
    </row>
    <row r="1237" spans="1:12" ht="21" x14ac:dyDescent="0.25">
      <c r="A1237" s="651" t="s">
        <v>3218</v>
      </c>
      <c r="B1237" s="652">
        <v>2021</v>
      </c>
      <c r="C1237" s="651" t="s">
        <v>674</v>
      </c>
      <c r="D1237" s="651" t="s">
        <v>3229</v>
      </c>
      <c r="E1237" s="651" t="s">
        <v>676</v>
      </c>
      <c r="F1237" s="653">
        <v>0</v>
      </c>
      <c r="G1237" s="654"/>
      <c r="H1237" s="651" t="s">
        <v>650</v>
      </c>
      <c r="I1237" s="655"/>
      <c r="J1237" s="655"/>
      <c r="K1237" s="653">
        <v>0</v>
      </c>
      <c r="L1237" s="656">
        <v>0</v>
      </c>
    </row>
    <row r="1238" spans="1:12" ht="21" x14ac:dyDescent="0.25">
      <c r="A1238" s="651" t="s">
        <v>3218</v>
      </c>
      <c r="B1238" s="652">
        <v>2021</v>
      </c>
      <c r="C1238" s="651" t="s">
        <v>677</v>
      </c>
      <c r="D1238" s="651" t="s">
        <v>3230</v>
      </c>
      <c r="E1238" s="651" t="s">
        <v>23</v>
      </c>
      <c r="F1238" s="653">
        <v>170030.37</v>
      </c>
      <c r="G1238" s="651" t="s">
        <v>650</v>
      </c>
      <c r="H1238" s="654"/>
      <c r="I1238" s="653">
        <v>169380.21875</v>
      </c>
      <c r="J1238" s="653">
        <v>650.15002441406295</v>
      </c>
      <c r="K1238" s="653">
        <v>170030.375</v>
      </c>
      <c r="L1238" s="656">
        <v>170030.37</v>
      </c>
    </row>
    <row r="1239" spans="1:12" ht="31.5" x14ac:dyDescent="0.25">
      <c r="A1239" s="651" t="s">
        <v>3218</v>
      </c>
      <c r="B1239" s="652">
        <v>2021</v>
      </c>
      <c r="C1239" s="651" t="s">
        <v>679</v>
      </c>
      <c r="D1239" s="651" t="s">
        <v>3231</v>
      </c>
      <c r="E1239" s="651" t="s">
        <v>131</v>
      </c>
      <c r="F1239" s="653">
        <v>-336.89</v>
      </c>
      <c r="G1239" s="651" t="s">
        <v>650</v>
      </c>
      <c r="H1239" s="654"/>
      <c r="I1239" s="653">
        <v>-335.08999633789102</v>
      </c>
      <c r="J1239" s="653">
        <v>-1.79999995231628</v>
      </c>
      <c r="K1239" s="653">
        <v>-336.89001464843801</v>
      </c>
      <c r="L1239" s="656">
        <v>-336.89</v>
      </c>
    </row>
    <row r="1240" spans="1:12" ht="31.5" x14ac:dyDescent="0.25">
      <c r="A1240" s="651" t="s">
        <v>3218</v>
      </c>
      <c r="B1240" s="652">
        <v>2021</v>
      </c>
      <c r="C1240" s="651" t="s">
        <v>681</v>
      </c>
      <c r="D1240" s="651" t="s">
        <v>3232</v>
      </c>
      <c r="E1240" s="651" t="s">
        <v>683</v>
      </c>
      <c r="F1240" s="653">
        <v>-1125.51</v>
      </c>
      <c r="G1240" s="654"/>
      <c r="H1240" s="651" t="s">
        <v>650</v>
      </c>
      <c r="I1240" s="655"/>
      <c r="J1240" s="655"/>
      <c r="K1240" s="653">
        <v>0</v>
      </c>
      <c r="L1240" s="656">
        <v>-1125.51</v>
      </c>
    </row>
    <row r="1241" spans="1:12" ht="21" x14ac:dyDescent="0.25">
      <c r="A1241" s="651" t="s">
        <v>3218</v>
      </c>
      <c r="B1241" s="652">
        <v>2021</v>
      </c>
      <c r="C1241" s="651" t="s">
        <v>681</v>
      </c>
      <c r="D1241" s="651" t="s">
        <v>3232</v>
      </c>
      <c r="E1241" s="651" t="s">
        <v>684</v>
      </c>
      <c r="F1241" s="653">
        <v>0</v>
      </c>
      <c r="G1241" s="654"/>
      <c r="H1241" s="651" t="s">
        <v>650</v>
      </c>
      <c r="I1241" s="655"/>
      <c r="J1241" s="655"/>
      <c r="K1241" s="653">
        <v>0</v>
      </c>
      <c r="L1241" s="656">
        <v>0</v>
      </c>
    </row>
    <row r="1242" spans="1:12" ht="21" x14ac:dyDescent="0.25">
      <c r="A1242" s="651" t="s">
        <v>3218</v>
      </c>
      <c r="B1242" s="652">
        <v>2021</v>
      </c>
      <c r="C1242" s="651" t="s">
        <v>685</v>
      </c>
      <c r="D1242" s="651" t="s">
        <v>3233</v>
      </c>
      <c r="E1242" s="651" t="s">
        <v>687</v>
      </c>
      <c r="F1242" s="653">
        <v>0</v>
      </c>
      <c r="G1242" s="654"/>
      <c r="H1242" s="651" t="s">
        <v>650</v>
      </c>
      <c r="I1242" s="655"/>
      <c r="J1242" s="655"/>
      <c r="K1242" s="653">
        <v>0</v>
      </c>
      <c r="L1242" s="656">
        <v>0</v>
      </c>
    </row>
    <row r="1243" spans="1:12" ht="21" x14ac:dyDescent="0.25">
      <c r="A1243" s="651" t="s">
        <v>3218</v>
      </c>
      <c r="B1243" s="652">
        <v>2021</v>
      </c>
      <c r="C1243" s="651" t="s">
        <v>688</v>
      </c>
      <c r="D1243" s="651" t="s">
        <v>3234</v>
      </c>
      <c r="E1243" s="651" t="s">
        <v>50</v>
      </c>
      <c r="F1243" s="653">
        <v>0</v>
      </c>
      <c r="G1243" s="654"/>
      <c r="H1243" s="651" t="s">
        <v>650</v>
      </c>
      <c r="I1243" s="655"/>
      <c r="J1243" s="655"/>
      <c r="K1243" s="653">
        <v>0</v>
      </c>
      <c r="L1243" s="656">
        <v>0</v>
      </c>
    </row>
    <row r="1244" spans="1:12" ht="21" x14ac:dyDescent="0.25">
      <c r="A1244" s="651" t="s">
        <v>3218</v>
      </c>
      <c r="B1244" s="652">
        <v>2021</v>
      </c>
      <c r="C1244" s="651" t="s">
        <v>690</v>
      </c>
      <c r="D1244" s="651" t="s">
        <v>3235</v>
      </c>
      <c r="E1244" s="651" t="s">
        <v>692</v>
      </c>
      <c r="F1244" s="653">
        <v>0</v>
      </c>
      <c r="G1244" s="654"/>
      <c r="H1244" s="651" t="s">
        <v>650</v>
      </c>
      <c r="I1244" s="655"/>
      <c r="J1244" s="655"/>
      <c r="K1244" s="653">
        <v>0</v>
      </c>
      <c r="L1244" s="656">
        <v>0</v>
      </c>
    </row>
    <row r="1245" spans="1:12" ht="21" x14ac:dyDescent="0.25">
      <c r="A1245" s="651" t="s">
        <v>3218</v>
      </c>
      <c r="B1245" s="652">
        <v>2021</v>
      </c>
      <c r="C1245" s="651" t="s">
        <v>693</v>
      </c>
      <c r="D1245" s="651" t="s">
        <v>3236</v>
      </c>
      <c r="E1245" s="651" t="s">
        <v>6</v>
      </c>
      <c r="F1245" s="653">
        <v>0</v>
      </c>
      <c r="G1245" s="654"/>
      <c r="H1245" s="651" t="s">
        <v>650</v>
      </c>
      <c r="I1245" s="655"/>
      <c r="J1245" s="655"/>
      <c r="K1245" s="653">
        <v>0</v>
      </c>
      <c r="L1245" s="656">
        <v>0</v>
      </c>
    </row>
    <row r="1246" spans="1:12" ht="31.5" x14ac:dyDescent="0.25">
      <c r="A1246" s="651" t="s">
        <v>3218</v>
      </c>
      <c r="B1246" s="652">
        <v>2021</v>
      </c>
      <c r="C1246" s="651" t="s">
        <v>695</v>
      </c>
      <c r="D1246" s="651" t="s">
        <v>3237</v>
      </c>
      <c r="E1246" s="651" t="s">
        <v>697</v>
      </c>
      <c r="F1246" s="653">
        <v>0</v>
      </c>
      <c r="G1246" s="654"/>
      <c r="H1246" s="651" t="s">
        <v>650</v>
      </c>
      <c r="I1246" s="655"/>
      <c r="J1246" s="655"/>
      <c r="K1246" s="653">
        <v>0</v>
      </c>
      <c r="L1246" s="656">
        <v>0</v>
      </c>
    </row>
    <row r="1247" spans="1:12" ht="21" x14ac:dyDescent="0.25">
      <c r="A1247" s="651" t="s">
        <v>3218</v>
      </c>
      <c r="B1247" s="652">
        <v>2021</v>
      </c>
      <c r="C1247" s="651" t="s">
        <v>698</v>
      </c>
      <c r="D1247" s="651" t="s">
        <v>3238</v>
      </c>
      <c r="E1247" s="651" t="s">
        <v>700</v>
      </c>
      <c r="F1247" s="653">
        <v>0</v>
      </c>
      <c r="G1247" s="654"/>
      <c r="H1247" s="651" t="s">
        <v>650</v>
      </c>
      <c r="I1247" s="655"/>
      <c r="J1247" s="655"/>
      <c r="K1247" s="653">
        <v>0</v>
      </c>
      <c r="L1247" s="656">
        <v>0</v>
      </c>
    </row>
    <row r="1248" spans="1:12" ht="21" x14ac:dyDescent="0.25">
      <c r="A1248" s="651" t="s">
        <v>3218</v>
      </c>
      <c r="B1248" s="652">
        <v>2021</v>
      </c>
      <c r="C1248" s="651" t="s">
        <v>701</v>
      </c>
      <c r="D1248" s="651" t="s">
        <v>3239</v>
      </c>
      <c r="E1248" s="651" t="s">
        <v>1</v>
      </c>
      <c r="F1248" s="653">
        <v>-36140.050000000003</v>
      </c>
      <c r="G1248" s="651" t="s">
        <v>650</v>
      </c>
      <c r="H1248" s="654"/>
      <c r="I1248" s="653">
        <v>-35958.76953125</v>
      </c>
      <c r="J1248" s="653">
        <v>-181.27999877929699</v>
      </c>
      <c r="K1248" s="653">
        <v>-36140.05078125</v>
      </c>
      <c r="L1248" s="656">
        <v>-36140.050000000003</v>
      </c>
    </row>
    <row r="1249" spans="1:12" ht="21" x14ac:dyDescent="0.25">
      <c r="A1249" s="651" t="s">
        <v>3218</v>
      </c>
      <c r="B1249" s="652">
        <v>2021</v>
      </c>
      <c r="C1249" s="651" t="s">
        <v>701</v>
      </c>
      <c r="D1249" s="651" t="s">
        <v>3239</v>
      </c>
      <c r="E1249" s="651" t="s">
        <v>703</v>
      </c>
      <c r="F1249" s="653">
        <v>0</v>
      </c>
      <c r="G1249" s="654"/>
      <c r="H1249" s="654"/>
      <c r="I1249" s="655"/>
      <c r="J1249" s="655"/>
      <c r="K1249" s="653">
        <v>0</v>
      </c>
      <c r="L1249" s="656">
        <v>0</v>
      </c>
    </row>
    <row r="1250" spans="1:12" ht="21" x14ac:dyDescent="0.25">
      <c r="A1250" s="651" t="s">
        <v>3218</v>
      </c>
      <c r="B1250" s="652">
        <v>2021</v>
      </c>
      <c r="C1250" s="651" t="s">
        <v>701</v>
      </c>
      <c r="D1250" s="651" t="s">
        <v>3239</v>
      </c>
      <c r="E1250" s="651" t="s">
        <v>704</v>
      </c>
      <c r="F1250" s="653">
        <v>0</v>
      </c>
      <c r="G1250" s="654"/>
      <c r="H1250" s="654"/>
      <c r="I1250" s="655"/>
      <c r="J1250" s="655"/>
      <c r="K1250" s="653">
        <v>0</v>
      </c>
      <c r="L1250" s="656">
        <v>0</v>
      </c>
    </row>
    <row r="1251" spans="1:12" ht="21" x14ac:dyDescent="0.25">
      <c r="A1251" s="651" t="s">
        <v>3218</v>
      </c>
      <c r="B1251" s="652">
        <v>2021</v>
      </c>
      <c r="C1251" s="651" t="s">
        <v>701</v>
      </c>
      <c r="D1251" s="651" t="s">
        <v>3239</v>
      </c>
      <c r="E1251" s="651" t="s">
        <v>705</v>
      </c>
      <c r="F1251" s="653">
        <v>0</v>
      </c>
      <c r="G1251" s="654"/>
      <c r="H1251" s="654"/>
      <c r="I1251" s="655"/>
      <c r="J1251" s="655"/>
      <c r="K1251" s="653">
        <v>0</v>
      </c>
      <c r="L1251" s="656">
        <v>0</v>
      </c>
    </row>
    <row r="1252" spans="1:12" ht="21" x14ac:dyDescent="0.25">
      <c r="A1252" s="651" t="s">
        <v>3218</v>
      </c>
      <c r="B1252" s="652">
        <v>2021</v>
      </c>
      <c r="C1252" s="651" t="s">
        <v>701</v>
      </c>
      <c r="D1252" s="651" t="s">
        <v>3239</v>
      </c>
      <c r="E1252" s="651" t="s">
        <v>706</v>
      </c>
      <c r="F1252" s="653">
        <v>0</v>
      </c>
      <c r="G1252" s="654"/>
      <c r="H1252" s="654"/>
      <c r="I1252" s="655"/>
      <c r="J1252" s="655"/>
      <c r="K1252" s="653">
        <v>0</v>
      </c>
      <c r="L1252" s="656">
        <v>0</v>
      </c>
    </row>
    <row r="1253" spans="1:12" ht="21" x14ac:dyDescent="0.25">
      <c r="A1253" s="651" t="s">
        <v>3218</v>
      </c>
      <c r="B1253" s="652">
        <v>2021</v>
      </c>
      <c r="C1253" s="651" t="s">
        <v>707</v>
      </c>
      <c r="D1253" s="651" t="s">
        <v>3240</v>
      </c>
      <c r="E1253" s="651" t="s">
        <v>709</v>
      </c>
      <c r="F1253" s="653">
        <v>0</v>
      </c>
      <c r="G1253" s="654"/>
      <c r="H1253" s="651" t="s">
        <v>650</v>
      </c>
      <c r="I1253" s="655"/>
      <c r="J1253" s="655"/>
      <c r="K1253" s="653">
        <v>0</v>
      </c>
      <c r="L1253" s="656">
        <v>0</v>
      </c>
    </row>
    <row r="1254" spans="1:12" ht="31.5" x14ac:dyDescent="0.25">
      <c r="A1254" s="651" t="s">
        <v>3218</v>
      </c>
      <c r="B1254" s="652">
        <v>2021</v>
      </c>
      <c r="C1254" s="651" t="s">
        <v>710</v>
      </c>
      <c r="D1254" s="651" t="s">
        <v>3241</v>
      </c>
      <c r="E1254" s="651" t="s">
        <v>2</v>
      </c>
      <c r="F1254" s="653">
        <v>-42083.98</v>
      </c>
      <c r="G1254" s="651" t="s">
        <v>650</v>
      </c>
      <c r="H1254" s="654"/>
      <c r="I1254" s="653">
        <v>-41602.6796875</v>
      </c>
      <c r="J1254" s="653">
        <v>-481.29998779296898</v>
      </c>
      <c r="K1254" s="653">
        <v>-42083.98046875</v>
      </c>
      <c r="L1254" s="656">
        <v>-42083.98</v>
      </c>
    </row>
    <row r="1255" spans="1:12" ht="31.5" x14ac:dyDescent="0.25">
      <c r="A1255" s="651" t="s">
        <v>3218</v>
      </c>
      <c r="B1255" s="652">
        <v>2021</v>
      </c>
      <c r="C1255" s="651" t="s">
        <v>712</v>
      </c>
      <c r="D1255" s="651" t="s">
        <v>3242</v>
      </c>
      <c r="E1255" s="651" t="s">
        <v>3</v>
      </c>
      <c r="F1255" s="653">
        <v>-38501.24</v>
      </c>
      <c r="G1255" s="651" t="s">
        <v>650</v>
      </c>
      <c r="H1255" s="654"/>
      <c r="I1255" s="653">
        <v>-38159.76953125</v>
      </c>
      <c r="J1255" s="653">
        <v>-341.47000122070301</v>
      </c>
      <c r="K1255" s="653">
        <v>-38501.23828125</v>
      </c>
      <c r="L1255" s="656">
        <v>-38501.24</v>
      </c>
    </row>
    <row r="1256" spans="1:12" ht="31.5" x14ac:dyDescent="0.25">
      <c r="A1256" s="651" t="s">
        <v>3218</v>
      </c>
      <c r="B1256" s="652">
        <v>2021</v>
      </c>
      <c r="C1256" s="651" t="s">
        <v>714</v>
      </c>
      <c r="D1256" s="651" t="s">
        <v>3243</v>
      </c>
      <c r="E1256" s="651" t="s">
        <v>38</v>
      </c>
      <c r="F1256" s="653">
        <v>-41977.69</v>
      </c>
      <c r="G1256" s="651" t="s">
        <v>650</v>
      </c>
      <c r="H1256" s="654"/>
      <c r="I1256" s="653">
        <v>-41548.80078125</v>
      </c>
      <c r="J1256" s="653">
        <v>-428.89001464843801</v>
      </c>
      <c r="K1256" s="653">
        <v>-41977.69140625</v>
      </c>
      <c r="L1256" s="656">
        <v>-41977.69</v>
      </c>
    </row>
    <row r="1257" spans="1:12" ht="21" x14ac:dyDescent="0.25">
      <c r="A1257" s="651" t="s">
        <v>3218</v>
      </c>
      <c r="B1257" s="652">
        <v>2021</v>
      </c>
      <c r="C1257" s="651" t="s">
        <v>716</v>
      </c>
      <c r="D1257" s="651" t="s">
        <v>3244</v>
      </c>
      <c r="E1257" s="651" t="s">
        <v>66</v>
      </c>
      <c r="F1257" s="653">
        <v>158647.07</v>
      </c>
      <c r="G1257" s="651" t="s">
        <v>650</v>
      </c>
      <c r="H1257" s="654"/>
      <c r="I1257" s="653">
        <v>158178.109375</v>
      </c>
      <c r="J1257" s="653">
        <v>468.95999145507801</v>
      </c>
      <c r="K1257" s="653">
        <v>158647.0625</v>
      </c>
      <c r="L1257" s="656">
        <v>158647.07</v>
      </c>
    </row>
    <row r="1258" spans="1:12" ht="31.5" x14ac:dyDescent="0.25">
      <c r="A1258" s="651" t="s">
        <v>3218</v>
      </c>
      <c r="B1258" s="652">
        <v>2021</v>
      </c>
      <c r="C1258" s="651" t="s">
        <v>718</v>
      </c>
      <c r="D1258" s="651" t="s">
        <v>3245</v>
      </c>
      <c r="E1258" s="651" t="s">
        <v>720</v>
      </c>
      <c r="F1258" s="653">
        <v>0</v>
      </c>
      <c r="G1258" s="654"/>
      <c r="H1258" s="651" t="s">
        <v>650</v>
      </c>
      <c r="I1258" s="655"/>
      <c r="J1258" s="655"/>
      <c r="K1258" s="653">
        <v>0</v>
      </c>
      <c r="L1258" s="656">
        <v>0</v>
      </c>
    </row>
    <row r="1259" spans="1:12" ht="42" x14ac:dyDescent="0.25">
      <c r="A1259" s="651" t="s">
        <v>3218</v>
      </c>
      <c r="B1259" s="652">
        <v>2021</v>
      </c>
      <c r="C1259" s="651" t="s">
        <v>721</v>
      </c>
      <c r="D1259" s="651" t="s">
        <v>3246</v>
      </c>
      <c r="E1259" s="651" t="s">
        <v>3016</v>
      </c>
      <c r="F1259" s="653">
        <v>0</v>
      </c>
      <c r="G1259" s="651" t="s">
        <v>650</v>
      </c>
      <c r="H1259" s="654"/>
      <c r="I1259" s="653">
        <v>1767.7099609375</v>
      </c>
      <c r="J1259" s="653">
        <v>5955.56982421875</v>
      </c>
      <c r="K1259" s="653">
        <v>7723.27978515625</v>
      </c>
      <c r="L1259" s="656">
        <v>7723.28</v>
      </c>
    </row>
    <row r="1260" spans="1:12" ht="42" x14ac:dyDescent="0.25">
      <c r="A1260" s="651" t="s">
        <v>3218</v>
      </c>
      <c r="B1260" s="652">
        <v>2021</v>
      </c>
      <c r="C1260" s="651" t="s">
        <v>721</v>
      </c>
      <c r="D1260" s="651" t="s">
        <v>3246</v>
      </c>
      <c r="E1260" s="651" t="s">
        <v>3058</v>
      </c>
      <c r="F1260" s="653">
        <v>0</v>
      </c>
      <c r="G1260" s="651" t="s">
        <v>650</v>
      </c>
      <c r="H1260" s="654"/>
      <c r="I1260" s="653">
        <v>54794.76171875</v>
      </c>
      <c r="J1260" s="653">
        <v>670</v>
      </c>
      <c r="K1260" s="653">
        <v>55464.76171875</v>
      </c>
      <c r="L1260" s="656">
        <v>55464.76</v>
      </c>
    </row>
    <row r="1261" spans="1:12" ht="42" x14ac:dyDescent="0.25">
      <c r="A1261" s="651" t="s">
        <v>3218</v>
      </c>
      <c r="B1261" s="652">
        <v>2021</v>
      </c>
      <c r="C1261" s="651" t="s">
        <v>721</v>
      </c>
      <c r="D1261" s="651" t="s">
        <v>3247</v>
      </c>
      <c r="E1261" s="651" t="s">
        <v>724</v>
      </c>
      <c r="F1261" s="653">
        <v>0</v>
      </c>
      <c r="G1261" s="651" t="s">
        <v>650</v>
      </c>
      <c r="H1261" s="654"/>
      <c r="I1261" s="655"/>
      <c r="J1261" s="655"/>
      <c r="K1261" s="653">
        <v>0</v>
      </c>
      <c r="L1261" s="656">
        <v>0</v>
      </c>
    </row>
    <row r="1262" spans="1:12" ht="42" x14ac:dyDescent="0.25">
      <c r="A1262" s="651" t="s">
        <v>3218</v>
      </c>
      <c r="B1262" s="652">
        <v>2021</v>
      </c>
      <c r="C1262" s="651" t="s">
        <v>721</v>
      </c>
      <c r="D1262" s="651" t="s">
        <v>3248</v>
      </c>
      <c r="E1262" s="651" t="s">
        <v>55</v>
      </c>
      <c r="F1262" s="653">
        <v>0</v>
      </c>
      <c r="G1262" s="651" t="s">
        <v>650</v>
      </c>
      <c r="H1262" s="654"/>
      <c r="I1262" s="655"/>
      <c r="J1262" s="655"/>
      <c r="K1262" s="653">
        <v>0</v>
      </c>
      <c r="L1262" s="656">
        <v>0</v>
      </c>
    </row>
    <row r="1263" spans="1:12" ht="42" x14ac:dyDescent="0.25">
      <c r="A1263" s="651" t="s">
        <v>3218</v>
      </c>
      <c r="B1263" s="652">
        <v>2021</v>
      </c>
      <c r="C1263" s="651" t="s">
        <v>721</v>
      </c>
      <c r="D1263" s="651" t="s">
        <v>3249</v>
      </c>
      <c r="E1263" s="651" t="s">
        <v>56</v>
      </c>
      <c r="F1263" s="653">
        <v>0</v>
      </c>
      <c r="G1263" s="651" t="s">
        <v>650</v>
      </c>
      <c r="H1263" s="654"/>
      <c r="I1263" s="655"/>
      <c r="J1263" s="655"/>
      <c r="K1263" s="653">
        <v>0</v>
      </c>
      <c r="L1263" s="656">
        <v>0</v>
      </c>
    </row>
    <row r="1264" spans="1:12" ht="42" x14ac:dyDescent="0.25">
      <c r="A1264" s="651" t="s">
        <v>3218</v>
      </c>
      <c r="B1264" s="652">
        <v>2021</v>
      </c>
      <c r="C1264" s="651" t="s">
        <v>721</v>
      </c>
      <c r="D1264" s="651" t="s">
        <v>3250</v>
      </c>
      <c r="E1264" s="651" t="s">
        <v>728</v>
      </c>
      <c r="F1264" s="653">
        <v>0</v>
      </c>
      <c r="G1264" s="651" t="s">
        <v>650</v>
      </c>
      <c r="H1264" s="654"/>
      <c r="I1264" s="655"/>
      <c r="J1264" s="655"/>
      <c r="K1264" s="653">
        <v>0</v>
      </c>
      <c r="L1264" s="656">
        <v>0</v>
      </c>
    </row>
    <row r="1265" spans="1:12" ht="42" x14ac:dyDescent="0.25">
      <c r="A1265" s="651" t="s">
        <v>3218</v>
      </c>
      <c r="B1265" s="652">
        <v>2021</v>
      </c>
      <c r="C1265" s="651" t="s">
        <v>721</v>
      </c>
      <c r="D1265" s="651" t="s">
        <v>3251</v>
      </c>
      <c r="E1265" s="651" t="s">
        <v>730</v>
      </c>
      <c r="F1265" s="653">
        <v>0</v>
      </c>
      <c r="G1265" s="651" t="s">
        <v>650</v>
      </c>
      <c r="H1265" s="654"/>
      <c r="I1265" s="655"/>
      <c r="J1265" s="655"/>
      <c r="K1265" s="653">
        <v>0</v>
      </c>
      <c r="L1265" s="656">
        <v>0</v>
      </c>
    </row>
    <row r="1266" spans="1:12" ht="42" x14ac:dyDescent="0.25">
      <c r="A1266" s="651" t="s">
        <v>3218</v>
      </c>
      <c r="B1266" s="652">
        <v>2021</v>
      </c>
      <c r="C1266" s="651" t="s">
        <v>721</v>
      </c>
      <c r="D1266" s="651" t="s">
        <v>3252</v>
      </c>
      <c r="E1266" s="651" t="s">
        <v>142</v>
      </c>
      <c r="F1266" s="653">
        <v>0</v>
      </c>
      <c r="G1266" s="651" t="s">
        <v>650</v>
      </c>
      <c r="H1266" s="654"/>
      <c r="I1266" s="655"/>
      <c r="J1266" s="655"/>
      <c r="K1266" s="653">
        <v>0</v>
      </c>
      <c r="L1266" s="656">
        <v>0</v>
      </c>
    </row>
    <row r="1267" spans="1:12" ht="42" x14ac:dyDescent="0.25">
      <c r="A1267" s="651" t="s">
        <v>3218</v>
      </c>
      <c r="B1267" s="652">
        <v>2021</v>
      </c>
      <c r="C1267" s="651" t="s">
        <v>721</v>
      </c>
      <c r="D1267" s="651" t="s">
        <v>3253</v>
      </c>
      <c r="E1267" s="651" t="s">
        <v>143</v>
      </c>
      <c r="F1267" s="653">
        <v>0</v>
      </c>
      <c r="G1267" s="651" t="s">
        <v>650</v>
      </c>
      <c r="H1267" s="654"/>
      <c r="I1267" s="655"/>
      <c r="J1267" s="655"/>
      <c r="K1267" s="653">
        <v>0</v>
      </c>
      <c r="L1267" s="656">
        <v>0</v>
      </c>
    </row>
    <row r="1268" spans="1:12" ht="42" x14ac:dyDescent="0.25">
      <c r="A1268" s="651" t="s">
        <v>3218</v>
      </c>
      <c r="B1268" s="652">
        <v>2021</v>
      </c>
      <c r="C1268" s="651" t="s">
        <v>721</v>
      </c>
      <c r="D1268" s="651" t="s">
        <v>3254</v>
      </c>
      <c r="E1268" s="651" t="s">
        <v>182</v>
      </c>
      <c r="F1268" s="653">
        <v>0</v>
      </c>
      <c r="G1268" s="651" t="s">
        <v>650</v>
      </c>
      <c r="H1268" s="654"/>
      <c r="I1268" s="655"/>
      <c r="J1268" s="655"/>
      <c r="K1268" s="653">
        <v>0</v>
      </c>
      <c r="L1268" s="656">
        <v>0</v>
      </c>
    </row>
    <row r="1269" spans="1:12" ht="42" x14ac:dyDescent="0.25">
      <c r="A1269" s="651" t="s">
        <v>3218</v>
      </c>
      <c r="B1269" s="652">
        <v>2021</v>
      </c>
      <c r="C1269" s="651" t="s">
        <v>721</v>
      </c>
      <c r="D1269" s="651" t="s">
        <v>3255</v>
      </c>
      <c r="E1269" s="651" t="s">
        <v>394</v>
      </c>
      <c r="F1269" s="653">
        <v>0</v>
      </c>
      <c r="G1269" s="651" t="s">
        <v>650</v>
      </c>
      <c r="H1269" s="654"/>
      <c r="I1269" s="655"/>
      <c r="J1269" s="655"/>
      <c r="K1269" s="653">
        <v>0</v>
      </c>
      <c r="L1269" s="656">
        <v>0</v>
      </c>
    </row>
    <row r="1270" spans="1:12" ht="42" x14ac:dyDescent="0.25">
      <c r="A1270" s="651" t="s">
        <v>3218</v>
      </c>
      <c r="B1270" s="652">
        <v>2021</v>
      </c>
      <c r="C1270" s="651" t="s">
        <v>721</v>
      </c>
      <c r="D1270" s="651" t="s">
        <v>3256</v>
      </c>
      <c r="E1270" s="651" t="s">
        <v>423</v>
      </c>
      <c r="F1270" s="653">
        <v>0</v>
      </c>
      <c r="G1270" s="651" t="s">
        <v>650</v>
      </c>
      <c r="H1270" s="654"/>
      <c r="I1270" s="655"/>
      <c r="J1270" s="655"/>
      <c r="K1270" s="653">
        <v>0</v>
      </c>
      <c r="L1270" s="656">
        <v>0</v>
      </c>
    </row>
    <row r="1271" spans="1:12" ht="42" x14ac:dyDescent="0.25">
      <c r="A1271" s="651" t="s">
        <v>3218</v>
      </c>
      <c r="B1271" s="652">
        <v>2021</v>
      </c>
      <c r="C1271" s="651" t="s">
        <v>721</v>
      </c>
      <c r="D1271" s="651" t="s">
        <v>3257</v>
      </c>
      <c r="E1271" s="651" t="s">
        <v>441</v>
      </c>
      <c r="F1271" s="653">
        <v>0</v>
      </c>
      <c r="G1271" s="651" t="s">
        <v>650</v>
      </c>
      <c r="H1271" s="654"/>
      <c r="I1271" s="655"/>
      <c r="J1271" s="655"/>
      <c r="K1271" s="653">
        <v>0</v>
      </c>
      <c r="L1271" s="656">
        <v>0</v>
      </c>
    </row>
    <row r="1272" spans="1:12" ht="42" x14ac:dyDescent="0.25">
      <c r="A1272" s="651" t="s">
        <v>3218</v>
      </c>
      <c r="B1272" s="652">
        <v>2021</v>
      </c>
      <c r="C1272" s="651" t="s">
        <v>721</v>
      </c>
      <c r="D1272" s="651" t="s">
        <v>3258</v>
      </c>
      <c r="E1272" s="651" t="s">
        <v>737</v>
      </c>
      <c r="F1272" s="653">
        <v>63188.04</v>
      </c>
      <c r="G1272" s="654"/>
      <c r="H1272" s="654"/>
      <c r="I1272" s="655"/>
      <c r="J1272" s="655"/>
      <c r="K1272" s="653">
        <v>0</v>
      </c>
      <c r="L1272" s="656">
        <v>63188.04</v>
      </c>
    </row>
    <row r="1273" spans="1:12" ht="21" x14ac:dyDescent="0.25">
      <c r="A1273" s="651" t="s">
        <v>3218</v>
      </c>
      <c r="B1273" s="652">
        <v>2021</v>
      </c>
      <c r="C1273" s="651" t="s">
        <v>738</v>
      </c>
      <c r="D1273" s="651" t="s">
        <v>3259</v>
      </c>
      <c r="E1273" s="651" t="s">
        <v>7</v>
      </c>
      <c r="F1273" s="653">
        <v>0</v>
      </c>
      <c r="G1273" s="654"/>
      <c r="H1273" s="651" t="s">
        <v>650</v>
      </c>
      <c r="I1273" s="655"/>
      <c r="J1273" s="655"/>
      <c r="K1273" s="653">
        <v>0</v>
      </c>
      <c r="L1273" s="656">
        <v>0</v>
      </c>
    </row>
    <row r="1274" spans="1:12" ht="21" x14ac:dyDescent="0.25">
      <c r="A1274" s="651" t="s">
        <v>94</v>
      </c>
      <c r="B1274" s="652">
        <v>2021</v>
      </c>
      <c r="C1274" s="651" t="s">
        <v>647</v>
      </c>
      <c r="D1274" s="651" t="s">
        <v>1542</v>
      </c>
      <c r="E1274" s="651" t="s">
        <v>649</v>
      </c>
      <c r="F1274" s="653">
        <v>218.67</v>
      </c>
      <c r="G1274" s="654"/>
      <c r="H1274" s="651" t="s">
        <v>650</v>
      </c>
      <c r="I1274" s="655"/>
      <c r="J1274" s="655"/>
      <c r="K1274" s="653">
        <v>0</v>
      </c>
      <c r="L1274" s="656">
        <v>218.67</v>
      </c>
    </row>
    <row r="1275" spans="1:12" ht="14.5" x14ac:dyDescent="0.25">
      <c r="A1275" s="651" t="s">
        <v>94</v>
      </c>
      <c r="B1275" s="652">
        <v>2021</v>
      </c>
      <c r="C1275" s="651" t="s">
        <v>651</v>
      </c>
      <c r="D1275" s="651" t="s">
        <v>1543</v>
      </c>
      <c r="E1275" s="651" t="s">
        <v>653</v>
      </c>
      <c r="F1275" s="653">
        <v>0</v>
      </c>
      <c r="G1275" s="654"/>
      <c r="H1275" s="651" t="s">
        <v>650</v>
      </c>
      <c r="I1275" s="655"/>
      <c r="J1275" s="655"/>
      <c r="K1275" s="653">
        <v>0</v>
      </c>
      <c r="L1275" s="656">
        <v>0</v>
      </c>
    </row>
    <row r="1276" spans="1:12" ht="42" x14ac:dyDescent="0.25">
      <c r="A1276" s="651" t="s">
        <v>94</v>
      </c>
      <c r="B1276" s="652">
        <v>2021</v>
      </c>
      <c r="C1276" s="651" t="s">
        <v>654</v>
      </c>
      <c r="D1276" s="651" t="s">
        <v>1544</v>
      </c>
      <c r="E1276" s="651" t="s">
        <v>445</v>
      </c>
      <c r="F1276" s="653">
        <v>0</v>
      </c>
      <c r="G1276" s="654"/>
      <c r="H1276" s="651" t="s">
        <v>650</v>
      </c>
      <c r="I1276" s="655"/>
      <c r="J1276" s="655"/>
      <c r="K1276" s="653">
        <v>0</v>
      </c>
      <c r="L1276" s="656">
        <v>0</v>
      </c>
    </row>
    <row r="1277" spans="1:12" ht="21" x14ac:dyDescent="0.25">
      <c r="A1277" s="651" t="s">
        <v>94</v>
      </c>
      <c r="B1277" s="652">
        <v>2021</v>
      </c>
      <c r="C1277" s="651" t="s">
        <v>656</v>
      </c>
      <c r="D1277" s="651" t="s">
        <v>1545</v>
      </c>
      <c r="E1277" s="651" t="s">
        <v>658</v>
      </c>
      <c r="F1277" s="653">
        <v>0</v>
      </c>
      <c r="G1277" s="654"/>
      <c r="H1277" s="651" t="s">
        <v>650</v>
      </c>
      <c r="I1277" s="655"/>
      <c r="J1277" s="655"/>
      <c r="K1277" s="653">
        <v>0</v>
      </c>
      <c r="L1277" s="656">
        <v>0</v>
      </c>
    </row>
    <row r="1278" spans="1:12" ht="31.5" x14ac:dyDescent="0.25">
      <c r="A1278" s="651" t="s">
        <v>94</v>
      </c>
      <c r="B1278" s="652">
        <v>2021</v>
      </c>
      <c r="C1278" s="651" t="s">
        <v>659</v>
      </c>
      <c r="D1278" s="651" t="s">
        <v>1546</v>
      </c>
      <c r="E1278" s="651" t="s">
        <v>661</v>
      </c>
      <c r="F1278" s="653">
        <v>0</v>
      </c>
      <c r="G1278" s="654"/>
      <c r="H1278" s="651" t="s">
        <v>650</v>
      </c>
      <c r="I1278" s="655"/>
      <c r="J1278" s="655"/>
      <c r="K1278" s="653">
        <v>0</v>
      </c>
      <c r="L1278" s="656">
        <v>0</v>
      </c>
    </row>
    <row r="1279" spans="1:12" ht="21" x14ac:dyDescent="0.25">
      <c r="A1279" s="651" t="s">
        <v>94</v>
      </c>
      <c r="B1279" s="652">
        <v>2021</v>
      </c>
      <c r="C1279" s="651" t="s">
        <v>662</v>
      </c>
      <c r="D1279" s="651" t="s">
        <v>1547</v>
      </c>
      <c r="E1279" s="651" t="s">
        <v>664</v>
      </c>
      <c r="F1279" s="653">
        <v>0</v>
      </c>
      <c r="G1279" s="654"/>
      <c r="H1279" s="651" t="s">
        <v>650</v>
      </c>
      <c r="I1279" s="655"/>
      <c r="J1279" s="655"/>
      <c r="K1279" s="653">
        <v>0</v>
      </c>
      <c r="L1279" s="656">
        <v>0</v>
      </c>
    </row>
    <row r="1280" spans="1:12" ht="31.5" x14ac:dyDescent="0.25">
      <c r="A1280" s="651" t="s">
        <v>94</v>
      </c>
      <c r="B1280" s="652">
        <v>2021</v>
      </c>
      <c r="C1280" s="651" t="s">
        <v>665</v>
      </c>
      <c r="D1280" s="651" t="s">
        <v>1548</v>
      </c>
      <c r="E1280" s="651" t="s">
        <v>667</v>
      </c>
      <c r="F1280" s="653">
        <v>0</v>
      </c>
      <c r="G1280" s="654"/>
      <c r="H1280" s="651" t="s">
        <v>650</v>
      </c>
      <c r="I1280" s="655"/>
      <c r="J1280" s="655"/>
      <c r="K1280" s="653">
        <v>0</v>
      </c>
      <c r="L1280" s="656">
        <v>0</v>
      </c>
    </row>
    <row r="1281" spans="1:12" ht="21" x14ac:dyDescent="0.25">
      <c r="A1281" s="651" t="s">
        <v>94</v>
      </c>
      <c r="B1281" s="652">
        <v>2021</v>
      </c>
      <c r="C1281" s="651" t="s">
        <v>668</v>
      </c>
      <c r="D1281" s="651" t="s">
        <v>1549</v>
      </c>
      <c r="E1281" s="651" t="s">
        <v>12</v>
      </c>
      <c r="F1281" s="653">
        <v>0</v>
      </c>
      <c r="G1281" s="654"/>
      <c r="H1281" s="651" t="s">
        <v>650</v>
      </c>
      <c r="I1281" s="655"/>
      <c r="J1281" s="655"/>
      <c r="K1281" s="653">
        <v>0</v>
      </c>
      <c r="L1281" s="656">
        <v>0</v>
      </c>
    </row>
    <row r="1282" spans="1:12" ht="21" x14ac:dyDescent="0.25">
      <c r="A1282" s="651" t="s">
        <v>94</v>
      </c>
      <c r="B1282" s="652">
        <v>2021</v>
      </c>
      <c r="C1282" s="651" t="s">
        <v>670</v>
      </c>
      <c r="D1282" s="651" t="s">
        <v>1550</v>
      </c>
      <c r="E1282" s="651" t="s">
        <v>13</v>
      </c>
      <c r="F1282" s="653">
        <v>1296.01</v>
      </c>
      <c r="G1282" s="654"/>
      <c r="H1282" s="651" t="s">
        <v>650</v>
      </c>
      <c r="I1282" s="655"/>
      <c r="J1282" s="655"/>
      <c r="K1282" s="653">
        <v>0</v>
      </c>
      <c r="L1282" s="656">
        <v>1296.01</v>
      </c>
    </row>
    <row r="1283" spans="1:12" ht="21" x14ac:dyDescent="0.25">
      <c r="A1283" s="651" t="s">
        <v>94</v>
      </c>
      <c r="B1283" s="652">
        <v>2021</v>
      </c>
      <c r="C1283" s="651" t="s">
        <v>672</v>
      </c>
      <c r="D1283" s="651" t="s">
        <v>1551</v>
      </c>
      <c r="E1283" s="651" t="s">
        <v>15</v>
      </c>
      <c r="F1283" s="653">
        <v>0</v>
      </c>
      <c r="G1283" s="654"/>
      <c r="H1283" s="651" t="s">
        <v>650</v>
      </c>
      <c r="I1283" s="655"/>
      <c r="J1283" s="655"/>
      <c r="K1283" s="653">
        <v>0</v>
      </c>
      <c r="L1283" s="656">
        <v>0</v>
      </c>
    </row>
    <row r="1284" spans="1:12" ht="14.5" x14ac:dyDescent="0.25">
      <c r="A1284" s="651" t="s">
        <v>94</v>
      </c>
      <c r="B1284" s="652">
        <v>2021</v>
      </c>
      <c r="C1284" s="651" t="s">
        <v>674</v>
      </c>
      <c r="D1284" s="651" t="s">
        <v>1552</v>
      </c>
      <c r="E1284" s="651" t="s">
        <v>676</v>
      </c>
      <c r="F1284" s="653">
        <v>0</v>
      </c>
      <c r="G1284" s="654"/>
      <c r="H1284" s="651" t="s">
        <v>650</v>
      </c>
      <c r="I1284" s="655"/>
      <c r="J1284" s="655"/>
      <c r="K1284" s="653">
        <v>0</v>
      </c>
      <c r="L1284" s="656">
        <v>0</v>
      </c>
    </row>
    <row r="1285" spans="1:12" ht="14.5" x14ac:dyDescent="0.25">
      <c r="A1285" s="651" t="s">
        <v>94</v>
      </c>
      <c r="B1285" s="652">
        <v>2021</v>
      </c>
      <c r="C1285" s="651" t="s">
        <v>677</v>
      </c>
      <c r="D1285" s="651" t="s">
        <v>1553</v>
      </c>
      <c r="E1285" s="651" t="s">
        <v>23</v>
      </c>
      <c r="F1285" s="653">
        <v>114149.77</v>
      </c>
      <c r="G1285" s="651" t="s">
        <v>650</v>
      </c>
      <c r="H1285" s="654"/>
      <c r="I1285" s="653">
        <v>110449.7421875</v>
      </c>
      <c r="J1285" s="653">
        <v>3700.03002929688</v>
      </c>
      <c r="K1285" s="653">
        <v>114149.7734375</v>
      </c>
      <c r="L1285" s="656">
        <v>114149.77</v>
      </c>
    </row>
    <row r="1286" spans="1:12" ht="31.5" x14ac:dyDescent="0.25">
      <c r="A1286" s="651" t="s">
        <v>94</v>
      </c>
      <c r="B1286" s="652">
        <v>2021</v>
      </c>
      <c r="C1286" s="651" t="s">
        <v>679</v>
      </c>
      <c r="D1286" s="651" t="s">
        <v>1554</v>
      </c>
      <c r="E1286" s="651" t="s">
        <v>131</v>
      </c>
      <c r="F1286" s="653">
        <v>41.67</v>
      </c>
      <c r="G1286" s="651" t="s">
        <v>650</v>
      </c>
      <c r="H1286" s="654"/>
      <c r="I1286" s="653">
        <v>53.380001068115199</v>
      </c>
      <c r="J1286" s="653">
        <v>-11.710000038146999</v>
      </c>
      <c r="K1286" s="653">
        <v>41.669998168945298</v>
      </c>
      <c r="L1286" s="656">
        <v>41.67</v>
      </c>
    </row>
    <row r="1287" spans="1:12" ht="31.5" x14ac:dyDescent="0.25">
      <c r="A1287" s="651" t="s">
        <v>94</v>
      </c>
      <c r="B1287" s="652">
        <v>2021</v>
      </c>
      <c r="C1287" s="651" t="s">
        <v>681</v>
      </c>
      <c r="D1287" s="651" t="s">
        <v>1555</v>
      </c>
      <c r="E1287" s="651" t="s">
        <v>683</v>
      </c>
      <c r="F1287" s="653">
        <v>-4008.09</v>
      </c>
      <c r="G1287" s="654"/>
      <c r="H1287" s="651" t="s">
        <v>650</v>
      </c>
      <c r="I1287" s="655"/>
      <c r="J1287" s="655"/>
      <c r="K1287" s="653">
        <v>0</v>
      </c>
      <c r="L1287" s="656">
        <v>-4008.09</v>
      </c>
    </row>
    <row r="1288" spans="1:12" ht="21" x14ac:dyDescent="0.25">
      <c r="A1288" s="651" t="s">
        <v>94</v>
      </c>
      <c r="B1288" s="652">
        <v>2021</v>
      </c>
      <c r="C1288" s="651" t="s">
        <v>681</v>
      </c>
      <c r="D1288" s="651" t="s">
        <v>1555</v>
      </c>
      <c r="E1288" s="651" t="s">
        <v>684</v>
      </c>
      <c r="F1288" s="653">
        <v>-4008.09</v>
      </c>
      <c r="G1288" s="654"/>
      <c r="H1288" s="651" t="s">
        <v>650</v>
      </c>
      <c r="I1288" s="655"/>
      <c r="J1288" s="655"/>
      <c r="K1288" s="653">
        <v>0</v>
      </c>
      <c r="L1288" s="656">
        <v>-4008.09</v>
      </c>
    </row>
    <row r="1289" spans="1:12" ht="21" x14ac:dyDescent="0.25">
      <c r="A1289" s="651" t="s">
        <v>94</v>
      </c>
      <c r="B1289" s="652">
        <v>2021</v>
      </c>
      <c r="C1289" s="651" t="s">
        <v>685</v>
      </c>
      <c r="D1289" s="651" t="s">
        <v>1556</v>
      </c>
      <c r="E1289" s="651" t="s">
        <v>687</v>
      </c>
      <c r="F1289" s="653">
        <v>0</v>
      </c>
      <c r="G1289" s="654"/>
      <c r="H1289" s="651" t="s">
        <v>650</v>
      </c>
      <c r="I1289" s="655"/>
      <c r="J1289" s="655"/>
      <c r="K1289" s="653">
        <v>0</v>
      </c>
      <c r="L1289" s="656">
        <v>0</v>
      </c>
    </row>
    <row r="1290" spans="1:12" ht="14.5" x14ac:dyDescent="0.25">
      <c r="A1290" s="651" t="s">
        <v>94</v>
      </c>
      <c r="B1290" s="652">
        <v>2021</v>
      </c>
      <c r="C1290" s="651" t="s">
        <v>688</v>
      </c>
      <c r="D1290" s="651" t="s">
        <v>1557</v>
      </c>
      <c r="E1290" s="651" t="s">
        <v>50</v>
      </c>
      <c r="F1290" s="653">
        <v>-22415</v>
      </c>
      <c r="G1290" s="654"/>
      <c r="H1290" s="651" t="s">
        <v>650</v>
      </c>
      <c r="I1290" s="655"/>
      <c r="J1290" s="655"/>
      <c r="K1290" s="653">
        <v>0</v>
      </c>
      <c r="L1290" s="656">
        <v>-22415</v>
      </c>
    </row>
    <row r="1291" spans="1:12" ht="21" x14ac:dyDescent="0.25">
      <c r="A1291" s="651" t="s">
        <v>94</v>
      </c>
      <c r="B1291" s="652">
        <v>2021</v>
      </c>
      <c r="C1291" s="651" t="s">
        <v>690</v>
      </c>
      <c r="D1291" s="651" t="s">
        <v>1558</v>
      </c>
      <c r="E1291" s="651" t="s">
        <v>692</v>
      </c>
      <c r="F1291" s="653">
        <v>0</v>
      </c>
      <c r="G1291" s="654"/>
      <c r="H1291" s="651" t="s">
        <v>650</v>
      </c>
      <c r="I1291" s="655"/>
      <c r="J1291" s="655"/>
      <c r="K1291" s="653">
        <v>0</v>
      </c>
      <c r="L1291" s="656">
        <v>0</v>
      </c>
    </row>
    <row r="1292" spans="1:12" ht="21" x14ac:dyDescent="0.25">
      <c r="A1292" s="651" t="s">
        <v>94</v>
      </c>
      <c r="B1292" s="652">
        <v>2021</v>
      </c>
      <c r="C1292" s="651" t="s">
        <v>693</v>
      </c>
      <c r="D1292" s="651" t="s">
        <v>1559</v>
      </c>
      <c r="E1292" s="651" t="s">
        <v>6</v>
      </c>
      <c r="F1292" s="653">
        <v>0</v>
      </c>
      <c r="G1292" s="654"/>
      <c r="H1292" s="651" t="s">
        <v>650</v>
      </c>
      <c r="I1292" s="655"/>
      <c r="J1292" s="655"/>
      <c r="K1292" s="653">
        <v>0</v>
      </c>
      <c r="L1292" s="656">
        <v>0</v>
      </c>
    </row>
    <row r="1293" spans="1:12" ht="31.5" x14ac:dyDescent="0.25">
      <c r="A1293" s="651" t="s">
        <v>94</v>
      </c>
      <c r="B1293" s="652">
        <v>2021</v>
      </c>
      <c r="C1293" s="651" t="s">
        <v>695</v>
      </c>
      <c r="D1293" s="651" t="s">
        <v>1560</v>
      </c>
      <c r="E1293" s="651" t="s">
        <v>697</v>
      </c>
      <c r="F1293" s="653">
        <v>0</v>
      </c>
      <c r="G1293" s="654"/>
      <c r="H1293" s="651" t="s">
        <v>650</v>
      </c>
      <c r="I1293" s="655"/>
      <c r="J1293" s="655"/>
      <c r="K1293" s="653">
        <v>0</v>
      </c>
      <c r="L1293" s="656">
        <v>0</v>
      </c>
    </row>
    <row r="1294" spans="1:12" ht="21" x14ac:dyDescent="0.25">
      <c r="A1294" s="651" t="s">
        <v>94</v>
      </c>
      <c r="B1294" s="652">
        <v>2021</v>
      </c>
      <c r="C1294" s="651" t="s">
        <v>698</v>
      </c>
      <c r="D1294" s="651" t="s">
        <v>1561</v>
      </c>
      <c r="E1294" s="651" t="s">
        <v>700</v>
      </c>
      <c r="F1294" s="653">
        <v>-8622</v>
      </c>
      <c r="G1294" s="654"/>
      <c r="H1294" s="651" t="s">
        <v>650</v>
      </c>
      <c r="I1294" s="655"/>
      <c r="J1294" s="655"/>
      <c r="K1294" s="653">
        <v>0</v>
      </c>
      <c r="L1294" s="656">
        <v>-8622</v>
      </c>
    </row>
    <row r="1295" spans="1:12" ht="21" x14ac:dyDescent="0.25">
      <c r="A1295" s="651" t="s">
        <v>94</v>
      </c>
      <c r="B1295" s="652">
        <v>2021</v>
      </c>
      <c r="C1295" s="651" t="s">
        <v>701</v>
      </c>
      <c r="D1295" s="651" t="s">
        <v>1562</v>
      </c>
      <c r="E1295" s="651" t="s">
        <v>1</v>
      </c>
      <c r="F1295" s="653">
        <v>-22506.57</v>
      </c>
      <c r="G1295" s="651" t="s">
        <v>650</v>
      </c>
      <c r="H1295" s="654"/>
      <c r="I1295" s="653">
        <v>-22400.060546875</v>
      </c>
      <c r="J1295" s="653">
        <v>-106.51000213623</v>
      </c>
      <c r="K1295" s="653">
        <v>-22506.5703125</v>
      </c>
      <c r="L1295" s="656">
        <v>-22506.57</v>
      </c>
    </row>
    <row r="1296" spans="1:12" ht="21" x14ac:dyDescent="0.25">
      <c r="A1296" s="651" t="s">
        <v>94</v>
      </c>
      <c r="B1296" s="652">
        <v>2021</v>
      </c>
      <c r="C1296" s="651" t="s">
        <v>701</v>
      </c>
      <c r="D1296" s="651" t="s">
        <v>1562</v>
      </c>
      <c r="E1296" s="651" t="s">
        <v>703</v>
      </c>
      <c r="F1296" s="653">
        <v>0</v>
      </c>
      <c r="G1296" s="654"/>
      <c r="H1296" s="654"/>
      <c r="I1296" s="655"/>
      <c r="J1296" s="655"/>
      <c r="K1296" s="653">
        <v>0</v>
      </c>
      <c r="L1296" s="656">
        <v>0</v>
      </c>
    </row>
    <row r="1297" spans="1:12" ht="21" x14ac:dyDescent="0.25">
      <c r="A1297" s="651" t="s">
        <v>94</v>
      </c>
      <c r="B1297" s="652">
        <v>2021</v>
      </c>
      <c r="C1297" s="651" t="s">
        <v>701</v>
      </c>
      <c r="D1297" s="651" t="s">
        <v>1562</v>
      </c>
      <c r="E1297" s="651" t="s">
        <v>704</v>
      </c>
      <c r="F1297" s="653">
        <v>0</v>
      </c>
      <c r="G1297" s="654"/>
      <c r="H1297" s="654"/>
      <c r="I1297" s="655"/>
      <c r="J1297" s="655"/>
      <c r="K1297" s="653">
        <v>0</v>
      </c>
      <c r="L1297" s="656">
        <v>0</v>
      </c>
    </row>
    <row r="1298" spans="1:12" ht="21" x14ac:dyDescent="0.25">
      <c r="A1298" s="651" t="s">
        <v>94</v>
      </c>
      <c r="B1298" s="652">
        <v>2021</v>
      </c>
      <c r="C1298" s="651" t="s">
        <v>701</v>
      </c>
      <c r="D1298" s="651" t="s">
        <v>1562</v>
      </c>
      <c r="E1298" s="651" t="s">
        <v>705</v>
      </c>
      <c r="F1298" s="653">
        <v>0</v>
      </c>
      <c r="G1298" s="654"/>
      <c r="H1298" s="654"/>
      <c r="I1298" s="655"/>
      <c r="J1298" s="655"/>
      <c r="K1298" s="653">
        <v>0</v>
      </c>
      <c r="L1298" s="656">
        <v>0</v>
      </c>
    </row>
    <row r="1299" spans="1:12" ht="21" x14ac:dyDescent="0.25">
      <c r="A1299" s="651" t="s">
        <v>94</v>
      </c>
      <c r="B1299" s="652">
        <v>2021</v>
      </c>
      <c r="C1299" s="651" t="s">
        <v>701</v>
      </c>
      <c r="D1299" s="651" t="s">
        <v>1562</v>
      </c>
      <c r="E1299" s="651" t="s">
        <v>706</v>
      </c>
      <c r="F1299" s="653">
        <v>0</v>
      </c>
      <c r="G1299" s="654"/>
      <c r="H1299" s="654"/>
      <c r="I1299" s="655"/>
      <c r="J1299" s="655"/>
      <c r="K1299" s="653">
        <v>0</v>
      </c>
      <c r="L1299" s="656">
        <v>0</v>
      </c>
    </row>
    <row r="1300" spans="1:12" ht="14.5" x14ac:dyDescent="0.25">
      <c r="A1300" s="651" t="s">
        <v>94</v>
      </c>
      <c r="B1300" s="652">
        <v>2021</v>
      </c>
      <c r="C1300" s="651" t="s">
        <v>707</v>
      </c>
      <c r="D1300" s="651" t="s">
        <v>1563</v>
      </c>
      <c r="E1300" s="651" t="s">
        <v>709</v>
      </c>
      <c r="F1300" s="653">
        <v>0</v>
      </c>
      <c r="G1300" s="654"/>
      <c r="H1300" s="651" t="s">
        <v>650</v>
      </c>
      <c r="I1300" s="655"/>
      <c r="J1300" s="655"/>
      <c r="K1300" s="653">
        <v>0</v>
      </c>
      <c r="L1300" s="656">
        <v>0</v>
      </c>
    </row>
    <row r="1301" spans="1:12" ht="31.5" x14ac:dyDescent="0.25">
      <c r="A1301" s="651" t="s">
        <v>94</v>
      </c>
      <c r="B1301" s="652">
        <v>2021</v>
      </c>
      <c r="C1301" s="651" t="s">
        <v>710</v>
      </c>
      <c r="D1301" s="651" t="s">
        <v>1564</v>
      </c>
      <c r="E1301" s="651" t="s">
        <v>2</v>
      </c>
      <c r="F1301" s="653">
        <v>9575.07</v>
      </c>
      <c r="G1301" s="651" t="s">
        <v>650</v>
      </c>
      <c r="H1301" s="654"/>
      <c r="I1301" s="653">
        <v>9196.6904296875</v>
      </c>
      <c r="J1301" s="653">
        <v>378.38000488281301</v>
      </c>
      <c r="K1301" s="653">
        <v>9575.0703125</v>
      </c>
      <c r="L1301" s="656">
        <v>9575.07</v>
      </c>
    </row>
    <row r="1302" spans="1:12" ht="31.5" x14ac:dyDescent="0.25">
      <c r="A1302" s="651" t="s">
        <v>94</v>
      </c>
      <c r="B1302" s="652">
        <v>2021</v>
      </c>
      <c r="C1302" s="651" t="s">
        <v>712</v>
      </c>
      <c r="D1302" s="651" t="s">
        <v>1565</v>
      </c>
      <c r="E1302" s="651" t="s">
        <v>3</v>
      </c>
      <c r="F1302" s="653">
        <v>17432.830000000002</v>
      </c>
      <c r="G1302" s="651" t="s">
        <v>650</v>
      </c>
      <c r="H1302" s="654"/>
      <c r="I1302" s="653">
        <v>16932.349609375</v>
      </c>
      <c r="J1302" s="653">
        <v>500.48001098632801</v>
      </c>
      <c r="K1302" s="653">
        <v>17432.830078125</v>
      </c>
      <c r="L1302" s="656">
        <v>17432.830000000002</v>
      </c>
    </row>
    <row r="1303" spans="1:12" ht="31.5" x14ac:dyDescent="0.25">
      <c r="A1303" s="651" t="s">
        <v>94</v>
      </c>
      <c r="B1303" s="652">
        <v>2021</v>
      </c>
      <c r="C1303" s="651" t="s">
        <v>714</v>
      </c>
      <c r="D1303" s="651" t="s">
        <v>1566</v>
      </c>
      <c r="E1303" s="651" t="s">
        <v>38</v>
      </c>
      <c r="F1303" s="653">
        <v>-321617.87</v>
      </c>
      <c r="G1303" s="651" t="s">
        <v>650</v>
      </c>
      <c r="H1303" s="654"/>
      <c r="I1303" s="653">
        <v>-311465.96875</v>
      </c>
      <c r="J1303" s="653">
        <v>-10151.8896484375</v>
      </c>
      <c r="K1303" s="653">
        <v>-321617.875</v>
      </c>
      <c r="L1303" s="656">
        <v>-321617.87</v>
      </c>
    </row>
    <row r="1304" spans="1:12" ht="21" x14ac:dyDescent="0.25">
      <c r="A1304" s="651" t="s">
        <v>94</v>
      </c>
      <c r="B1304" s="652">
        <v>2021</v>
      </c>
      <c r="C1304" s="651" t="s">
        <v>716</v>
      </c>
      <c r="D1304" s="651" t="s">
        <v>1567</v>
      </c>
      <c r="E1304" s="651" t="s">
        <v>66</v>
      </c>
      <c r="F1304" s="653">
        <v>92340.39</v>
      </c>
      <c r="G1304" s="651" t="s">
        <v>650</v>
      </c>
      <c r="H1304" s="654"/>
      <c r="I1304" s="653">
        <v>82984.2265625</v>
      </c>
      <c r="J1304" s="653">
        <v>9356.16015625</v>
      </c>
      <c r="K1304" s="653">
        <v>92340.390625</v>
      </c>
      <c r="L1304" s="656">
        <v>92340.39</v>
      </c>
    </row>
    <row r="1305" spans="1:12" ht="31.5" x14ac:dyDescent="0.25">
      <c r="A1305" s="651" t="s">
        <v>94</v>
      </c>
      <c r="B1305" s="652">
        <v>2021</v>
      </c>
      <c r="C1305" s="651" t="s">
        <v>718</v>
      </c>
      <c r="D1305" s="651" t="s">
        <v>1568</v>
      </c>
      <c r="E1305" s="651" t="s">
        <v>720</v>
      </c>
      <c r="F1305" s="653">
        <v>27209.78</v>
      </c>
      <c r="G1305" s="654"/>
      <c r="H1305" s="651" t="s">
        <v>650</v>
      </c>
      <c r="I1305" s="655"/>
      <c r="J1305" s="655"/>
      <c r="K1305" s="653">
        <v>0</v>
      </c>
      <c r="L1305" s="656">
        <v>27209.78</v>
      </c>
    </row>
    <row r="1306" spans="1:12" ht="42" x14ac:dyDescent="0.25">
      <c r="A1306" s="651" t="s">
        <v>94</v>
      </c>
      <c r="B1306" s="652">
        <v>2021</v>
      </c>
      <c r="C1306" s="651" t="s">
        <v>721</v>
      </c>
      <c r="D1306" s="651" t="s">
        <v>1569</v>
      </c>
      <c r="E1306" s="651" t="s">
        <v>3016</v>
      </c>
      <c r="F1306" s="653">
        <v>0</v>
      </c>
      <c r="G1306" s="651" t="s">
        <v>650</v>
      </c>
      <c r="H1306" s="654"/>
      <c r="I1306" s="653">
        <v>74736.6484375</v>
      </c>
      <c r="J1306" s="653">
        <v>106574.71875</v>
      </c>
      <c r="K1306" s="653">
        <v>181311.375</v>
      </c>
      <c r="L1306" s="656">
        <v>181311.37</v>
      </c>
    </row>
    <row r="1307" spans="1:12" ht="42" x14ac:dyDescent="0.25">
      <c r="A1307" s="651" t="s">
        <v>94</v>
      </c>
      <c r="B1307" s="652">
        <v>2021</v>
      </c>
      <c r="C1307" s="651" t="s">
        <v>721</v>
      </c>
      <c r="D1307" s="651" t="s">
        <v>1569</v>
      </c>
      <c r="E1307" s="651" t="s">
        <v>3058</v>
      </c>
      <c r="F1307" s="653">
        <v>0</v>
      </c>
      <c r="G1307" s="651" t="s">
        <v>650</v>
      </c>
      <c r="H1307" s="654"/>
      <c r="I1307" s="653">
        <v>102671.3125</v>
      </c>
      <c r="J1307" s="653">
        <v>6684.25</v>
      </c>
      <c r="K1307" s="653">
        <v>109355.5625</v>
      </c>
      <c r="L1307" s="656">
        <v>109355.56</v>
      </c>
    </row>
    <row r="1308" spans="1:12" ht="42" x14ac:dyDescent="0.25">
      <c r="A1308" s="651" t="s">
        <v>94</v>
      </c>
      <c r="B1308" s="652">
        <v>2021</v>
      </c>
      <c r="C1308" s="651" t="s">
        <v>721</v>
      </c>
      <c r="D1308" s="651" t="s">
        <v>1570</v>
      </c>
      <c r="E1308" s="651" t="s">
        <v>724</v>
      </c>
      <c r="F1308" s="653">
        <v>0</v>
      </c>
      <c r="G1308" s="651" t="s">
        <v>650</v>
      </c>
      <c r="H1308" s="654"/>
      <c r="I1308" s="655"/>
      <c r="J1308" s="655"/>
      <c r="K1308" s="653">
        <v>0</v>
      </c>
      <c r="L1308" s="656">
        <v>0</v>
      </c>
    </row>
    <row r="1309" spans="1:12" ht="42" x14ac:dyDescent="0.25">
      <c r="A1309" s="651" t="s">
        <v>94</v>
      </c>
      <c r="B1309" s="652">
        <v>2021</v>
      </c>
      <c r="C1309" s="651" t="s">
        <v>721</v>
      </c>
      <c r="D1309" s="651" t="s">
        <v>1571</v>
      </c>
      <c r="E1309" s="651" t="s">
        <v>55</v>
      </c>
      <c r="F1309" s="653">
        <v>0</v>
      </c>
      <c r="G1309" s="651" t="s">
        <v>650</v>
      </c>
      <c r="H1309" s="654"/>
      <c r="I1309" s="655"/>
      <c r="J1309" s="655"/>
      <c r="K1309" s="653">
        <v>0</v>
      </c>
      <c r="L1309" s="656">
        <v>0</v>
      </c>
    </row>
    <row r="1310" spans="1:12" ht="42" x14ac:dyDescent="0.25">
      <c r="A1310" s="651" t="s">
        <v>94</v>
      </c>
      <c r="B1310" s="652">
        <v>2021</v>
      </c>
      <c r="C1310" s="651" t="s">
        <v>721</v>
      </c>
      <c r="D1310" s="651" t="s">
        <v>1572</v>
      </c>
      <c r="E1310" s="651" t="s">
        <v>56</v>
      </c>
      <c r="F1310" s="653">
        <v>0</v>
      </c>
      <c r="G1310" s="651" t="s">
        <v>650</v>
      </c>
      <c r="H1310" s="654"/>
      <c r="I1310" s="655"/>
      <c r="J1310" s="655"/>
      <c r="K1310" s="653">
        <v>0</v>
      </c>
      <c r="L1310" s="656">
        <v>0</v>
      </c>
    </row>
    <row r="1311" spans="1:12" ht="42" x14ac:dyDescent="0.25">
      <c r="A1311" s="651" t="s">
        <v>94</v>
      </c>
      <c r="B1311" s="652">
        <v>2021</v>
      </c>
      <c r="C1311" s="651" t="s">
        <v>721</v>
      </c>
      <c r="D1311" s="651" t="s">
        <v>1573</v>
      </c>
      <c r="E1311" s="651" t="s">
        <v>728</v>
      </c>
      <c r="F1311" s="653">
        <v>0</v>
      </c>
      <c r="G1311" s="651" t="s">
        <v>650</v>
      </c>
      <c r="H1311" s="654"/>
      <c r="I1311" s="655"/>
      <c r="J1311" s="655"/>
      <c r="K1311" s="653">
        <v>0</v>
      </c>
      <c r="L1311" s="656">
        <v>0</v>
      </c>
    </row>
    <row r="1312" spans="1:12" ht="42" x14ac:dyDescent="0.25">
      <c r="A1312" s="651" t="s">
        <v>94</v>
      </c>
      <c r="B1312" s="652">
        <v>2021</v>
      </c>
      <c r="C1312" s="651" t="s">
        <v>721</v>
      </c>
      <c r="D1312" s="651" t="s">
        <v>1574</v>
      </c>
      <c r="E1312" s="651" t="s">
        <v>730</v>
      </c>
      <c r="F1312" s="653">
        <v>0</v>
      </c>
      <c r="G1312" s="651" t="s">
        <v>650</v>
      </c>
      <c r="H1312" s="654"/>
      <c r="I1312" s="655"/>
      <c r="J1312" s="655"/>
      <c r="K1312" s="653">
        <v>0</v>
      </c>
      <c r="L1312" s="656">
        <v>0</v>
      </c>
    </row>
    <row r="1313" spans="1:12" ht="42" x14ac:dyDescent="0.25">
      <c r="A1313" s="651" t="s">
        <v>94</v>
      </c>
      <c r="B1313" s="652">
        <v>2021</v>
      </c>
      <c r="C1313" s="651" t="s">
        <v>721</v>
      </c>
      <c r="D1313" s="651" t="s">
        <v>1575</v>
      </c>
      <c r="E1313" s="651" t="s">
        <v>142</v>
      </c>
      <c r="F1313" s="653">
        <v>0</v>
      </c>
      <c r="G1313" s="651" t="s">
        <v>650</v>
      </c>
      <c r="H1313" s="654"/>
      <c r="I1313" s="655"/>
      <c r="J1313" s="655"/>
      <c r="K1313" s="653">
        <v>0</v>
      </c>
      <c r="L1313" s="656">
        <v>0</v>
      </c>
    </row>
    <row r="1314" spans="1:12" ht="42" x14ac:dyDescent="0.25">
      <c r="A1314" s="651" t="s">
        <v>94</v>
      </c>
      <c r="B1314" s="652">
        <v>2021</v>
      </c>
      <c r="C1314" s="651" t="s">
        <v>721</v>
      </c>
      <c r="D1314" s="651" t="s">
        <v>1576</v>
      </c>
      <c r="E1314" s="651" t="s">
        <v>143</v>
      </c>
      <c r="F1314" s="653">
        <v>0</v>
      </c>
      <c r="G1314" s="651" t="s">
        <v>650</v>
      </c>
      <c r="H1314" s="654"/>
      <c r="I1314" s="655"/>
      <c r="J1314" s="655"/>
      <c r="K1314" s="653">
        <v>0</v>
      </c>
      <c r="L1314" s="656">
        <v>0</v>
      </c>
    </row>
    <row r="1315" spans="1:12" ht="42" x14ac:dyDescent="0.25">
      <c r="A1315" s="651" t="s">
        <v>94</v>
      </c>
      <c r="B1315" s="652">
        <v>2021</v>
      </c>
      <c r="C1315" s="651" t="s">
        <v>721</v>
      </c>
      <c r="D1315" s="651" t="s">
        <v>1577</v>
      </c>
      <c r="E1315" s="651" t="s">
        <v>182</v>
      </c>
      <c r="F1315" s="653">
        <v>0</v>
      </c>
      <c r="G1315" s="651" t="s">
        <v>650</v>
      </c>
      <c r="H1315" s="654"/>
      <c r="I1315" s="655"/>
      <c r="J1315" s="655"/>
      <c r="K1315" s="653">
        <v>0</v>
      </c>
      <c r="L1315" s="656">
        <v>0</v>
      </c>
    </row>
    <row r="1316" spans="1:12" ht="42" x14ac:dyDescent="0.25">
      <c r="A1316" s="651" t="s">
        <v>94</v>
      </c>
      <c r="B1316" s="652">
        <v>2021</v>
      </c>
      <c r="C1316" s="651" t="s">
        <v>721</v>
      </c>
      <c r="D1316" s="651" t="s">
        <v>1578</v>
      </c>
      <c r="E1316" s="651" t="s">
        <v>394</v>
      </c>
      <c r="F1316" s="653">
        <v>0</v>
      </c>
      <c r="G1316" s="651" t="s">
        <v>650</v>
      </c>
      <c r="H1316" s="654"/>
      <c r="I1316" s="655"/>
      <c r="J1316" s="655"/>
      <c r="K1316" s="653">
        <v>0</v>
      </c>
      <c r="L1316" s="656">
        <v>0</v>
      </c>
    </row>
    <row r="1317" spans="1:12" ht="42" x14ac:dyDescent="0.25">
      <c r="A1317" s="651" t="s">
        <v>94</v>
      </c>
      <c r="B1317" s="652">
        <v>2021</v>
      </c>
      <c r="C1317" s="651" t="s">
        <v>721</v>
      </c>
      <c r="D1317" s="651" t="s">
        <v>1579</v>
      </c>
      <c r="E1317" s="651" t="s">
        <v>423</v>
      </c>
      <c r="F1317" s="653">
        <v>0</v>
      </c>
      <c r="G1317" s="651" t="s">
        <v>650</v>
      </c>
      <c r="H1317" s="654"/>
      <c r="I1317" s="655"/>
      <c r="J1317" s="655"/>
      <c r="K1317" s="653">
        <v>0</v>
      </c>
      <c r="L1317" s="656">
        <v>0</v>
      </c>
    </row>
    <row r="1318" spans="1:12" ht="42" x14ac:dyDescent="0.25">
      <c r="A1318" s="651" t="s">
        <v>94</v>
      </c>
      <c r="B1318" s="652">
        <v>2021</v>
      </c>
      <c r="C1318" s="651" t="s">
        <v>721</v>
      </c>
      <c r="D1318" s="651" t="s">
        <v>3260</v>
      </c>
      <c r="E1318" s="651" t="s">
        <v>441</v>
      </c>
      <c r="F1318" s="653">
        <v>0</v>
      </c>
      <c r="G1318" s="651" t="s">
        <v>650</v>
      </c>
      <c r="H1318" s="654"/>
      <c r="I1318" s="655"/>
      <c r="J1318" s="655"/>
      <c r="K1318" s="653">
        <v>0</v>
      </c>
      <c r="L1318" s="656">
        <v>0</v>
      </c>
    </row>
    <row r="1319" spans="1:12" ht="42" x14ac:dyDescent="0.25">
      <c r="A1319" s="651" t="s">
        <v>94</v>
      </c>
      <c r="B1319" s="652">
        <v>2021</v>
      </c>
      <c r="C1319" s="651" t="s">
        <v>721</v>
      </c>
      <c r="D1319" s="651" t="s">
        <v>1580</v>
      </c>
      <c r="E1319" s="651" t="s">
        <v>737</v>
      </c>
      <c r="F1319" s="653">
        <v>290666.93</v>
      </c>
      <c r="G1319" s="654"/>
      <c r="H1319" s="654"/>
      <c r="I1319" s="655"/>
      <c r="J1319" s="655"/>
      <c r="K1319" s="653">
        <v>0</v>
      </c>
      <c r="L1319" s="656">
        <v>290666.93</v>
      </c>
    </row>
    <row r="1320" spans="1:12" ht="14.5" x14ac:dyDescent="0.25">
      <c r="A1320" s="651" t="s">
        <v>94</v>
      </c>
      <c r="B1320" s="652">
        <v>2021</v>
      </c>
      <c r="C1320" s="651" t="s">
        <v>738</v>
      </c>
      <c r="D1320" s="651" t="s">
        <v>1581</v>
      </c>
      <c r="E1320" s="651" t="s">
        <v>7</v>
      </c>
      <c r="F1320" s="653">
        <v>0</v>
      </c>
      <c r="G1320" s="654"/>
      <c r="H1320" s="651" t="s">
        <v>650</v>
      </c>
      <c r="I1320" s="655"/>
      <c r="J1320" s="655"/>
      <c r="K1320" s="653">
        <v>0</v>
      </c>
      <c r="L1320" s="656">
        <v>0</v>
      </c>
    </row>
    <row r="1321" spans="1:12" ht="21" x14ac:dyDescent="0.25">
      <c r="A1321" s="651" t="s">
        <v>95</v>
      </c>
      <c r="B1321" s="652">
        <v>2021</v>
      </c>
      <c r="C1321" s="651" t="s">
        <v>647</v>
      </c>
      <c r="D1321" s="651" t="s">
        <v>1582</v>
      </c>
      <c r="E1321" s="651" t="s">
        <v>649</v>
      </c>
      <c r="F1321" s="653">
        <v>-33310.550000000003</v>
      </c>
      <c r="G1321" s="654"/>
      <c r="H1321" s="651" t="s">
        <v>650</v>
      </c>
      <c r="I1321" s="655"/>
      <c r="J1321" s="655"/>
      <c r="K1321" s="653">
        <v>0</v>
      </c>
      <c r="L1321" s="656">
        <v>-33310.550000000003</v>
      </c>
    </row>
    <row r="1322" spans="1:12" ht="14.5" x14ac:dyDescent="0.25">
      <c r="A1322" s="651" t="s">
        <v>95</v>
      </c>
      <c r="B1322" s="652">
        <v>2021</v>
      </c>
      <c r="C1322" s="651" t="s">
        <v>651</v>
      </c>
      <c r="D1322" s="651" t="s">
        <v>1583</v>
      </c>
      <c r="E1322" s="651" t="s">
        <v>653</v>
      </c>
      <c r="F1322" s="653">
        <v>-6464.13</v>
      </c>
      <c r="G1322" s="654"/>
      <c r="H1322" s="651" t="s">
        <v>650</v>
      </c>
      <c r="I1322" s="655"/>
      <c r="J1322" s="655"/>
      <c r="K1322" s="653">
        <v>0</v>
      </c>
      <c r="L1322" s="656">
        <v>-6464.13</v>
      </c>
    </row>
    <row r="1323" spans="1:12" ht="42" x14ac:dyDescent="0.25">
      <c r="A1323" s="651" t="s">
        <v>95</v>
      </c>
      <c r="B1323" s="652">
        <v>2021</v>
      </c>
      <c r="C1323" s="651" t="s">
        <v>654</v>
      </c>
      <c r="D1323" s="651" t="s">
        <v>1584</v>
      </c>
      <c r="E1323" s="651" t="s">
        <v>445</v>
      </c>
      <c r="F1323" s="653">
        <v>0</v>
      </c>
      <c r="G1323" s="654"/>
      <c r="H1323" s="651" t="s">
        <v>650</v>
      </c>
      <c r="I1323" s="655"/>
      <c r="J1323" s="655"/>
      <c r="K1323" s="653">
        <v>0</v>
      </c>
      <c r="L1323" s="656">
        <v>0</v>
      </c>
    </row>
    <row r="1324" spans="1:12" ht="21" x14ac:dyDescent="0.25">
      <c r="A1324" s="651" t="s">
        <v>95</v>
      </c>
      <c r="B1324" s="652">
        <v>2021</v>
      </c>
      <c r="C1324" s="651" t="s">
        <v>656</v>
      </c>
      <c r="D1324" s="651" t="s">
        <v>1585</v>
      </c>
      <c r="E1324" s="651" t="s">
        <v>658</v>
      </c>
      <c r="F1324" s="653">
        <v>0</v>
      </c>
      <c r="G1324" s="654"/>
      <c r="H1324" s="651" t="s">
        <v>650</v>
      </c>
      <c r="I1324" s="655"/>
      <c r="J1324" s="655"/>
      <c r="K1324" s="653">
        <v>0</v>
      </c>
      <c r="L1324" s="656">
        <v>0</v>
      </c>
    </row>
    <row r="1325" spans="1:12" ht="31.5" x14ac:dyDescent="0.25">
      <c r="A1325" s="651" t="s">
        <v>95</v>
      </c>
      <c r="B1325" s="652">
        <v>2021</v>
      </c>
      <c r="C1325" s="651" t="s">
        <v>659</v>
      </c>
      <c r="D1325" s="651" t="s">
        <v>1586</v>
      </c>
      <c r="E1325" s="651" t="s">
        <v>661</v>
      </c>
      <c r="F1325" s="653">
        <v>0</v>
      </c>
      <c r="G1325" s="654"/>
      <c r="H1325" s="651" t="s">
        <v>650</v>
      </c>
      <c r="I1325" s="655"/>
      <c r="J1325" s="655"/>
      <c r="K1325" s="653">
        <v>0</v>
      </c>
      <c r="L1325" s="656">
        <v>0</v>
      </c>
    </row>
    <row r="1326" spans="1:12" ht="21" x14ac:dyDescent="0.25">
      <c r="A1326" s="651" t="s">
        <v>95</v>
      </c>
      <c r="B1326" s="652">
        <v>2021</v>
      </c>
      <c r="C1326" s="651" t="s">
        <v>662</v>
      </c>
      <c r="D1326" s="651" t="s">
        <v>1587</v>
      </c>
      <c r="E1326" s="651" t="s">
        <v>664</v>
      </c>
      <c r="F1326" s="653">
        <v>0</v>
      </c>
      <c r="G1326" s="654"/>
      <c r="H1326" s="651" t="s">
        <v>650</v>
      </c>
      <c r="I1326" s="655"/>
      <c r="J1326" s="655"/>
      <c r="K1326" s="653">
        <v>0</v>
      </c>
      <c r="L1326" s="656">
        <v>0</v>
      </c>
    </row>
    <row r="1327" spans="1:12" ht="31.5" x14ac:dyDescent="0.25">
      <c r="A1327" s="651" t="s">
        <v>95</v>
      </c>
      <c r="B1327" s="652">
        <v>2021</v>
      </c>
      <c r="C1327" s="651" t="s">
        <v>665</v>
      </c>
      <c r="D1327" s="651" t="s">
        <v>1588</v>
      </c>
      <c r="E1327" s="651" t="s">
        <v>667</v>
      </c>
      <c r="F1327" s="653">
        <v>0</v>
      </c>
      <c r="G1327" s="654"/>
      <c r="H1327" s="651" t="s">
        <v>650</v>
      </c>
      <c r="I1327" s="655"/>
      <c r="J1327" s="655"/>
      <c r="K1327" s="653">
        <v>0</v>
      </c>
      <c r="L1327" s="656">
        <v>0</v>
      </c>
    </row>
    <row r="1328" spans="1:12" ht="21" x14ac:dyDescent="0.25">
      <c r="A1328" s="651" t="s">
        <v>95</v>
      </c>
      <c r="B1328" s="652">
        <v>2021</v>
      </c>
      <c r="C1328" s="651" t="s">
        <v>668</v>
      </c>
      <c r="D1328" s="651" t="s">
        <v>1589</v>
      </c>
      <c r="E1328" s="651" t="s">
        <v>12</v>
      </c>
      <c r="F1328" s="653">
        <v>0</v>
      </c>
      <c r="G1328" s="654"/>
      <c r="H1328" s="651" t="s">
        <v>650</v>
      </c>
      <c r="I1328" s="655"/>
      <c r="J1328" s="655"/>
      <c r="K1328" s="653">
        <v>0</v>
      </c>
      <c r="L1328" s="656">
        <v>0</v>
      </c>
    </row>
    <row r="1329" spans="1:12" ht="21" x14ac:dyDescent="0.25">
      <c r="A1329" s="651" t="s">
        <v>95</v>
      </c>
      <c r="B1329" s="652">
        <v>2021</v>
      </c>
      <c r="C1329" s="651" t="s">
        <v>670</v>
      </c>
      <c r="D1329" s="651" t="s">
        <v>1590</v>
      </c>
      <c r="E1329" s="651" t="s">
        <v>13</v>
      </c>
      <c r="F1329" s="653">
        <v>0</v>
      </c>
      <c r="G1329" s="654"/>
      <c r="H1329" s="651" t="s">
        <v>650</v>
      </c>
      <c r="I1329" s="655"/>
      <c r="J1329" s="655"/>
      <c r="K1329" s="653">
        <v>0</v>
      </c>
      <c r="L1329" s="656">
        <v>0</v>
      </c>
    </row>
    <row r="1330" spans="1:12" ht="21" x14ac:dyDescent="0.25">
      <c r="A1330" s="651" t="s">
        <v>95</v>
      </c>
      <c r="B1330" s="652">
        <v>2021</v>
      </c>
      <c r="C1330" s="651" t="s">
        <v>672</v>
      </c>
      <c r="D1330" s="651" t="s">
        <v>1591</v>
      </c>
      <c r="E1330" s="651" t="s">
        <v>15</v>
      </c>
      <c r="F1330" s="653">
        <v>0</v>
      </c>
      <c r="G1330" s="654"/>
      <c r="H1330" s="651" t="s">
        <v>650</v>
      </c>
      <c r="I1330" s="655"/>
      <c r="J1330" s="655"/>
      <c r="K1330" s="653">
        <v>0</v>
      </c>
      <c r="L1330" s="656">
        <v>0</v>
      </c>
    </row>
    <row r="1331" spans="1:12" ht="14.5" x14ac:dyDescent="0.25">
      <c r="A1331" s="651" t="s">
        <v>95</v>
      </c>
      <c r="B1331" s="652">
        <v>2021</v>
      </c>
      <c r="C1331" s="651" t="s">
        <v>674</v>
      </c>
      <c r="D1331" s="651" t="s">
        <v>1592</v>
      </c>
      <c r="E1331" s="651" t="s">
        <v>676</v>
      </c>
      <c r="F1331" s="653">
        <v>12382.16</v>
      </c>
      <c r="G1331" s="654"/>
      <c r="H1331" s="651" t="s">
        <v>650</v>
      </c>
      <c r="I1331" s="655"/>
      <c r="J1331" s="655"/>
      <c r="K1331" s="653">
        <v>0</v>
      </c>
      <c r="L1331" s="656">
        <v>12382.16</v>
      </c>
    </row>
    <row r="1332" spans="1:12" ht="14.5" x14ac:dyDescent="0.25">
      <c r="A1332" s="651" t="s">
        <v>95</v>
      </c>
      <c r="B1332" s="652">
        <v>2021</v>
      </c>
      <c r="C1332" s="651" t="s">
        <v>677</v>
      </c>
      <c r="D1332" s="651" t="s">
        <v>1593</v>
      </c>
      <c r="E1332" s="651" t="s">
        <v>23</v>
      </c>
      <c r="F1332" s="653">
        <v>21948.62</v>
      </c>
      <c r="G1332" s="651" t="s">
        <v>650</v>
      </c>
      <c r="H1332" s="654"/>
      <c r="I1332" s="653">
        <v>21435.310546875</v>
      </c>
      <c r="J1332" s="653">
        <v>513.30999755859398</v>
      </c>
      <c r="K1332" s="653">
        <v>21948.619140625</v>
      </c>
      <c r="L1332" s="656">
        <v>21948.62</v>
      </c>
    </row>
    <row r="1333" spans="1:12" ht="31.5" x14ac:dyDescent="0.25">
      <c r="A1333" s="651" t="s">
        <v>95</v>
      </c>
      <c r="B1333" s="652">
        <v>2021</v>
      </c>
      <c r="C1333" s="651" t="s">
        <v>679</v>
      </c>
      <c r="D1333" s="651" t="s">
        <v>1594</v>
      </c>
      <c r="E1333" s="651" t="s">
        <v>131</v>
      </c>
      <c r="F1333" s="653">
        <v>-3819.15</v>
      </c>
      <c r="G1333" s="651" t="s">
        <v>650</v>
      </c>
      <c r="H1333" s="654"/>
      <c r="I1333" s="653">
        <v>-3801.28002929688</v>
      </c>
      <c r="J1333" s="653">
        <v>-17.870000839233398</v>
      </c>
      <c r="K1333" s="653">
        <v>-3819.14990234375</v>
      </c>
      <c r="L1333" s="656">
        <v>-3819.15</v>
      </c>
    </row>
    <row r="1334" spans="1:12" ht="31.5" x14ac:dyDescent="0.25">
      <c r="A1334" s="651" t="s">
        <v>95</v>
      </c>
      <c r="B1334" s="652">
        <v>2021</v>
      </c>
      <c r="C1334" s="651" t="s">
        <v>681</v>
      </c>
      <c r="D1334" s="651" t="s">
        <v>1595</v>
      </c>
      <c r="E1334" s="651" t="s">
        <v>683</v>
      </c>
      <c r="F1334" s="653">
        <v>-7666.04</v>
      </c>
      <c r="G1334" s="654"/>
      <c r="H1334" s="651" t="s">
        <v>650</v>
      </c>
      <c r="I1334" s="655"/>
      <c r="J1334" s="655"/>
      <c r="K1334" s="653">
        <v>0</v>
      </c>
      <c r="L1334" s="656">
        <v>-7666.04</v>
      </c>
    </row>
    <row r="1335" spans="1:12" ht="21" x14ac:dyDescent="0.25">
      <c r="A1335" s="651" t="s">
        <v>95</v>
      </c>
      <c r="B1335" s="652">
        <v>2021</v>
      </c>
      <c r="C1335" s="651" t="s">
        <v>681</v>
      </c>
      <c r="D1335" s="651" t="s">
        <v>1595</v>
      </c>
      <c r="E1335" s="651" t="s">
        <v>684</v>
      </c>
      <c r="F1335" s="653">
        <v>0</v>
      </c>
      <c r="G1335" s="654"/>
      <c r="H1335" s="651" t="s">
        <v>650</v>
      </c>
      <c r="I1335" s="655"/>
      <c r="J1335" s="655"/>
      <c r="K1335" s="653">
        <v>0</v>
      </c>
      <c r="L1335" s="656">
        <v>0</v>
      </c>
    </row>
    <row r="1336" spans="1:12" ht="21" x14ac:dyDescent="0.25">
      <c r="A1336" s="651" t="s">
        <v>95</v>
      </c>
      <c r="B1336" s="652">
        <v>2021</v>
      </c>
      <c r="C1336" s="651" t="s">
        <v>685</v>
      </c>
      <c r="D1336" s="651" t="s">
        <v>1596</v>
      </c>
      <c r="E1336" s="651" t="s">
        <v>687</v>
      </c>
      <c r="F1336" s="653">
        <v>0</v>
      </c>
      <c r="G1336" s="654"/>
      <c r="H1336" s="651" t="s">
        <v>650</v>
      </c>
      <c r="I1336" s="655"/>
      <c r="J1336" s="655"/>
      <c r="K1336" s="653">
        <v>0</v>
      </c>
      <c r="L1336" s="656">
        <v>0</v>
      </c>
    </row>
    <row r="1337" spans="1:12" ht="14.5" x14ac:dyDescent="0.25">
      <c r="A1337" s="651" t="s">
        <v>95</v>
      </c>
      <c r="B1337" s="652">
        <v>2021</v>
      </c>
      <c r="C1337" s="651" t="s">
        <v>688</v>
      </c>
      <c r="D1337" s="651" t="s">
        <v>1597</v>
      </c>
      <c r="E1337" s="651" t="s">
        <v>50</v>
      </c>
      <c r="F1337" s="653">
        <v>-5516.46</v>
      </c>
      <c r="G1337" s="654"/>
      <c r="H1337" s="651" t="s">
        <v>650</v>
      </c>
      <c r="I1337" s="655"/>
      <c r="J1337" s="655"/>
      <c r="K1337" s="653">
        <v>0</v>
      </c>
      <c r="L1337" s="656">
        <v>-5516.46</v>
      </c>
    </row>
    <row r="1338" spans="1:12" ht="21" x14ac:dyDescent="0.25">
      <c r="A1338" s="651" t="s">
        <v>95</v>
      </c>
      <c r="B1338" s="652">
        <v>2021</v>
      </c>
      <c r="C1338" s="651" t="s">
        <v>690</v>
      </c>
      <c r="D1338" s="651" t="s">
        <v>1598</v>
      </c>
      <c r="E1338" s="651" t="s">
        <v>692</v>
      </c>
      <c r="F1338" s="653">
        <v>0</v>
      </c>
      <c r="G1338" s="654"/>
      <c r="H1338" s="651" t="s">
        <v>650</v>
      </c>
      <c r="I1338" s="655"/>
      <c r="J1338" s="655"/>
      <c r="K1338" s="653">
        <v>0</v>
      </c>
      <c r="L1338" s="656">
        <v>0</v>
      </c>
    </row>
    <row r="1339" spans="1:12" ht="21" x14ac:dyDescent="0.25">
      <c r="A1339" s="651" t="s">
        <v>95</v>
      </c>
      <c r="B1339" s="652">
        <v>2021</v>
      </c>
      <c r="C1339" s="651" t="s">
        <v>693</v>
      </c>
      <c r="D1339" s="651" t="s">
        <v>1599</v>
      </c>
      <c r="E1339" s="651" t="s">
        <v>6</v>
      </c>
      <c r="F1339" s="653">
        <v>0</v>
      </c>
      <c r="G1339" s="654"/>
      <c r="H1339" s="651" t="s">
        <v>650</v>
      </c>
      <c r="I1339" s="655"/>
      <c r="J1339" s="655"/>
      <c r="K1339" s="653">
        <v>0</v>
      </c>
      <c r="L1339" s="656">
        <v>0</v>
      </c>
    </row>
    <row r="1340" spans="1:12" ht="31.5" x14ac:dyDescent="0.25">
      <c r="A1340" s="651" t="s">
        <v>95</v>
      </c>
      <c r="B1340" s="652">
        <v>2021</v>
      </c>
      <c r="C1340" s="651" t="s">
        <v>695</v>
      </c>
      <c r="D1340" s="651" t="s">
        <v>1600</v>
      </c>
      <c r="E1340" s="651" t="s">
        <v>697</v>
      </c>
      <c r="F1340" s="653">
        <v>0</v>
      </c>
      <c r="G1340" s="654"/>
      <c r="H1340" s="651" t="s">
        <v>650</v>
      </c>
      <c r="I1340" s="655"/>
      <c r="J1340" s="655"/>
      <c r="K1340" s="653">
        <v>0</v>
      </c>
      <c r="L1340" s="656">
        <v>0</v>
      </c>
    </row>
    <row r="1341" spans="1:12" ht="21" x14ac:dyDescent="0.25">
      <c r="A1341" s="651" t="s">
        <v>95</v>
      </c>
      <c r="B1341" s="652">
        <v>2021</v>
      </c>
      <c r="C1341" s="651" t="s">
        <v>698</v>
      </c>
      <c r="D1341" s="651" t="s">
        <v>1601</v>
      </c>
      <c r="E1341" s="651" t="s">
        <v>700</v>
      </c>
      <c r="F1341" s="653">
        <v>0</v>
      </c>
      <c r="G1341" s="654"/>
      <c r="H1341" s="651" t="s">
        <v>650</v>
      </c>
      <c r="I1341" s="655"/>
      <c r="J1341" s="655"/>
      <c r="K1341" s="653">
        <v>0</v>
      </c>
      <c r="L1341" s="656">
        <v>0</v>
      </c>
    </row>
    <row r="1342" spans="1:12" ht="21" x14ac:dyDescent="0.25">
      <c r="A1342" s="651" t="s">
        <v>95</v>
      </c>
      <c r="B1342" s="652">
        <v>2021</v>
      </c>
      <c r="C1342" s="651" t="s">
        <v>701</v>
      </c>
      <c r="D1342" s="651" t="s">
        <v>1602</v>
      </c>
      <c r="E1342" s="651" t="s">
        <v>1</v>
      </c>
      <c r="F1342" s="653">
        <v>-195809.21</v>
      </c>
      <c r="G1342" s="651" t="s">
        <v>650</v>
      </c>
      <c r="H1342" s="654"/>
      <c r="I1342" s="653">
        <v>-194053.171875</v>
      </c>
      <c r="J1342" s="653">
        <v>-1756.0400390625</v>
      </c>
      <c r="K1342" s="653">
        <v>-195809.203125</v>
      </c>
      <c r="L1342" s="656">
        <v>-195809.21</v>
      </c>
    </row>
    <row r="1343" spans="1:12" ht="21" x14ac:dyDescent="0.25">
      <c r="A1343" s="651" t="s">
        <v>95</v>
      </c>
      <c r="B1343" s="652">
        <v>2021</v>
      </c>
      <c r="C1343" s="651" t="s">
        <v>701</v>
      </c>
      <c r="D1343" s="651" t="s">
        <v>1602</v>
      </c>
      <c r="E1343" s="651" t="s">
        <v>703</v>
      </c>
      <c r="F1343" s="653">
        <v>-0.08</v>
      </c>
      <c r="G1343" s="654"/>
      <c r="H1343" s="654"/>
      <c r="I1343" s="655"/>
      <c r="J1343" s="655"/>
      <c r="K1343" s="653">
        <v>0</v>
      </c>
      <c r="L1343" s="656">
        <v>-0.08</v>
      </c>
    </row>
    <row r="1344" spans="1:12" ht="21" x14ac:dyDescent="0.25">
      <c r="A1344" s="651" t="s">
        <v>95</v>
      </c>
      <c r="B1344" s="652">
        <v>2021</v>
      </c>
      <c r="C1344" s="651" t="s">
        <v>701</v>
      </c>
      <c r="D1344" s="651" t="s">
        <v>1602</v>
      </c>
      <c r="E1344" s="651" t="s">
        <v>704</v>
      </c>
      <c r="F1344" s="653">
        <v>-117.47</v>
      </c>
      <c r="G1344" s="654"/>
      <c r="H1344" s="654"/>
      <c r="I1344" s="655"/>
      <c r="J1344" s="655"/>
      <c r="K1344" s="653">
        <v>0</v>
      </c>
      <c r="L1344" s="656">
        <v>-117.47</v>
      </c>
    </row>
    <row r="1345" spans="1:12" ht="21" x14ac:dyDescent="0.25">
      <c r="A1345" s="651" t="s">
        <v>95</v>
      </c>
      <c r="B1345" s="652">
        <v>2021</v>
      </c>
      <c r="C1345" s="651" t="s">
        <v>701</v>
      </c>
      <c r="D1345" s="651" t="s">
        <v>1602</v>
      </c>
      <c r="E1345" s="651" t="s">
        <v>705</v>
      </c>
      <c r="F1345" s="653">
        <v>-2179.66</v>
      </c>
      <c r="G1345" s="654"/>
      <c r="H1345" s="654"/>
      <c r="I1345" s="655"/>
      <c r="J1345" s="655"/>
      <c r="K1345" s="653">
        <v>0</v>
      </c>
      <c r="L1345" s="656">
        <v>-2179.66</v>
      </c>
    </row>
    <row r="1346" spans="1:12" ht="21" x14ac:dyDescent="0.25">
      <c r="A1346" s="651" t="s">
        <v>95</v>
      </c>
      <c r="B1346" s="652">
        <v>2021</v>
      </c>
      <c r="C1346" s="651" t="s">
        <v>701</v>
      </c>
      <c r="D1346" s="651" t="s">
        <v>1602</v>
      </c>
      <c r="E1346" s="651" t="s">
        <v>706</v>
      </c>
      <c r="F1346" s="653">
        <v>-55381.03</v>
      </c>
      <c r="G1346" s="654"/>
      <c r="H1346" s="654"/>
      <c r="I1346" s="655"/>
      <c r="J1346" s="655"/>
      <c r="K1346" s="653">
        <v>0</v>
      </c>
      <c r="L1346" s="656">
        <v>-55381.03</v>
      </c>
    </row>
    <row r="1347" spans="1:12" ht="14.5" x14ac:dyDescent="0.25">
      <c r="A1347" s="651" t="s">
        <v>95</v>
      </c>
      <c r="B1347" s="652">
        <v>2021</v>
      </c>
      <c r="C1347" s="651" t="s">
        <v>707</v>
      </c>
      <c r="D1347" s="651" t="s">
        <v>1603</v>
      </c>
      <c r="E1347" s="651" t="s">
        <v>709</v>
      </c>
      <c r="F1347" s="653">
        <v>0</v>
      </c>
      <c r="G1347" s="654"/>
      <c r="H1347" s="651" t="s">
        <v>650</v>
      </c>
      <c r="I1347" s="655"/>
      <c r="J1347" s="655"/>
      <c r="K1347" s="653">
        <v>0</v>
      </c>
      <c r="L1347" s="656">
        <v>0</v>
      </c>
    </row>
    <row r="1348" spans="1:12" ht="31.5" x14ac:dyDescent="0.25">
      <c r="A1348" s="651" t="s">
        <v>95</v>
      </c>
      <c r="B1348" s="652">
        <v>2021</v>
      </c>
      <c r="C1348" s="651" t="s">
        <v>710</v>
      </c>
      <c r="D1348" s="651" t="s">
        <v>1604</v>
      </c>
      <c r="E1348" s="651" t="s">
        <v>2</v>
      </c>
      <c r="F1348" s="653">
        <v>-7188.36</v>
      </c>
      <c r="G1348" s="651" t="s">
        <v>650</v>
      </c>
      <c r="H1348" s="654"/>
      <c r="I1348" s="653">
        <v>-7217.52001953125</v>
      </c>
      <c r="J1348" s="653">
        <v>29.159999847412099</v>
      </c>
      <c r="K1348" s="653">
        <v>-7188.35986328125</v>
      </c>
      <c r="L1348" s="656">
        <v>-7188.36</v>
      </c>
    </row>
    <row r="1349" spans="1:12" ht="31.5" x14ac:dyDescent="0.25">
      <c r="A1349" s="651" t="s">
        <v>95</v>
      </c>
      <c r="B1349" s="652">
        <v>2021</v>
      </c>
      <c r="C1349" s="651" t="s">
        <v>712</v>
      </c>
      <c r="D1349" s="651" t="s">
        <v>1605</v>
      </c>
      <c r="E1349" s="651" t="s">
        <v>3</v>
      </c>
      <c r="F1349" s="653">
        <v>-31518.34</v>
      </c>
      <c r="G1349" s="651" t="s">
        <v>650</v>
      </c>
      <c r="H1349" s="654"/>
      <c r="I1349" s="653">
        <v>-30854.689453125</v>
      </c>
      <c r="J1349" s="653">
        <v>-663.65002441406295</v>
      </c>
      <c r="K1349" s="653">
        <v>-31518.33984375</v>
      </c>
      <c r="L1349" s="656">
        <v>-31518.34</v>
      </c>
    </row>
    <row r="1350" spans="1:12" ht="31.5" x14ac:dyDescent="0.25">
      <c r="A1350" s="651" t="s">
        <v>95</v>
      </c>
      <c r="B1350" s="652">
        <v>2021</v>
      </c>
      <c r="C1350" s="651" t="s">
        <v>714</v>
      </c>
      <c r="D1350" s="651" t="s">
        <v>1606</v>
      </c>
      <c r="E1350" s="651" t="s">
        <v>38</v>
      </c>
      <c r="F1350" s="653">
        <v>-1229139.4099999999</v>
      </c>
      <c r="G1350" s="651" t="s">
        <v>650</v>
      </c>
      <c r="H1350" s="654"/>
      <c r="I1350" s="653">
        <v>-1240342.75</v>
      </c>
      <c r="J1350" s="653">
        <v>11203.3603515625</v>
      </c>
      <c r="K1350" s="653">
        <v>-1229139.375</v>
      </c>
      <c r="L1350" s="656">
        <v>-1229139.4099999999</v>
      </c>
    </row>
    <row r="1351" spans="1:12" ht="21" x14ac:dyDescent="0.25">
      <c r="A1351" s="651" t="s">
        <v>95</v>
      </c>
      <c r="B1351" s="652">
        <v>2021</v>
      </c>
      <c r="C1351" s="651" t="s">
        <v>716</v>
      </c>
      <c r="D1351" s="651" t="s">
        <v>1607</v>
      </c>
      <c r="E1351" s="651" t="s">
        <v>66</v>
      </c>
      <c r="F1351" s="653">
        <v>32124.38</v>
      </c>
      <c r="G1351" s="651" t="s">
        <v>650</v>
      </c>
      <c r="H1351" s="654"/>
      <c r="I1351" s="653">
        <v>80819.3671875</v>
      </c>
      <c r="J1351" s="653">
        <v>-48694.98828125</v>
      </c>
      <c r="K1351" s="653">
        <v>32124.380859375</v>
      </c>
      <c r="L1351" s="656">
        <v>32124.38</v>
      </c>
    </row>
    <row r="1352" spans="1:12" ht="31.5" x14ac:dyDescent="0.25">
      <c r="A1352" s="651" t="s">
        <v>95</v>
      </c>
      <c r="B1352" s="652">
        <v>2021</v>
      </c>
      <c r="C1352" s="651" t="s">
        <v>718</v>
      </c>
      <c r="D1352" s="651" t="s">
        <v>1608</v>
      </c>
      <c r="E1352" s="651" t="s">
        <v>720</v>
      </c>
      <c r="F1352" s="653">
        <v>0</v>
      </c>
      <c r="G1352" s="654"/>
      <c r="H1352" s="651" t="s">
        <v>650</v>
      </c>
      <c r="I1352" s="655"/>
      <c r="J1352" s="655"/>
      <c r="K1352" s="653">
        <v>0</v>
      </c>
      <c r="L1352" s="656">
        <v>0</v>
      </c>
    </row>
    <row r="1353" spans="1:12" ht="42" x14ac:dyDescent="0.25">
      <c r="A1353" s="651" t="s">
        <v>95</v>
      </c>
      <c r="B1353" s="652">
        <v>2021</v>
      </c>
      <c r="C1353" s="651" t="s">
        <v>721</v>
      </c>
      <c r="D1353" s="651" t="s">
        <v>1609</v>
      </c>
      <c r="E1353" s="651" t="s">
        <v>3016</v>
      </c>
      <c r="F1353" s="653">
        <v>0</v>
      </c>
      <c r="G1353" s="651" t="s">
        <v>650</v>
      </c>
      <c r="H1353" s="654"/>
      <c r="I1353" s="653">
        <v>1336.92004394531</v>
      </c>
      <c r="J1353" s="653">
        <v>-639.29998779296898</v>
      </c>
      <c r="K1353" s="653">
        <v>697.61999511718795</v>
      </c>
      <c r="L1353" s="656">
        <v>697.62</v>
      </c>
    </row>
    <row r="1354" spans="1:12" ht="42" x14ac:dyDescent="0.25">
      <c r="A1354" s="651" t="s">
        <v>95</v>
      </c>
      <c r="B1354" s="652">
        <v>2021</v>
      </c>
      <c r="C1354" s="651" t="s">
        <v>721</v>
      </c>
      <c r="D1354" s="651" t="s">
        <v>1609</v>
      </c>
      <c r="E1354" s="651" t="s">
        <v>3058</v>
      </c>
      <c r="F1354" s="653">
        <v>0</v>
      </c>
      <c r="G1354" s="651" t="s">
        <v>650</v>
      </c>
      <c r="H1354" s="654"/>
      <c r="I1354" s="653">
        <v>-23983.5703125</v>
      </c>
      <c r="J1354" s="653">
        <v>-993.44000244140602</v>
      </c>
      <c r="K1354" s="653">
        <v>-24977.009765625</v>
      </c>
      <c r="L1354" s="656">
        <v>-24977.01</v>
      </c>
    </row>
    <row r="1355" spans="1:12" ht="42" x14ac:dyDescent="0.25">
      <c r="A1355" s="651" t="s">
        <v>95</v>
      </c>
      <c r="B1355" s="652">
        <v>2021</v>
      </c>
      <c r="C1355" s="651" t="s">
        <v>721</v>
      </c>
      <c r="D1355" s="651" t="s">
        <v>1610</v>
      </c>
      <c r="E1355" s="651" t="s">
        <v>724</v>
      </c>
      <c r="F1355" s="653">
        <v>0</v>
      </c>
      <c r="G1355" s="651" t="s">
        <v>650</v>
      </c>
      <c r="H1355" s="654"/>
      <c r="I1355" s="655"/>
      <c r="J1355" s="655"/>
      <c r="K1355" s="653">
        <v>0</v>
      </c>
      <c r="L1355" s="656">
        <v>0</v>
      </c>
    </row>
    <row r="1356" spans="1:12" ht="42" x14ac:dyDescent="0.25">
      <c r="A1356" s="651" t="s">
        <v>95</v>
      </c>
      <c r="B1356" s="652">
        <v>2021</v>
      </c>
      <c r="C1356" s="651" t="s">
        <v>721</v>
      </c>
      <c r="D1356" s="651" t="s">
        <v>1611</v>
      </c>
      <c r="E1356" s="651" t="s">
        <v>55</v>
      </c>
      <c r="F1356" s="653">
        <v>0</v>
      </c>
      <c r="G1356" s="651" t="s">
        <v>650</v>
      </c>
      <c r="H1356" s="654"/>
      <c r="I1356" s="655"/>
      <c r="J1356" s="655"/>
      <c r="K1356" s="653">
        <v>0</v>
      </c>
      <c r="L1356" s="656">
        <v>0</v>
      </c>
    </row>
    <row r="1357" spans="1:12" ht="42" x14ac:dyDescent="0.25">
      <c r="A1357" s="651" t="s">
        <v>95</v>
      </c>
      <c r="B1357" s="652">
        <v>2021</v>
      </c>
      <c r="C1357" s="651" t="s">
        <v>721</v>
      </c>
      <c r="D1357" s="651" t="s">
        <v>1612</v>
      </c>
      <c r="E1357" s="651" t="s">
        <v>56</v>
      </c>
      <c r="F1357" s="653">
        <v>0</v>
      </c>
      <c r="G1357" s="651" t="s">
        <v>650</v>
      </c>
      <c r="H1357" s="654"/>
      <c r="I1357" s="655"/>
      <c r="J1357" s="655"/>
      <c r="K1357" s="653">
        <v>0</v>
      </c>
      <c r="L1357" s="656">
        <v>0</v>
      </c>
    </row>
    <row r="1358" spans="1:12" ht="42" x14ac:dyDescent="0.25">
      <c r="A1358" s="651" t="s">
        <v>95</v>
      </c>
      <c r="B1358" s="652">
        <v>2021</v>
      </c>
      <c r="C1358" s="651" t="s">
        <v>721</v>
      </c>
      <c r="D1358" s="651" t="s">
        <v>1613</v>
      </c>
      <c r="E1358" s="651" t="s">
        <v>728</v>
      </c>
      <c r="F1358" s="653">
        <v>0</v>
      </c>
      <c r="G1358" s="651" t="s">
        <v>650</v>
      </c>
      <c r="H1358" s="654"/>
      <c r="I1358" s="655"/>
      <c r="J1358" s="655"/>
      <c r="K1358" s="653">
        <v>0</v>
      </c>
      <c r="L1358" s="656">
        <v>0</v>
      </c>
    </row>
    <row r="1359" spans="1:12" ht="42" x14ac:dyDescent="0.25">
      <c r="A1359" s="651" t="s">
        <v>95</v>
      </c>
      <c r="B1359" s="652">
        <v>2021</v>
      </c>
      <c r="C1359" s="651" t="s">
        <v>721</v>
      </c>
      <c r="D1359" s="651" t="s">
        <v>1614</v>
      </c>
      <c r="E1359" s="651" t="s">
        <v>730</v>
      </c>
      <c r="F1359" s="653">
        <v>0</v>
      </c>
      <c r="G1359" s="651" t="s">
        <v>650</v>
      </c>
      <c r="H1359" s="654"/>
      <c r="I1359" s="655"/>
      <c r="J1359" s="655"/>
      <c r="K1359" s="653">
        <v>0</v>
      </c>
      <c r="L1359" s="656">
        <v>0</v>
      </c>
    </row>
    <row r="1360" spans="1:12" ht="42" x14ac:dyDescent="0.25">
      <c r="A1360" s="651" t="s">
        <v>95</v>
      </c>
      <c r="B1360" s="652">
        <v>2021</v>
      </c>
      <c r="C1360" s="651" t="s">
        <v>721</v>
      </c>
      <c r="D1360" s="651" t="s">
        <v>1615</v>
      </c>
      <c r="E1360" s="651" t="s">
        <v>142</v>
      </c>
      <c r="F1360" s="653">
        <v>0</v>
      </c>
      <c r="G1360" s="651" t="s">
        <v>650</v>
      </c>
      <c r="H1360" s="654"/>
      <c r="I1360" s="655"/>
      <c r="J1360" s="655"/>
      <c r="K1360" s="653">
        <v>0</v>
      </c>
      <c r="L1360" s="656">
        <v>0</v>
      </c>
    </row>
    <row r="1361" spans="1:12" ht="42" x14ac:dyDescent="0.25">
      <c r="A1361" s="651" t="s">
        <v>95</v>
      </c>
      <c r="B1361" s="652">
        <v>2021</v>
      </c>
      <c r="C1361" s="651" t="s">
        <v>721</v>
      </c>
      <c r="D1361" s="651" t="s">
        <v>1616</v>
      </c>
      <c r="E1361" s="651" t="s">
        <v>143</v>
      </c>
      <c r="F1361" s="653">
        <v>0</v>
      </c>
      <c r="G1361" s="651" t="s">
        <v>650</v>
      </c>
      <c r="H1361" s="654"/>
      <c r="I1361" s="655"/>
      <c r="J1361" s="655"/>
      <c r="K1361" s="653">
        <v>0</v>
      </c>
      <c r="L1361" s="656">
        <v>0</v>
      </c>
    </row>
    <row r="1362" spans="1:12" ht="42" x14ac:dyDescent="0.25">
      <c r="A1362" s="651" t="s">
        <v>95</v>
      </c>
      <c r="B1362" s="652">
        <v>2021</v>
      </c>
      <c r="C1362" s="651" t="s">
        <v>721</v>
      </c>
      <c r="D1362" s="651" t="s">
        <v>1617</v>
      </c>
      <c r="E1362" s="651" t="s">
        <v>182</v>
      </c>
      <c r="F1362" s="653">
        <v>0</v>
      </c>
      <c r="G1362" s="651" t="s">
        <v>650</v>
      </c>
      <c r="H1362" s="654"/>
      <c r="I1362" s="655"/>
      <c r="J1362" s="655"/>
      <c r="K1362" s="653">
        <v>0</v>
      </c>
      <c r="L1362" s="656">
        <v>0</v>
      </c>
    </row>
    <row r="1363" spans="1:12" ht="42" x14ac:dyDescent="0.25">
      <c r="A1363" s="651" t="s">
        <v>95</v>
      </c>
      <c r="B1363" s="652">
        <v>2021</v>
      </c>
      <c r="C1363" s="651" t="s">
        <v>721</v>
      </c>
      <c r="D1363" s="651" t="s">
        <v>1618</v>
      </c>
      <c r="E1363" s="651" t="s">
        <v>394</v>
      </c>
      <c r="F1363" s="653">
        <v>0</v>
      </c>
      <c r="G1363" s="651" t="s">
        <v>650</v>
      </c>
      <c r="H1363" s="654"/>
      <c r="I1363" s="655"/>
      <c r="J1363" s="655"/>
      <c r="K1363" s="653">
        <v>0</v>
      </c>
      <c r="L1363" s="656">
        <v>0</v>
      </c>
    </row>
    <row r="1364" spans="1:12" ht="42" x14ac:dyDescent="0.25">
      <c r="A1364" s="651" t="s">
        <v>95</v>
      </c>
      <c r="B1364" s="652">
        <v>2021</v>
      </c>
      <c r="C1364" s="651" t="s">
        <v>721</v>
      </c>
      <c r="D1364" s="651" t="s">
        <v>1619</v>
      </c>
      <c r="E1364" s="651" t="s">
        <v>423</v>
      </c>
      <c r="F1364" s="653">
        <v>0</v>
      </c>
      <c r="G1364" s="651" t="s">
        <v>650</v>
      </c>
      <c r="H1364" s="654"/>
      <c r="I1364" s="655"/>
      <c r="J1364" s="655"/>
      <c r="K1364" s="653">
        <v>0</v>
      </c>
      <c r="L1364" s="656">
        <v>0</v>
      </c>
    </row>
    <row r="1365" spans="1:12" ht="42" x14ac:dyDescent="0.25">
      <c r="A1365" s="651" t="s">
        <v>95</v>
      </c>
      <c r="B1365" s="652">
        <v>2021</v>
      </c>
      <c r="C1365" s="651" t="s">
        <v>721</v>
      </c>
      <c r="D1365" s="651" t="s">
        <v>3261</v>
      </c>
      <c r="E1365" s="651" t="s">
        <v>441</v>
      </c>
      <c r="F1365" s="653">
        <v>0</v>
      </c>
      <c r="G1365" s="651" t="s">
        <v>650</v>
      </c>
      <c r="H1365" s="654"/>
      <c r="I1365" s="653">
        <v>-71669.421875</v>
      </c>
      <c r="J1365" s="653">
        <v>-6520.66015625</v>
      </c>
      <c r="K1365" s="653">
        <v>-78190.078125</v>
      </c>
      <c r="L1365" s="656">
        <v>-78190.080000000002</v>
      </c>
    </row>
    <row r="1366" spans="1:12" ht="42" x14ac:dyDescent="0.25">
      <c r="A1366" s="651" t="s">
        <v>95</v>
      </c>
      <c r="B1366" s="652">
        <v>2021</v>
      </c>
      <c r="C1366" s="651" t="s">
        <v>721</v>
      </c>
      <c r="D1366" s="651" t="s">
        <v>1620</v>
      </c>
      <c r="E1366" s="651" t="s">
        <v>737</v>
      </c>
      <c r="F1366" s="653">
        <v>-102469.47</v>
      </c>
      <c r="G1366" s="654"/>
      <c r="H1366" s="654"/>
      <c r="I1366" s="655"/>
      <c r="J1366" s="655"/>
      <c r="K1366" s="653">
        <v>0</v>
      </c>
      <c r="L1366" s="656">
        <v>-102469.47</v>
      </c>
    </row>
    <row r="1367" spans="1:12" ht="14.5" x14ac:dyDescent="0.25">
      <c r="A1367" s="651" t="s">
        <v>95</v>
      </c>
      <c r="B1367" s="652">
        <v>2021</v>
      </c>
      <c r="C1367" s="651" t="s">
        <v>738</v>
      </c>
      <c r="D1367" s="651" t="s">
        <v>1621</v>
      </c>
      <c r="E1367" s="651" t="s">
        <v>7</v>
      </c>
      <c r="F1367" s="653">
        <v>0</v>
      </c>
      <c r="G1367" s="654"/>
      <c r="H1367" s="651" t="s">
        <v>650</v>
      </c>
      <c r="I1367" s="655"/>
      <c r="J1367" s="655"/>
      <c r="K1367" s="653">
        <v>0</v>
      </c>
      <c r="L1367" s="656">
        <v>0</v>
      </c>
    </row>
    <row r="1368" spans="1:12" ht="21" x14ac:dyDescent="0.25">
      <c r="A1368" s="651" t="s">
        <v>96</v>
      </c>
      <c r="B1368" s="652">
        <v>2021</v>
      </c>
      <c r="C1368" s="651" t="s">
        <v>647</v>
      </c>
      <c r="D1368" s="651" t="s">
        <v>1622</v>
      </c>
      <c r="E1368" s="651" t="s">
        <v>649</v>
      </c>
      <c r="F1368" s="653">
        <v>102060338.09</v>
      </c>
      <c r="G1368" s="654"/>
      <c r="H1368" s="651" t="s">
        <v>650</v>
      </c>
      <c r="I1368" s="655"/>
      <c r="J1368" s="655"/>
      <c r="K1368" s="653">
        <v>0</v>
      </c>
      <c r="L1368" s="656">
        <v>102060338.09</v>
      </c>
    </row>
    <row r="1369" spans="1:12" ht="14.5" x14ac:dyDescent="0.25">
      <c r="A1369" s="651" t="s">
        <v>96</v>
      </c>
      <c r="B1369" s="652">
        <v>2021</v>
      </c>
      <c r="C1369" s="651" t="s">
        <v>651</v>
      </c>
      <c r="D1369" s="651" t="s">
        <v>1623</v>
      </c>
      <c r="E1369" s="651" t="s">
        <v>653</v>
      </c>
      <c r="F1369" s="653">
        <v>-45722.3</v>
      </c>
      <c r="G1369" s="654"/>
      <c r="H1369" s="651" t="s">
        <v>650</v>
      </c>
      <c r="I1369" s="655"/>
      <c r="J1369" s="655"/>
      <c r="K1369" s="653">
        <v>0</v>
      </c>
      <c r="L1369" s="656">
        <v>-45722.3</v>
      </c>
    </row>
    <row r="1370" spans="1:12" ht="42" x14ac:dyDescent="0.25">
      <c r="A1370" s="651" t="s">
        <v>96</v>
      </c>
      <c r="B1370" s="652">
        <v>2021</v>
      </c>
      <c r="C1370" s="651" t="s">
        <v>654</v>
      </c>
      <c r="D1370" s="651" t="s">
        <v>1624</v>
      </c>
      <c r="E1370" s="651" t="s">
        <v>445</v>
      </c>
      <c r="F1370" s="653">
        <v>-1527293.07</v>
      </c>
      <c r="G1370" s="654"/>
      <c r="H1370" s="651" t="s">
        <v>650</v>
      </c>
      <c r="I1370" s="655"/>
      <c r="J1370" s="655"/>
      <c r="K1370" s="653">
        <v>0</v>
      </c>
      <c r="L1370" s="656">
        <v>-1527293.07</v>
      </c>
    </row>
    <row r="1371" spans="1:12" ht="21" x14ac:dyDescent="0.25">
      <c r="A1371" s="651" t="s">
        <v>96</v>
      </c>
      <c r="B1371" s="652">
        <v>2021</v>
      </c>
      <c r="C1371" s="651" t="s">
        <v>656</v>
      </c>
      <c r="D1371" s="651" t="s">
        <v>1625</v>
      </c>
      <c r="E1371" s="651" t="s">
        <v>658</v>
      </c>
      <c r="F1371" s="653">
        <v>38490945.740000002</v>
      </c>
      <c r="G1371" s="654"/>
      <c r="H1371" s="651" t="s">
        <v>650</v>
      </c>
      <c r="I1371" s="655"/>
      <c r="J1371" s="655"/>
      <c r="K1371" s="653">
        <v>0</v>
      </c>
      <c r="L1371" s="656">
        <v>38490945.740000002</v>
      </c>
    </row>
    <row r="1372" spans="1:12" ht="31.5" x14ac:dyDescent="0.25">
      <c r="A1372" s="651" t="s">
        <v>96</v>
      </c>
      <c r="B1372" s="652">
        <v>2021</v>
      </c>
      <c r="C1372" s="651" t="s">
        <v>659</v>
      </c>
      <c r="D1372" s="651" t="s">
        <v>1626</v>
      </c>
      <c r="E1372" s="651" t="s">
        <v>661</v>
      </c>
      <c r="F1372" s="653">
        <v>0</v>
      </c>
      <c r="G1372" s="654"/>
      <c r="H1372" s="651" t="s">
        <v>650</v>
      </c>
      <c r="I1372" s="655"/>
      <c r="J1372" s="655"/>
      <c r="K1372" s="653">
        <v>0</v>
      </c>
      <c r="L1372" s="656">
        <v>0</v>
      </c>
    </row>
    <row r="1373" spans="1:12" ht="21" x14ac:dyDescent="0.25">
      <c r="A1373" s="651" t="s">
        <v>96</v>
      </c>
      <c r="B1373" s="652">
        <v>2021</v>
      </c>
      <c r="C1373" s="651" t="s">
        <v>662</v>
      </c>
      <c r="D1373" s="651" t="s">
        <v>1627</v>
      </c>
      <c r="E1373" s="651" t="s">
        <v>664</v>
      </c>
      <c r="F1373" s="653">
        <v>0</v>
      </c>
      <c r="G1373" s="654"/>
      <c r="H1373" s="651" t="s">
        <v>650</v>
      </c>
      <c r="I1373" s="655"/>
      <c r="J1373" s="655"/>
      <c r="K1373" s="653">
        <v>0</v>
      </c>
      <c r="L1373" s="656">
        <v>0</v>
      </c>
    </row>
    <row r="1374" spans="1:12" ht="31.5" x14ac:dyDescent="0.25">
      <c r="A1374" s="651" t="s">
        <v>96</v>
      </c>
      <c r="B1374" s="652">
        <v>2021</v>
      </c>
      <c r="C1374" s="651" t="s">
        <v>665</v>
      </c>
      <c r="D1374" s="651" t="s">
        <v>1628</v>
      </c>
      <c r="E1374" s="651" t="s">
        <v>667</v>
      </c>
      <c r="F1374" s="653">
        <v>-22198508.98</v>
      </c>
      <c r="G1374" s="654"/>
      <c r="H1374" s="651" t="s">
        <v>650</v>
      </c>
      <c r="I1374" s="655"/>
      <c r="J1374" s="655"/>
      <c r="K1374" s="653">
        <v>0</v>
      </c>
      <c r="L1374" s="656">
        <v>-22198508.98</v>
      </c>
    </row>
    <row r="1375" spans="1:12" ht="21" x14ac:dyDescent="0.25">
      <c r="A1375" s="651" t="s">
        <v>96</v>
      </c>
      <c r="B1375" s="652">
        <v>2021</v>
      </c>
      <c r="C1375" s="651" t="s">
        <v>668</v>
      </c>
      <c r="D1375" s="651" t="s">
        <v>1629</v>
      </c>
      <c r="E1375" s="651" t="s">
        <v>12</v>
      </c>
      <c r="F1375" s="653">
        <v>0</v>
      </c>
      <c r="G1375" s="654"/>
      <c r="H1375" s="651" t="s">
        <v>650</v>
      </c>
      <c r="I1375" s="655"/>
      <c r="J1375" s="655"/>
      <c r="K1375" s="653">
        <v>0</v>
      </c>
      <c r="L1375" s="656">
        <v>0</v>
      </c>
    </row>
    <row r="1376" spans="1:12" ht="21" x14ac:dyDescent="0.25">
      <c r="A1376" s="651" t="s">
        <v>96</v>
      </c>
      <c r="B1376" s="652">
        <v>2021</v>
      </c>
      <c r="C1376" s="651" t="s">
        <v>670</v>
      </c>
      <c r="D1376" s="651" t="s">
        <v>1630</v>
      </c>
      <c r="E1376" s="651" t="s">
        <v>749</v>
      </c>
      <c r="F1376" s="653">
        <v>0</v>
      </c>
      <c r="G1376" s="654"/>
      <c r="H1376" s="651" t="s">
        <v>650</v>
      </c>
      <c r="I1376" s="655"/>
      <c r="J1376" s="655"/>
      <c r="K1376" s="653">
        <v>0</v>
      </c>
      <c r="L1376" s="656">
        <v>0</v>
      </c>
    </row>
    <row r="1377" spans="1:12" ht="21" x14ac:dyDescent="0.25">
      <c r="A1377" s="651" t="s">
        <v>96</v>
      </c>
      <c r="B1377" s="652">
        <v>2021</v>
      </c>
      <c r="C1377" s="651" t="s">
        <v>672</v>
      </c>
      <c r="D1377" s="651" t="s">
        <v>1631</v>
      </c>
      <c r="E1377" s="651" t="s">
        <v>15</v>
      </c>
      <c r="F1377" s="653">
        <v>389605.08</v>
      </c>
      <c r="G1377" s="654"/>
      <c r="H1377" s="651" t="s">
        <v>650</v>
      </c>
      <c r="I1377" s="655"/>
      <c r="J1377" s="655"/>
      <c r="K1377" s="653">
        <v>0</v>
      </c>
      <c r="L1377" s="656">
        <v>389605.08</v>
      </c>
    </row>
    <row r="1378" spans="1:12" ht="14.5" x14ac:dyDescent="0.25">
      <c r="A1378" s="651" t="s">
        <v>96</v>
      </c>
      <c r="B1378" s="652">
        <v>2021</v>
      </c>
      <c r="C1378" s="651" t="s">
        <v>674</v>
      </c>
      <c r="D1378" s="651" t="s">
        <v>1632</v>
      </c>
      <c r="E1378" s="651" t="s">
        <v>676</v>
      </c>
      <c r="F1378" s="653">
        <v>1242507.68</v>
      </c>
      <c r="G1378" s="654"/>
      <c r="H1378" s="651" t="s">
        <v>650</v>
      </c>
      <c r="I1378" s="655"/>
      <c r="J1378" s="655"/>
      <c r="K1378" s="653">
        <v>0</v>
      </c>
      <c r="L1378" s="656">
        <v>1242507.68</v>
      </c>
    </row>
    <row r="1379" spans="1:12" ht="14.5" x14ac:dyDescent="0.25">
      <c r="A1379" s="651" t="s">
        <v>96</v>
      </c>
      <c r="B1379" s="652">
        <v>2021</v>
      </c>
      <c r="C1379" s="651" t="s">
        <v>677</v>
      </c>
      <c r="D1379" s="651" t="s">
        <v>1633</v>
      </c>
      <c r="E1379" s="651" t="s">
        <v>23</v>
      </c>
      <c r="F1379" s="653">
        <v>11142124.08</v>
      </c>
      <c r="G1379" s="651" t="s">
        <v>650</v>
      </c>
      <c r="H1379" s="654"/>
      <c r="I1379" s="653">
        <v>10924413</v>
      </c>
      <c r="J1379" s="653">
        <v>217711.328125</v>
      </c>
      <c r="K1379" s="653">
        <v>11142124</v>
      </c>
      <c r="L1379" s="656">
        <v>11142124.08</v>
      </c>
    </row>
    <row r="1380" spans="1:12" ht="31.5" x14ac:dyDescent="0.25">
      <c r="A1380" s="651" t="s">
        <v>96</v>
      </c>
      <c r="B1380" s="652">
        <v>2021</v>
      </c>
      <c r="C1380" s="651" t="s">
        <v>679</v>
      </c>
      <c r="D1380" s="651" t="s">
        <v>1634</v>
      </c>
      <c r="E1380" s="651" t="s">
        <v>131</v>
      </c>
      <c r="F1380" s="653">
        <v>-2375562.71</v>
      </c>
      <c r="G1380" s="651" t="s">
        <v>650</v>
      </c>
      <c r="H1380" s="654"/>
      <c r="I1380" s="653">
        <v>-2266399</v>
      </c>
      <c r="J1380" s="653">
        <v>-109163.78125</v>
      </c>
      <c r="K1380" s="653">
        <v>-2375562.75</v>
      </c>
      <c r="L1380" s="656">
        <v>-2375562.71</v>
      </c>
    </row>
    <row r="1381" spans="1:12" ht="31.5" x14ac:dyDescent="0.25">
      <c r="A1381" s="651" t="s">
        <v>96</v>
      </c>
      <c r="B1381" s="652">
        <v>2021</v>
      </c>
      <c r="C1381" s="651" t="s">
        <v>681</v>
      </c>
      <c r="D1381" s="651" t="s">
        <v>1635</v>
      </c>
      <c r="E1381" s="651" t="s">
        <v>683</v>
      </c>
      <c r="F1381" s="653">
        <v>-0.01</v>
      </c>
      <c r="G1381" s="654"/>
      <c r="H1381" s="651" t="s">
        <v>650</v>
      </c>
      <c r="I1381" s="655"/>
      <c r="J1381" s="655"/>
      <c r="K1381" s="653">
        <v>0</v>
      </c>
      <c r="L1381" s="656">
        <v>-0.01</v>
      </c>
    </row>
    <row r="1382" spans="1:12" ht="21" x14ac:dyDescent="0.25">
      <c r="A1382" s="651" t="s">
        <v>96</v>
      </c>
      <c r="B1382" s="652">
        <v>2021</v>
      </c>
      <c r="C1382" s="651" t="s">
        <v>681</v>
      </c>
      <c r="D1382" s="651" t="s">
        <v>1635</v>
      </c>
      <c r="E1382" s="651" t="s">
        <v>684</v>
      </c>
      <c r="F1382" s="653">
        <v>-28796.07</v>
      </c>
      <c r="G1382" s="654"/>
      <c r="H1382" s="651" t="s">
        <v>650</v>
      </c>
      <c r="I1382" s="655"/>
      <c r="J1382" s="655"/>
      <c r="K1382" s="653">
        <v>0</v>
      </c>
      <c r="L1382" s="656">
        <v>-28796.07</v>
      </c>
    </row>
    <row r="1383" spans="1:12" ht="21" x14ac:dyDescent="0.25">
      <c r="A1383" s="651" t="s">
        <v>96</v>
      </c>
      <c r="B1383" s="652">
        <v>2021</v>
      </c>
      <c r="C1383" s="651" t="s">
        <v>685</v>
      </c>
      <c r="D1383" s="651" t="s">
        <v>1636</v>
      </c>
      <c r="E1383" s="651" t="s">
        <v>687</v>
      </c>
      <c r="F1383" s="653">
        <v>0</v>
      </c>
      <c r="G1383" s="654"/>
      <c r="H1383" s="651" t="s">
        <v>650</v>
      </c>
      <c r="I1383" s="655"/>
      <c r="J1383" s="655"/>
      <c r="K1383" s="653">
        <v>0</v>
      </c>
      <c r="L1383" s="656">
        <v>0</v>
      </c>
    </row>
    <row r="1384" spans="1:12" ht="14.5" x14ac:dyDescent="0.25">
      <c r="A1384" s="651" t="s">
        <v>96</v>
      </c>
      <c r="B1384" s="652">
        <v>2021</v>
      </c>
      <c r="C1384" s="651" t="s">
        <v>688</v>
      </c>
      <c r="D1384" s="651" t="s">
        <v>1637</v>
      </c>
      <c r="E1384" s="651" t="s">
        <v>50</v>
      </c>
      <c r="F1384" s="653">
        <v>0</v>
      </c>
      <c r="G1384" s="654"/>
      <c r="H1384" s="651" t="s">
        <v>650</v>
      </c>
      <c r="I1384" s="655"/>
      <c r="J1384" s="655"/>
      <c r="K1384" s="653">
        <v>0</v>
      </c>
      <c r="L1384" s="656">
        <v>0</v>
      </c>
    </row>
    <row r="1385" spans="1:12" ht="21" x14ac:dyDescent="0.25">
      <c r="A1385" s="651" t="s">
        <v>96</v>
      </c>
      <c r="B1385" s="652">
        <v>2021</v>
      </c>
      <c r="C1385" s="651" t="s">
        <v>690</v>
      </c>
      <c r="D1385" s="651" t="s">
        <v>1638</v>
      </c>
      <c r="E1385" s="651" t="s">
        <v>692</v>
      </c>
      <c r="F1385" s="653">
        <v>0</v>
      </c>
      <c r="G1385" s="654"/>
      <c r="H1385" s="651" t="s">
        <v>650</v>
      </c>
      <c r="I1385" s="655"/>
      <c r="J1385" s="655"/>
      <c r="K1385" s="653">
        <v>0</v>
      </c>
      <c r="L1385" s="656">
        <v>0</v>
      </c>
    </row>
    <row r="1386" spans="1:12" ht="21" x14ac:dyDescent="0.25">
      <c r="A1386" s="651" t="s">
        <v>96</v>
      </c>
      <c r="B1386" s="652">
        <v>2021</v>
      </c>
      <c r="C1386" s="651" t="s">
        <v>693</v>
      </c>
      <c r="D1386" s="651" t="s">
        <v>1639</v>
      </c>
      <c r="E1386" s="651" t="s">
        <v>6</v>
      </c>
      <c r="F1386" s="653">
        <v>0</v>
      </c>
      <c r="G1386" s="654"/>
      <c r="H1386" s="651" t="s">
        <v>650</v>
      </c>
      <c r="I1386" s="655"/>
      <c r="J1386" s="655"/>
      <c r="K1386" s="653">
        <v>0</v>
      </c>
      <c r="L1386" s="656">
        <v>0</v>
      </c>
    </row>
    <row r="1387" spans="1:12" ht="31.5" x14ac:dyDescent="0.25">
      <c r="A1387" s="651" t="s">
        <v>96</v>
      </c>
      <c r="B1387" s="652">
        <v>2021</v>
      </c>
      <c r="C1387" s="651" t="s">
        <v>695</v>
      </c>
      <c r="D1387" s="651" t="s">
        <v>1640</v>
      </c>
      <c r="E1387" s="651" t="s">
        <v>697</v>
      </c>
      <c r="F1387" s="653">
        <v>0</v>
      </c>
      <c r="G1387" s="654"/>
      <c r="H1387" s="651" t="s">
        <v>650</v>
      </c>
      <c r="I1387" s="655"/>
      <c r="J1387" s="655"/>
      <c r="K1387" s="653">
        <v>0</v>
      </c>
      <c r="L1387" s="656">
        <v>0</v>
      </c>
    </row>
    <row r="1388" spans="1:12" ht="21" x14ac:dyDescent="0.25">
      <c r="A1388" s="651" t="s">
        <v>96</v>
      </c>
      <c r="B1388" s="652">
        <v>2021</v>
      </c>
      <c r="C1388" s="651" t="s">
        <v>698</v>
      </c>
      <c r="D1388" s="651" t="s">
        <v>1641</v>
      </c>
      <c r="E1388" s="651" t="s">
        <v>700</v>
      </c>
      <c r="F1388" s="653">
        <v>-2119165.7599999998</v>
      </c>
      <c r="G1388" s="654"/>
      <c r="H1388" s="651" t="s">
        <v>650</v>
      </c>
      <c r="I1388" s="655"/>
      <c r="J1388" s="655"/>
      <c r="K1388" s="653">
        <v>0</v>
      </c>
      <c r="L1388" s="656">
        <v>-2119165.7599999998</v>
      </c>
    </row>
    <row r="1389" spans="1:12" ht="21" x14ac:dyDescent="0.25">
      <c r="A1389" s="651" t="s">
        <v>96</v>
      </c>
      <c r="B1389" s="652">
        <v>2021</v>
      </c>
      <c r="C1389" s="651" t="s">
        <v>701</v>
      </c>
      <c r="D1389" s="651" t="s">
        <v>1642</v>
      </c>
      <c r="E1389" s="651" t="s">
        <v>1</v>
      </c>
      <c r="F1389" s="653">
        <v>-95390808.719999999</v>
      </c>
      <c r="G1389" s="651" t="s">
        <v>650</v>
      </c>
      <c r="H1389" s="654"/>
      <c r="I1389" s="653">
        <v>-95184592</v>
      </c>
      <c r="J1389" s="653">
        <v>-206218.125</v>
      </c>
      <c r="K1389" s="653">
        <v>-95390808</v>
      </c>
      <c r="L1389" s="656">
        <v>-95390808.719999999</v>
      </c>
    </row>
    <row r="1390" spans="1:12" ht="21" x14ac:dyDescent="0.25">
      <c r="A1390" s="651" t="s">
        <v>96</v>
      </c>
      <c r="B1390" s="652">
        <v>2021</v>
      </c>
      <c r="C1390" s="651" t="s">
        <v>701</v>
      </c>
      <c r="D1390" s="651" t="s">
        <v>1642</v>
      </c>
      <c r="E1390" s="651" t="s">
        <v>703</v>
      </c>
      <c r="F1390" s="653">
        <v>0</v>
      </c>
      <c r="G1390" s="654"/>
      <c r="H1390" s="654"/>
      <c r="I1390" s="655"/>
      <c r="J1390" s="655"/>
      <c r="K1390" s="653">
        <v>0</v>
      </c>
      <c r="L1390" s="656">
        <v>0</v>
      </c>
    </row>
    <row r="1391" spans="1:12" ht="21" x14ac:dyDescent="0.25">
      <c r="A1391" s="651" t="s">
        <v>96</v>
      </c>
      <c r="B1391" s="652">
        <v>2021</v>
      </c>
      <c r="C1391" s="651" t="s">
        <v>701</v>
      </c>
      <c r="D1391" s="651" t="s">
        <v>1642</v>
      </c>
      <c r="E1391" s="651" t="s">
        <v>704</v>
      </c>
      <c r="F1391" s="653">
        <v>0</v>
      </c>
      <c r="G1391" s="654"/>
      <c r="H1391" s="654"/>
      <c r="I1391" s="655"/>
      <c r="J1391" s="655"/>
      <c r="K1391" s="653">
        <v>0</v>
      </c>
      <c r="L1391" s="656">
        <v>0</v>
      </c>
    </row>
    <row r="1392" spans="1:12" ht="21" x14ac:dyDescent="0.25">
      <c r="A1392" s="651" t="s">
        <v>96</v>
      </c>
      <c r="B1392" s="652">
        <v>2021</v>
      </c>
      <c r="C1392" s="651" t="s">
        <v>701</v>
      </c>
      <c r="D1392" s="651" t="s">
        <v>1642</v>
      </c>
      <c r="E1392" s="651" t="s">
        <v>705</v>
      </c>
      <c r="F1392" s="653">
        <v>179613.24</v>
      </c>
      <c r="G1392" s="654"/>
      <c r="H1392" s="654"/>
      <c r="I1392" s="655"/>
      <c r="J1392" s="655"/>
      <c r="K1392" s="653">
        <v>0</v>
      </c>
      <c r="L1392" s="656">
        <v>179613.24</v>
      </c>
    </row>
    <row r="1393" spans="1:12" ht="21" x14ac:dyDescent="0.25">
      <c r="A1393" s="651" t="s">
        <v>96</v>
      </c>
      <c r="B1393" s="652">
        <v>2021</v>
      </c>
      <c r="C1393" s="651" t="s">
        <v>701</v>
      </c>
      <c r="D1393" s="651" t="s">
        <v>1642</v>
      </c>
      <c r="E1393" s="651" t="s">
        <v>706</v>
      </c>
      <c r="F1393" s="653">
        <v>-3863262.53</v>
      </c>
      <c r="G1393" s="654"/>
      <c r="H1393" s="654"/>
      <c r="I1393" s="655"/>
      <c r="J1393" s="655"/>
      <c r="K1393" s="653">
        <v>0</v>
      </c>
      <c r="L1393" s="656">
        <v>-3863262.53</v>
      </c>
    </row>
    <row r="1394" spans="1:12" ht="14.5" x14ac:dyDescent="0.25">
      <c r="A1394" s="651" t="s">
        <v>96</v>
      </c>
      <c r="B1394" s="652">
        <v>2021</v>
      </c>
      <c r="C1394" s="651" t="s">
        <v>707</v>
      </c>
      <c r="D1394" s="651" t="s">
        <v>1643</v>
      </c>
      <c r="E1394" s="651" t="s">
        <v>709</v>
      </c>
      <c r="F1394" s="653">
        <v>0</v>
      </c>
      <c r="G1394" s="654"/>
      <c r="H1394" s="651" t="s">
        <v>650</v>
      </c>
      <c r="I1394" s="655"/>
      <c r="J1394" s="655"/>
      <c r="K1394" s="653">
        <v>0</v>
      </c>
      <c r="L1394" s="656">
        <v>0</v>
      </c>
    </row>
    <row r="1395" spans="1:12" ht="31.5" x14ac:dyDescent="0.25">
      <c r="A1395" s="651" t="s">
        <v>96</v>
      </c>
      <c r="B1395" s="652">
        <v>2021</v>
      </c>
      <c r="C1395" s="651" t="s">
        <v>710</v>
      </c>
      <c r="D1395" s="651" t="s">
        <v>1644</v>
      </c>
      <c r="E1395" s="651" t="s">
        <v>2</v>
      </c>
      <c r="F1395" s="653">
        <v>-65760875.159999996</v>
      </c>
      <c r="G1395" s="651" t="s">
        <v>650</v>
      </c>
      <c r="H1395" s="654"/>
      <c r="I1395" s="653">
        <v>-61067612</v>
      </c>
      <c r="J1395" s="653">
        <v>-4693265</v>
      </c>
      <c r="K1395" s="653">
        <v>-65760876</v>
      </c>
      <c r="L1395" s="656">
        <v>-65760875.159999996</v>
      </c>
    </row>
    <row r="1396" spans="1:12" ht="31.5" x14ac:dyDescent="0.25">
      <c r="A1396" s="651" t="s">
        <v>96</v>
      </c>
      <c r="B1396" s="652">
        <v>2021</v>
      </c>
      <c r="C1396" s="651" t="s">
        <v>712</v>
      </c>
      <c r="D1396" s="651" t="s">
        <v>1645</v>
      </c>
      <c r="E1396" s="651" t="s">
        <v>3</v>
      </c>
      <c r="F1396" s="653">
        <v>91208629.430000007</v>
      </c>
      <c r="G1396" s="651" t="s">
        <v>650</v>
      </c>
      <c r="H1396" s="654"/>
      <c r="I1396" s="653">
        <v>86000192</v>
      </c>
      <c r="J1396" s="653">
        <v>5208439</v>
      </c>
      <c r="K1396" s="653">
        <v>91208632</v>
      </c>
      <c r="L1396" s="656">
        <v>91208629.430000007</v>
      </c>
    </row>
    <row r="1397" spans="1:12" ht="31.5" x14ac:dyDescent="0.25">
      <c r="A1397" s="651" t="s">
        <v>96</v>
      </c>
      <c r="B1397" s="652">
        <v>2021</v>
      </c>
      <c r="C1397" s="651" t="s">
        <v>714</v>
      </c>
      <c r="D1397" s="651" t="s">
        <v>1646</v>
      </c>
      <c r="E1397" s="651" t="s">
        <v>38</v>
      </c>
      <c r="F1397" s="653">
        <v>11361020.15</v>
      </c>
      <c r="G1397" s="651" t="s">
        <v>650</v>
      </c>
      <c r="H1397" s="654"/>
      <c r="I1397" s="653">
        <v>9852971</v>
      </c>
      <c r="J1397" s="653">
        <v>1508048.75</v>
      </c>
      <c r="K1397" s="653">
        <v>11361020</v>
      </c>
      <c r="L1397" s="656">
        <v>11361020.15</v>
      </c>
    </row>
    <row r="1398" spans="1:12" ht="21" x14ac:dyDescent="0.25">
      <c r="A1398" s="651" t="s">
        <v>96</v>
      </c>
      <c r="B1398" s="652">
        <v>2021</v>
      </c>
      <c r="C1398" s="651" t="s">
        <v>716</v>
      </c>
      <c r="D1398" s="651" t="s">
        <v>1647</v>
      </c>
      <c r="E1398" s="651" t="s">
        <v>66</v>
      </c>
      <c r="F1398" s="653">
        <v>-44481876.060000002</v>
      </c>
      <c r="G1398" s="651" t="s">
        <v>650</v>
      </c>
      <c r="H1398" s="654"/>
      <c r="I1398" s="653">
        <v>-45910648</v>
      </c>
      <c r="J1398" s="653">
        <v>1428771</v>
      </c>
      <c r="K1398" s="653">
        <v>-44481876</v>
      </c>
      <c r="L1398" s="656">
        <v>-44481876.060000002</v>
      </c>
    </row>
    <row r="1399" spans="1:12" ht="21" x14ac:dyDescent="0.25">
      <c r="A1399" s="651" t="s">
        <v>96</v>
      </c>
      <c r="B1399" s="652">
        <v>2021</v>
      </c>
      <c r="C1399" s="651" t="s">
        <v>718</v>
      </c>
      <c r="D1399" s="651" t="s">
        <v>1648</v>
      </c>
      <c r="E1399" s="651" t="s">
        <v>768</v>
      </c>
      <c r="F1399" s="653">
        <v>-48382621.740000002</v>
      </c>
      <c r="G1399" s="654"/>
      <c r="H1399" s="651" t="s">
        <v>650</v>
      </c>
      <c r="I1399" s="655"/>
      <c r="J1399" s="655"/>
      <c r="K1399" s="653">
        <v>0</v>
      </c>
      <c r="L1399" s="656">
        <v>-48382621.740000002</v>
      </c>
    </row>
    <row r="1400" spans="1:12" ht="42" x14ac:dyDescent="0.25">
      <c r="A1400" s="651" t="s">
        <v>96</v>
      </c>
      <c r="B1400" s="652">
        <v>2021</v>
      </c>
      <c r="C1400" s="651" t="s">
        <v>721</v>
      </c>
      <c r="D1400" s="651" t="s">
        <v>1649</v>
      </c>
      <c r="E1400" s="651" t="s">
        <v>3016</v>
      </c>
      <c r="F1400" s="653">
        <v>0</v>
      </c>
      <c r="G1400" s="651" t="s">
        <v>650</v>
      </c>
      <c r="H1400" s="654"/>
      <c r="I1400" s="653">
        <v>9024717</v>
      </c>
      <c r="J1400" s="653">
        <v>-3523712</v>
      </c>
      <c r="K1400" s="653">
        <v>5501005</v>
      </c>
      <c r="L1400" s="656">
        <v>5501004.7699999996</v>
      </c>
    </row>
    <row r="1401" spans="1:12" ht="42" x14ac:dyDescent="0.25">
      <c r="A1401" s="651" t="s">
        <v>96</v>
      </c>
      <c r="B1401" s="652">
        <v>2021</v>
      </c>
      <c r="C1401" s="651" t="s">
        <v>721</v>
      </c>
      <c r="D1401" s="651" t="s">
        <v>1649</v>
      </c>
      <c r="E1401" s="651" t="s">
        <v>3058</v>
      </c>
      <c r="F1401" s="653">
        <v>0</v>
      </c>
      <c r="G1401" s="651" t="s">
        <v>650</v>
      </c>
      <c r="H1401" s="654"/>
      <c r="I1401" s="655"/>
      <c r="J1401" s="655"/>
      <c r="K1401" s="653">
        <v>0</v>
      </c>
      <c r="L1401" s="656">
        <v>0</v>
      </c>
    </row>
    <row r="1402" spans="1:12" ht="42" x14ac:dyDescent="0.25">
      <c r="A1402" s="651" t="s">
        <v>96</v>
      </c>
      <c r="B1402" s="652">
        <v>2021</v>
      </c>
      <c r="C1402" s="651" t="s">
        <v>721</v>
      </c>
      <c r="D1402" s="651" t="s">
        <v>1650</v>
      </c>
      <c r="E1402" s="651" t="s">
        <v>724</v>
      </c>
      <c r="F1402" s="653">
        <v>0</v>
      </c>
      <c r="G1402" s="651" t="s">
        <v>650</v>
      </c>
      <c r="H1402" s="654"/>
      <c r="I1402" s="655"/>
      <c r="J1402" s="655"/>
      <c r="K1402" s="653">
        <v>0</v>
      </c>
      <c r="L1402" s="656">
        <v>0</v>
      </c>
    </row>
    <row r="1403" spans="1:12" ht="42" x14ac:dyDescent="0.25">
      <c r="A1403" s="651" t="s">
        <v>96</v>
      </c>
      <c r="B1403" s="652">
        <v>2021</v>
      </c>
      <c r="C1403" s="651" t="s">
        <v>721</v>
      </c>
      <c r="D1403" s="651" t="s">
        <v>1651</v>
      </c>
      <c r="E1403" s="651" t="s">
        <v>55</v>
      </c>
      <c r="F1403" s="653">
        <v>0</v>
      </c>
      <c r="G1403" s="651" t="s">
        <v>650</v>
      </c>
      <c r="H1403" s="654"/>
      <c r="I1403" s="655"/>
      <c r="J1403" s="655"/>
      <c r="K1403" s="653">
        <v>0</v>
      </c>
      <c r="L1403" s="656">
        <v>0</v>
      </c>
    </row>
    <row r="1404" spans="1:12" ht="42" x14ac:dyDescent="0.25">
      <c r="A1404" s="651" t="s">
        <v>96</v>
      </c>
      <c r="B1404" s="652">
        <v>2021</v>
      </c>
      <c r="C1404" s="651" t="s">
        <v>721</v>
      </c>
      <c r="D1404" s="651" t="s">
        <v>1652</v>
      </c>
      <c r="E1404" s="651" t="s">
        <v>56</v>
      </c>
      <c r="F1404" s="653">
        <v>0</v>
      </c>
      <c r="G1404" s="651" t="s">
        <v>650</v>
      </c>
      <c r="H1404" s="654"/>
      <c r="I1404" s="655"/>
      <c r="J1404" s="655"/>
      <c r="K1404" s="653">
        <v>0</v>
      </c>
      <c r="L1404" s="656">
        <v>0</v>
      </c>
    </row>
    <row r="1405" spans="1:12" ht="42" x14ac:dyDescent="0.25">
      <c r="A1405" s="651" t="s">
        <v>96</v>
      </c>
      <c r="B1405" s="652">
        <v>2021</v>
      </c>
      <c r="C1405" s="651" t="s">
        <v>721</v>
      </c>
      <c r="D1405" s="651" t="s">
        <v>1653</v>
      </c>
      <c r="E1405" s="651" t="s">
        <v>728</v>
      </c>
      <c r="F1405" s="653">
        <v>0</v>
      </c>
      <c r="G1405" s="651" t="s">
        <v>650</v>
      </c>
      <c r="H1405" s="654"/>
      <c r="I1405" s="655"/>
      <c r="J1405" s="655"/>
      <c r="K1405" s="653">
        <v>0</v>
      </c>
      <c r="L1405" s="656">
        <v>0</v>
      </c>
    </row>
    <row r="1406" spans="1:12" ht="42" x14ac:dyDescent="0.25">
      <c r="A1406" s="651" t="s">
        <v>96</v>
      </c>
      <c r="B1406" s="652">
        <v>2021</v>
      </c>
      <c r="C1406" s="651" t="s">
        <v>721</v>
      </c>
      <c r="D1406" s="651" t="s">
        <v>1654</v>
      </c>
      <c r="E1406" s="651" t="s">
        <v>730</v>
      </c>
      <c r="F1406" s="653">
        <v>0</v>
      </c>
      <c r="G1406" s="651" t="s">
        <v>650</v>
      </c>
      <c r="H1406" s="654"/>
      <c r="I1406" s="655"/>
      <c r="J1406" s="655"/>
      <c r="K1406" s="653">
        <v>0</v>
      </c>
      <c r="L1406" s="656">
        <v>0</v>
      </c>
    </row>
    <row r="1407" spans="1:12" ht="42" x14ac:dyDescent="0.25">
      <c r="A1407" s="651" t="s">
        <v>96</v>
      </c>
      <c r="B1407" s="652">
        <v>2021</v>
      </c>
      <c r="C1407" s="651" t="s">
        <v>721</v>
      </c>
      <c r="D1407" s="651" t="s">
        <v>1655</v>
      </c>
      <c r="E1407" s="651" t="s">
        <v>142</v>
      </c>
      <c r="F1407" s="653">
        <v>0</v>
      </c>
      <c r="G1407" s="651" t="s">
        <v>650</v>
      </c>
      <c r="H1407" s="654"/>
      <c r="I1407" s="655"/>
      <c r="J1407" s="655"/>
      <c r="K1407" s="653">
        <v>0</v>
      </c>
      <c r="L1407" s="656">
        <v>0</v>
      </c>
    </row>
    <row r="1408" spans="1:12" ht="42" x14ac:dyDescent="0.25">
      <c r="A1408" s="651" t="s">
        <v>96</v>
      </c>
      <c r="B1408" s="652">
        <v>2021</v>
      </c>
      <c r="C1408" s="651" t="s">
        <v>721</v>
      </c>
      <c r="D1408" s="651" t="s">
        <v>1656</v>
      </c>
      <c r="E1408" s="651" t="s">
        <v>143</v>
      </c>
      <c r="F1408" s="653">
        <v>0</v>
      </c>
      <c r="G1408" s="651" t="s">
        <v>650</v>
      </c>
      <c r="H1408" s="654"/>
      <c r="I1408" s="655"/>
      <c r="J1408" s="655"/>
      <c r="K1408" s="653">
        <v>0</v>
      </c>
      <c r="L1408" s="656">
        <v>0</v>
      </c>
    </row>
    <row r="1409" spans="1:12" ht="42" x14ac:dyDescent="0.25">
      <c r="A1409" s="651" t="s">
        <v>96</v>
      </c>
      <c r="B1409" s="652">
        <v>2021</v>
      </c>
      <c r="C1409" s="651" t="s">
        <v>721</v>
      </c>
      <c r="D1409" s="651" t="s">
        <v>1657</v>
      </c>
      <c r="E1409" s="651" t="s">
        <v>182</v>
      </c>
      <c r="F1409" s="653">
        <v>0</v>
      </c>
      <c r="G1409" s="651" t="s">
        <v>650</v>
      </c>
      <c r="H1409" s="654"/>
      <c r="I1409" s="653">
        <v>-6468176.5</v>
      </c>
      <c r="J1409" s="653">
        <v>-42370.8984375</v>
      </c>
      <c r="K1409" s="653">
        <v>-6510547.5</v>
      </c>
      <c r="L1409" s="656">
        <v>-6510547.2599999998</v>
      </c>
    </row>
    <row r="1410" spans="1:12" ht="42" x14ac:dyDescent="0.25">
      <c r="A1410" s="651" t="s">
        <v>96</v>
      </c>
      <c r="B1410" s="652">
        <v>2021</v>
      </c>
      <c r="C1410" s="651" t="s">
        <v>721</v>
      </c>
      <c r="D1410" s="651" t="s">
        <v>1658</v>
      </c>
      <c r="E1410" s="651" t="s">
        <v>394</v>
      </c>
      <c r="F1410" s="653">
        <v>0</v>
      </c>
      <c r="G1410" s="651" t="s">
        <v>650</v>
      </c>
      <c r="H1410" s="654"/>
      <c r="I1410" s="655"/>
      <c r="J1410" s="655"/>
      <c r="K1410" s="653">
        <v>0</v>
      </c>
      <c r="L1410" s="656">
        <v>0</v>
      </c>
    </row>
    <row r="1411" spans="1:12" ht="42" x14ac:dyDescent="0.25">
      <c r="A1411" s="651" t="s">
        <v>96</v>
      </c>
      <c r="B1411" s="652">
        <v>2021</v>
      </c>
      <c r="C1411" s="651" t="s">
        <v>721</v>
      </c>
      <c r="D1411" s="651" t="s">
        <v>1659</v>
      </c>
      <c r="E1411" s="651" t="s">
        <v>423</v>
      </c>
      <c r="F1411" s="653">
        <v>0</v>
      </c>
      <c r="G1411" s="651" t="s">
        <v>650</v>
      </c>
      <c r="H1411" s="654"/>
      <c r="I1411" s="653">
        <v>-3904.2099609375</v>
      </c>
      <c r="J1411" s="653">
        <v>-172096.703125</v>
      </c>
      <c r="K1411" s="653">
        <v>-176000.921875</v>
      </c>
      <c r="L1411" s="656">
        <v>-176000.92</v>
      </c>
    </row>
    <row r="1412" spans="1:12" ht="42" x14ac:dyDescent="0.25">
      <c r="A1412" s="651" t="s">
        <v>96</v>
      </c>
      <c r="B1412" s="652">
        <v>2021</v>
      </c>
      <c r="C1412" s="651" t="s">
        <v>721</v>
      </c>
      <c r="D1412" s="651" t="s">
        <v>3262</v>
      </c>
      <c r="E1412" s="651" t="s">
        <v>441</v>
      </c>
      <c r="F1412" s="653">
        <v>0</v>
      </c>
      <c r="G1412" s="651" t="s">
        <v>650</v>
      </c>
      <c r="H1412" s="654"/>
      <c r="I1412" s="653">
        <v>-196448.265625</v>
      </c>
      <c r="J1412" s="653">
        <v>117369.7421875</v>
      </c>
      <c r="K1412" s="653">
        <v>-79078.53125</v>
      </c>
      <c r="L1412" s="656">
        <v>-79078.53</v>
      </c>
    </row>
    <row r="1413" spans="1:12" ht="42" x14ac:dyDescent="0.25">
      <c r="A1413" s="651" t="s">
        <v>96</v>
      </c>
      <c r="B1413" s="652">
        <v>2021</v>
      </c>
      <c r="C1413" s="651" t="s">
        <v>721</v>
      </c>
      <c r="D1413" s="651" t="s">
        <v>1660</v>
      </c>
      <c r="E1413" s="651" t="s">
        <v>737</v>
      </c>
      <c r="F1413" s="653">
        <v>-1264621.94</v>
      </c>
      <c r="G1413" s="654"/>
      <c r="H1413" s="654"/>
      <c r="I1413" s="655"/>
      <c r="J1413" s="655"/>
      <c r="K1413" s="653">
        <v>0</v>
      </c>
      <c r="L1413" s="656">
        <v>-1264621.94</v>
      </c>
    </row>
    <row r="1414" spans="1:12" ht="14.5" x14ac:dyDescent="0.25">
      <c r="A1414" s="651" t="s">
        <v>96</v>
      </c>
      <c r="B1414" s="652">
        <v>2021</v>
      </c>
      <c r="C1414" s="651" t="s">
        <v>738</v>
      </c>
      <c r="D1414" s="651" t="s">
        <v>1661</v>
      </c>
      <c r="E1414" s="651" t="s">
        <v>7</v>
      </c>
      <c r="F1414" s="653">
        <v>-26103652.140000001</v>
      </c>
      <c r="G1414" s="654"/>
      <c r="H1414" s="651" t="s">
        <v>650</v>
      </c>
      <c r="I1414" s="655"/>
      <c r="J1414" s="655"/>
      <c r="K1414" s="653">
        <v>0</v>
      </c>
      <c r="L1414" s="656">
        <v>-26103652.140000001</v>
      </c>
    </row>
    <row r="1415" spans="1:12" ht="21" x14ac:dyDescent="0.25">
      <c r="A1415" s="651" t="s">
        <v>1662</v>
      </c>
      <c r="B1415" s="652">
        <v>2021</v>
      </c>
      <c r="C1415" s="651" t="s">
        <v>647</v>
      </c>
      <c r="D1415" s="651" t="s">
        <v>1663</v>
      </c>
      <c r="E1415" s="651" t="s">
        <v>649</v>
      </c>
      <c r="F1415" s="653">
        <v>5960740.7300000004</v>
      </c>
      <c r="G1415" s="654"/>
      <c r="H1415" s="651" t="s">
        <v>650</v>
      </c>
      <c r="I1415" s="655"/>
      <c r="J1415" s="655"/>
      <c r="K1415" s="653">
        <v>0</v>
      </c>
      <c r="L1415" s="656">
        <v>5960740.7300000004</v>
      </c>
    </row>
    <row r="1416" spans="1:12" ht="21" x14ac:dyDescent="0.25">
      <c r="A1416" s="651" t="s">
        <v>1662</v>
      </c>
      <c r="B1416" s="652">
        <v>2021</v>
      </c>
      <c r="C1416" s="651" t="s">
        <v>651</v>
      </c>
      <c r="D1416" s="651" t="s">
        <v>1664</v>
      </c>
      <c r="E1416" s="651" t="s">
        <v>653</v>
      </c>
      <c r="F1416" s="653">
        <v>0</v>
      </c>
      <c r="G1416" s="654"/>
      <c r="H1416" s="651" t="s">
        <v>650</v>
      </c>
      <c r="I1416" s="655"/>
      <c r="J1416" s="655"/>
      <c r="K1416" s="653">
        <v>0</v>
      </c>
      <c r="L1416" s="656">
        <v>0</v>
      </c>
    </row>
    <row r="1417" spans="1:12" ht="42" x14ac:dyDescent="0.25">
      <c r="A1417" s="651" t="s">
        <v>1662</v>
      </c>
      <c r="B1417" s="652">
        <v>2021</v>
      </c>
      <c r="C1417" s="651" t="s">
        <v>654</v>
      </c>
      <c r="D1417" s="651" t="s">
        <v>1665</v>
      </c>
      <c r="E1417" s="651" t="s">
        <v>445</v>
      </c>
      <c r="F1417" s="653">
        <v>0</v>
      </c>
      <c r="G1417" s="654"/>
      <c r="H1417" s="651" t="s">
        <v>650</v>
      </c>
      <c r="I1417" s="655"/>
      <c r="J1417" s="655"/>
      <c r="K1417" s="653">
        <v>0</v>
      </c>
      <c r="L1417" s="656">
        <v>0</v>
      </c>
    </row>
    <row r="1418" spans="1:12" ht="21" x14ac:dyDescent="0.25">
      <c r="A1418" s="651" t="s">
        <v>1662</v>
      </c>
      <c r="B1418" s="652">
        <v>2021</v>
      </c>
      <c r="C1418" s="651" t="s">
        <v>656</v>
      </c>
      <c r="D1418" s="651" t="s">
        <v>1666</v>
      </c>
      <c r="E1418" s="651" t="s">
        <v>658</v>
      </c>
      <c r="F1418" s="653">
        <v>43482423</v>
      </c>
      <c r="G1418" s="654"/>
      <c r="H1418" s="651" t="s">
        <v>650</v>
      </c>
      <c r="I1418" s="655"/>
      <c r="J1418" s="655"/>
      <c r="K1418" s="653">
        <v>0</v>
      </c>
      <c r="L1418" s="656">
        <v>43482423</v>
      </c>
    </row>
    <row r="1419" spans="1:12" ht="31.5" x14ac:dyDescent="0.25">
      <c r="A1419" s="651" t="s">
        <v>1662</v>
      </c>
      <c r="B1419" s="652">
        <v>2021</v>
      </c>
      <c r="C1419" s="651" t="s">
        <v>659</v>
      </c>
      <c r="D1419" s="651" t="s">
        <v>1667</v>
      </c>
      <c r="E1419" s="651" t="s">
        <v>661</v>
      </c>
      <c r="F1419" s="653">
        <v>0</v>
      </c>
      <c r="G1419" s="654"/>
      <c r="H1419" s="651" t="s">
        <v>650</v>
      </c>
      <c r="I1419" s="655"/>
      <c r="J1419" s="655"/>
      <c r="K1419" s="653">
        <v>0</v>
      </c>
      <c r="L1419" s="656">
        <v>0</v>
      </c>
    </row>
    <row r="1420" spans="1:12" ht="21" x14ac:dyDescent="0.25">
      <c r="A1420" s="651" t="s">
        <v>1662</v>
      </c>
      <c r="B1420" s="652">
        <v>2021</v>
      </c>
      <c r="C1420" s="651" t="s">
        <v>662</v>
      </c>
      <c r="D1420" s="651" t="s">
        <v>1668</v>
      </c>
      <c r="E1420" s="651" t="s">
        <v>664</v>
      </c>
      <c r="F1420" s="653">
        <v>0</v>
      </c>
      <c r="G1420" s="654"/>
      <c r="H1420" s="651" t="s">
        <v>650</v>
      </c>
      <c r="I1420" s="655"/>
      <c r="J1420" s="655"/>
      <c r="K1420" s="653">
        <v>0</v>
      </c>
      <c r="L1420" s="656">
        <v>0</v>
      </c>
    </row>
    <row r="1421" spans="1:12" ht="31.5" x14ac:dyDescent="0.25">
      <c r="A1421" s="651" t="s">
        <v>1662</v>
      </c>
      <c r="B1421" s="652">
        <v>2021</v>
      </c>
      <c r="C1421" s="651" t="s">
        <v>665</v>
      </c>
      <c r="D1421" s="651" t="s">
        <v>1669</v>
      </c>
      <c r="E1421" s="651" t="s">
        <v>667</v>
      </c>
      <c r="F1421" s="653">
        <v>0</v>
      </c>
      <c r="G1421" s="654"/>
      <c r="H1421" s="651" t="s">
        <v>650</v>
      </c>
      <c r="I1421" s="655"/>
      <c r="J1421" s="655"/>
      <c r="K1421" s="653">
        <v>0</v>
      </c>
      <c r="L1421" s="656">
        <v>0</v>
      </c>
    </row>
    <row r="1422" spans="1:12" ht="21" x14ac:dyDescent="0.25">
      <c r="A1422" s="651" t="s">
        <v>1662</v>
      </c>
      <c r="B1422" s="652">
        <v>2021</v>
      </c>
      <c r="C1422" s="651" t="s">
        <v>668</v>
      </c>
      <c r="D1422" s="651" t="s">
        <v>1670</v>
      </c>
      <c r="E1422" s="651" t="s">
        <v>12</v>
      </c>
      <c r="F1422" s="653">
        <v>0</v>
      </c>
      <c r="G1422" s="654"/>
      <c r="H1422" s="651" t="s">
        <v>650</v>
      </c>
      <c r="I1422" s="655"/>
      <c r="J1422" s="655"/>
      <c r="K1422" s="653">
        <v>0</v>
      </c>
      <c r="L1422" s="656">
        <v>0</v>
      </c>
    </row>
    <row r="1423" spans="1:12" ht="21" x14ac:dyDescent="0.25">
      <c r="A1423" s="651" t="s">
        <v>1662</v>
      </c>
      <c r="B1423" s="652">
        <v>2021</v>
      </c>
      <c r="C1423" s="651" t="s">
        <v>670</v>
      </c>
      <c r="D1423" s="651" t="s">
        <v>1671</v>
      </c>
      <c r="E1423" s="651" t="s">
        <v>749</v>
      </c>
      <c r="F1423" s="653">
        <v>0</v>
      </c>
      <c r="G1423" s="654"/>
      <c r="H1423" s="651" t="s">
        <v>650</v>
      </c>
      <c r="I1423" s="655"/>
      <c r="J1423" s="655"/>
      <c r="K1423" s="653">
        <v>0</v>
      </c>
      <c r="L1423" s="656">
        <v>0</v>
      </c>
    </row>
    <row r="1424" spans="1:12" ht="21" x14ac:dyDescent="0.25">
      <c r="A1424" s="651" t="s">
        <v>1662</v>
      </c>
      <c r="B1424" s="652">
        <v>2021</v>
      </c>
      <c r="C1424" s="651" t="s">
        <v>672</v>
      </c>
      <c r="D1424" s="651" t="s">
        <v>1672</v>
      </c>
      <c r="E1424" s="651" t="s">
        <v>15</v>
      </c>
      <c r="F1424" s="653">
        <v>0</v>
      </c>
      <c r="G1424" s="654"/>
      <c r="H1424" s="651" t="s">
        <v>650</v>
      </c>
      <c r="I1424" s="655"/>
      <c r="J1424" s="655"/>
      <c r="K1424" s="653">
        <v>0</v>
      </c>
      <c r="L1424" s="656">
        <v>0</v>
      </c>
    </row>
    <row r="1425" spans="1:12" ht="21" x14ac:dyDescent="0.25">
      <c r="A1425" s="651" t="s">
        <v>1662</v>
      </c>
      <c r="B1425" s="652">
        <v>2021</v>
      </c>
      <c r="C1425" s="651" t="s">
        <v>674</v>
      </c>
      <c r="D1425" s="651" t="s">
        <v>1673</v>
      </c>
      <c r="E1425" s="651" t="s">
        <v>676</v>
      </c>
      <c r="F1425" s="653">
        <v>0</v>
      </c>
      <c r="G1425" s="654"/>
      <c r="H1425" s="651" t="s">
        <v>650</v>
      </c>
      <c r="I1425" s="655"/>
      <c r="J1425" s="655"/>
      <c r="K1425" s="653">
        <v>0</v>
      </c>
      <c r="L1425" s="656">
        <v>0</v>
      </c>
    </row>
    <row r="1426" spans="1:12" ht="21" x14ac:dyDescent="0.25">
      <c r="A1426" s="651" t="s">
        <v>1662</v>
      </c>
      <c r="B1426" s="652">
        <v>2021</v>
      </c>
      <c r="C1426" s="651" t="s">
        <v>677</v>
      </c>
      <c r="D1426" s="651" t="s">
        <v>1674</v>
      </c>
      <c r="E1426" s="651" t="s">
        <v>23</v>
      </c>
      <c r="F1426" s="653">
        <v>0</v>
      </c>
      <c r="G1426" s="651" t="s">
        <v>650</v>
      </c>
      <c r="H1426" s="654"/>
      <c r="I1426" s="655"/>
      <c r="J1426" s="655"/>
      <c r="K1426" s="653">
        <v>0</v>
      </c>
      <c r="L1426" s="656">
        <v>0</v>
      </c>
    </row>
    <row r="1427" spans="1:12" ht="31.5" x14ac:dyDescent="0.25">
      <c r="A1427" s="651" t="s">
        <v>1662</v>
      </c>
      <c r="B1427" s="652">
        <v>2021</v>
      </c>
      <c r="C1427" s="651" t="s">
        <v>679</v>
      </c>
      <c r="D1427" s="651" t="s">
        <v>1675</v>
      </c>
      <c r="E1427" s="651" t="s">
        <v>131</v>
      </c>
      <c r="F1427" s="653">
        <v>0</v>
      </c>
      <c r="G1427" s="651" t="s">
        <v>650</v>
      </c>
      <c r="H1427" s="654"/>
      <c r="I1427" s="655"/>
      <c r="J1427" s="655"/>
      <c r="K1427" s="653">
        <v>0</v>
      </c>
      <c r="L1427" s="656">
        <v>0</v>
      </c>
    </row>
    <row r="1428" spans="1:12" ht="31.5" x14ac:dyDescent="0.25">
      <c r="A1428" s="651" t="s">
        <v>1662</v>
      </c>
      <c r="B1428" s="652">
        <v>2021</v>
      </c>
      <c r="C1428" s="651" t="s">
        <v>681</v>
      </c>
      <c r="D1428" s="651" t="s">
        <v>1676</v>
      </c>
      <c r="E1428" s="651" t="s">
        <v>683</v>
      </c>
      <c r="F1428" s="653">
        <v>0</v>
      </c>
      <c r="G1428" s="654"/>
      <c r="H1428" s="651" t="s">
        <v>650</v>
      </c>
      <c r="I1428" s="655"/>
      <c r="J1428" s="655"/>
      <c r="K1428" s="653">
        <v>0</v>
      </c>
      <c r="L1428" s="656">
        <v>0</v>
      </c>
    </row>
    <row r="1429" spans="1:12" ht="21" x14ac:dyDescent="0.25">
      <c r="A1429" s="651" t="s">
        <v>1662</v>
      </c>
      <c r="B1429" s="652">
        <v>2021</v>
      </c>
      <c r="C1429" s="651" t="s">
        <v>681</v>
      </c>
      <c r="D1429" s="651" t="s">
        <v>1676</v>
      </c>
      <c r="E1429" s="651" t="s">
        <v>684</v>
      </c>
      <c r="F1429" s="653">
        <v>0</v>
      </c>
      <c r="G1429" s="654"/>
      <c r="H1429" s="651" t="s">
        <v>650</v>
      </c>
      <c r="I1429" s="655"/>
      <c r="J1429" s="655"/>
      <c r="K1429" s="653">
        <v>0</v>
      </c>
      <c r="L1429" s="656">
        <v>0</v>
      </c>
    </row>
    <row r="1430" spans="1:12" ht="21" x14ac:dyDescent="0.25">
      <c r="A1430" s="651" t="s">
        <v>1662</v>
      </c>
      <c r="B1430" s="652">
        <v>2021</v>
      </c>
      <c r="C1430" s="651" t="s">
        <v>685</v>
      </c>
      <c r="D1430" s="651" t="s">
        <v>1677</v>
      </c>
      <c r="E1430" s="651" t="s">
        <v>687</v>
      </c>
      <c r="F1430" s="653">
        <v>0</v>
      </c>
      <c r="G1430" s="654"/>
      <c r="H1430" s="651" t="s">
        <v>650</v>
      </c>
      <c r="I1430" s="655"/>
      <c r="J1430" s="655"/>
      <c r="K1430" s="653">
        <v>0</v>
      </c>
      <c r="L1430" s="656">
        <v>0</v>
      </c>
    </row>
    <row r="1431" spans="1:12" ht="21" x14ac:dyDescent="0.25">
      <c r="A1431" s="651" t="s">
        <v>1662</v>
      </c>
      <c r="B1431" s="652">
        <v>2021</v>
      </c>
      <c r="C1431" s="651" t="s">
        <v>688</v>
      </c>
      <c r="D1431" s="651" t="s">
        <v>1678</v>
      </c>
      <c r="E1431" s="651" t="s">
        <v>50</v>
      </c>
      <c r="F1431" s="653">
        <v>0</v>
      </c>
      <c r="G1431" s="654"/>
      <c r="H1431" s="651" t="s">
        <v>650</v>
      </c>
      <c r="I1431" s="655"/>
      <c r="J1431" s="655"/>
      <c r="K1431" s="653">
        <v>0</v>
      </c>
      <c r="L1431" s="656">
        <v>0</v>
      </c>
    </row>
    <row r="1432" spans="1:12" ht="21" x14ac:dyDescent="0.25">
      <c r="A1432" s="651" t="s">
        <v>1662</v>
      </c>
      <c r="B1432" s="652">
        <v>2021</v>
      </c>
      <c r="C1432" s="651" t="s">
        <v>690</v>
      </c>
      <c r="D1432" s="651" t="s">
        <v>1679</v>
      </c>
      <c r="E1432" s="651" t="s">
        <v>692</v>
      </c>
      <c r="F1432" s="653">
        <v>0</v>
      </c>
      <c r="G1432" s="654"/>
      <c r="H1432" s="651" t="s">
        <v>650</v>
      </c>
      <c r="I1432" s="655"/>
      <c r="J1432" s="655"/>
      <c r="K1432" s="653">
        <v>0</v>
      </c>
      <c r="L1432" s="656">
        <v>0</v>
      </c>
    </row>
    <row r="1433" spans="1:12" ht="21" x14ac:dyDescent="0.25">
      <c r="A1433" s="651" t="s">
        <v>1662</v>
      </c>
      <c r="B1433" s="652">
        <v>2021</v>
      </c>
      <c r="C1433" s="651" t="s">
        <v>693</v>
      </c>
      <c r="D1433" s="651" t="s">
        <v>1680</v>
      </c>
      <c r="E1433" s="651" t="s">
        <v>6</v>
      </c>
      <c r="F1433" s="653">
        <v>0</v>
      </c>
      <c r="G1433" s="654"/>
      <c r="H1433" s="651" t="s">
        <v>650</v>
      </c>
      <c r="I1433" s="655"/>
      <c r="J1433" s="655"/>
      <c r="K1433" s="653">
        <v>0</v>
      </c>
      <c r="L1433" s="656">
        <v>0</v>
      </c>
    </row>
    <row r="1434" spans="1:12" ht="31.5" x14ac:dyDescent="0.25">
      <c r="A1434" s="651" t="s">
        <v>1662</v>
      </c>
      <c r="B1434" s="652">
        <v>2021</v>
      </c>
      <c r="C1434" s="651" t="s">
        <v>695</v>
      </c>
      <c r="D1434" s="651" t="s">
        <v>1681</v>
      </c>
      <c r="E1434" s="651" t="s">
        <v>697</v>
      </c>
      <c r="F1434" s="653">
        <v>0</v>
      </c>
      <c r="G1434" s="654"/>
      <c r="H1434" s="651" t="s">
        <v>650</v>
      </c>
      <c r="I1434" s="655"/>
      <c r="J1434" s="655"/>
      <c r="K1434" s="653">
        <v>0</v>
      </c>
      <c r="L1434" s="656">
        <v>0</v>
      </c>
    </row>
    <row r="1435" spans="1:12" ht="21" x14ac:dyDescent="0.25">
      <c r="A1435" s="651" t="s">
        <v>1662</v>
      </c>
      <c r="B1435" s="652">
        <v>2021</v>
      </c>
      <c r="C1435" s="651" t="s">
        <v>698</v>
      </c>
      <c r="D1435" s="651" t="s">
        <v>1682</v>
      </c>
      <c r="E1435" s="651" t="s">
        <v>700</v>
      </c>
      <c r="F1435" s="653">
        <v>0</v>
      </c>
      <c r="G1435" s="654"/>
      <c r="H1435" s="651" t="s">
        <v>650</v>
      </c>
      <c r="I1435" s="655"/>
      <c r="J1435" s="655"/>
      <c r="K1435" s="653">
        <v>0</v>
      </c>
      <c r="L1435" s="656">
        <v>0</v>
      </c>
    </row>
    <row r="1436" spans="1:12" ht="21" x14ac:dyDescent="0.25">
      <c r="A1436" s="651" t="s">
        <v>1662</v>
      </c>
      <c r="B1436" s="652">
        <v>2021</v>
      </c>
      <c r="C1436" s="651" t="s">
        <v>701</v>
      </c>
      <c r="D1436" s="651" t="s">
        <v>1683</v>
      </c>
      <c r="E1436" s="651" t="s">
        <v>1</v>
      </c>
      <c r="F1436" s="653">
        <v>0</v>
      </c>
      <c r="G1436" s="651" t="s">
        <v>650</v>
      </c>
      <c r="H1436" s="654"/>
      <c r="I1436" s="655"/>
      <c r="J1436" s="655"/>
      <c r="K1436" s="653">
        <v>0</v>
      </c>
      <c r="L1436" s="656">
        <v>0</v>
      </c>
    </row>
    <row r="1437" spans="1:12" ht="21" x14ac:dyDescent="0.25">
      <c r="A1437" s="651" t="s">
        <v>1662</v>
      </c>
      <c r="B1437" s="652">
        <v>2021</v>
      </c>
      <c r="C1437" s="651" t="s">
        <v>701</v>
      </c>
      <c r="D1437" s="651" t="s">
        <v>1683</v>
      </c>
      <c r="E1437" s="651" t="s">
        <v>703</v>
      </c>
      <c r="F1437" s="653">
        <v>0</v>
      </c>
      <c r="G1437" s="654"/>
      <c r="H1437" s="654"/>
      <c r="I1437" s="655"/>
      <c r="J1437" s="655"/>
      <c r="K1437" s="653">
        <v>0</v>
      </c>
      <c r="L1437" s="656">
        <v>0</v>
      </c>
    </row>
    <row r="1438" spans="1:12" ht="21" x14ac:dyDescent="0.25">
      <c r="A1438" s="651" t="s">
        <v>1662</v>
      </c>
      <c r="B1438" s="652">
        <v>2021</v>
      </c>
      <c r="C1438" s="651" t="s">
        <v>701</v>
      </c>
      <c r="D1438" s="651" t="s">
        <v>1683</v>
      </c>
      <c r="E1438" s="651" t="s">
        <v>704</v>
      </c>
      <c r="F1438" s="653">
        <v>0</v>
      </c>
      <c r="G1438" s="654"/>
      <c r="H1438" s="654"/>
      <c r="I1438" s="655"/>
      <c r="J1438" s="655"/>
      <c r="K1438" s="653">
        <v>0</v>
      </c>
      <c r="L1438" s="656">
        <v>0</v>
      </c>
    </row>
    <row r="1439" spans="1:12" ht="21" x14ac:dyDescent="0.25">
      <c r="A1439" s="651" t="s">
        <v>1662</v>
      </c>
      <c r="B1439" s="652">
        <v>2021</v>
      </c>
      <c r="C1439" s="651" t="s">
        <v>701</v>
      </c>
      <c r="D1439" s="651" t="s">
        <v>1683</v>
      </c>
      <c r="E1439" s="651" t="s">
        <v>705</v>
      </c>
      <c r="F1439" s="653">
        <v>0</v>
      </c>
      <c r="G1439" s="654"/>
      <c r="H1439" s="654"/>
      <c r="I1439" s="655"/>
      <c r="J1439" s="655"/>
      <c r="K1439" s="653">
        <v>0</v>
      </c>
      <c r="L1439" s="656">
        <v>0</v>
      </c>
    </row>
    <row r="1440" spans="1:12" ht="21" x14ac:dyDescent="0.25">
      <c r="A1440" s="651" t="s">
        <v>1662</v>
      </c>
      <c r="B1440" s="652">
        <v>2021</v>
      </c>
      <c r="C1440" s="651" t="s">
        <v>701</v>
      </c>
      <c r="D1440" s="651" t="s">
        <v>1683</v>
      </c>
      <c r="E1440" s="651" t="s">
        <v>706</v>
      </c>
      <c r="F1440" s="653">
        <v>0</v>
      </c>
      <c r="G1440" s="654"/>
      <c r="H1440" s="654"/>
      <c r="I1440" s="655"/>
      <c r="J1440" s="655"/>
      <c r="K1440" s="653">
        <v>0</v>
      </c>
      <c r="L1440" s="656">
        <v>0</v>
      </c>
    </row>
    <row r="1441" spans="1:12" ht="21" x14ac:dyDescent="0.25">
      <c r="A1441" s="651" t="s">
        <v>1662</v>
      </c>
      <c r="B1441" s="652">
        <v>2021</v>
      </c>
      <c r="C1441" s="651" t="s">
        <v>707</v>
      </c>
      <c r="D1441" s="651" t="s">
        <v>1684</v>
      </c>
      <c r="E1441" s="651" t="s">
        <v>709</v>
      </c>
      <c r="F1441" s="653">
        <v>0</v>
      </c>
      <c r="G1441" s="654"/>
      <c r="H1441" s="651" t="s">
        <v>650</v>
      </c>
      <c r="I1441" s="655"/>
      <c r="J1441" s="655"/>
      <c r="K1441" s="653">
        <v>0</v>
      </c>
      <c r="L1441" s="656">
        <v>0</v>
      </c>
    </row>
    <row r="1442" spans="1:12" ht="31.5" x14ac:dyDescent="0.25">
      <c r="A1442" s="651" t="s">
        <v>1662</v>
      </c>
      <c r="B1442" s="652">
        <v>2021</v>
      </c>
      <c r="C1442" s="651" t="s">
        <v>710</v>
      </c>
      <c r="D1442" s="651" t="s">
        <v>1685</v>
      </c>
      <c r="E1442" s="651" t="s">
        <v>2</v>
      </c>
      <c r="F1442" s="653">
        <v>0</v>
      </c>
      <c r="G1442" s="651" t="s">
        <v>650</v>
      </c>
      <c r="H1442" s="654"/>
      <c r="I1442" s="655"/>
      <c r="J1442" s="655"/>
      <c r="K1442" s="653">
        <v>0</v>
      </c>
      <c r="L1442" s="656">
        <v>0</v>
      </c>
    </row>
    <row r="1443" spans="1:12" ht="31.5" x14ac:dyDescent="0.25">
      <c r="A1443" s="651" t="s">
        <v>1662</v>
      </c>
      <c r="B1443" s="652">
        <v>2021</v>
      </c>
      <c r="C1443" s="651" t="s">
        <v>712</v>
      </c>
      <c r="D1443" s="651" t="s">
        <v>1686</v>
      </c>
      <c r="E1443" s="651" t="s">
        <v>3</v>
      </c>
      <c r="F1443" s="653">
        <v>0</v>
      </c>
      <c r="G1443" s="651" t="s">
        <v>650</v>
      </c>
      <c r="H1443" s="654"/>
      <c r="I1443" s="655"/>
      <c r="J1443" s="655"/>
      <c r="K1443" s="653">
        <v>0</v>
      </c>
      <c r="L1443" s="656">
        <v>0</v>
      </c>
    </row>
    <row r="1444" spans="1:12" ht="31.5" x14ac:dyDescent="0.25">
      <c r="A1444" s="651" t="s">
        <v>1662</v>
      </c>
      <c r="B1444" s="652">
        <v>2021</v>
      </c>
      <c r="C1444" s="651" t="s">
        <v>714</v>
      </c>
      <c r="D1444" s="651" t="s">
        <v>1687</v>
      </c>
      <c r="E1444" s="651" t="s">
        <v>38</v>
      </c>
      <c r="F1444" s="653">
        <v>0</v>
      </c>
      <c r="G1444" s="651" t="s">
        <v>650</v>
      </c>
      <c r="H1444" s="654"/>
      <c r="I1444" s="655"/>
      <c r="J1444" s="655"/>
      <c r="K1444" s="653">
        <v>0</v>
      </c>
      <c r="L1444" s="656">
        <v>0</v>
      </c>
    </row>
    <row r="1445" spans="1:12" ht="21" x14ac:dyDescent="0.25">
      <c r="A1445" s="651" t="s">
        <v>1662</v>
      </c>
      <c r="B1445" s="652">
        <v>2021</v>
      </c>
      <c r="C1445" s="651" t="s">
        <v>716</v>
      </c>
      <c r="D1445" s="651" t="s">
        <v>1688</v>
      </c>
      <c r="E1445" s="651" t="s">
        <v>66</v>
      </c>
      <c r="F1445" s="653">
        <v>0</v>
      </c>
      <c r="G1445" s="651" t="s">
        <v>650</v>
      </c>
      <c r="H1445" s="654"/>
      <c r="I1445" s="655"/>
      <c r="J1445" s="655"/>
      <c r="K1445" s="653">
        <v>0</v>
      </c>
      <c r="L1445" s="656">
        <v>0</v>
      </c>
    </row>
    <row r="1446" spans="1:12" ht="21" x14ac:dyDescent="0.25">
      <c r="A1446" s="651" t="s">
        <v>1662</v>
      </c>
      <c r="B1446" s="652">
        <v>2021</v>
      </c>
      <c r="C1446" s="651" t="s">
        <v>718</v>
      </c>
      <c r="D1446" s="651" t="s">
        <v>1689</v>
      </c>
      <c r="E1446" s="651" t="s">
        <v>768</v>
      </c>
      <c r="F1446" s="653">
        <v>0</v>
      </c>
      <c r="G1446" s="654"/>
      <c r="H1446" s="651" t="s">
        <v>650</v>
      </c>
      <c r="I1446" s="655"/>
      <c r="J1446" s="655"/>
      <c r="K1446" s="653">
        <v>0</v>
      </c>
      <c r="L1446" s="656">
        <v>0</v>
      </c>
    </row>
    <row r="1447" spans="1:12" ht="42" x14ac:dyDescent="0.25">
      <c r="A1447" s="651" t="s">
        <v>1662</v>
      </c>
      <c r="B1447" s="652">
        <v>2021</v>
      </c>
      <c r="C1447" s="651" t="s">
        <v>721</v>
      </c>
      <c r="D1447" s="651" t="s">
        <v>1690</v>
      </c>
      <c r="E1447" s="651" t="s">
        <v>3016</v>
      </c>
      <c r="F1447" s="653">
        <v>0</v>
      </c>
      <c r="G1447" s="651" t="s">
        <v>650</v>
      </c>
      <c r="H1447" s="654"/>
      <c r="I1447" s="655"/>
      <c r="J1447" s="655"/>
      <c r="K1447" s="653">
        <v>0</v>
      </c>
      <c r="L1447" s="656">
        <v>0</v>
      </c>
    </row>
    <row r="1448" spans="1:12" ht="42" x14ac:dyDescent="0.25">
      <c r="A1448" s="651" t="s">
        <v>1662</v>
      </c>
      <c r="B1448" s="652">
        <v>2021</v>
      </c>
      <c r="C1448" s="651" t="s">
        <v>721</v>
      </c>
      <c r="D1448" s="651" t="s">
        <v>1690</v>
      </c>
      <c r="E1448" s="651" t="s">
        <v>3058</v>
      </c>
      <c r="F1448" s="653">
        <v>0</v>
      </c>
      <c r="G1448" s="651" t="s">
        <v>650</v>
      </c>
      <c r="H1448" s="654"/>
      <c r="I1448" s="655"/>
      <c r="J1448" s="655"/>
      <c r="K1448" s="653">
        <v>0</v>
      </c>
      <c r="L1448" s="656">
        <v>0</v>
      </c>
    </row>
    <row r="1449" spans="1:12" ht="42" x14ac:dyDescent="0.25">
      <c r="A1449" s="651" t="s">
        <v>1662</v>
      </c>
      <c r="B1449" s="652">
        <v>2021</v>
      </c>
      <c r="C1449" s="651" t="s">
        <v>721</v>
      </c>
      <c r="D1449" s="651" t="s">
        <v>1691</v>
      </c>
      <c r="E1449" s="651" t="s">
        <v>724</v>
      </c>
      <c r="F1449" s="653">
        <v>0</v>
      </c>
      <c r="G1449" s="651" t="s">
        <v>650</v>
      </c>
      <c r="H1449" s="654"/>
      <c r="I1449" s="655"/>
      <c r="J1449" s="655"/>
      <c r="K1449" s="653">
        <v>0</v>
      </c>
      <c r="L1449" s="656">
        <v>0</v>
      </c>
    </row>
    <row r="1450" spans="1:12" ht="42" x14ac:dyDescent="0.25">
      <c r="A1450" s="651" t="s">
        <v>1662</v>
      </c>
      <c r="B1450" s="652">
        <v>2021</v>
      </c>
      <c r="C1450" s="651" t="s">
        <v>721</v>
      </c>
      <c r="D1450" s="651" t="s">
        <v>1692</v>
      </c>
      <c r="E1450" s="651" t="s">
        <v>55</v>
      </c>
      <c r="F1450" s="653">
        <v>0</v>
      </c>
      <c r="G1450" s="651" t="s">
        <v>650</v>
      </c>
      <c r="H1450" s="654"/>
      <c r="I1450" s="655"/>
      <c r="J1450" s="655"/>
      <c r="K1450" s="653">
        <v>0</v>
      </c>
      <c r="L1450" s="656">
        <v>0</v>
      </c>
    </row>
    <row r="1451" spans="1:12" ht="42" x14ac:dyDescent="0.25">
      <c r="A1451" s="651" t="s">
        <v>1662</v>
      </c>
      <c r="B1451" s="652">
        <v>2021</v>
      </c>
      <c r="C1451" s="651" t="s">
        <v>721</v>
      </c>
      <c r="D1451" s="651" t="s">
        <v>1693</v>
      </c>
      <c r="E1451" s="651" t="s">
        <v>56</v>
      </c>
      <c r="F1451" s="653">
        <v>0</v>
      </c>
      <c r="G1451" s="651" t="s">
        <v>650</v>
      </c>
      <c r="H1451" s="654"/>
      <c r="I1451" s="655"/>
      <c r="J1451" s="655"/>
      <c r="K1451" s="653">
        <v>0</v>
      </c>
      <c r="L1451" s="656">
        <v>0</v>
      </c>
    </row>
    <row r="1452" spans="1:12" ht="42" x14ac:dyDescent="0.25">
      <c r="A1452" s="651" t="s">
        <v>1662</v>
      </c>
      <c r="B1452" s="652">
        <v>2021</v>
      </c>
      <c r="C1452" s="651" t="s">
        <v>721</v>
      </c>
      <c r="D1452" s="651" t="s">
        <v>1694</v>
      </c>
      <c r="E1452" s="651" t="s">
        <v>728</v>
      </c>
      <c r="F1452" s="653">
        <v>0</v>
      </c>
      <c r="G1452" s="651" t="s">
        <v>650</v>
      </c>
      <c r="H1452" s="654"/>
      <c r="I1452" s="655"/>
      <c r="J1452" s="655"/>
      <c r="K1452" s="653">
        <v>0</v>
      </c>
      <c r="L1452" s="656">
        <v>0</v>
      </c>
    </row>
    <row r="1453" spans="1:12" ht="42" x14ac:dyDescent="0.25">
      <c r="A1453" s="651" t="s">
        <v>1662</v>
      </c>
      <c r="B1453" s="652">
        <v>2021</v>
      </c>
      <c r="C1453" s="651" t="s">
        <v>721</v>
      </c>
      <c r="D1453" s="651" t="s">
        <v>1695</v>
      </c>
      <c r="E1453" s="651" t="s">
        <v>730</v>
      </c>
      <c r="F1453" s="653">
        <v>0</v>
      </c>
      <c r="G1453" s="651" t="s">
        <v>650</v>
      </c>
      <c r="H1453" s="654"/>
      <c r="I1453" s="655"/>
      <c r="J1453" s="655"/>
      <c r="K1453" s="653">
        <v>0</v>
      </c>
      <c r="L1453" s="656">
        <v>0</v>
      </c>
    </row>
    <row r="1454" spans="1:12" ht="42" x14ac:dyDescent="0.25">
      <c r="A1454" s="651" t="s">
        <v>1662</v>
      </c>
      <c r="B1454" s="652">
        <v>2021</v>
      </c>
      <c r="C1454" s="651" t="s">
        <v>721</v>
      </c>
      <c r="D1454" s="651" t="s">
        <v>1696</v>
      </c>
      <c r="E1454" s="651" t="s">
        <v>142</v>
      </c>
      <c r="F1454" s="653">
        <v>0</v>
      </c>
      <c r="G1454" s="651" t="s">
        <v>650</v>
      </c>
      <c r="H1454" s="654"/>
      <c r="I1454" s="655"/>
      <c r="J1454" s="655"/>
      <c r="K1454" s="653">
        <v>0</v>
      </c>
      <c r="L1454" s="656">
        <v>0</v>
      </c>
    </row>
    <row r="1455" spans="1:12" ht="42" x14ac:dyDescent="0.25">
      <c r="A1455" s="651" t="s">
        <v>1662</v>
      </c>
      <c r="B1455" s="652">
        <v>2021</v>
      </c>
      <c r="C1455" s="651" t="s">
        <v>721</v>
      </c>
      <c r="D1455" s="651" t="s">
        <v>1697</v>
      </c>
      <c r="E1455" s="651" t="s">
        <v>143</v>
      </c>
      <c r="F1455" s="653">
        <v>0</v>
      </c>
      <c r="G1455" s="651" t="s">
        <v>650</v>
      </c>
      <c r="H1455" s="654"/>
      <c r="I1455" s="655"/>
      <c r="J1455" s="655"/>
      <c r="K1455" s="653">
        <v>0</v>
      </c>
      <c r="L1455" s="656">
        <v>0</v>
      </c>
    </row>
    <row r="1456" spans="1:12" ht="42" x14ac:dyDescent="0.25">
      <c r="A1456" s="651" t="s">
        <v>1662</v>
      </c>
      <c r="B1456" s="652">
        <v>2021</v>
      </c>
      <c r="C1456" s="651" t="s">
        <v>721</v>
      </c>
      <c r="D1456" s="651" t="s">
        <v>1698</v>
      </c>
      <c r="E1456" s="651" t="s">
        <v>182</v>
      </c>
      <c r="F1456" s="653">
        <v>0</v>
      </c>
      <c r="G1456" s="651" t="s">
        <v>650</v>
      </c>
      <c r="H1456" s="654"/>
      <c r="I1456" s="655"/>
      <c r="J1456" s="655"/>
      <c r="K1456" s="653">
        <v>0</v>
      </c>
      <c r="L1456" s="656">
        <v>0</v>
      </c>
    </row>
    <row r="1457" spans="1:12" ht="42" x14ac:dyDescent="0.25">
      <c r="A1457" s="651" t="s">
        <v>1662</v>
      </c>
      <c r="B1457" s="652">
        <v>2021</v>
      </c>
      <c r="C1457" s="651" t="s">
        <v>721</v>
      </c>
      <c r="D1457" s="651" t="s">
        <v>1699</v>
      </c>
      <c r="E1457" s="651" t="s">
        <v>394</v>
      </c>
      <c r="F1457" s="653">
        <v>0</v>
      </c>
      <c r="G1457" s="651" t="s">
        <v>650</v>
      </c>
      <c r="H1457" s="654"/>
      <c r="I1457" s="655"/>
      <c r="J1457" s="655"/>
      <c r="K1457" s="653">
        <v>0</v>
      </c>
      <c r="L1457" s="656">
        <v>0</v>
      </c>
    </row>
    <row r="1458" spans="1:12" ht="42" x14ac:dyDescent="0.25">
      <c r="A1458" s="651" t="s">
        <v>1662</v>
      </c>
      <c r="B1458" s="652">
        <v>2021</v>
      </c>
      <c r="C1458" s="651" t="s">
        <v>721</v>
      </c>
      <c r="D1458" s="651" t="s">
        <v>1700</v>
      </c>
      <c r="E1458" s="651" t="s">
        <v>423</v>
      </c>
      <c r="F1458" s="653">
        <v>0</v>
      </c>
      <c r="G1458" s="651" t="s">
        <v>650</v>
      </c>
      <c r="H1458" s="654"/>
      <c r="I1458" s="655"/>
      <c r="J1458" s="655"/>
      <c r="K1458" s="653">
        <v>0</v>
      </c>
      <c r="L1458" s="656">
        <v>0</v>
      </c>
    </row>
    <row r="1459" spans="1:12" ht="42" x14ac:dyDescent="0.25">
      <c r="A1459" s="651" t="s">
        <v>1662</v>
      </c>
      <c r="B1459" s="652">
        <v>2021</v>
      </c>
      <c r="C1459" s="651" t="s">
        <v>721</v>
      </c>
      <c r="D1459" s="651" t="s">
        <v>3263</v>
      </c>
      <c r="E1459" s="651" t="s">
        <v>441</v>
      </c>
      <c r="F1459" s="653">
        <v>0</v>
      </c>
      <c r="G1459" s="651" t="s">
        <v>650</v>
      </c>
      <c r="H1459" s="654"/>
      <c r="I1459" s="655"/>
      <c r="J1459" s="655"/>
      <c r="K1459" s="653">
        <v>0</v>
      </c>
      <c r="L1459" s="656">
        <v>0</v>
      </c>
    </row>
    <row r="1460" spans="1:12" ht="42" x14ac:dyDescent="0.25">
      <c r="A1460" s="651" t="s">
        <v>1662</v>
      </c>
      <c r="B1460" s="652">
        <v>2021</v>
      </c>
      <c r="C1460" s="651" t="s">
        <v>721</v>
      </c>
      <c r="D1460" s="651" t="s">
        <v>1701</v>
      </c>
      <c r="E1460" s="651" t="s">
        <v>737</v>
      </c>
      <c r="F1460" s="653">
        <v>0</v>
      </c>
      <c r="G1460" s="654"/>
      <c r="H1460" s="654"/>
      <c r="I1460" s="655"/>
      <c r="J1460" s="655"/>
      <c r="K1460" s="653">
        <v>0</v>
      </c>
      <c r="L1460" s="656">
        <v>0</v>
      </c>
    </row>
    <row r="1461" spans="1:12" ht="21" x14ac:dyDescent="0.25">
      <c r="A1461" s="651" t="s">
        <v>1662</v>
      </c>
      <c r="B1461" s="652">
        <v>2021</v>
      </c>
      <c r="C1461" s="651" t="s">
        <v>738</v>
      </c>
      <c r="D1461" s="651" t="s">
        <v>1702</v>
      </c>
      <c r="E1461" s="651" t="s">
        <v>7</v>
      </c>
      <c r="F1461" s="653">
        <v>0</v>
      </c>
      <c r="G1461" s="654"/>
      <c r="H1461" s="651" t="s">
        <v>650</v>
      </c>
      <c r="I1461" s="655"/>
      <c r="J1461" s="655"/>
      <c r="K1461" s="653">
        <v>0</v>
      </c>
      <c r="L1461" s="656">
        <v>0</v>
      </c>
    </row>
    <row r="1462" spans="1:12" ht="21" x14ac:dyDescent="0.25">
      <c r="A1462" s="651" t="s">
        <v>97</v>
      </c>
      <c r="B1462" s="652">
        <v>2021</v>
      </c>
      <c r="C1462" s="651" t="s">
        <v>647</v>
      </c>
      <c r="D1462" s="651" t="s">
        <v>1703</v>
      </c>
      <c r="E1462" s="651" t="s">
        <v>649</v>
      </c>
      <c r="F1462" s="653">
        <v>8761931.9900000002</v>
      </c>
      <c r="G1462" s="654"/>
      <c r="H1462" s="651" t="s">
        <v>650</v>
      </c>
      <c r="I1462" s="655"/>
      <c r="J1462" s="655"/>
      <c r="K1462" s="653">
        <v>0</v>
      </c>
      <c r="L1462" s="656">
        <v>8761931.9900000002</v>
      </c>
    </row>
    <row r="1463" spans="1:12" ht="14.5" x14ac:dyDescent="0.25">
      <c r="A1463" s="651" t="s">
        <v>97</v>
      </c>
      <c r="B1463" s="652">
        <v>2021</v>
      </c>
      <c r="C1463" s="651" t="s">
        <v>651</v>
      </c>
      <c r="D1463" s="651" t="s">
        <v>1704</v>
      </c>
      <c r="E1463" s="651" t="s">
        <v>653</v>
      </c>
      <c r="F1463" s="653">
        <v>-42738.77</v>
      </c>
      <c r="G1463" s="654"/>
      <c r="H1463" s="651" t="s">
        <v>650</v>
      </c>
      <c r="I1463" s="655"/>
      <c r="J1463" s="655"/>
      <c r="K1463" s="653">
        <v>0</v>
      </c>
      <c r="L1463" s="656">
        <v>-42738.77</v>
      </c>
    </row>
    <row r="1464" spans="1:12" ht="42" x14ac:dyDescent="0.25">
      <c r="A1464" s="651" t="s">
        <v>97</v>
      </c>
      <c r="B1464" s="652">
        <v>2021</v>
      </c>
      <c r="C1464" s="651" t="s">
        <v>654</v>
      </c>
      <c r="D1464" s="651" t="s">
        <v>1705</v>
      </c>
      <c r="E1464" s="651" t="s">
        <v>445</v>
      </c>
      <c r="F1464" s="653">
        <v>-11231.12</v>
      </c>
      <c r="G1464" s="654"/>
      <c r="H1464" s="651" t="s">
        <v>650</v>
      </c>
      <c r="I1464" s="655"/>
      <c r="J1464" s="655"/>
      <c r="K1464" s="653">
        <v>0</v>
      </c>
      <c r="L1464" s="656">
        <v>-11231.12</v>
      </c>
    </row>
    <row r="1465" spans="1:12" ht="21" x14ac:dyDescent="0.25">
      <c r="A1465" s="651" t="s">
        <v>97</v>
      </c>
      <c r="B1465" s="652">
        <v>2021</v>
      </c>
      <c r="C1465" s="651" t="s">
        <v>656</v>
      </c>
      <c r="D1465" s="651" t="s">
        <v>1706</v>
      </c>
      <c r="E1465" s="651" t="s">
        <v>658</v>
      </c>
      <c r="F1465" s="653">
        <v>0</v>
      </c>
      <c r="G1465" s="654"/>
      <c r="H1465" s="651" t="s">
        <v>650</v>
      </c>
      <c r="I1465" s="655"/>
      <c r="J1465" s="655"/>
      <c r="K1465" s="653">
        <v>0</v>
      </c>
      <c r="L1465" s="656">
        <v>0</v>
      </c>
    </row>
    <row r="1466" spans="1:12" ht="31.5" x14ac:dyDescent="0.25">
      <c r="A1466" s="651" t="s">
        <v>97</v>
      </c>
      <c r="B1466" s="652">
        <v>2021</v>
      </c>
      <c r="C1466" s="651" t="s">
        <v>659</v>
      </c>
      <c r="D1466" s="651" t="s">
        <v>1707</v>
      </c>
      <c r="E1466" s="651" t="s">
        <v>661</v>
      </c>
      <c r="F1466" s="653">
        <v>0</v>
      </c>
      <c r="G1466" s="654"/>
      <c r="H1466" s="651" t="s">
        <v>650</v>
      </c>
      <c r="I1466" s="655"/>
      <c r="J1466" s="655"/>
      <c r="K1466" s="653">
        <v>0</v>
      </c>
      <c r="L1466" s="656">
        <v>0</v>
      </c>
    </row>
    <row r="1467" spans="1:12" ht="21" x14ac:dyDescent="0.25">
      <c r="A1467" s="651" t="s">
        <v>97</v>
      </c>
      <c r="B1467" s="652">
        <v>2021</v>
      </c>
      <c r="C1467" s="651" t="s">
        <v>662</v>
      </c>
      <c r="D1467" s="651" t="s">
        <v>1708</v>
      </c>
      <c r="E1467" s="651" t="s">
        <v>664</v>
      </c>
      <c r="F1467" s="653">
        <v>0</v>
      </c>
      <c r="G1467" s="654"/>
      <c r="H1467" s="651" t="s">
        <v>650</v>
      </c>
      <c r="I1467" s="655"/>
      <c r="J1467" s="655"/>
      <c r="K1467" s="653">
        <v>0</v>
      </c>
      <c r="L1467" s="656">
        <v>0</v>
      </c>
    </row>
    <row r="1468" spans="1:12" ht="31.5" x14ac:dyDescent="0.25">
      <c r="A1468" s="651" t="s">
        <v>97</v>
      </c>
      <c r="B1468" s="652">
        <v>2021</v>
      </c>
      <c r="C1468" s="651" t="s">
        <v>665</v>
      </c>
      <c r="D1468" s="651" t="s">
        <v>1709</v>
      </c>
      <c r="E1468" s="651" t="s">
        <v>667</v>
      </c>
      <c r="F1468" s="653">
        <v>0</v>
      </c>
      <c r="G1468" s="654"/>
      <c r="H1468" s="651" t="s">
        <v>650</v>
      </c>
      <c r="I1468" s="655"/>
      <c r="J1468" s="655"/>
      <c r="K1468" s="653">
        <v>0</v>
      </c>
      <c r="L1468" s="656">
        <v>0</v>
      </c>
    </row>
    <row r="1469" spans="1:12" ht="21" x14ac:dyDescent="0.25">
      <c r="A1469" s="651" t="s">
        <v>97</v>
      </c>
      <c r="B1469" s="652">
        <v>2021</v>
      </c>
      <c r="C1469" s="651" t="s">
        <v>668</v>
      </c>
      <c r="D1469" s="651" t="s">
        <v>1710</v>
      </c>
      <c r="E1469" s="651" t="s">
        <v>12</v>
      </c>
      <c r="F1469" s="653">
        <v>0</v>
      </c>
      <c r="G1469" s="654"/>
      <c r="H1469" s="651" t="s">
        <v>650</v>
      </c>
      <c r="I1469" s="655"/>
      <c r="J1469" s="655"/>
      <c r="K1469" s="653">
        <v>0</v>
      </c>
      <c r="L1469" s="656">
        <v>0</v>
      </c>
    </row>
    <row r="1470" spans="1:12" ht="21" x14ac:dyDescent="0.25">
      <c r="A1470" s="651" t="s">
        <v>97</v>
      </c>
      <c r="B1470" s="652">
        <v>2021</v>
      </c>
      <c r="C1470" s="651" t="s">
        <v>670</v>
      </c>
      <c r="D1470" s="651" t="s">
        <v>1711</v>
      </c>
      <c r="E1470" s="651" t="s">
        <v>13</v>
      </c>
      <c r="F1470" s="653">
        <v>0</v>
      </c>
      <c r="G1470" s="654"/>
      <c r="H1470" s="651" t="s">
        <v>650</v>
      </c>
      <c r="I1470" s="655"/>
      <c r="J1470" s="655"/>
      <c r="K1470" s="653">
        <v>0</v>
      </c>
      <c r="L1470" s="656">
        <v>0</v>
      </c>
    </row>
    <row r="1471" spans="1:12" ht="21" x14ac:dyDescent="0.25">
      <c r="A1471" s="651" t="s">
        <v>97</v>
      </c>
      <c r="B1471" s="652">
        <v>2021</v>
      </c>
      <c r="C1471" s="651" t="s">
        <v>672</v>
      </c>
      <c r="D1471" s="651" t="s">
        <v>1712</v>
      </c>
      <c r="E1471" s="651" t="s">
        <v>15</v>
      </c>
      <c r="F1471" s="653">
        <v>0</v>
      </c>
      <c r="G1471" s="654"/>
      <c r="H1471" s="651" t="s">
        <v>650</v>
      </c>
      <c r="I1471" s="655"/>
      <c r="J1471" s="655"/>
      <c r="K1471" s="653">
        <v>0</v>
      </c>
      <c r="L1471" s="656">
        <v>0</v>
      </c>
    </row>
    <row r="1472" spans="1:12" ht="14.5" x14ac:dyDescent="0.25">
      <c r="A1472" s="651" t="s">
        <v>97</v>
      </c>
      <c r="B1472" s="652">
        <v>2021</v>
      </c>
      <c r="C1472" s="651" t="s">
        <v>674</v>
      </c>
      <c r="D1472" s="651" t="s">
        <v>1713</v>
      </c>
      <c r="E1472" s="651" t="s">
        <v>676</v>
      </c>
      <c r="F1472" s="653">
        <v>340326.75</v>
      </c>
      <c r="G1472" s="654"/>
      <c r="H1472" s="651" t="s">
        <v>650</v>
      </c>
      <c r="I1472" s="655"/>
      <c r="J1472" s="655"/>
      <c r="K1472" s="653">
        <v>0</v>
      </c>
      <c r="L1472" s="656">
        <v>340326.75</v>
      </c>
    </row>
    <row r="1473" spans="1:12" ht="14.5" x14ac:dyDescent="0.25">
      <c r="A1473" s="651" t="s">
        <v>97</v>
      </c>
      <c r="B1473" s="652">
        <v>2021</v>
      </c>
      <c r="C1473" s="651" t="s">
        <v>677</v>
      </c>
      <c r="D1473" s="651" t="s">
        <v>1714</v>
      </c>
      <c r="E1473" s="651" t="s">
        <v>23</v>
      </c>
      <c r="F1473" s="653">
        <v>-881117.07</v>
      </c>
      <c r="G1473" s="651" t="s">
        <v>650</v>
      </c>
      <c r="H1473" s="654"/>
      <c r="I1473" s="653">
        <v>-872589.625</v>
      </c>
      <c r="J1473" s="653">
        <v>-8527.419921875</v>
      </c>
      <c r="K1473" s="653">
        <v>-881117.0625</v>
      </c>
      <c r="L1473" s="656">
        <v>-881117.07</v>
      </c>
    </row>
    <row r="1474" spans="1:12" ht="31.5" x14ac:dyDescent="0.25">
      <c r="A1474" s="651" t="s">
        <v>97</v>
      </c>
      <c r="B1474" s="652">
        <v>2021</v>
      </c>
      <c r="C1474" s="651" t="s">
        <v>679</v>
      </c>
      <c r="D1474" s="651" t="s">
        <v>1715</v>
      </c>
      <c r="E1474" s="651" t="s">
        <v>131</v>
      </c>
      <c r="F1474" s="653">
        <v>-138008.62</v>
      </c>
      <c r="G1474" s="651" t="s">
        <v>650</v>
      </c>
      <c r="H1474" s="654"/>
      <c r="I1474" s="653">
        <v>-136078.203125</v>
      </c>
      <c r="J1474" s="653">
        <v>-1930.42004394531</v>
      </c>
      <c r="K1474" s="653">
        <v>-138008.625</v>
      </c>
      <c r="L1474" s="656">
        <v>-138008.62</v>
      </c>
    </row>
    <row r="1475" spans="1:12" ht="31.5" x14ac:dyDescent="0.25">
      <c r="A1475" s="651" t="s">
        <v>97</v>
      </c>
      <c r="B1475" s="652">
        <v>2021</v>
      </c>
      <c r="C1475" s="651" t="s">
        <v>681</v>
      </c>
      <c r="D1475" s="651" t="s">
        <v>1716</v>
      </c>
      <c r="E1475" s="651" t="s">
        <v>683</v>
      </c>
      <c r="F1475" s="653">
        <v>0</v>
      </c>
      <c r="G1475" s="654"/>
      <c r="H1475" s="651" t="s">
        <v>650</v>
      </c>
      <c r="I1475" s="655"/>
      <c r="J1475" s="655"/>
      <c r="K1475" s="653">
        <v>0</v>
      </c>
      <c r="L1475" s="656">
        <v>0</v>
      </c>
    </row>
    <row r="1476" spans="1:12" ht="21" x14ac:dyDescent="0.25">
      <c r="A1476" s="651" t="s">
        <v>97</v>
      </c>
      <c r="B1476" s="652">
        <v>2021</v>
      </c>
      <c r="C1476" s="651" t="s">
        <v>681</v>
      </c>
      <c r="D1476" s="651" t="s">
        <v>1716</v>
      </c>
      <c r="E1476" s="651" t="s">
        <v>684</v>
      </c>
      <c r="F1476" s="653">
        <v>0</v>
      </c>
      <c r="G1476" s="654"/>
      <c r="H1476" s="651" t="s">
        <v>650</v>
      </c>
      <c r="I1476" s="655"/>
      <c r="J1476" s="655"/>
      <c r="K1476" s="653">
        <v>0</v>
      </c>
      <c r="L1476" s="656">
        <v>0</v>
      </c>
    </row>
    <row r="1477" spans="1:12" ht="21" x14ac:dyDescent="0.25">
      <c r="A1477" s="651" t="s">
        <v>97</v>
      </c>
      <c r="B1477" s="652">
        <v>2021</v>
      </c>
      <c r="C1477" s="651" t="s">
        <v>685</v>
      </c>
      <c r="D1477" s="651" t="s">
        <v>1717</v>
      </c>
      <c r="E1477" s="651" t="s">
        <v>687</v>
      </c>
      <c r="F1477" s="653">
        <v>0</v>
      </c>
      <c r="G1477" s="654"/>
      <c r="H1477" s="651" t="s">
        <v>650</v>
      </c>
      <c r="I1477" s="655"/>
      <c r="J1477" s="655"/>
      <c r="K1477" s="653">
        <v>0</v>
      </c>
      <c r="L1477" s="656">
        <v>0</v>
      </c>
    </row>
    <row r="1478" spans="1:12" ht="14.5" x14ac:dyDescent="0.25">
      <c r="A1478" s="651" t="s">
        <v>97</v>
      </c>
      <c r="B1478" s="652">
        <v>2021</v>
      </c>
      <c r="C1478" s="651" t="s">
        <v>688</v>
      </c>
      <c r="D1478" s="651" t="s">
        <v>1718</v>
      </c>
      <c r="E1478" s="651" t="s">
        <v>50</v>
      </c>
      <c r="F1478" s="653">
        <v>3577322.87</v>
      </c>
      <c r="G1478" s="654"/>
      <c r="H1478" s="651" t="s">
        <v>650</v>
      </c>
      <c r="I1478" s="655"/>
      <c r="J1478" s="655"/>
      <c r="K1478" s="653">
        <v>0</v>
      </c>
      <c r="L1478" s="656">
        <v>3577322.87</v>
      </c>
    </row>
    <row r="1479" spans="1:12" ht="21" x14ac:dyDescent="0.25">
      <c r="A1479" s="651" t="s">
        <v>97</v>
      </c>
      <c r="B1479" s="652">
        <v>2021</v>
      </c>
      <c r="C1479" s="651" t="s">
        <v>690</v>
      </c>
      <c r="D1479" s="651" t="s">
        <v>1719</v>
      </c>
      <c r="E1479" s="651" t="s">
        <v>692</v>
      </c>
      <c r="F1479" s="653">
        <v>0</v>
      </c>
      <c r="G1479" s="654"/>
      <c r="H1479" s="651" t="s">
        <v>650</v>
      </c>
      <c r="I1479" s="655"/>
      <c r="J1479" s="655"/>
      <c r="K1479" s="653">
        <v>0</v>
      </c>
      <c r="L1479" s="656">
        <v>0</v>
      </c>
    </row>
    <row r="1480" spans="1:12" ht="21" x14ac:dyDescent="0.25">
      <c r="A1480" s="651" t="s">
        <v>97</v>
      </c>
      <c r="B1480" s="652">
        <v>2021</v>
      </c>
      <c r="C1480" s="651" t="s">
        <v>693</v>
      </c>
      <c r="D1480" s="651" t="s">
        <v>1720</v>
      </c>
      <c r="E1480" s="651" t="s">
        <v>6</v>
      </c>
      <c r="F1480" s="653">
        <v>0</v>
      </c>
      <c r="G1480" s="654"/>
      <c r="H1480" s="651" t="s">
        <v>650</v>
      </c>
      <c r="I1480" s="655"/>
      <c r="J1480" s="655"/>
      <c r="K1480" s="653">
        <v>0</v>
      </c>
      <c r="L1480" s="656">
        <v>0</v>
      </c>
    </row>
    <row r="1481" spans="1:12" ht="31.5" x14ac:dyDescent="0.25">
      <c r="A1481" s="651" t="s">
        <v>97</v>
      </c>
      <c r="B1481" s="652">
        <v>2021</v>
      </c>
      <c r="C1481" s="651" t="s">
        <v>695</v>
      </c>
      <c r="D1481" s="651" t="s">
        <v>1721</v>
      </c>
      <c r="E1481" s="651" t="s">
        <v>697</v>
      </c>
      <c r="F1481" s="653">
        <v>0</v>
      </c>
      <c r="G1481" s="654"/>
      <c r="H1481" s="651" t="s">
        <v>650</v>
      </c>
      <c r="I1481" s="655"/>
      <c r="J1481" s="655"/>
      <c r="K1481" s="653">
        <v>0</v>
      </c>
      <c r="L1481" s="656">
        <v>0</v>
      </c>
    </row>
    <row r="1482" spans="1:12" ht="21" x14ac:dyDescent="0.25">
      <c r="A1482" s="651" t="s">
        <v>97</v>
      </c>
      <c r="B1482" s="652">
        <v>2021</v>
      </c>
      <c r="C1482" s="651" t="s">
        <v>698</v>
      </c>
      <c r="D1482" s="651" t="s">
        <v>1722</v>
      </c>
      <c r="E1482" s="651" t="s">
        <v>700</v>
      </c>
      <c r="F1482" s="653">
        <v>0</v>
      </c>
      <c r="G1482" s="654"/>
      <c r="H1482" s="651" t="s">
        <v>650</v>
      </c>
      <c r="I1482" s="655"/>
      <c r="J1482" s="655"/>
      <c r="K1482" s="653">
        <v>0</v>
      </c>
      <c r="L1482" s="656">
        <v>0</v>
      </c>
    </row>
    <row r="1483" spans="1:12" ht="21" x14ac:dyDescent="0.25">
      <c r="A1483" s="651" t="s">
        <v>97</v>
      </c>
      <c r="B1483" s="652">
        <v>2021</v>
      </c>
      <c r="C1483" s="651" t="s">
        <v>701</v>
      </c>
      <c r="D1483" s="651" t="s">
        <v>1723</v>
      </c>
      <c r="E1483" s="651" t="s">
        <v>1</v>
      </c>
      <c r="F1483" s="653">
        <v>-7037738.7000000002</v>
      </c>
      <c r="G1483" s="651" t="s">
        <v>650</v>
      </c>
      <c r="H1483" s="654"/>
      <c r="I1483" s="653">
        <v>-6984862</v>
      </c>
      <c r="J1483" s="653">
        <v>-52876.55859375</v>
      </c>
      <c r="K1483" s="653">
        <v>-7037738.5</v>
      </c>
      <c r="L1483" s="656">
        <v>-7037738.7000000002</v>
      </c>
    </row>
    <row r="1484" spans="1:12" ht="21" x14ac:dyDescent="0.25">
      <c r="A1484" s="651" t="s">
        <v>97</v>
      </c>
      <c r="B1484" s="652">
        <v>2021</v>
      </c>
      <c r="C1484" s="651" t="s">
        <v>701</v>
      </c>
      <c r="D1484" s="651" t="s">
        <v>1723</v>
      </c>
      <c r="E1484" s="651" t="s">
        <v>703</v>
      </c>
      <c r="F1484" s="653">
        <v>0</v>
      </c>
      <c r="G1484" s="654"/>
      <c r="H1484" s="654"/>
      <c r="I1484" s="655"/>
      <c r="J1484" s="655"/>
      <c r="K1484" s="653">
        <v>0</v>
      </c>
      <c r="L1484" s="656">
        <v>0</v>
      </c>
    </row>
    <row r="1485" spans="1:12" ht="21" x14ac:dyDescent="0.25">
      <c r="A1485" s="651" t="s">
        <v>97</v>
      </c>
      <c r="B1485" s="652">
        <v>2021</v>
      </c>
      <c r="C1485" s="651" t="s">
        <v>701</v>
      </c>
      <c r="D1485" s="651" t="s">
        <v>1723</v>
      </c>
      <c r="E1485" s="651" t="s">
        <v>704</v>
      </c>
      <c r="F1485" s="653">
        <v>0</v>
      </c>
      <c r="G1485" s="654"/>
      <c r="H1485" s="654"/>
      <c r="I1485" s="655"/>
      <c r="J1485" s="655"/>
      <c r="K1485" s="653">
        <v>0</v>
      </c>
      <c r="L1485" s="656">
        <v>0</v>
      </c>
    </row>
    <row r="1486" spans="1:12" ht="21" x14ac:dyDescent="0.25">
      <c r="A1486" s="651" t="s">
        <v>97</v>
      </c>
      <c r="B1486" s="652">
        <v>2021</v>
      </c>
      <c r="C1486" s="651" t="s">
        <v>701</v>
      </c>
      <c r="D1486" s="651" t="s">
        <v>1723</v>
      </c>
      <c r="E1486" s="651" t="s">
        <v>705</v>
      </c>
      <c r="F1486" s="653">
        <v>-13242.06</v>
      </c>
      <c r="G1486" s="654"/>
      <c r="H1486" s="654"/>
      <c r="I1486" s="655"/>
      <c r="J1486" s="655"/>
      <c r="K1486" s="653">
        <v>0</v>
      </c>
      <c r="L1486" s="656">
        <v>-13242.06</v>
      </c>
    </row>
    <row r="1487" spans="1:12" ht="21" x14ac:dyDescent="0.25">
      <c r="A1487" s="651" t="s">
        <v>97</v>
      </c>
      <c r="B1487" s="652">
        <v>2021</v>
      </c>
      <c r="C1487" s="651" t="s">
        <v>701</v>
      </c>
      <c r="D1487" s="651" t="s">
        <v>1723</v>
      </c>
      <c r="E1487" s="651" t="s">
        <v>706</v>
      </c>
      <c r="F1487" s="653">
        <v>-698191.62</v>
      </c>
      <c r="G1487" s="654"/>
      <c r="H1487" s="654"/>
      <c r="I1487" s="655"/>
      <c r="J1487" s="655"/>
      <c r="K1487" s="653">
        <v>0</v>
      </c>
      <c r="L1487" s="656">
        <v>-698191.62</v>
      </c>
    </row>
    <row r="1488" spans="1:12" ht="14.5" x14ac:dyDescent="0.25">
      <c r="A1488" s="651" t="s">
        <v>97</v>
      </c>
      <c r="B1488" s="652">
        <v>2021</v>
      </c>
      <c r="C1488" s="651" t="s">
        <v>707</v>
      </c>
      <c r="D1488" s="651" t="s">
        <v>1724</v>
      </c>
      <c r="E1488" s="651" t="s">
        <v>709</v>
      </c>
      <c r="F1488" s="653">
        <v>0</v>
      </c>
      <c r="G1488" s="654"/>
      <c r="H1488" s="651" t="s">
        <v>650</v>
      </c>
      <c r="I1488" s="655"/>
      <c r="J1488" s="655"/>
      <c r="K1488" s="653">
        <v>0</v>
      </c>
      <c r="L1488" s="656">
        <v>0</v>
      </c>
    </row>
    <row r="1489" spans="1:12" ht="31.5" x14ac:dyDescent="0.25">
      <c r="A1489" s="651" t="s">
        <v>97</v>
      </c>
      <c r="B1489" s="652">
        <v>2021</v>
      </c>
      <c r="C1489" s="651" t="s">
        <v>710</v>
      </c>
      <c r="D1489" s="651" t="s">
        <v>1725</v>
      </c>
      <c r="E1489" s="651" t="s">
        <v>2</v>
      </c>
      <c r="F1489" s="653">
        <v>-508535.61</v>
      </c>
      <c r="G1489" s="651" t="s">
        <v>650</v>
      </c>
      <c r="H1489" s="654"/>
      <c r="I1489" s="653">
        <v>-482862.09375</v>
      </c>
      <c r="J1489" s="653">
        <v>-25673.509765625</v>
      </c>
      <c r="K1489" s="653">
        <v>-508535.625</v>
      </c>
      <c r="L1489" s="656">
        <v>-508535.61</v>
      </c>
    </row>
    <row r="1490" spans="1:12" ht="31.5" x14ac:dyDescent="0.25">
      <c r="A1490" s="651" t="s">
        <v>97</v>
      </c>
      <c r="B1490" s="652">
        <v>2021</v>
      </c>
      <c r="C1490" s="651" t="s">
        <v>712</v>
      </c>
      <c r="D1490" s="651" t="s">
        <v>1726</v>
      </c>
      <c r="E1490" s="651" t="s">
        <v>3</v>
      </c>
      <c r="F1490" s="653">
        <v>-8063293.2599999998</v>
      </c>
      <c r="G1490" s="651" t="s">
        <v>650</v>
      </c>
      <c r="H1490" s="654"/>
      <c r="I1490" s="653">
        <v>-7933379</v>
      </c>
      <c r="J1490" s="653">
        <v>-129914.453125</v>
      </c>
      <c r="K1490" s="653">
        <v>-8063293.5</v>
      </c>
      <c r="L1490" s="656">
        <v>-8063293.2599999998</v>
      </c>
    </row>
    <row r="1491" spans="1:12" ht="31.5" x14ac:dyDescent="0.25">
      <c r="A1491" s="651" t="s">
        <v>97</v>
      </c>
      <c r="B1491" s="652">
        <v>2021</v>
      </c>
      <c r="C1491" s="651" t="s">
        <v>714</v>
      </c>
      <c r="D1491" s="651" t="s">
        <v>1727</v>
      </c>
      <c r="E1491" s="651" t="s">
        <v>38</v>
      </c>
      <c r="F1491" s="653">
        <v>1731201.41</v>
      </c>
      <c r="G1491" s="651" t="s">
        <v>650</v>
      </c>
      <c r="H1491" s="654"/>
      <c r="I1491" s="653">
        <v>1714756.875</v>
      </c>
      <c r="J1491" s="653">
        <v>16444.5</v>
      </c>
      <c r="K1491" s="653">
        <v>1731201.375</v>
      </c>
      <c r="L1491" s="656">
        <v>1731201.41</v>
      </c>
    </row>
    <row r="1492" spans="1:12" ht="21" x14ac:dyDescent="0.25">
      <c r="A1492" s="651" t="s">
        <v>97</v>
      </c>
      <c r="B1492" s="652">
        <v>2021</v>
      </c>
      <c r="C1492" s="651" t="s">
        <v>716</v>
      </c>
      <c r="D1492" s="651" t="s">
        <v>1728</v>
      </c>
      <c r="E1492" s="651" t="s">
        <v>66</v>
      </c>
      <c r="F1492" s="653">
        <v>8564782.5299999993</v>
      </c>
      <c r="G1492" s="651" t="s">
        <v>650</v>
      </c>
      <c r="H1492" s="654"/>
      <c r="I1492" s="653">
        <v>8272031.5</v>
      </c>
      <c r="J1492" s="653">
        <v>292750.90625</v>
      </c>
      <c r="K1492" s="653">
        <v>8564783</v>
      </c>
      <c r="L1492" s="656">
        <v>8564782.5299999993</v>
      </c>
    </row>
    <row r="1493" spans="1:12" ht="31.5" x14ac:dyDescent="0.25">
      <c r="A1493" s="651" t="s">
        <v>97</v>
      </c>
      <c r="B1493" s="652">
        <v>2021</v>
      </c>
      <c r="C1493" s="651" t="s">
        <v>718</v>
      </c>
      <c r="D1493" s="651" t="s">
        <v>1729</v>
      </c>
      <c r="E1493" s="651" t="s">
        <v>720</v>
      </c>
      <c r="F1493" s="653">
        <v>-6358695.2400000002</v>
      </c>
      <c r="G1493" s="654"/>
      <c r="H1493" s="651" t="s">
        <v>650</v>
      </c>
      <c r="I1493" s="655"/>
      <c r="J1493" s="655"/>
      <c r="K1493" s="653">
        <v>0</v>
      </c>
      <c r="L1493" s="656">
        <v>-6358695.2400000002</v>
      </c>
    </row>
    <row r="1494" spans="1:12" ht="42" x14ac:dyDescent="0.25">
      <c r="A1494" s="651" t="s">
        <v>97</v>
      </c>
      <c r="B1494" s="652">
        <v>2021</v>
      </c>
      <c r="C1494" s="651" t="s">
        <v>721</v>
      </c>
      <c r="D1494" s="651" t="s">
        <v>1730</v>
      </c>
      <c r="E1494" s="651" t="s">
        <v>3016</v>
      </c>
      <c r="F1494" s="653">
        <v>0</v>
      </c>
      <c r="G1494" s="651" t="s">
        <v>650</v>
      </c>
      <c r="H1494" s="654"/>
      <c r="I1494" s="653">
        <v>145938.5625</v>
      </c>
      <c r="J1494" s="653">
        <v>-126473.0625</v>
      </c>
      <c r="K1494" s="653">
        <v>19465.509765625</v>
      </c>
      <c r="L1494" s="656">
        <v>19465.509999999998</v>
      </c>
    </row>
    <row r="1495" spans="1:12" ht="42" x14ac:dyDescent="0.25">
      <c r="A1495" s="651" t="s">
        <v>97</v>
      </c>
      <c r="B1495" s="652">
        <v>2021</v>
      </c>
      <c r="C1495" s="651" t="s">
        <v>721</v>
      </c>
      <c r="D1495" s="651" t="s">
        <v>1730</v>
      </c>
      <c r="E1495" s="651" t="s">
        <v>3058</v>
      </c>
      <c r="F1495" s="653">
        <v>0</v>
      </c>
      <c r="G1495" s="651" t="s">
        <v>650</v>
      </c>
      <c r="H1495" s="654"/>
      <c r="I1495" s="653">
        <v>-31509.4609375</v>
      </c>
      <c r="J1495" s="653">
        <v>-15711.33984375</v>
      </c>
      <c r="K1495" s="653">
        <v>-47220.80078125</v>
      </c>
      <c r="L1495" s="656">
        <v>-47220.800000000003</v>
      </c>
    </row>
    <row r="1496" spans="1:12" ht="42" x14ac:dyDescent="0.25">
      <c r="A1496" s="651" t="s">
        <v>97</v>
      </c>
      <c r="B1496" s="652">
        <v>2021</v>
      </c>
      <c r="C1496" s="651" t="s">
        <v>721</v>
      </c>
      <c r="D1496" s="651" t="s">
        <v>1731</v>
      </c>
      <c r="E1496" s="651" t="s">
        <v>724</v>
      </c>
      <c r="F1496" s="653">
        <v>0</v>
      </c>
      <c r="G1496" s="651" t="s">
        <v>650</v>
      </c>
      <c r="H1496" s="654"/>
      <c r="I1496" s="655"/>
      <c r="J1496" s="655"/>
      <c r="K1496" s="653">
        <v>0</v>
      </c>
      <c r="L1496" s="656">
        <v>0</v>
      </c>
    </row>
    <row r="1497" spans="1:12" ht="42" x14ac:dyDescent="0.25">
      <c r="A1497" s="651" t="s">
        <v>97</v>
      </c>
      <c r="B1497" s="652">
        <v>2021</v>
      </c>
      <c r="C1497" s="651" t="s">
        <v>721</v>
      </c>
      <c r="D1497" s="651" t="s">
        <v>1732</v>
      </c>
      <c r="E1497" s="651" t="s">
        <v>55</v>
      </c>
      <c r="F1497" s="653">
        <v>0</v>
      </c>
      <c r="G1497" s="651" t="s">
        <v>650</v>
      </c>
      <c r="H1497" s="654"/>
      <c r="I1497" s="655"/>
      <c r="J1497" s="655"/>
      <c r="K1497" s="653">
        <v>0</v>
      </c>
      <c r="L1497" s="656">
        <v>0</v>
      </c>
    </row>
    <row r="1498" spans="1:12" ht="42" x14ac:dyDescent="0.25">
      <c r="A1498" s="651" t="s">
        <v>97</v>
      </c>
      <c r="B1498" s="652">
        <v>2021</v>
      </c>
      <c r="C1498" s="651" t="s">
        <v>721</v>
      </c>
      <c r="D1498" s="651" t="s">
        <v>1733</v>
      </c>
      <c r="E1498" s="651" t="s">
        <v>56</v>
      </c>
      <c r="F1498" s="653">
        <v>0</v>
      </c>
      <c r="G1498" s="651" t="s">
        <v>650</v>
      </c>
      <c r="H1498" s="654"/>
      <c r="I1498" s="655"/>
      <c r="J1498" s="655"/>
      <c r="K1498" s="653">
        <v>0</v>
      </c>
      <c r="L1498" s="656">
        <v>0</v>
      </c>
    </row>
    <row r="1499" spans="1:12" ht="42" x14ac:dyDescent="0.25">
      <c r="A1499" s="651" t="s">
        <v>97</v>
      </c>
      <c r="B1499" s="652">
        <v>2021</v>
      </c>
      <c r="C1499" s="651" t="s">
        <v>721</v>
      </c>
      <c r="D1499" s="651" t="s">
        <v>1734</v>
      </c>
      <c r="E1499" s="651" t="s">
        <v>728</v>
      </c>
      <c r="F1499" s="653">
        <v>0</v>
      </c>
      <c r="G1499" s="651" t="s">
        <v>650</v>
      </c>
      <c r="H1499" s="654"/>
      <c r="I1499" s="655"/>
      <c r="J1499" s="655"/>
      <c r="K1499" s="653">
        <v>0</v>
      </c>
      <c r="L1499" s="656">
        <v>0</v>
      </c>
    </row>
    <row r="1500" spans="1:12" ht="42" x14ac:dyDescent="0.25">
      <c r="A1500" s="651" t="s">
        <v>97</v>
      </c>
      <c r="B1500" s="652">
        <v>2021</v>
      </c>
      <c r="C1500" s="651" t="s">
        <v>721</v>
      </c>
      <c r="D1500" s="651" t="s">
        <v>1735</v>
      </c>
      <c r="E1500" s="651" t="s">
        <v>730</v>
      </c>
      <c r="F1500" s="653">
        <v>0</v>
      </c>
      <c r="G1500" s="651" t="s">
        <v>650</v>
      </c>
      <c r="H1500" s="654"/>
      <c r="I1500" s="655"/>
      <c r="J1500" s="655"/>
      <c r="K1500" s="653">
        <v>0</v>
      </c>
      <c r="L1500" s="656">
        <v>0</v>
      </c>
    </row>
    <row r="1501" spans="1:12" ht="42" x14ac:dyDescent="0.25">
      <c r="A1501" s="651" t="s">
        <v>97</v>
      </c>
      <c r="B1501" s="652">
        <v>2021</v>
      </c>
      <c r="C1501" s="651" t="s">
        <v>721</v>
      </c>
      <c r="D1501" s="651" t="s">
        <v>1736</v>
      </c>
      <c r="E1501" s="651" t="s">
        <v>142</v>
      </c>
      <c r="F1501" s="653">
        <v>0</v>
      </c>
      <c r="G1501" s="651" t="s">
        <v>650</v>
      </c>
      <c r="H1501" s="654"/>
      <c r="I1501" s="655"/>
      <c r="J1501" s="655"/>
      <c r="K1501" s="653">
        <v>0</v>
      </c>
      <c r="L1501" s="656">
        <v>0</v>
      </c>
    </row>
    <row r="1502" spans="1:12" ht="42" x14ac:dyDescent="0.25">
      <c r="A1502" s="651" t="s">
        <v>97</v>
      </c>
      <c r="B1502" s="652">
        <v>2021</v>
      </c>
      <c r="C1502" s="651" t="s">
        <v>721</v>
      </c>
      <c r="D1502" s="651" t="s">
        <v>1737</v>
      </c>
      <c r="E1502" s="651" t="s">
        <v>143</v>
      </c>
      <c r="F1502" s="653">
        <v>0</v>
      </c>
      <c r="G1502" s="651" t="s">
        <v>650</v>
      </c>
      <c r="H1502" s="654"/>
      <c r="I1502" s="655"/>
      <c r="J1502" s="655"/>
      <c r="K1502" s="653">
        <v>0</v>
      </c>
      <c r="L1502" s="656">
        <v>0</v>
      </c>
    </row>
    <row r="1503" spans="1:12" ht="42" x14ac:dyDescent="0.25">
      <c r="A1503" s="651" t="s">
        <v>97</v>
      </c>
      <c r="B1503" s="652">
        <v>2021</v>
      </c>
      <c r="C1503" s="651" t="s">
        <v>721</v>
      </c>
      <c r="D1503" s="651" t="s">
        <v>1738</v>
      </c>
      <c r="E1503" s="651" t="s">
        <v>182</v>
      </c>
      <c r="F1503" s="653">
        <v>0</v>
      </c>
      <c r="G1503" s="651" t="s">
        <v>650</v>
      </c>
      <c r="H1503" s="654"/>
      <c r="I1503" s="655"/>
      <c r="J1503" s="655"/>
      <c r="K1503" s="653">
        <v>0</v>
      </c>
      <c r="L1503" s="656">
        <v>0</v>
      </c>
    </row>
    <row r="1504" spans="1:12" ht="42" x14ac:dyDescent="0.25">
      <c r="A1504" s="651" t="s">
        <v>97</v>
      </c>
      <c r="B1504" s="652">
        <v>2021</v>
      </c>
      <c r="C1504" s="651" t="s">
        <v>721</v>
      </c>
      <c r="D1504" s="651" t="s">
        <v>1739</v>
      </c>
      <c r="E1504" s="651" t="s">
        <v>394</v>
      </c>
      <c r="F1504" s="653">
        <v>0</v>
      </c>
      <c r="G1504" s="651" t="s">
        <v>650</v>
      </c>
      <c r="H1504" s="654"/>
      <c r="I1504" s="653">
        <v>90360.65625</v>
      </c>
      <c r="J1504" s="653">
        <v>-25674.7890625</v>
      </c>
      <c r="K1504" s="653">
        <v>64685.87109375</v>
      </c>
      <c r="L1504" s="656">
        <v>64685.87</v>
      </c>
    </row>
    <row r="1505" spans="1:12" ht="42" x14ac:dyDescent="0.25">
      <c r="A1505" s="651" t="s">
        <v>97</v>
      </c>
      <c r="B1505" s="652">
        <v>2021</v>
      </c>
      <c r="C1505" s="651" t="s">
        <v>721</v>
      </c>
      <c r="D1505" s="651" t="s">
        <v>1740</v>
      </c>
      <c r="E1505" s="651" t="s">
        <v>423</v>
      </c>
      <c r="F1505" s="653">
        <v>0</v>
      </c>
      <c r="G1505" s="651" t="s">
        <v>650</v>
      </c>
      <c r="H1505" s="654"/>
      <c r="I1505" s="653">
        <v>-188145.5625</v>
      </c>
      <c r="J1505" s="653">
        <v>-315439.875</v>
      </c>
      <c r="K1505" s="653">
        <v>-503585.4375</v>
      </c>
      <c r="L1505" s="656">
        <v>-503585.43</v>
      </c>
    </row>
    <row r="1506" spans="1:12" ht="42" x14ac:dyDescent="0.25">
      <c r="A1506" s="651" t="s">
        <v>97</v>
      </c>
      <c r="B1506" s="652">
        <v>2021</v>
      </c>
      <c r="C1506" s="651" t="s">
        <v>721</v>
      </c>
      <c r="D1506" s="651" t="s">
        <v>3264</v>
      </c>
      <c r="E1506" s="651" t="s">
        <v>441</v>
      </c>
      <c r="F1506" s="653">
        <v>0</v>
      </c>
      <c r="G1506" s="651" t="s">
        <v>650</v>
      </c>
      <c r="H1506" s="654"/>
      <c r="I1506" s="653">
        <v>-272638.1875</v>
      </c>
      <c r="J1506" s="653">
        <v>-429142.625</v>
      </c>
      <c r="K1506" s="653">
        <v>-701780.8125</v>
      </c>
      <c r="L1506" s="656">
        <v>-701780.8</v>
      </c>
    </row>
    <row r="1507" spans="1:12" ht="42" x14ac:dyDescent="0.25">
      <c r="A1507" s="651" t="s">
        <v>97</v>
      </c>
      <c r="B1507" s="652">
        <v>2021</v>
      </c>
      <c r="C1507" s="651" t="s">
        <v>721</v>
      </c>
      <c r="D1507" s="651" t="s">
        <v>1741</v>
      </c>
      <c r="E1507" s="651" t="s">
        <v>737</v>
      </c>
      <c r="F1507" s="653">
        <v>-1168435.6499999999</v>
      </c>
      <c r="G1507" s="654"/>
      <c r="H1507" s="654"/>
      <c r="I1507" s="655"/>
      <c r="J1507" s="655"/>
      <c r="K1507" s="653">
        <v>0</v>
      </c>
      <c r="L1507" s="656">
        <v>-1168435.6499999999</v>
      </c>
    </row>
    <row r="1508" spans="1:12" ht="14.5" x14ac:dyDescent="0.25">
      <c r="A1508" s="651" t="s">
        <v>97</v>
      </c>
      <c r="B1508" s="652">
        <v>2021</v>
      </c>
      <c r="C1508" s="651" t="s">
        <v>738</v>
      </c>
      <c r="D1508" s="651" t="s">
        <v>1742</v>
      </c>
      <c r="E1508" s="651" t="s">
        <v>7</v>
      </c>
      <c r="F1508" s="653">
        <v>-473618.88</v>
      </c>
      <c r="G1508" s="654"/>
      <c r="H1508" s="651" t="s">
        <v>650</v>
      </c>
      <c r="I1508" s="655"/>
      <c r="J1508" s="655"/>
      <c r="K1508" s="653">
        <v>0</v>
      </c>
      <c r="L1508" s="656">
        <v>-473618.88</v>
      </c>
    </row>
    <row r="1509" spans="1:12" ht="21" x14ac:dyDescent="0.25">
      <c r="A1509" s="651" t="s">
        <v>1743</v>
      </c>
      <c r="B1509" s="652">
        <v>2021</v>
      </c>
      <c r="C1509" s="651" t="s">
        <v>647</v>
      </c>
      <c r="D1509" s="651" t="s">
        <v>1744</v>
      </c>
      <c r="E1509" s="651" t="s">
        <v>649</v>
      </c>
      <c r="F1509" s="653">
        <v>-117347.38</v>
      </c>
      <c r="G1509" s="654"/>
      <c r="H1509" s="651" t="s">
        <v>650</v>
      </c>
      <c r="I1509" s="655"/>
      <c r="J1509" s="655"/>
      <c r="K1509" s="653">
        <v>0</v>
      </c>
      <c r="L1509" s="656">
        <v>-117347.38</v>
      </c>
    </row>
    <row r="1510" spans="1:12" ht="14.5" x14ac:dyDescent="0.25">
      <c r="A1510" s="651" t="s">
        <v>1743</v>
      </c>
      <c r="B1510" s="652">
        <v>2021</v>
      </c>
      <c r="C1510" s="651" t="s">
        <v>651</v>
      </c>
      <c r="D1510" s="651" t="s">
        <v>1745</v>
      </c>
      <c r="E1510" s="651" t="s">
        <v>653</v>
      </c>
      <c r="F1510" s="653">
        <v>165190.14000000001</v>
      </c>
      <c r="G1510" s="654"/>
      <c r="H1510" s="651" t="s">
        <v>650</v>
      </c>
      <c r="I1510" s="655"/>
      <c r="J1510" s="655"/>
      <c r="K1510" s="653">
        <v>0</v>
      </c>
      <c r="L1510" s="656">
        <v>165190.14000000001</v>
      </c>
    </row>
    <row r="1511" spans="1:12" ht="42" x14ac:dyDescent="0.25">
      <c r="A1511" s="651" t="s">
        <v>1743</v>
      </c>
      <c r="B1511" s="652">
        <v>2021</v>
      </c>
      <c r="C1511" s="651" t="s">
        <v>654</v>
      </c>
      <c r="D1511" s="651" t="s">
        <v>1746</v>
      </c>
      <c r="E1511" s="651" t="s">
        <v>445</v>
      </c>
      <c r="F1511" s="653">
        <v>134.52000000000001</v>
      </c>
      <c r="G1511" s="654"/>
      <c r="H1511" s="651" t="s">
        <v>650</v>
      </c>
      <c r="I1511" s="655"/>
      <c r="J1511" s="655"/>
      <c r="K1511" s="653">
        <v>0</v>
      </c>
      <c r="L1511" s="656">
        <v>134.52000000000001</v>
      </c>
    </row>
    <row r="1512" spans="1:12" ht="21" x14ac:dyDescent="0.25">
      <c r="A1512" s="651" t="s">
        <v>1743</v>
      </c>
      <c r="B1512" s="652">
        <v>2021</v>
      </c>
      <c r="C1512" s="651" t="s">
        <v>656</v>
      </c>
      <c r="D1512" s="651" t="s">
        <v>1747</v>
      </c>
      <c r="E1512" s="651" t="s">
        <v>658</v>
      </c>
      <c r="F1512" s="653">
        <v>0</v>
      </c>
      <c r="G1512" s="654"/>
      <c r="H1512" s="651" t="s">
        <v>650</v>
      </c>
      <c r="I1512" s="655"/>
      <c r="J1512" s="655"/>
      <c r="K1512" s="653">
        <v>0</v>
      </c>
      <c r="L1512" s="656">
        <v>0</v>
      </c>
    </row>
    <row r="1513" spans="1:12" ht="31.5" x14ac:dyDescent="0.25">
      <c r="A1513" s="651" t="s">
        <v>1743</v>
      </c>
      <c r="B1513" s="652">
        <v>2021</v>
      </c>
      <c r="C1513" s="651" t="s">
        <v>659</v>
      </c>
      <c r="D1513" s="651" t="s">
        <v>1748</v>
      </c>
      <c r="E1513" s="651" t="s">
        <v>661</v>
      </c>
      <c r="F1513" s="653">
        <v>0</v>
      </c>
      <c r="G1513" s="654"/>
      <c r="H1513" s="651" t="s">
        <v>650</v>
      </c>
      <c r="I1513" s="655"/>
      <c r="J1513" s="655"/>
      <c r="K1513" s="653">
        <v>0</v>
      </c>
      <c r="L1513" s="656">
        <v>0</v>
      </c>
    </row>
    <row r="1514" spans="1:12" ht="21" x14ac:dyDescent="0.25">
      <c r="A1514" s="651" t="s">
        <v>1743</v>
      </c>
      <c r="B1514" s="652">
        <v>2021</v>
      </c>
      <c r="C1514" s="651" t="s">
        <v>662</v>
      </c>
      <c r="D1514" s="651" t="s">
        <v>1749</v>
      </c>
      <c r="E1514" s="651" t="s">
        <v>664</v>
      </c>
      <c r="F1514" s="653">
        <v>0</v>
      </c>
      <c r="G1514" s="654"/>
      <c r="H1514" s="651" t="s">
        <v>650</v>
      </c>
      <c r="I1514" s="655"/>
      <c r="J1514" s="655"/>
      <c r="K1514" s="653">
        <v>0</v>
      </c>
      <c r="L1514" s="656">
        <v>0</v>
      </c>
    </row>
    <row r="1515" spans="1:12" ht="31.5" x14ac:dyDescent="0.25">
      <c r="A1515" s="651" t="s">
        <v>1743</v>
      </c>
      <c r="B1515" s="652">
        <v>2021</v>
      </c>
      <c r="C1515" s="651" t="s">
        <v>665</v>
      </c>
      <c r="D1515" s="651" t="s">
        <v>1750</v>
      </c>
      <c r="E1515" s="651" t="s">
        <v>667</v>
      </c>
      <c r="F1515" s="653">
        <v>0</v>
      </c>
      <c r="G1515" s="654"/>
      <c r="H1515" s="651" t="s">
        <v>650</v>
      </c>
      <c r="I1515" s="655"/>
      <c r="J1515" s="655"/>
      <c r="K1515" s="653">
        <v>0</v>
      </c>
      <c r="L1515" s="656">
        <v>0</v>
      </c>
    </row>
    <row r="1516" spans="1:12" ht="21" x14ac:dyDescent="0.25">
      <c r="A1516" s="651" t="s">
        <v>1743</v>
      </c>
      <c r="B1516" s="652">
        <v>2021</v>
      </c>
      <c r="C1516" s="651" t="s">
        <v>668</v>
      </c>
      <c r="D1516" s="651" t="s">
        <v>1751</v>
      </c>
      <c r="E1516" s="651" t="s">
        <v>12</v>
      </c>
      <c r="F1516" s="653">
        <v>0</v>
      </c>
      <c r="G1516" s="654"/>
      <c r="H1516" s="651" t="s">
        <v>650</v>
      </c>
      <c r="I1516" s="655"/>
      <c r="J1516" s="655"/>
      <c r="K1516" s="653">
        <v>0</v>
      </c>
      <c r="L1516" s="656">
        <v>0</v>
      </c>
    </row>
    <row r="1517" spans="1:12" ht="21" x14ac:dyDescent="0.25">
      <c r="A1517" s="651" t="s">
        <v>1743</v>
      </c>
      <c r="B1517" s="652">
        <v>2021</v>
      </c>
      <c r="C1517" s="651" t="s">
        <v>670</v>
      </c>
      <c r="D1517" s="651" t="s">
        <v>1752</v>
      </c>
      <c r="E1517" s="651" t="s">
        <v>13</v>
      </c>
      <c r="F1517" s="653">
        <v>0</v>
      </c>
      <c r="G1517" s="654"/>
      <c r="H1517" s="651" t="s">
        <v>650</v>
      </c>
      <c r="I1517" s="655"/>
      <c r="J1517" s="655"/>
      <c r="K1517" s="653">
        <v>0</v>
      </c>
      <c r="L1517" s="656">
        <v>0</v>
      </c>
    </row>
    <row r="1518" spans="1:12" ht="21" x14ac:dyDescent="0.25">
      <c r="A1518" s="651" t="s">
        <v>1743</v>
      </c>
      <c r="B1518" s="652">
        <v>2021</v>
      </c>
      <c r="C1518" s="651" t="s">
        <v>672</v>
      </c>
      <c r="D1518" s="651" t="s">
        <v>1753</v>
      </c>
      <c r="E1518" s="651" t="s">
        <v>15</v>
      </c>
      <c r="F1518" s="653">
        <v>0</v>
      </c>
      <c r="G1518" s="654"/>
      <c r="H1518" s="651" t="s">
        <v>650</v>
      </c>
      <c r="I1518" s="655"/>
      <c r="J1518" s="655"/>
      <c r="K1518" s="653">
        <v>0</v>
      </c>
      <c r="L1518" s="656">
        <v>0</v>
      </c>
    </row>
    <row r="1519" spans="1:12" ht="14.5" x14ac:dyDescent="0.25">
      <c r="A1519" s="651" t="s">
        <v>1743</v>
      </c>
      <c r="B1519" s="652">
        <v>2021</v>
      </c>
      <c r="C1519" s="651" t="s">
        <v>674</v>
      </c>
      <c r="D1519" s="651" t="s">
        <v>1754</v>
      </c>
      <c r="E1519" s="651" t="s">
        <v>676</v>
      </c>
      <c r="F1519" s="653">
        <v>9254.4500000000007</v>
      </c>
      <c r="G1519" s="654"/>
      <c r="H1519" s="651" t="s">
        <v>650</v>
      </c>
      <c r="I1519" s="655"/>
      <c r="J1519" s="655"/>
      <c r="K1519" s="653">
        <v>0</v>
      </c>
      <c r="L1519" s="656">
        <v>9254.4500000000007</v>
      </c>
    </row>
    <row r="1520" spans="1:12" ht="14.5" x14ac:dyDescent="0.25">
      <c r="A1520" s="651" t="s">
        <v>1743</v>
      </c>
      <c r="B1520" s="652">
        <v>2021</v>
      </c>
      <c r="C1520" s="651" t="s">
        <v>677</v>
      </c>
      <c r="D1520" s="651" t="s">
        <v>1755</v>
      </c>
      <c r="E1520" s="651" t="s">
        <v>23</v>
      </c>
      <c r="F1520" s="653">
        <v>1280167.28</v>
      </c>
      <c r="G1520" s="651" t="s">
        <v>650</v>
      </c>
      <c r="H1520" s="654"/>
      <c r="I1520" s="653">
        <v>1247593.875</v>
      </c>
      <c r="J1520" s="653">
        <v>32573.419921875</v>
      </c>
      <c r="K1520" s="653">
        <v>1280167.25</v>
      </c>
      <c r="L1520" s="656">
        <v>1280167.28</v>
      </c>
    </row>
    <row r="1521" spans="1:12" ht="31.5" x14ac:dyDescent="0.25">
      <c r="A1521" s="651" t="s">
        <v>1743</v>
      </c>
      <c r="B1521" s="652">
        <v>2021</v>
      </c>
      <c r="C1521" s="651" t="s">
        <v>679</v>
      </c>
      <c r="D1521" s="651" t="s">
        <v>1756</v>
      </c>
      <c r="E1521" s="651" t="s">
        <v>131</v>
      </c>
      <c r="F1521" s="653">
        <v>-14476.31</v>
      </c>
      <c r="G1521" s="651" t="s">
        <v>650</v>
      </c>
      <c r="H1521" s="654"/>
      <c r="I1521" s="653">
        <v>-13928.58984375</v>
      </c>
      <c r="J1521" s="653">
        <v>-547.719970703125</v>
      </c>
      <c r="K1521" s="653">
        <v>-14476.3095703125</v>
      </c>
      <c r="L1521" s="656">
        <v>-14476.31</v>
      </c>
    </row>
    <row r="1522" spans="1:12" ht="31.5" x14ac:dyDescent="0.25">
      <c r="A1522" s="651" t="s">
        <v>1743</v>
      </c>
      <c r="B1522" s="652">
        <v>2021</v>
      </c>
      <c r="C1522" s="651" t="s">
        <v>681</v>
      </c>
      <c r="D1522" s="651" t="s">
        <v>1757</v>
      </c>
      <c r="E1522" s="651" t="s">
        <v>683</v>
      </c>
      <c r="F1522" s="653">
        <v>-49528.7</v>
      </c>
      <c r="G1522" s="654"/>
      <c r="H1522" s="651" t="s">
        <v>650</v>
      </c>
      <c r="I1522" s="655"/>
      <c r="J1522" s="655"/>
      <c r="K1522" s="653">
        <v>0</v>
      </c>
      <c r="L1522" s="656">
        <v>-49528.7</v>
      </c>
    </row>
    <row r="1523" spans="1:12" ht="21" x14ac:dyDescent="0.25">
      <c r="A1523" s="651" t="s">
        <v>1743</v>
      </c>
      <c r="B1523" s="652">
        <v>2021</v>
      </c>
      <c r="C1523" s="651" t="s">
        <v>681</v>
      </c>
      <c r="D1523" s="651" t="s">
        <v>1757</v>
      </c>
      <c r="E1523" s="651" t="s">
        <v>684</v>
      </c>
      <c r="F1523" s="653">
        <v>-49528.7</v>
      </c>
      <c r="G1523" s="654"/>
      <c r="H1523" s="651" t="s">
        <v>650</v>
      </c>
      <c r="I1523" s="655"/>
      <c r="J1523" s="655"/>
      <c r="K1523" s="653">
        <v>0</v>
      </c>
      <c r="L1523" s="656">
        <v>-49528.7</v>
      </c>
    </row>
    <row r="1524" spans="1:12" ht="21" x14ac:dyDescent="0.25">
      <c r="A1524" s="651" t="s">
        <v>1743</v>
      </c>
      <c r="B1524" s="652">
        <v>2021</v>
      </c>
      <c r="C1524" s="651" t="s">
        <v>685</v>
      </c>
      <c r="D1524" s="651" t="s">
        <v>1758</v>
      </c>
      <c r="E1524" s="651" t="s">
        <v>687</v>
      </c>
      <c r="F1524" s="653">
        <v>0</v>
      </c>
      <c r="G1524" s="654"/>
      <c r="H1524" s="651" t="s">
        <v>650</v>
      </c>
      <c r="I1524" s="655"/>
      <c r="J1524" s="655"/>
      <c r="K1524" s="653">
        <v>0</v>
      </c>
      <c r="L1524" s="656">
        <v>0</v>
      </c>
    </row>
    <row r="1525" spans="1:12" ht="14.5" x14ac:dyDescent="0.25">
      <c r="A1525" s="651" t="s">
        <v>1743</v>
      </c>
      <c r="B1525" s="652">
        <v>2021</v>
      </c>
      <c r="C1525" s="651" t="s">
        <v>688</v>
      </c>
      <c r="D1525" s="651" t="s">
        <v>1759</v>
      </c>
      <c r="E1525" s="651" t="s">
        <v>50</v>
      </c>
      <c r="F1525" s="653">
        <v>0</v>
      </c>
      <c r="G1525" s="654"/>
      <c r="H1525" s="651" t="s">
        <v>650</v>
      </c>
      <c r="I1525" s="655"/>
      <c r="J1525" s="655"/>
      <c r="K1525" s="653">
        <v>0</v>
      </c>
      <c r="L1525" s="656">
        <v>0</v>
      </c>
    </row>
    <row r="1526" spans="1:12" ht="21" x14ac:dyDescent="0.25">
      <c r="A1526" s="651" t="s">
        <v>1743</v>
      </c>
      <c r="B1526" s="652">
        <v>2021</v>
      </c>
      <c r="C1526" s="651" t="s">
        <v>690</v>
      </c>
      <c r="D1526" s="651" t="s">
        <v>1760</v>
      </c>
      <c r="E1526" s="651" t="s">
        <v>692</v>
      </c>
      <c r="F1526" s="653">
        <v>0</v>
      </c>
      <c r="G1526" s="654"/>
      <c r="H1526" s="651" t="s">
        <v>650</v>
      </c>
      <c r="I1526" s="655"/>
      <c r="J1526" s="655"/>
      <c r="K1526" s="653">
        <v>0</v>
      </c>
      <c r="L1526" s="656">
        <v>0</v>
      </c>
    </row>
    <row r="1527" spans="1:12" ht="21" x14ac:dyDescent="0.25">
      <c r="A1527" s="651" t="s">
        <v>1743</v>
      </c>
      <c r="B1527" s="652">
        <v>2021</v>
      </c>
      <c r="C1527" s="651" t="s">
        <v>693</v>
      </c>
      <c r="D1527" s="651" t="s">
        <v>1761</v>
      </c>
      <c r="E1527" s="651" t="s">
        <v>6</v>
      </c>
      <c r="F1527" s="653">
        <v>0</v>
      </c>
      <c r="G1527" s="654"/>
      <c r="H1527" s="651" t="s">
        <v>650</v>
      </c>
      <c r="I1527" s="655"/>
      <c r="J1527" s="655"/>
      <c r="K1527" s="653">
        <v>0</v>
      </c>
      <c r="L1527" s="656">
        <v>0</v>
      </c>
    </row>
    <row r="1528" spans="1:12" ht="31.5" x14ac:dyDescent="0.25">
      <c r="A1528" s="651" t="s">
        <v>1743</v>
      </c>
      <c r="B1528" s="652">
        <v>2021</v>
      </c>
      <c r="C1528" s="651" t="s">
        <v>695</v>
      </c>
      <c r="D1528" s="651" t="s">
        <v>1762</v>
      </c>
      <c r="E1528" s="651" t="s">
        <v>697</v>
      </c>
      <c r="F1528" s="653">
        <v>0</v>
      </c>
      <c r="G1528" s="654"/>
      <c r="H1528" s="651" t="s">
        <v>650</v>
      </c>
      <c r="I1528" s="655"/>
      <c r="J1528" s="655"/>
      <c r="K1528" s="653">
        <v>0</v>
      </c>
      <c r="L1528" s="656">
        <v>0</v>
      </c>
    </row>
    <row r="1529" spans="1:12" ht="21" x14ac:dyDescent="0.25">
      <c r="A1529" s="651" t="s">
        <v>1743</v>
      </c>
      <c r="B1529" s="652">
        <v>2021</v>
      </c>
      <c r="C1529" s="651" t="s">
        <v>698</v>
      </c>
      <c r="D1529" s="651" t="s">
        <v>1763</v>
      </c>
      <c r="E1529" s="651" t="s">
        <v>700</v>
      </c>
      <c r="F1529" s="653">
        <v>0</v>
      </c>
      <c r="G1529" s="654"/>
      <c r="H1529" s="651" t="s">
        <v>650</v>
      </c>
      <c r="I1529" s="655"/>
      <c r="J1529" s="655"/>
      <c r="K1529" s="653">
        <v>0</v>
      </c>
      <c r="L1529" s="656">
        <v>0</v>
      </c>
    </row>
    <row r="1530" spans="1:12" ht="21" x14ac:dyDescent="0.25">
      <c r="A1530" s="651" t="s">
        <v>1743</v>
      </c>
      <c r="B1530" s="652">
        <v>2021</v>
      </c>
      <c r="C1530" s="651" t="s">
        <v>701</v>
      </c>
      <c r="D1530" s="651" t="s">
        <v>1764</v>
      </c>
      <c r="E1530" s="651" t="s">
        <v>1</v>
      </c>
      <c r="F1530" s="653">
        <v>-69014.14</v>
      </c>
      <c r="G1530" s="651" t="s">
        <v>650</v>
      </c>
      <c r="H1530" s="654"/>
      <c r="I1530" s="653">
        <v>-56801.3515625</v>
      </c>
      <c r="J1530" s="653">
        <v>-12212.7900390625</v>
      </c>
      <c r="K1530" s="653">
        <v>-69014.140625</v>
      </c>
      <c r="L1530" s="656">
        <v>-69014.14</v>
      </c>
    </row>
    <row r="1531" spans="1:12" ht="21" x14ac:dyDescent="0.25">
      <c r="A1531" s="651" t="s">
        <v>1743</v>
      </c>
      <c r="B1531" s="652">
        <v>2021</v>
      </c>
      <c r="C1531" s="651" t="s">
        <v>701</v>
      </c>
      <c r="D1531" s="651" t="s">
        <v>1764</v>
      </c>
      <c r="E1531" s="651" t="s">
        <v>703</v>
      </c>
      <c r="F1531" s="653">
        <v>0</v>
      </c>
      <c r="G1531" s="654"/>
      <c r="H1531" s="654"/>
      <c r="I1531" s="655"/>
      <c r="J1531" s="655"/>
      <c r="K1531" s="653">
        <v>0</v>
      </c>
      <c r="L1531" s="656">
        <v>0</v>
      </c>
    </row>
    <row r="1532" spans="1:12" ht="21" x14ac:dyDescent="0.25">
      <c r="A1532" s="651" t="s">
        <v>1743</v>
      </c>
      <c r="B1532" s="652">
        <v>2021</v>
      </c>
      <c r="C1532" s="651" t="s">
        <v>701</v>
      </c>
      <c r="D1532" s="651" t="s">
        <v>1764</v>
      </c>
      <c r="E1532" s="651" t="s">
        <v>704</v>
      </c>
      <c r="F1532" s="653">
        <v>0</v>
      </c>
      <c r="G1532" s="654"/>
      <c r="H1532" s="654"/>
      <c r="I1532" s="655"/>
      <c r="J1532" s="655"/>
      <c r="K1532" s="653">
        <v>0</v>
      </c>
      <c r="L1532" s="656">
        <v>0</v>
      </c>
    </row>
    <row r="1533" spans="1:12" ht="21" x14ac:dyDescent="0.25">
      <c r="A1533" s="651" t="s">
        <v>1743</v>
      </c>
      <c r="B1533" s="652">
        <v>2021</v>
      </c>
      <c r="C1533" s="651" t="s">
        <v>701</v>
      </c>
      <c r="D1533" s="651" t="s">
        <v>1764</v>
      </c>
      <c r="E1533" s="651" t="s">
        <v>705</v>
      </c>
      <c r="F1533" s="653">
        <v>3177.52</v>
      </c>
      <c r="G1533" s="654"/>
      <c r="H1533" s="654"/>
      <c r="I1533" s="655"/>
      <c r="J1533" s="655"/>
      <c r="K1533" s="653">
        <v>0</v>
      </c>
      <c r="L1533" s="656">
        <v>3177.52</v>
      </c>
    </row>
    <row r="1534" spans="1:12" ht="21" x14ac:dyDescent="0.25">
      <c r="A1534" s="651" t="s">
        <v>1743</v>
      </c>
      <c r="B1534" s="652">
        <v>2021</v>
      </c>
      <c r="C1534" s="651" t="s">
        <v>701</v>
      </c>
      <c r="D1534" s="651" t="s">
        <v>1764</v>
      </c>
      <c r="E1534" s="651" t="s">
        <v>706</v>
      </c>
      <c r="F1534" s="653">
        <v>9889.92</v>
      </c>
      <c r="G1534" s="654"/>
      <c r="H1534" s="654"/>
      <c r="I1534" s="655"/>
      <c r="J1534" s="655"/>
      <c r="K1534" s="653">
        <v>0</v>
      </c>
      <c r="L1534" s="656">
        <v>9889.92</v>
      </c>
    </row>
    <row r="1535" spans="1:12" ht="14.5" x14ac:dyDescent="0.25">
      <c r="A1535" s="651" t="s">
        <v>1743</v>
      </c>
      <c r="B1535" s="652">
        <v>2021</v>
      </c>
      <c r="C1535" s="651" t="s">
        <v>707</v>
      </c>
      <c r="D1535" s="651" t="s">
        <v>1765</v>
      </c>
      <c r="E1535" s="651" t="s">
        <v>709</v>
      </c>
      <c r="F1535" s="653">
        <v>0</v>
      </c>
      <c r="G1535" s="654"/>
      <c r="H1535" s="651" t="s">
        <v>650</v>
      </c>
      <c r="I1535" s="655"/>
      <c r="J1535" s="655"/>
      <c r="K1535" s="653">
        <v>0</v>
      </c>
      <c r="L1535" s="656">
        <v>0</v>
      </c>
    </row>
    <row r="1536" spans="1:12" ht="31.5" x14ac:dyDescent="0.25">
      <c r="A1536" s="651" t="s">
        <v>1743</v>
      </c>
      <c r="B1536" s="652">
        <v>2021</v>
      </c>
      <c r="C1536" s="651" t="s">
        <v>710</v>
      </c>
      <c r="D1536" s="651" t="s">
        <v>1766</v>
      </c>
      <c r="E1536" s="651" t="s">
        <v>2</v>
      </c>
      <c r="F1536" s="653">
        <v>633090.5</v>
      </c>
      <c r="G1536" s="651" t="s">
        <v>650</v>
      </c>
      <c r="H1536" s="654"/>
      <c r="I1536" s="653">
        <v>608287.875</v>
      </c>
      <c r="J1536" s="653">
        <v>24802.599609375</v>
      </c>
      <c r="K1536" s="653">
        <v>633090.5</v>
      </c>
      <c r="L1536" s="656">
        <v>633090.5</v>
      </c>
    </row>
    <row r="1537" spans="1:12" ht="31.5" x14ac:dyDescent="0.25">
      <c r="A1537" s="651" t="s">
        <v>1743</v>
      </c>
      <c r="B1537" s="652">
        <v>2021</v>
      </c>
      <c r="C1537" s="651" t="s">
        <v>712</v>
      </c>
      <c r="D1537" s="651" t="s">
        <v>1767</v>
      </c>
      <c r="E1537" s="651" t="s">
        <v>3</v>
      </c>
      <c r="F1537" s="653">
        <v>684923.3</v>
      </c>
      <c r="G1537" s="651" t="s">
        <v>650</v>
      </c>
      <c r="H1537" s="654"/>
      <c r="I1537" s="653">
        <v>658684.4375</v>
      </c>
      <c r="J1537" s="653">
        <v>26238.83984375</v>
      </c>
      <c r="K1537" s="653">
        <v>684923.3125</v>
      </c>
      <c r="L1537" s="656">
        <v>684923.3</v>
      </c>
    </row>
    <row r="1538" spans="1:12" ht="31.5" x14ac:dyDescent="0.25">
      <c r="A1538" s="651" t="s">
        <v>1743</v>
      </c>
      <c r="B1538" s="652">
        <v>2021</v>
      </c>
      <c r="C1538" s="651" t="s">
        <v>714</v>
      </c>
      <c r="D1538" s="651" t="s">
        <v>1768</v>
      </c>
      <c r="E1538" s="651" t="s">
        <v>38</v>
      </c>
      <c r="F1538" s="653">
        <v>2554954.36</v>
      </c>
      <c r="G1538" s="651" t="s">
        <v>650</v>
      </c>
      <c r="H1538" s="654"/>
      <c r="I1538" s="653">
        <v>2546147.25</v>
      </c>
      <c r="J1538" s="653">
        <v>8807.2197265625</v>
      </c>
      <c r="K1538" s="653">
        <v>2554954.25</v>
      </c>
      <c r="L1538" s="656">
        <v>2554954.36</v>
      </c>
    </row>
    <row r="1539" spans="1:12" ht="21" x14ac:dyDescent="0.25">
      <c r="A1539" s="651" t="s">
        <v>1743</v>
      </c>
      <c r="B1539" s="652">
        <v>2021</v>
      </c>
      <c r="C1539" s="651" t="s">
        <v>716</v>
      </c>
      <c r="D1539" s="651" t="s">
        <v>1769</v>
      </c>
      <c r="E1539" s="651" t="s">
        <v>66</v>
      </c>
      <c r="F1539" s="653">
        <v>-559625.57999999996</v>
      </c>
      <c r="G1539" s="651" t="s">
        <v>650</v>
      </c>
      <c r="H1539" s="654"/>
      <c r="I1539" s="653">
        <v>-583066.5625</v>
      </c>
      <c r="J1539" s="653">
        <v>23440.990234375</v>
      </c>
      <c r="K1539" s="653">
        <v>-559625.5625</v>
      </c>
      <c r="L1539" s="656">
        <v>-559625.57999999996</v>
      </c>
    </row>
    <row r="1540" spans="1:12" ht="31.5" x14ac:dyDescent="0.25">
      <c r="A1540" s="651" t="s">
        <v>1743</v>
      </c>
      <c r="B1540" s="652">
        <v>2021</v>
      </c>
      <c r="C1540" s="651" t="s">
        <v>718</v>
      </c>
      <c r="D1540" s="651" t="s">
        <v>1770</v>
      </c>
      <c r="E1540" s="651" t="s">
        <v>720</v>
      </c>
      <c r="F1540" s="653">
        <v>-816456.7</v>
      </c>
      <c r="G1540" s="654"/>
      <c r="H1540" s="651" t="s">
        <v>650</v>
      </c>
      <c r="I1540" s="655"/>
      <c r="J1540" s="655"/>
      <c r="K1540" s="653">
        <v>0</v>
      </c>
      <c r="L1540" s="656">
        <v>-816456.7</v>
      </c>
    </row>
    <row r="1541" spans="1:12" ht="42" x14ac:dyDescent="0.25">
      <c r="A1541" s="651" t="s">
        <v>1743</v>
      </c>
      <c r="B1541" s="652">
        <v>2021</v>
      </c>
      <c r="C1541" s="651" t="s">
        <v>721</v>
      </c>
      <c r="D1541" s="651" t="s">
        <v>1771</v>
      </c>
      <c r="E1541" s="651" t="s">
        <v>3016</v>
      </c>
      <c r="F1541" s="653">
        <v>0</v>
      </c>
      <c r="G1541" s="651" t="s">
        <v>650</v>
      </c>
      <c r="H1541" s="654"/>
      <c r="I1541" s="655"/>
      <c r="J1541" s="655"/>
      <c r="K1541" s="653">
        <v>0</v>
      </c>
      <c r="L1541" s="656">
        <v>0</v>
      </c>
    </row>
    <row r="1542" spans="1:12" ht="42" x14ac:dyDescent="0.25">
      <c r="A1542" s="651" t="s">
        <v>1743</v>
      </c>
      <c r="B1542" s="652">
        <v>2021</v>
      </c>
      <c r="C1542" s="651" t="s">
        <v>721</v>
      </c>
      <c r="D1542" s="651" t="s">
        <v>1771</v>
      </c>
      <c r="E1542" s="651" t="s">
        <v>3058</v>
      </c>
      <c r="F1542" s="653">
        <v>0</v>
      </c>
      <c r="G1542" s="651" t="s">
        <v>650</v>
      </c>
      <c r="H1542" s="654"/>
      <c r="I1542" s="655"/>
      <c r="J1542" s="655"/>
      <c r="K1542" s="653">
        <v>0</v>
      </c>
      <c r="L1542" s="656">
        <v>0</v>
      </c>
    </row>
    <row r="1543" spans="1:12" ht="42" x14ac:dyDescent="0.25">
      <c r="A1543" s="651" t="s">
        <v>1743</v>
      </c>
      <c r="B1543" s="652">
        <v>2021</v>
      </c>
      <c r="C1543" s="651" t="s">
        <v>721</v>
      </c>
      <c r="D1543" s="651" t="s">
        <v>1772</v>
      </c>
      <c r="E1543" s="651" t="s">
        <v>724</v>
      </c>
      <c r="F1543" s="653">
        <v>0</v>
      </c>
      <c r="G1543" s="651" t="s">
        <v>650</v>
      </c>
      <c r="H1543" s="654"/>
      <c r="I1543" s="655"/>
      <c r="J1543" s="655"/>
      <c r="K1543" s="653">
        <v>0</v>
      </c>
      <c r="L1543" s="656">
        <v>0</v>
      </c>
    </row>
    <row r="1544" spans="1:12" ht="42" x14ac:dyDescent="0.25">
      <c r="A1544" s="651" t="s">
        <v>1743</v>
      </c>
      <c r="B1544" s="652">
        <v>2021</v>
      </c>
      <c r="C1544" s="651" t="s">
        <v>721</v>
      </c>
      <c r="D1544" s="651" t="s">
        <v>1773</v>
      </c>
      <c r="E1544" s="651" t="s">
        <v>55</v>
      </c>
      <c r="F1544" s="653">
        <v>0</v>
      </c>
      <c r="G1544" s="651" t="s">
        <v>650</v>
      </c>
      <c r="H1544" s="654"/>
      <c r="I1544" s="655"/>
      <c r="J1544" s="655"/>
      <c r="K1544" s="653">
        <v>0</v>
      </c>
      <c r="L1544" s="656">
        <v>0</v>
      </c>
    </row>
    <row r="1545" spans="1:12" ht="42" x14ac:dyDescent="0.25">
      <c r="A1545" s="651" t="s">
        <v>1743</v>
      </c>
      <c r="B1545" s="652">
        <v>2021</v>
      </c>
      <c r="C1545" s="651" t="s">
        <v>721</v>
      </c>
      <c r="D1545" s="651" t="s">
        <v>1774</v>
      </c>
      <c r="E1545" s="651" t="s">
        <v>56</v>
      </c>
      <c r="F1545" s="653">
        <v>0</v>
      </c>
      <c r="G1545" s="651" t="s">
        <v>650</v>
      </c>
      <c r="H1545" s="654"/>
      <c r="I1545" s="655"/>
      <c r="J1545" s="655"/>
      <c r="K1545" s="653">
        <v>0</v>
      </c>
      <c r="L1545" s="656">
        <v>0</v>
      </c>
    </row>
    <row r="1546" spans="1:12" ht="42" x14ac:dyDescent="0.25">
      <c r="A1546" s="651" t="s">
        <v>1743</v>
      </c>
      <c r="B1546" s="652">
        <v>2021</v>
      </c>
      <c r="C1546" s="651" t="s">
        <v>721</v>
      </c>
      <c r="D1546" s="651" t="s">
        <v>1775</v>
      </c>
      <c r="E1546" s="651" t="s">
        <v>728</v>
      </c>
      <c r="F1546" s="653">
        <v>0</v>
      </c>
      <c r="G1546" s="651" t="s">
        <v>650</v>
      </c>
      <c r="H1546" s="654"/>
      <c r="I1546" s="655"/>
      <c r="J1546" s="655"/>
      <c r="K1546" s="653">
        <v>0</v>
      </c>
      <c r="L1546" s="656">
        <v>0</v>
      </c>
    </row>
    <row r="1547" spans="1:12" ht="42" x14ac:dyDescent="0.25">
      <c r="A1547" s="651" t="s">
        <v>1743</v>
      </c>
      <c r="B1547" s="652">
        <v>2021</v>
      </c>
      <c r="C1547" s="651" t="s">
        <v>721</v>
      </c>
      <c r="D1547" s="651" t="s">
        <v>1776</v>
      </c>
      <c r="E1547" s="651" t="s">
        <v>730</v>
      </c>
      <c r="F1547" s="653">
        <v>0</v>
      </c>
      <c r="G1547" s="651" t="s">
        <v>650</v>
      </c>
      <c r="H1547" s="654"/>
      <c r="I1547" s="655"/>
      <c r="J1547" s="655"/>
      <c r="K1547" s="653">
        <v>0</v>
      </c>
      <c r="L1547" s="656">
        <v>0</v>
      </c>
    </row>
    <row r="1548" spans="1:12" ht="42" x14ac:dyDescent="0.25">
      <c r="A1548" s="651" t="s">
        <v>1743</v>
      </c>
      <c r="B1548" s="652">
        <v>2021</v>
      </c>
      <c r="C1548" s="651" t="s">
        <v>721</v>
      </c>
      <c r="D1548" s="651" t="s">
        <v>1777</v>
      </c>
      <c r="E1548" s="651" t="s">
        <v>142</v>
      </c>
      <c r="F1548" s="653">
        <v>0</v>
      </c>
      <c r="G1548" s="651" t="s">
        <v>650</v>
      </c>
      <c r="H1548" s="654"/>
      <c r="I1548" s="655"/>
      <c r="J1548" s="655"/>
      <c r="K1548" s="653">
        <v>0</v>
      </c>
      <c r="L1548" s="656">
        <v>0</v>
      </c>
    </row>
    <row r="1549" spans="1:12" ht="42" x14ac:dyDescent="0.25">
      <c r="A1549" s="651" t="s">
        <v>1743</v>
      </c>
      <c r="B1549" s="652">
        <v>2021</v>
      </c>
      <c r="C1549" s="651" t="s">
        <v>721</v>
      </c>
      <c r="D1549" s="651" t="s">
        <v>1778</v>
      </c>
      <c r="E1549" s="651" t="s">
        <v>143</v>
      </c>
      <c r="F1549" s="653">
        <v>0</v>
      </c>
      <c r="G1549" s="651" t="s">
        <v>650</v>
      </c>
      <c r="H1549" s="654"/>
      <c r="I1549" s="655"/>
      <c r="J1549" s="655"/>
      <c r="K1549" s="653">
        <v>0</v>
      </c>
      <c r="L1549" s="656">
        <v>0</v>
      </c>
    </row>
    <row r="1550" spans="1:12" ht="42" x14ac:dyDescent="0.25">
      <c r="A1550" s="651" t="s">
        <v>1743</v>
      </c>
      <c r="B1550" s="652">
        <v>2021</v>
      </c>
      <c r="C1550" s="651" t="s">
        <v>721</v>
      </c>
      <c r="D1550" s="651" t="s">
        <v>1779</v>
      </c>
      <c r="E1550" s="651" t="s">
        <v>182</v>
      </c>
      <c r="F1550" s="653">
        <v>0</v>
      </c>
      <c r="G1550" s="651" t="s">
        <v>650</v>
      </c>
      <c r="H1550" s="654"/>
      <c r="I1550" s="653">
        <v>-126863.0625</v>
      </c>
      <c r="J1550" s="653">
        <v>20571</v>
      </c>
      <c r="K1550" s="653">
        <v>-106292.0625</v>
      </c>
      <c r="L1550" s="656">
        <v>-106292.06</v>
      </c>
    </row>
    <row r="1551" spans="1:12" ht="42" x14ac:dyDescent="0.25">
      <c r="A1551" s="651" t="s">
        <v>1743</v>
      </c>
      <c r="B1551" s="652">
        <v>2021</v>
      </c>
      <c r="C1551" s="651" t="s">
        <v>721</v>
      </c>
      <c r="D1551" s="651" t="s">
        <v>1780</v>
      </c>
      <c r="E1551" s="651" t="s">
        <v>394</v>
      </c>
      <c r="F1551" s="653">
        <v>0</v>
      </c>
      <c r="G1551" s="651" t="s">
        <v>650</v>
      </c>
      <c r="H1551" s="654"/>
      <c r="I1551" s="653">
        <v>-353673.25</v>
      </c>
      <c r="J1551" s="653">
        <v>-97614</v>
      </c>
      <c r="K1551" s="653">
        <v>-451287.25</v>
      </c>
      <c r="L1551" s="656">
        <v>-451287.26</v>
      </c>
    </row>
    <row r="1552" spans="1:12" ht="42" x14ac:dyDescent="0.25">
      <c r="A1552" s="651" t="s">
        <v>1743</v>
      </c>
      <c r="B1552" s="652">
        <v>2021</v>
      </c>
      <c r="C1552" s="651" t="s">
        <v>721</v>
      </c>
      <c r="D1552" s="651" t="s">
        <v>1781</v>
      </c>
      <c r="E1552" s="651" t="s">
        <v>423</v>
      </c>
      <c r="F1552" s="653">
        <v>0</v>
      </c>
      <c r="G1552" s="651" t="s">
        <v>650</v>
      </c>
      <c r="H1552" s="654"/>
      <c r="I1552" s="653">
        <v>46143.33984375</v>
      </c>
      <c r="J1552" s="653">
        <v>53342.48828125</v>
      </c>
      <c r="K1552" s="653">
        <v>99485.828125</v>
      </c>
      <c r="L1552" s="656">
        <v>99485.83</v>
      </c>
    </row>
    <row r="1553" spans="1:12" ht="42" x14ac:dyDescent="0.25">
      <c r="A1553" s="651" t="s">
        <v>1743</v>
      </c>
      <c r="B1553" s="652">
        <v>2021</v>
      </c>
      <c r="C1553" s="651" t="s">
        <v>721</v>
      </c>
      <c r="D1553" s="651" t="s">
        <v>3265</v>
      </c>
      <c r="E1553" s="651" t="s">
        <v>441</v>
      </c>
      <c r="F1553" s="653">
        <v>0</v>
      </c>
      <c r="G1553" s="651" t="s">
        <v>650</v>
      </c>
      <c r="H1553" s="654"/>
      <c r="I1553" s="653">
        <v>1677552.375</v>
      </c>
      <c r="J1553" s="653">
        <v>165593.265625</v>
      </c>
      <c r="K1553" s="653">
        <v>1843145.625</v>
      </c>
      <c r="L1553" s="656">
        <v>1843145.61</v>
      </c>
    </row>
    <row r="1554" spans="1:12" ht="42" x14ac:dyDescent="0.25">
      <c r="A1554" s="651" t="s">
        <v>1743</v>
      </c>
      <c r="B1554" s="652">
        <v>2021</v>
      </c>
      <c r="C1554" s="651" t="s">
        <v>721</v>
      </c>
      <c r="D1554" s="651" t="s">
        <v>1782</v>
      </c>
      <c r="E1554" s="651" t="s">
        <v>737</v>
      </c>
      <c r="F1554" s="653">
        <v>1385052.12</v>
      </c>
      <c r="G1554" s="654"/>
      <c r="H1554" s="654"/>
      <c r="I1554" s="655"/>
      <c r="J1554" s="655"/>
      <c r="K1554" s="653">
        <v>0</v>
      </c>
      <c r="L1554" s="656">
        <v>1385052.12</v>
      </c>
    </row>
    <row r="1555" spans="1:12" ht="14.5" x14ac:dyDescent="0.25">
      <c r="A1555" s="651" t="s">
        <v>1743</v>
      </c>
      <c r="B1555" s="652">
        <v>2021</v>
      </c>
      <c r="C1555" s="651" t="s">
        <v>738</v>
      </c>
      <c r="D1555" s="651" t="s">
        <v>1783</v>
      </c>
      <c r="E1555" s="651" t="s">
        <v>7</v>
      </c>
      <c r="F1555" s="653">
        <v>0</v>
      </c>
      <c r="G1555" s="654"/>
      <c r="H1555" s="651" t="s">
        <v>650</v>
      </c>
      <c r="I1555" s="655"/>
      <c r="J1555" s="655"/>
      <c r="K1555" s="653">
        <v>0</v>
      </c>
      <c r="L1555" s="656">
        <v>0</v>
      </c>
    </row>
    <row r="1556" spans="1:12" ht="21" x14ac:dyDescent="0.25">
      <c r="A1556" s="651" t="s">
        <v>98</v>
      </c>
      <c r="B1556" s="652">
        <v>2021</v>
      </c>
      <c r="C1556" s="651" t="s">
        <v>647</v>
      </c>
      <c r="D1556" s="651" t="s">
        <v>1784</v>
      </c>
      <c r="E1556" s="651" t="s">
        <v>649</v>
      </c>
      <c r="F1556" s="653">
        <v>-188114.79</v>
      </c>
      <c r="G1556" s="654"/>
      <c r="H1556" s="651" t="s">
        <v>650</v>
      </c>
      <c r="I1556" s="655"/>
      <c r="J1556" s="655"/>
      <c r="K1556" s="653">
        <v>0</v>
      </c>
      <c r="L1556" s="656">
        <v>-188114.79</v>
      </c>
    </row>
    <row r="1557" spans="1:12" ht="14.5" x14ac:dyDescent="0.25">
      <c r="A1557" s="651" t="s">
        <v>98</v>
      </c>
      <c r="B1557" s="652">
        <v>2021</v>
      </c>
      <c r="C1557" s="651" t="s">
        <v>651</v>
      </c>
      <c r="D1557" s="651" t="s">
        <v>1785</v>
      </c>
      <c r="E1557" s="651" t="s">
        <v>653</v>
      </c>
      <c r="F1557" s="653">
        <v>142885.39000000001</v>
      </c>
      <c r="G1557" s="654"/>
      <c r="H1557" s="651" t="s">
        <v>650</v>
      </c>
      <c r="I1557" s="655"/>
      <c r="J1557" s="655"/>
      <c r="K1557" s="653">
        <v>0</v>
      </c>
      <c r="L1557" s="656">
        <v>142885.39000000001</v>
      </c>
    </row>
    <row r="1558" spans="1:12" ht="42" x14ac:dyDescent="0.25">
      <c r="A1558" s="651" t="s">
        <v>98</v>
      </c>
      <c r="B1558" s="652">
        <v>2021</v>
      </c>
      <c r="C1558" s="651" t="s">
        <v>654</v>
      </c>
      <c r="D1558" s="651" t="s">
        <v>1786</v>
      </c>
      <c r="E1558" s="651" t="s">
        <v>445</v>
      </c>
      <c r="F1558" s="653">
        <v>0</v>
      </c>
      <c r="G1558" s="654"/>
      <c r="H1558" s="651" t="s">
        <v>650</v>
      </c>
      <c r="I1558" s="655"/>
      <c r="J1558" s="655"/>
      <c r="K1558" s="653">
        <v>0</v>
      </c>
      <c r="L1558" s="656">
        <v>0</v>
      </c>
    </row>
    <row r="1559" spans="1:12" ht="21" x14ac:dyDescent="0.25">
      <c r="A1559" s="651" t="s">
        <v>98</v>
      </c>
      <c r="B1559" s="652">
        <v>2021</v>
      </c>
      <c r="C1559" s="651" t="s">
        <v>656</v>
      </c>
      <c r="D1559" s="651" t="s">
        <v>1787</v>
      </c>
      <c r="E1559" s="651" t="s">
        <v>658</v>
      </c>
      <c r="F1559" s="653">
        <v>0</v>
      </c>
      <c r="G1559" s="654"/>
      <c r="H1559" s="651" t="s">
        <v>650</v>
      </c>
      <c r="I1559" s="655"/>
      <c r="J1559" s="655"/>
      <c r="K1559" s="653">
        <v>0</v>
      </c>
      <c r="L1559" s="656">
        <v>0</v>
      </c>
    </row>
    <row r="1560" spans="1:12" ht="31.5" x14ac:dyDescent="0.25">
      <c r="A1560" s="651" t="s">
        <v>98</v>
      </c>
      <c r="B1560" s="652">
        <v>2021</v>
      </c>
      <c r="C1560" s="651" t="s">
        <v>659</v>
      </c>
      <c r="D1560" s="651" t="s">
        <v>1788</v>
      </c>
      <c r="E1560" s="651" t="s">
        <v>661</v>
      </c>
      <c r="F1560" s="653">
        <v>0</v>
      </c>
      <c r="G1560" s="654"/>
      <c r="H1560" s="651" t="s">
        <v>650</v>
      </c>
      <c r="I1560" s="655"/>
      <c r="J1560" s="655"/>
      <c r="K1560" s="653">
        <v>0</v>
      </c>
      <c r="L1560" s="656">
        <v>0</v>
      </c>
    </row>
    <row r="1561" spans="1:12" ht="21" x14ac:dyDescent="0.25">
      <c r="A1561" s="651" t="s">
        <v>98</v>
      </c>
      <c r="B1561" s="652">
        <v>2021</v>
      </c>
      <c r="C1561" s="651" t="s">
        <v>662</v>
      </c>
      <c r="D1561" s="651" t="s">
        <v>1789</v>
      </c>
      <c r="E1561" s="651" t="s">
        <v>664</v>
      </c>
      <c r="F1561" s="653">
        <v>0</v>
      </c>
      <c r="G1561" s="654"/>
      <c r="H1561" s="651" t="s">
        <v>650</v>
      </c>
      <c r="I1561" s="655"/>
      <c r="J1561" s="655"/>
      <c r="K1561" s="653">
        <v>0</v>
      </c>
      <c r="L1561" s="656">
        <v>0</v>
      </c>
    </row>
    <row r="1562" spans="1:12" ht="31.5" x14ac:dyDescent="0.25">
      <c r="A1562" s="651" t="s">
        <v>98</v>
      </c>
      <c r="B1562" s="652">
        <v>2021</v>
      </c>
      <c r="C1562" s="651" t="s">
        <v>665</v>
      </c>
      <c r="D1562" s="651" t="s">
        <v>1790</v>
      </c>
      <c r="E1562" s="651" t="s">
        <v>667</v>
      </c>
      <c r="F1562" s="653">
        <v>0</v>
      </c>
      <c r="G1562" s="654"/>
      <c r="H1562" s="651" t="s">
        <v>650</v>
      </c>
      <c r="I1562" s="655"/>
      <c r="J1562" s="655"/>
      <c r="K1562" s="653">
        <v>0</v>
      </c>
      <c r="L1562" s="656">
        <v>0</v>
      </c>
    </row>
    <row r="1563" spans="1:12" ht="21" x14ac:dyDescent="0.25">
      <c r="A1563" s="651" t="s">
        <v>98</v>
      </c>
      <c r="B1563" s="652">
        <v>2021</v>
      </c>
      <c r="C1563" s="651" t="s">
        <v>668</v>
      </c>
      <c r="D1563" s="651" t="s">
        <v>1791</v>
      </c>
      <c r="E1563" s="651" t="s">
        <v>12</v>
      </c>
      <c r="F1563" s="653">
        <v>0</v>
      </c>
      <c r="G1563" s="654"/>
      <c r="H1563" s="651" t="s">
        <v>650</v>
      </c>
      <c r="I1563" s="655"/>
      <c r="J1563" s="655"/>
      <c r="K1563" s="653">
        <v>0</v>
      </c>
      <c r="L1563" s="656">
        <v>0</v>
      </c>
    </row>
    <row r="1564" spans="1:12" ht="21" x14ac:dyDescent="0.25">
      <c r="A1564" s="651" t="s">
        <v>98</v>
      </c>
      <c r="B1564" s="652">
        <v>2021</v>
      </c>
      <c r="C1564" s="651" t="s">
        <v>670</v>
      </c>
      <c r="D1564" s="651" t="s">
        <v>1792</v>
      </c>
      <c r="E1564" s="651" t="s">
        <v>13</v>
      </c>
      <c r="F1564" s="653">
        <v>0</v>
      </c>
      <c r="G1564" s="654"/>
      <c r="H1564" s="651" t="s">
        <v>650</v>
      </c>
      <c r="I1564" s="655"/>
      <c r="J1564" s="655"/>
      <c r="K1564" s="653">
        <v>0</v>
      </c>
      <c r="L1564" s="656">
        <v>0</v>
      </c>
    </row>
    <row r="1565" spans="1:12" ht="21" x14ac:dyDescent="0.25">
      <c r="A1565" s="651" t="s">
        <v>98</v>
      </c>
      <c r="B1565" s="652">
        <v>2021</v>
      </c>
      <c r="C1565" s="651" t="s">
        <v>672</v>
      </c>
      <c r="D1565" s="651" t="s">
        <v>1793</v>
      </c>
      <c r="E1565" s="651" t="s">
        <v>15</v>
      </c>
      <c r="F1565" s="653">
        <v>0</v>
      </c>
      <c r="G1565" s="654"/>
      <c r="H1565" s="651" t="s">
        <v>650</v>
      </c>
      <c r="I1565" s="655"/>
      <c r="J1565" s="655"/>
      <c r="K1565" s="653">
        <v>0</v>
      </c>
      <c r="L1565" s="656">
        <v>0</v>
      </c>
    </row>
    <row r="1566" spans="1:12" ht="14.5" x14ac:dyDescent="0.25">
      <c r="A1566" s="651" t="s">
        <v>98</v>
      </c>
      <c r="B1566" s="652">
        <v>2021</v>
      </c>
      <c r="C1566" s="651" t="s">
        <v>674</v>
      </c>
      <c r="D1566" s="651" t="s">
        <v>1794</v>
      </c>
      <c r="E1566" s="651" t="s">
        <v>676</v>
      </c>
      <c r="F1566" s="653">
        <v>428806.63</v>
      </c>
      <c r="G1566" s="654"/>
      <c r="H1566" s="651" t="s">
        <v>650</v>
      </c>
      <c r="I1566" s="655"/>
      <c r="J1566" s="655"/>
      <c r="K1566" s="653">
        <v>0</v>
      </c>
      <c r="L1566" s="656">
        <v>428806.63</v>
      </c>
    </row>
    <row r="1567" spans="1:12" ht="14.5" x14ac:dyDescent="0.25">
      <c r="A1567" s="651" t="s">
        <v>98</v>
      </c>
      <c r="B1567" s="652">
        <v>2021</v>
      </c>
      <c r="C1567" s="651" t="s">
        <v>677</v>
      </c>
      <c r="D1567" s="651" t="s">
        <v>1795</v>
      </c>
      <c r="E1567" s="651" t="s">
        <v>23</v>
      </c>
      <c r="F1567" s="653">
        <v>737947.9</v>
      </c>
      <c r="G1567" s="651" t="s">
        <v>650</v>
      </c>
      <c r="H1567" s="654"/>
      <c r="I1567" s="653">
        <v>727477.9375</v>
      </c>
      <c r="J1567" s="653">
        <v>10469.990234375</v>
      </c>
      <c r="K1567" s="653">
        <v>737947.875</v>
      </c>
      <c r="L1567" s="656">
        <v>737947.9</v>
      </c>
    </row>
    <row r="1568" spans="1:12" ht="31.5" x14ac:dyDescent="0.25">
      <c r="A1568" s="651" t="s">
        <v>98</v>
      </c>
      <c r="B1568" s="652">
        <v>2021</v>
      </c>
      <c r="C1568" s="651" t="s">
        <v>679</v>
      </c>
      <c r="D1568" s="651" t="s">
        <v>1796</v>
      </c>
      <c r="E1568" s="651" t="s">
        <v>131</v>
      </c>
      <c r="F1568" s="653">
        <v>-4008.21</v>
      </c>
      <c r="G1568" s="651" t="s">
        <v>650</v>
      </c>
      <c r="H1568" s="654"/>
      <c r="I1568" s="653">
        <v>-3854.14990234375</v>
      </c>
      <c r="J1568" s="653">
        <v>-154.05999755859401</v>
      </c>
      <c r="K1568" s="653">
        <v>-4008.2099609375</v>
      </c>
      <c r="L1568" s="656">
        <v>-4008.21</v>
      </c>
    </row>
    <row r="1569" spans="1:12" ht="31.5" x14ac:dyDescent="0.25">
      <c r="A1569" s="651" t="s">
        <v>98</v>
      </c>
      <c r="B1569" s="652">
        <v>2021</v>
      </c>
      <c r="C1569" s="651" t="s">
        <v>681</v>
      </c>
      <c r="D1569" s="651" t="s">
        <v>1797</v>
      </c>
      <c r="E1569" s="651" t="s">
        <v>683</v>
      </c>
      <c r="F1569" s="653">
        <v>0</v>
      </c>
      <c r="G1569" s="654"/>
      <c r="H1569" s="651" t="s">
        <v>650</v>
      </c>
      <c r="I1569" s="655"/>
      <c r="J1569" s="655"/>
      <c r="K1569" s="653">
        <v>0</v>
      </c>
      <c r="L1569" s="656">
        <v>0</v>
      </c>
    </row>
    <row r="1570" spans="1:12" ht="21" x14ac:dyDescent="0.25">
      <c r="A1570" s="651" t="s">
        <v>98</v>
      </c>
      <c r="B1570" s="652">
        <v>2021</v>
      </c>
      <c r="C1570" s="651" t="s">
        <v>681</v>
      </c>
      <c r="D1570" s="651" t="s">
        <v>1797</v>
      </c>
      <c r="E1570" s="651" t="s">
        <v>684</v>
      </c>
      <c r="F1570" s="653">
        <v>0</v>
      </c>
      <c r="G1570" s="654"/>
      <c r="H1570" s="651" t="s">
        <v>650</v>
      </c>
      <c r="I1570" s="655"/>
      <c r="J1570" s="655"/>
      <c r="K1570" s="653">
        <v>0</v>
      </c>
      <c r="L1570" s="656">
        <v>0</v>
      </c>
    </row>
    <row r="1571" spans="1:12" ht="21" x14ac:dyDescent="0.25">
      <c r="A1571" s="651" t="s">
        <v>98</v>
      </c>
      <c r="B1571" s="652">
        <v>2021</v>
      </c>
      <c r="C1571" s="651" t="s">
        <v>685</v>
      </c>
      <c r="D1571" s="651" t="s">
        <v>1798</v>
      </c>
      <c r="E1571" s="651" t="s">
        <v>687</v>
      </c>
      <c r="F1571" s="653">
        <v>0</v>
      </c>
      <c r="G1571" s="654"/>
      <c r="H1571" s="651" t="s">
        <v>650</v>
      </c>
      <c r="I1571" s="655"/>
      <c r="J1571" s="655"/>
      <c r="K1571" s="653">
        <v>0</v>
      </c>
      <c r="L1571" s="656">
        <v>0</v>
      </c>
    </row>
    <row r="1572" spans="1:12" ht="14.5" x14ac:dyDescent="0.25">
      <c r="A1572" s="651" t="s">
        <v>98</v>
      </c>
      <c r="B1572" s="652">
        <v>2021</v>
      </c>
      <c r="C1572" s="651" t="s">
        <v>688</v>
      </c>
      <c r="D1572" s="651" t="s">
        <v>1799</v>
      </c>
      <c r="E1572" s="651" t="s">
        <v>50</v>
      </c>
      <c r="F1572" s="653">
        <v>0</v>
      </c>
      <c r="G1572" s="654"/>
      <c r="H1572" s="651" t="s">
        <v>650</v>
      </c>
      <c r="I1572" s="655"/>
      <c r="J1572" s="655"/>
      <c r="K1572" s="653">
        <v>0</v>
      </c>
      <c r="L1572" s="656">
        <v>0</v>
      </c>
    </row>
    <row r="1573" spans="1:12" ht="21" x14ac:dyDescent="0.25">
      <c r="A1573" s="651" t="s">
        <v>98</v>
      </c>
      <c r="B1573" s="652">
        <v>2021</v>
      </c>
      <c r="C1573" s="651" t="s">
        <v>690</v>
      </c>
      <c r="D1573" s="651" t="s">
        <v>1800</v>
      </c>
      <c r="E1573" s="651" t="s">
        <v>692</v>
      </c>
      <c r="F1573" s="653">
        <v>0</v>
      </c>
      <c r="G1573" s="654"/>
      <c r="H1573" s="651" t="s">
        <v>650</v>
      </c>
      <c r="I1573" s="655"/>
      <c r="J1573" s="655"/>
      <c r="K1573" s="653">
        <v>0</v>
      </c>
      <c r="L1573" s="656">
        <v>0</v>
      </c>
    </row>
    <row r="1574" spans="1:12" ht="21" x14ac:dyDescent="0.25">
      <c r="A1574" s="651" t="s">
        <v>98</v>
      </c>
      <c r="B1574" s="652">
        <v>2021</v>
      </c>
      <c r="C1574" s="651" t="s">
        <v>693</v>
      </c>
      <c r="D1574" s="651" t="s">
        <v>1801</v>
      </c>
      <c r="E1574" s="651" t="s">
        <v>6</v>
      </c>
      <c r="F1574" s="653">
        <v>0</v>
      </c>
      <c r="G1574" s="654"/>
      <c r="H1574" s="651" t="s">
        <v>650</v>
      </c>
      <c r="I1574" s="655"/>
      <c r="J1574" s="655"/>
      <c r="K1574" s="653">
        <v>0</v>
      </c>
      <c r="L1574" s="656">
        <v>0</v>
      </c>
    </row>
    <row r="1575" spans="1:12" ht="31.5" x14ac:dyDescent="0.25">
      <c r="A1575" s="651" t="s">
        <v>98</v>
      </c>
      <c r="B1575" s="652">
        <v>2021</v>
      </c>
      <c r="C1575" s="651" t="s">
        <v>695</v>
      </c>
      <c r="D1575" s="651" t="s">
        <v>1802</v>
      </c>
      <c r="E1575" s="651" t="s">
        <v>697</v>
      </c>
      <c r="F1575" s="653">
        <v>0</v>
      </c>
      <c r="G1575" s="654"/>
      <c r="H1575" s="651" t="s">
        <v>650</v>
      </c>
      <c r="I1575" s="655"/>
      <c r="J1575" s="655"/>
      <c r="K1575" s="653">
        <v>0</v>
      </c>
      <c r="L1575" s="656">
        <v>0</v>
      </c>
    </row>
    <row r="1576" spans="1:12" ht="21" x14ac:dyDescent="0.25">
      <c r="A1576" s="651" t="s">
        <v>98</v>
      </c>
      <c r="B1576" s="652">
        <v>2021</v>
      </c>
      <c r="C1576" s="651" t="s">
        <v>698</v>
      </c>
      <c r="D1576" s="651" t="s">
        <v>1803</v>
      </c>
      <c r="E1576" s="651" t="s">
        <v>700</v>
      </c>
      <c r="F1576" s="653">
        <v>0</v>
      </c>
      <c r="G1576" s="654"/>
      <c r="H1576" s="651" t="s">
        <v>650</v>
      </c>
      <c r="I1576" s="655"/>
      <c r="J1576" s="655"/>
      <c r="K1576" s="653">
        <v>0</v>
      </c>
      <c r="L1576" s="656">
        <v>0</v>
      </c>
    </row>
    <row r="1577" spans="1:12" ht="21" x14ac:dyDescent="0.25">
      <c r="A1577" s="651" t="s">
        <v>98</v>
      </c>
      <c r="B1577" s="652">
        <v>2021</v>
      </c>
      <c r="C1577" s="651" t="s">
        <v>701</v>
      </c>
      <c r="D1577" s="651" t="s">
        <v>1804</v>
      </c>
      <c r="E1577" s="651" t="s">
        <v>1</v>
      </c>
      <c r="F1577" s="653">
        <v>-582555.91</v>
      </c>
      <c r="G1577" s="651" t="s">
        <v>650</v>
      </c>
      <c r="H1577" s="654"/>
      <c r="I1577" s="653">
        <v>-578001.5</v>
      </c>
      <c r="J1577" s="653">
        <v>-4554.419921875</v>
      </c>
      <c r="K1577" s="653">
        <v>-582555.9375</v>
      </c>
      <c r="L1577" s="656">
        <v>-582555.91</v>
      </c>
    </row>
    <row r="1578" spans="1:12" ht="21" x14ac:dyDescent="0.25">
      <c r="A1578" s="651" t="s">
        <v>98</v>
      </c>
      <c r="B1578" s="652">
        <v>2021</v>
      </c>
      <c r="C1578" s="651" t="s">
        <v>701</v>
      </c>
      <c r="D1578" s="651" t="s">
        <v>1804</v>
      </c>
      <c r="E1578" s="651" t="s">
        <v>703</v>
      </c>
      <c r="F1578" s="653">
        <v>0</v>
      </c>
      <c r="G1578" s="654"/>
      <c r="H1578" s="654"/>
      <c r="I1578" s="655"/>
      <c r="J1578" s="655"/>
      <c r="K1578" s="653">
        <v>0</v>
      </c>
      <c r="L1578" s="656">
        <v>0</v>
      </c>
    </row>
    <row r="1579" spans="1:12" ht="21" x14ac:dyDescent="0.25">
      <c r="A1579" s="651" t="s">
        <v>98</v>
      </c>
      <c r="B1579" s="652">
        <v>2021</v>
      </c>
      <c r="C1579" s="651" t="s">
        <v>701</v>
      </c>
      <c r="D1579" s="651" t="s">
        <v>1804</v>
      </c>
      <c r="E1579" s="651" t="s">
        <v>704</v>
      </c>
      <c r="F1579" s="653">
        <v>0</v>
      </c>
      <c r="G1579" s="654"/>
      <c r="H1579" s="654"/>
      <c r="I1579" s="655"/>
      <c r="J1579" s="655"/>
      <c r="K1579" s="653">
        <v>0</v>
      </c>
      <c r="L1579" s="656">
        <v>0</v>
      </c>
    </row>
    <row r="1580" spans="1:12" ht="21" x14ac:dyDescent="0.25">
      <c r="A1580" s="651" t="s">
        <v>98</v>
      </c>
      <c r="B1580" s="652">
        <v>2021</v>
      </c>
      <c r="C1580" s="651" t="s">
        <v>701</v>
      </c>
      <c r="D1580" s="651" t="s">
        <v>1804</v>
      </c>
      <c r="E1580" s="651" t="s">
        <v>705</v>
      </c>
      <c r="F1580" s="653">
        <v>-2146.62</v>
      </c>
      <c r="G1580" s="654"/>
      <c r="H1580" s="654"/>
      <c r="I1580" s="655"/>
      <c r="J1580" s="655"/>
      <c r="K1580" s="653">
        <v>0</v>
      </c>
      <c r="L1580" s="656">
        <v>-2146.62</v>
      </c>
    </row>
    <row r="1581" spans="1:12" ht="21" x14ac:dyDescent="0.25">
      <c r="A1581" s="651" t="s">
        <v>98</v>
      </c>
      <c r="B1581" s="652">
        <v>2021</v>
      </c>
      <c r="C1581" s="651" t="s">
        <v>701</v>
      </c>
      <c r="D1581" s="651" t="s">
        <v>1804</v>
      </c>
      <c r="E1581" s="651" t="s">
        <v>706</v>
      </c>
      <c r="F1581" s="653">
        <v>-86189.440000000002</v>
      </c>
      <c r="G1581" s="654"/>
      <c r="H1581" s="654"/>
      <c r="I1581" s="655"/>
      <c r="J1581" s="655"/>
      <c r="K1581" s="653">
        <v>0</v>
      </c>
      <c r="L1581" s="656">
        <v>-86189.440000000002</v>
      </c>
    </row>
    <row r="1582" spans="1:12" ht="14.5" x14ac:dyDescent="0.25">
      <c r="A1582" s="651" t="s">
        <v>98</v>
      </c>
      <c r="B1582" s="652">
        <v>2021</v>
      </c>
      <c r="C1582" s="651" t="s">
        <v>707</v>
      </c>
      <c r="D1582" s="651" t="s">
        <v>1805</v>
      </c>
      <c r="E1582" s="651" t="s">
        <v>709</v>
      </c>
      <c r="F1582" s="653">
        <v>0</v>
      </c>
      <c r="G1582" s="654"/>
      <c r="H1582" s="651" t="s">
        <v>650</v>
      </c>
      <c r="I1582" s="655"/>
      <c r="J1582" s="655"/>
      <c r="K1582" s="653">
        <v>0</v>
      </c>
      <c r="L1582" s="656">
        <v>0</v>
      </c>
    </row>
    <row r="1583" spans="1:12" ht="31.5" x14ac:dyDescent="0.25">
      <c r="A1583" s="651" t="s">
        <v>98</v>
      </c>
      <c r="B1583" s="652">
        <v>2021</v>
      </c>
      <c r="C1583" s="651" t="s">
        <v>710</v>
      </c>
      <c r="D1583" s="651" t="s">
        <v>1806</v>
      </c>
      <c r="E1583" s="651" t="s">
        <v>2</v>
      </c>
      <c r="F1583" s="653">
        <v>182791.35</v>
      </c>
      <c r="G1583" s="651" t="s">
        <v>650</v>
      </c>
      <c r="H1583" s="654"/>
      <c r="I1583" s="653">
        <v>182449.796875</v>
      </c>
      <c r="J1583" s="653">
        <v>341.55999755859398</v>
      </c>
      <c r="K1583" s="653">
        <v>182791.34375</v>
      </c>
      <c r="L1583" s="656">
        <v>182791.35</v>
      </c>
    </row>
    <row r="1584" spans="1:12" ht="31.5" x14ac:dyDescent="0.25">
      <c r="A1584" s="651" t="s">
        <v>98</v>
      </c>
      <c r="B1584" s="652">
        <v>2021</v>
      </c>
      <c r="C1584" s="651" t="s">
        <v>712</v>
      </c>
      <c r="D1584" s="651" t="s">
        <v>1807</v>
      </c>
      <c r="E1584" s="651" t="s">
        <v>3</v>
      </c>
      <c r="F1584" s="653">
        <v>76043.53</v>
      </c>
      <c r="G1584" s="651" t="s">
        <v>650</v>
      </c>
      <c r="H1584" s="654"/>
      <c r="I1584" s="653">
        <v>76500.890625</v>
      </c>
      <c r="J1584" s="653">
        <v>-457.35998535156301</v>
      </c>
      <c r="K1584" s="653">
        <v>76043.53125</v>
      </c>
      <c r="L1584" s="656">
        <v>76043.53</v>
      </c>
    </row>
    <row r="1585" spans="1:12" ht="31.5" x14ac:dyDescent="0.25">
      <c r="A1585" s="651" t="s">
        <v>98</v>
      </c>
      <c r="B1585" s="652">
        <v>2021</v>
      </c>
      <c r="C1585" s="651" t="s">
        <v>714</v>
      </c>
      <c r="D1585" s="651" t="s">
        <v>1808</v>
      </c>
      <c r="E1585" s="651" t="s">
        <v>38</v>
      </c>
      <c r="F1585" s="653">
        <v>54027.77</v>
      </c>
      <c r="G1585" s="651" t="s">
        <v>650</v>
      </c>
      <c r="H1585" s="654"/>
      <c r="I1585" s="653">
        <v>56088.80859375</v>
      </c>
      <c r="J1585" s="653">
        <v>-2061.0400390625</v>
      </c>
      <c r="K1585" s="653">
        <v>54027.76953125</v>
      </c>
      <c r="L1585" s="656">
        <v>54027.77</v>
      </c>
    </row>
    <row r="1586" spans="1:12" ht="21" x14ac:dyDescent="0.25">
      <c r="A1586" s="651" t="s">
        <v>98</v>
      </c>
      <c r="B1586" s="652">
        <v>2021</v>
      </c>
      <c r="C1586" s="651" t="s">
        <v>716</v>
      </c>
      <c r="D1586" s="651" t="s">
        <v>1809</v>
      </c>
      <c r="E1586" s="651" t="s">
        <v>66</v>
      </c>
      <c r="F1586" s="653">
        <v>633181.68000000005</v>
      </c>
      <c r="G1586" s="651" t="s">
        <v>650</v>
      </c>
      <c r="H1586" s="654"/>
      <c r="I1586" s="653">
        <v>622240.5625</v>
      </c>
      <c r="J1586" s="653">
        <v>10941.1298828125</v>
      </c>
      <c r="K1586" s="653">
        <v>633181.6875</v>
      </c>
      <c r="L1586" s="656">
        <v>633181.68000000005</v>
      </c>
    </row>
    <row r="1587" spans="1:12" ht="31.5" x14ac:dyDescent="0.25">
      <c r="A1587" s="651" t="s">
        <v>98</v>
      </c>
      <c r="B1587" s="652">
        <v>2021</v>
      </c>
      <c r="C1587" s="651" t="s">
        <v>718</v>
      </c>
      <c r="D1587" s="651" t="s">
        <v>1810</v>
      </c>
      <c r="E1587" s="651" t="s">
        <v>720</v>
      </c>
      <c r="F1587" s="653">
        <v>-276786.68</v>
      </c>
      <c r="G1587" s="654"/>
      <c r="H1587" s="651" t="s">
        <v>650</v>
      </c>
      <c r="I1587" s="655"/>
      <c r="J1587" s="655"/>
      <c r="K1587" s="653">
        <v>0</v>
      </c>
      <c r="L1587" s="656">
        <v>-276786.68</v>
      </c>
    </row>
    <row r="1588" spans="1:12" ht="42" x14ac:dyDescent="0.25">
      <c r="A1588" s="651" t="s">
        <v>98</v>
      </c>
      <c r="B1588" s="652">
        <v>2021</v>
      </c>
      <c r="C1588" s="651" t="s">
        <v>721</v>
      </c>
      <c r="D1588" s="651" t="s">
        <v>1811</v>
      </c>
      <c r="E1588" s="651" t="s">
        <v>3016</v>
      </c>
      <c r="F1588" s="653">
        <v>0</v>
      </c>
      <c r="G1588" s="651" t="s">
        <v>650</v>
      </c>
      <c r="H1588" s="654"/>
      <c r="I1588" s="653">
        <v>-409261.3125</v>
      </c>
      <c r="J1588" s="653">
        <v>414875.59375</v>
      </c>
      <c r="K1588" s="653">
        <v>5614.27978515625</v>
      </c>
      <c r="L1588" s="656">
        <v>5614.2800000000298</v>
      </c>
    </row>
    <row r="1589" spans="1:12" ht="42" x14ac:dyDescent="0.25">
      <c r="A1589" s="651" t="s">
        <v>98</v>
      </c>
      <c r="B1589" s="652">
        <v>2021</v>
      </c>
      <c r="C1589" s="651" t="s">
        <v>721</v>
      </c>
      <c r="D1589" s="651" t="s">
        <v>1811</v>
      </c>
      <c r="E1589" s="651" t="s">
        <v>3058</v>
      </c>
      <c r="F1589" s="653">
        <v>0</v>
      </c>
      <c r="G1589" s="651" t="s">
        <v>650</v>
      </c>
      <c r="H1589" s="654"/>
      <c r="I1589" s="653">
        <v>65264.171875</v>
      </c>
      <c r="J1589" s="653">
        <v>-5926.580078125</v>
      </c>
      <c r="K1589" s="653">
        <v>59337.58984375</v>
      </c>
      <c r="L1589" s="656">
        <v>59337.59</v>
      </c>
    </row>
    <row r="1590" spans="1:12" ht="42" x14ac:dyDescent="0.25">
      <c r="A1590" s="651" t="s">
        <v>98</v>
      </c>
      <c r="B1590" s="652">
        <v>2021</v>
      </c>
      <c r="C1590" s="651" t="s">
        <v>721</v>
      </c>
      <c r="D1590" s="651" t="s">
        <v>1812</v>
      </c>
      <c r="E1590" s="651" t="s">
        <v>724</v>
      </c>
      <c r="F1590" s="653">
        <v>0</v>
      </c>
      <c r="G1590" s="651" t="s">
        <v>650</v>
      </c>
      <c r="H1590" s="654"/>
      <c r="I1590" s="655"/>
      <c r="J1590" s="655"/>
      <c r="K1590" s="653">
        <v>0</v>
      </c>
      <c r="L1590" s="656">
        <v>0</v>
      </c>
    </row>
    <row r="1591" spans="1:12" ht="42" x14ac:dyDescent="0.25">
      <c r="A1591" s="651" t="s">
        <v>98</v>
      </c>
      <c r="B1591" s="652">
        <v>2021</v>
      </c>
      <c r="C1591" s="651" t="s">
        <v>721</v>
      </c>
      <c r="D1591" s="651" t="s">
        <v>1813</v>
      </c>
      <c r="E1591" s="651" t="s">
        <v>55</v>
      </c>
      <c r="F1591" s="653">
        <v>0</v>
      </c>
      <c r="G1591" s="651" t="s">
        <v>650</v>
      </c>
      <c r="H1591" s="654"/>
      <c r="I1591" s="655"/>
      <c r="J1591" s="655"/>
      <c r="K1591" s="653">
        <v>0</v>
      </c>
      <c r="L1591" s="656">
        <v>0</v>
      </c>
    </row>
    <row r="1592" spans="1:12" ht="42" x14ac:dyDescent="0.25">
      <c r="A1592" s="651" t="s">
        <v>98</v>
      </c>
      <c r="B1592" s="652">
        <v>2021</v>
      </c>
      <c r="C1592" s="651" t="s">
        <v>721</v>
      </c>
      <c r="D1592" s="651" t="s">
        <v>1814</v>
      </c>
      <c r="E1592" s="651" t="s">
        <v>56</v>
      </c>
      <c r="F1592" s="653">
        <v>0</v>
      </c>
      <c r="G1592" s="651" t="s">
        <v>650</v>
      </c>
      <c r="H1592" s="654"/>
      <c r="I1592" s="655"/>
      <c r="J1592" s="655"/>
      <c r="K1592" s="653">
        <v>0</v>
      </c>
      <c r="L1592" s="656">
        <v>0</v>
      </c>
    </row>
    <row r="1593" spans="1:12" ht="42" x14ac:dyDescent="0.25">
      <c r="A1593" s="651" t="s">
        <v>98</v>
      </c>
      <c r="B1593" s="652">
        <v>2021</v>
      </c>
      <c r="C1593" s="651" t="s">
        <v>721</v>
      </c>
      <c r="D1593" s="651" t="s">
        <v>1815</v>
      </c>
      <c r="E1593" s="651" t="s">
        <v>728</v>
      </c>
      <c r="F1593" s="653">
        <v>0</v>
      </c>
      <c r="G1593" s="651" t="s">
        <v>650</v>
      </c>
      <c r="H1593" s="654"/>
      <c r="I1593" s="655"/>
      <c r="J1593" s="655"/>
      <c r="K1593" s="653">
        <v>0</v>
      </c>
      <c r="L1593" s="656">
        <v>0</v>
      </c>
    </row>
    <row r="1594" spans="1:12" ht="42" x14ac:dyDescent="0.25">
      <c r="A1594" s="651" t="s">
        <v>98</v>
      </c>
      <c r="B1594" s="652">
        <v>2021</v>
      </c>
      <c r="C1594" s="651" t="s">
        <v>721</v>
      </c>
      <c r="D1594" s="651" t="s">
        <v>1816</v>
      </c>
      <c r="E1594" s="651" t="s">
        <v>730</v>
      </c>
      <c r="F1594" s="653">
        <v>0</v>
      </c>
      <c r="G1594" s="651" t="s">
        <v>650</v>
      </c>
      <c r="H1594" s="654"/>
      <c r="I1594" s="655"/>
      <c r="J1594" s="655"/>
      <c r="K1594" s="653">
        <v>0</v>
      </c>
      <c r="L1594" s="656">
        <v>0</v>
      </c>
    </row>
    <row r="1595" spans="1:12" ht="42" x14ac:dyDescent="0.25">
      <c r="A1595" s="651" t="s">
        <v>98</v>
      </c>
      <c r="B1595" s="652">
        <v>2021</v>
      </c>
      <c r="C1595" s="651" t="s">
        <v>721</v>
      </c>
      <c r="D1595" s="651" t="s">
        <v>1817</v>
      </c>
      <c r="E1595" s="651" t="s">
        <v>142</v>
      </c>
      <c r="F1595" s="653">
        <v>0</v>
      </c>
      <c r="G1595" s="651" t="s">
        <v>650</v>
      </c>
      <c r="H1595" s="654"/>
      <c r="I1595" s="655"/>
      <c r="J1595" s="655"/>
      <c r="K1595" s="653">
        <v>0</v>
      </c>
      <c r="L1595" s="656">
        <v>0</v>
      </c>
    </row>
    <row r="1596" spans="1:12" ht="42" x14ac:dyDescent="0.25">
      <c r="A1596" s="651" t="s">
        <v>98</v>
      </c>
      <c r="B1596" s="652">
        <v>2021</v>
      </c>
      <c r="C1596" s="651" t="s">
        <v>721</v>
      </c>
      <c r="D1596" s="651" t="s">
        <v>1818</v>
      </c>
      <c r="E1596" s="651" t="s">
        <v>143</v>
      </c>
      <c r="F1596" s="653">
        <v>0</v>
      </c>
      <c r="G1596" s="651" t="s">
        <v>650</v>
      </c>
      <c r="H1596" s="654"/>
      <c r="I1596" s="653">
        <v>-1.0199999809265099</v>
      </c>
      <c r="J1596" s="655"/>
      <c r="K1596" s="653">
        <v>-1.0199999809265099</v>
      </c>
      <c r="L1596" s="656">
        <v>-1.02</v>
      </c>
    </row>
    <row r="1597" spans="1:12" ht="42" x14ac:dyDescent="0.25">
      <c r="A1597" s="651" t="s">
        <v>98</v>
      </c>
      <c r="B1597" s="652">
        <v>2021</v>
      </c>
      <c r="C1597" s="651" t="s">
        <v>721</v>
      </c>
      <c r="D1597" s="651" t="s">
        <v>1819</v>
      </c>
      <c r="E1597" s="651" t="s">
        <v>182</v>
      </c>
      <c r="F1597" s="653">
        <v>0</v>
      </c>
      <c r="G1597" s="651" t="s">
        <v>650</v>
      </c>
      <c r="H1597" s="654"/>
      <c r="I1597" s="653">
        <v>1782</v>
      </c>
      <c r="J1597" s="655"/>
      <c r="K1597" s="653">
        <v>1782</v>
      </c>
      <c r="L1597" s="656">
        <v>1782</v>
      </c>
    </row>
    <row r="1598" spans="1:12" ht="42" x14ac:dyDescent="0.25">
      <c r="A1598" s="651" t="s">
        <v>98</v>
      </c>
      <c r="B1598" s="652">
        <v>2021</v>
      </c>
      <c r="C1598" s="651" t="s">
        <v>721</v>
      </c>
      <c r="D1598" s="651" t="s">
        <v>1820</v>
      </c>
      <c r="E1598" s="651" t="s">
        <v>394</v>
      </c>
      <c r="F1598" s="653">
        <v>0</v>
      </c>
      <c r="G1598" s="651" t="s">
        <v>650</v>
      </c>
      <c r="H1598" s="654"/>
      <c r="I1598" s="653">
        <v>4</v>
      </c>
      <c r="J1598" s="655"/>
      <c r="K1598" s="653">
        <v>4</v>
      </c>
      <c r="L1598" s="656">
        <v>4</v>
      </c>
    </row>
    <row r="1599" spans="1:12" ht="42" x14ac:dyDescent="0.25">
      <c r="A1599" s="651" t="s">
        <v>98</v>
      </c>
      <c r="B1599" s="652">
        <v>2021</v>
      </c>
      <c r="C1599" s="651" t="s">
        <v>721</v>
      </c>
      <c r="D1599" s="651" t="s">
        <v>1821</v>
      </c>
      <c r="E1599" s="651" t="s">
        <v>423</v>
      </c>
      <c r="F1599" s="653">
        <v>0</v>
      </c>
      <c r="G1599" s="651" t="s">
        <v>650</v>
      </c>
      <c r="H1599" s="654"/>
      <c r="I1599" s="653">
        <v>-133861.78125</v>
      </c>
      <c r="J1599" s="653">
        <v>133955.75</v>
      </c>
      <c r="K1599" s="653">
        <v>93.970001220703097</v>
      </c>
      <c r="L1599" s="656">
        <v>93.970000000001207</v>
      </c>
    </row>
    <row r="1600" spans="1:12" ht="42" x14ac:dyDescent="0.25">
      <c r="A1600" s="651" t="s">
        <v>98</v>
      </c>
      <c r="B1600" s="652">
        <v>2021</v>
      </c>
      <c r="C1600" s="651" t="s">
        <v>721</v>
      </c>
      <c r="D1600" s="651" t="s">
        <v>3266</v>
      </c>
      <c r="E1600" s="651" t="s">
        <v>441</v>
      </c>
      <c r="F1600" s="653">
        <v>0</v>
      </c>
      <c r="G1600" s="651" t="s">
        <v>650</v>
      </c>
      <c r="H1600" s="654"/>
      <c r="I1600" s="655"/>
      <c r="J1600" s="655"/>
      <c r="K1600" s="653">
        <v>0</v>
      </c>
      <c r="L1600" s="656">
        <v>0</v>
      </c>
    </row>
    <row r="1601" spans="1:12" ht="42" x14ac:dyDescent="0.25">
      <c r="A1601" s="651" t="s">
        <v>98</v>
      </c>
      <c r="B1601" s="652">
        <v>2021</v>
      </c>
      <c r="C1601" s="651" t="s">
        <v>721</v>
      </c>
      <c r="D1601" s="651" t="s">
        <v>1822</v>
      </c>
      <c r="E1601" s="651" t="s">
        <v>737</v>
      </c>
      <c r="F1601" s="653">
        <v>66830.820000000007</v>
      </c>
      <c r="G1601" s="654"/>
      <c r="H1601" s="654"/>
      <c r="I1601" s="655"/>
      <c r="J1601" s="655"/>
      <c r="K1601" s="653">
        <v>0</v>
      </c>
      <c r="L1601" s="656">
        <v>66830.820000000007</v>
      </c>
    </row>
    <row r="1602" spans="1:12" ht="14.5" x14ac:dyDescent="0.25">
      <c r="A1602" s="651" t="s">
        <v>98</v>
      </c>
      <c r="B1602" s="652">
        <v>2021</v>
      </c>
      <c r="C1602" s="651" t="s">
        <v>738</v>
      </c>
      <c r="D1602" s="651" t="s">
        <v>1823</v>
      </c>
      <c r="E1602" s="651" t="s">
        <v>7</v>
      </c>
      <c r="F1602" s="653">
        <v>-328379.26</v>
      </c>
      <c r="G1602" s="654"/>
      <c r="H1602" s="651" t="s">
        <v>650</v>
      </c>
      <c r="I1602" s="655"/>
      <c r="J1602" s="655"/>
      <c r="K1602" s="653">
        <v>0</v>
      </c>
      <c r="L1602" s="656">
        <v>-328379.26</v>
      </c>
    </row>
    <row r="1603" spans="1:12" ht="21" x14ac:dyDescent="0.25">
      <c r="A1603" s="651" t="s">
        <v>99</v>
      </c>
      <c r="B1603" s="652">
        <v>2021</v>
      </c>
      <c r="C1603" s="651" t="s">
        <v>647</v>
      </c>
      <c r="D1603" s="651" t="s">
        <v>1824</v>
      </c>
      <c r="E1603" s="651" t="s">
        <v>649</v>
      </c>
      <c r="F1603" s="653">
        <v>0</v>
      </c>
      <c r="G1603" s="654"/>
      <c r="H1603" s="651" t="s">
        <v>650</v>
      </c>
      <c r="I1603" s="655"/>
      <c r="J1603" s="655"/>
      <c r="K1603" s="653">
        <v>0</v>
      </c>
      <c r="L1603" s="656">
        <v>0</v>
      </c>
    </row>
    <row r="1604" spans="1:12" ht="14.5" x14ac:dyDescent="0.25">
      <c r="A1604" s="651" t="s">
        <v>99</v>
      </c>
      <c r="B1604" s="652">
        <v>2021</v>
      </c>
      <c r="C1604" s="651" t="s">
        <v>651</v>
      </c>
      <c r="D1604" s="651" t="s">
        <v>1825</v>
      </c>
      <c r="E1604" s="651" t="s">
        <v>653</v>
      </c>
      <c r="F1604" s="653">
        <v>0</v>
      </c>
      <c r="G1604" s="654"/>
      <c r="H1604" s="651" t="s">
        <v>650</v>
      </c>
      <c r="I1604" s="655"/>
      <c r="J1604" s="655"/>
      <c r="K1604" s="653">
        <v>0</v>
      </c>
      <c r="L1604" s="656">
        <v>0</v>
      </c>
    </row>
    <row r="1605" spans="1:12" ht="42" x14ac:dyDescent="0.25">
      <c r="A1605" s="651" t="s">
        <v>99</v>
      </c>
      <c r="B1605" s="652">
        <v>2021</v>
      </c>
      <c r="C1605" s="651" t="s">
        <v>654</v>
      </c>
      <c r="D1605" s="651" t="s">
        <v>1826</v>
      </c>
      <c r="E1605" s="651" t="s">
        <v>445</v>
      </c>
      <c r="F1605" s="653">
        <v>-2927.61</v>
      </c>
      <c r="G1605" s="654"/>
      <c r="H1605" s="651" t="s">
        <v>650</v>
      </c>
      <c r="I1605" s="655"/>
      <c r="J1605" s="655"/>
      <c r="K1605" s="653">
        <v>0</v>
      </c>
      <c r="L1605" s="656">
        <v>-2927.61</v>
      </c>
    </row>
    <row r="1606" spans="1:12" ht="21" x14ac:dyDescent="0.25">
      <c r="A1606" s="651" t="s">
        <v>99</v>
      </c>
      <c r="B1606" s="652">
        <v>2021</v>
      </c>
      <c r="C1606" s="651" t="s">
        <v>656</v>
      </c>
      <c r="D1606" s="651" t="s">
        <v>1827</v>
      </c>
      <c r="E1606" s="651" t="s">
        <v>658</v>
      </c>
      <c r="F1606" s="653">
        <v>0</v>
      </c>
      <c r="G1606" s="654"/>
      <c r="H1606" s="651" t="s">
        <v>650</v>
      </c>
      <c r="I1606" s="655"/>
      <c r="J1606" s="655"/>
      <c r="K1606" s="653">
        <v>0</v>
      </c>
      <c r="L1606" s="656">
        <v>0</v>
      </c>
    </row>
    <row r="1607" spans="1:12" ht="31.5" x14ac:dyDescent="0.25">
      <c r="A1607" s="651" t="s">
        <v>99</v>
      </c>
      <c r="B1607" s="652">
        <v>2021</v>
      </c>
      <c r="C1607" s="651" t="s">
        <v>659</v>
      </c>
      <c r="D1607" s="651" t="s">
        <v>1828</v>
      </c>
      <c r="E1607" s="651" t="s">
        <v>661</v>
      </c>
      <c r="F1607" s="653">
        <v>0</v>
      </c>
      <c r="G1607" s="654"/>
      <c r="H1607" s="651" t="s">
        <v>650</v>
      </c>
      <c r="I1607" s="655"/>
      <c r="J1607" s="655"/>
      <c r="K1607" s="653">
        <v>0</v>
      </c>
      <c r="L1607" s="656">
        <v>0</v>
      </c>
    </row>
    <row r="1608" spans="1:12" ht="21" x14ac:dyDescent="0.25">
      <c r="A1608" s="651" t="s">
        <v>99</v>
      </c>
      <c r="B1608" s="652">
        <v>2021</v>
      </c>
      <c r="C1608" s="651" t="s">
        <v>662</v>
      </c>
      <c r="D1608" s="651" t="s">
        <v>1829</v>
      </c>
      <c r="E1608" s="651" t="s">
        <v>664</v>
      </c>
      <c r="F1608" s="653">
        <v>0</v>
      </c>
      <c r="G1608" s="654"/>
      <c r="H1608" s="651" t="s">
        <v>650</v>
      </c>
      <c r="I1608" s="655"/>
      <c r="J1608" s="655"/>
      <c r="K1608" s="653">
        <v>0</v>
      </c>
      <c r="L1608" s="656">
        <v>0</v>
      </c>
    </row>
    <row r="1609" spans="1:12" ht="31.5" x14ac:dyDescent="0.25">
      <c r="A1609" s="651" t="s">
        <v>99</v>
      </c>
      <c r="B1609" s="652">
        <v>2021</v>
      </c>
      <c r="C1609" s="651" t="s">
        <v>665</v>
      </c>
      <c r="D1609" s="651" t="s">
        <v>1830</v>
      </c>
      <c r="E1609" s="651" t="s">
        <v>667</v>
      </c>
      <c r="F1609" s="653">
        <v>0</v>
      </c>
      <c r="G1609" s="654"/>
      <c r="H1609" s="651" t="s">
        <v>650</v>
      </c>
      <c r="I1609" s="655"/>
      <c r="J1609" s="655"/>
      <c r="K1609" s="653">
        <v>0</v>
      </c>
      <c r="L1609" s="656">
        <v>0</v>
      </c>
    </row>
    <row r="1610" spans="1:12" ht="21" x14ac:dyDescent="0.25">
      <c r="A1610" s="651" t="s">
        <v>99</v>
      </c>
      <c r="B1610" s="652">
        <v>2021</v>
      </c>
      <c r="C1610" s="651" t="s">
        <v>668</v>
      </c>
      <c r="D1610" s="651" t="s">
        <v>1831</v>
      </c>
      <c r="E1610" s="651" t="s">
        <v>12</v>
      </c>
      <c r="F1610" s="653">
        <v>0</v>
      </c>
      <c r="G1610" s="654"/>
      <c r="H1610" s="651" t="s">
        <v>650</v>
      </c>
      <c r="I1610" s="655"/>
      <c r="J1610" s="655"/>
      <c r="K1610" s="653">
        <v>0</v>
      </c>
      <c r="L1610" s="656">
        <v>0</v>
      </c>
    </row>
    <row r="1611" spans="1:12" ht="21" x14ac:dyDescent="0.25">
      <c r="A1611" s="651" t="s">
        <v>99</v>
      </c>
      <c r="B1611" s="652">
        <v>2021</v>
      </c>
      <c r="C1611" s="651" t="s">
        <v>670</v>
      </c>
      <c r="D1611" s="651" t="s">
        <v>1832</v>
      </c>
      <c r="E1611" s="651" t="s">
        <v>13</v>
      </c>
      <c r="F1611" s="653">
        <v>0</v>
      </c>
      <c r="G1611" s="654"/>
      <c r="H1611" s="651" t="s">
        <v>650</v>
      </c>
      <c r="I1611" s="655"/>
      <c r="J1611" s="655"/>
      <c r="K1611" s="653">
        <v>0</v>
      </c>
      <c r="L1611" s="656">
        <v>0</v>
      </c>
    </row>
    <row r="1612" spans="1:12" ht="21" x14ac:dyDescent="0.25">
      <c r="A1612" s="651" t="s">
        <v>99</v>
      </c>
      <c r="B1612" s="652">
        <v>2021</v>
      </c>
      <c r="C1612" s="651" t="s">
        <v>672</v>
      </c>
      <c r="D1612" s="651" t="s">
        <v>1833</v>
      </c>
      <c r="E1612" s="651" t="s">
        <v>15</v>
      </c>
      <c r="F1612" s="653">
        <v>0</v>
      </c>
      <c r="G1612" s="654"/>
      <c r="H1612" s="651" t="s">
        <v>650</v>
      </c>
      <c r="I1612" s="655"/>
      <c r="J1612" s="655"/>
      <c r="K1612" s="653">
        <v>0</v>
      </c>
      <c r="L1612" s="656">
        <v>0</v>
      </c>
    </row>
    <row r="1613" spans="1:12" ht="14.5" x14ac:dyDescent="0.25">
      <c r="A1613" s="651" t="s">
        <v>99</v>
      </c>
      <c r="B1613" s="652">
        <v>2021</v>
      </c>
      <c r="C1613" s="651" t="s">
        <v>674</v>
      </c>
      <c r="D1613" s="651" t="s">
        <v>1834</v>
      </c>
      <c r="E1613" s="651" t="s">
        <v>676</v>
      </c>
      <c r="F1613" s="653">
        <v>0</v>
      </c>
      <c r="G1613" s="654"/>
      <c r="H1613" s="651" t="s">
        <v>650</v>
      </c>
      <c r="I1613" s="655"/>
      <c r="J1613" s="655"/>
      <c r="K1613" s="653">
        <v>0</v>
      </c>
      <c r="L1613" s="656">
        <v>0</v>
      </c>
    </row>
    <row r="1614" spans="1:12" ht="14.5" x14ac:dyDescent="0.25">
      <c r="A1614" s="651" t="s">
        <v>99</v>
      </c>
      <c r="B1614" s="652">
        <v>2021</v>
      </c>
      <c r="C1614" s="651" t="s">
        <v>677</v>
      </c>
      <c r="D1614" s="651" t="s">
        <v>1835</v>
      </c>
      <c r="E1614" s="651" t="s">
        <v>23</v>
      </c>
      <c r="F1614" s="653">
        <v>0</v>
      </c>
      <c r="G1614" s="651" t="s">
        <v>650</v>
      </c>
      <c r="H1614" s="654"/>
      <c r="I1614" s="655"/>
      <c r="J1614" s="655"/>
      <c r="K1614" s="653">
        <v>0</v>
      </c>
      <c r="L1614" s="656">
        <v>0</v>
      </c>
    </row>
    <row r="1615" spans="1:12" ht="31.5" x14ac:dyDescent="0.25">
      <c r="A1615" s="651" t="s">
        <v>99</v>
      </c>
      <c r="B1615" s="652">
        <v>2021</v>
      </c>
      <c r="C1615" s="651" t="s">
        <v>679</v>
      </c>
      <c r="D1615" s="651" t="s">
        <v>1836</v>
      </c>
      <c r="E1615" s="651" t="s">
        <v>131</v>
      </c>
      <c r="F1615" s="653">
        <v>-34742.75</v>
      </c>
      <c r="G1615" s="651" t="s">
        <v>650</v>
      </c>
      <c r="H1615" s="654"/>
      <c r="I1615" s="653">
        <v>-34254.37109375</v>
      </c>
      <c r="J1615" s="653">
        <v>-488.38000488281301</v>
      </c>
      <c r="K1615" s="653">
        <v>-34742.75</v>
      </c>
      <c r="L1615" s="656">
        <v>-34742.75</v>
      </c>
    </row>
    <row r="1616" spans="1:12" ht="31.5" x14ac:dyDescent="0.25">
      <c r="A1616" s="651" t="s">
        <v>99</v>
      </c>
      <c r="B1616" s="652">
        <v>2021</v>
      </c>
      <c r="C1616" s="651" t="s">
        <v>681</v>
      </c>
      <c r="D1616" s="651" t="s">
        <v>1837</v>
      </c>
      <c r="E1616" s="651" t="s">
        <v>683</v>
      </c>
      <c r="F1616" s="653">
        <v>0</v>
      </c>
      <c r="G1616" s="654"/>
      <c r="H1616" s="651" t="s">
        <v>650</v>
      </c>
      <c r="I1616" s="655"/>
      <c r="J1616" s="655"/>
      <c r="K1616" s="653">
        <v>0</v>
      </c>
      <c r="L1616" s="656">
        <v>0</v>
      </c>
    </row>
    <row r="1617" spans="1:12" ht="21" x14ac:dyDescent="0.25">
      <c r="A1617" s="651" t="s">
        <v>99</v>
      </c>
      <c r="B1617" s="652">
        <v>2021</v>
      </c>
      <c r="C1617" s="651" t="s">
        <v>681</v>
      </c>
      <c r="D1617" s="651" t="s">
        <v>1837</v>
      </c>
      <c r="E1617" s="651" t="s">
        <v>684</v>
      </c>
      <c r="F1617" s="653">
        <v>0</v>
      </c>
      <c r="G1617" s="654"/>
      <c r="H1617" s="651" t="s">
        <v>650</v>
      </c>
      <c r="I1617" s="655"/>
      <c r="J1617" s="655"/>
      <c r="K1617" s="653">
        <v>0</v>
      </c>
      <c r="L1617" s="656">
        <v>0</v>
      </c>
    </row>
    <row r="1618" spans="1:12" ht="21" x14ac:dyDescent="0.25">
      <c r="A1618" s="651" t="s">
        <v>99</v>
      </c>
      <c r="B1618" s="652">
        <v>2021</v>
      </c>
      <c r="C1618" s="651" t="s">
        <v>685</v>
      </c>
      <c r="D1618" s="651" t="s">
        <v>1838</v>
      </c>
      <c r="E1618" s="651" t="s">
        <v>687</v>
      </c>
      <c r="F1618" s="653">
        <v>0</v>
      </c>
      <c r="G1618" s="654"/>
      <c r="H1618" s="651" t="s">
        <v>650</v>
      </c>
      <c r="I1618" s="655"/>
      <c r="J1618" s="655"/>
      <c r="K1618" s="653">
        <v>0</v>
      </c>
      <c r="L1618" s="656">
        <v>0</v>
      </c>
    </row>
    <row r="1619" spans="1:12" ht="14.5" x14ac:dyDescent="0.25">
      <c r="A1619" s="651" t="s">
        <v>99</v>
      </c>
      <c r="B1619" s="652">
        <v>2021</v>
      </c>
      <c r="C1619" s="651" t="s">
        <v>688</v>
      </c>
      <c r="D1619" s="651" t="s">
        <v>1839</v>
      </c>
      <c r="E1619" s="651" t="s">
        <v>50</v>
      </c>
      <c r="F1619" s="653">
        <v>1727840.48</v>
      </c>
      <c r="G1619" s="654"/>
      <c r="H1619" s="651" t="s">
        <v>650</v>
      </c>
      <c r="I1619" s="655"/>
      <c r="J1619" s="655"/>
      <c r="K1619" s="653">
        <v>0</v>
      </c>
      <c r="L1619" s="656">
        <v>1727840.48</v>
      </c>
    </row>
    <row r="1620" spans="1:12" ht="21" x14ac:dyDescent="0.25">
      <c r="A1620" s="651" t="s">
        <v>99</v>
      </c>
      <c r="B1620" s="652">
        <v>2021</v>
      </c>
      <c r="C1620" s="651" t="s">
        <v>690</v>
      </c>
      <c r="D1620" s="651" t="s">
        <v>1840</v>
      </c>
      <c r="E1620" s="651" t="s">
        <v>692</v>
      </c>
      <c r="F1620" s="653">
        <v>0</v>
      </c>
      <c r="G1620" s="654"/>
      <c r="H1620" s="651" t="s">
        <v>650</v>
      </c>
      <c r="I1620" s="655"/>
      <c r="J1620" s="655"/>
      <c r="K1620" s="653">
        <v>0</v>
      </c>
      <c r="L1620" s="656">
        <v>0</v>
      </c>
    </row>
    <row r="1621" spans="1:12" ht="21" x14ac:dyDescent="0.25">
      <c r="A1621" s="651" t="s">
        <v>99</v>
      </c>
      <c r="B1621" s="652">
        <v>2021</v>
      </c>
      <c r="C1621" s="651" t="s">
        <v>693</v>
      </c>
      <c r="D1621" s="651" t="s">
        <v>1841</v>
      </c>
      <c r="E1621" s="651" t="s">
        <v>6</v>
      </c>
      <c r="F1621" s="653">
        <v>0</v>
      </c>
      <c r="G1621" s="654"/>
      <c r="H1621" s="651" t="s">
        <v>650</v>
      </c>
      <c r="I1621" s="655"/>
      <c r="J1621" s="655"/>
      <c r="K1621" s="653">
        <v>0</v>
      </c>
      <c r="L1621" s="656">
        <v>0</v>
      </c>
    </row>
    <row r="1622" spans="1:12" ht="31.5" x14ac:dyDescent="0.25">
      <c r="A1622" s="651" t="s">
        <v>99</v>
      </c>
      <c r="B1622" s="652">
        <v>2021</v>
      </c>
      <c r="C1622" s="651" t="s">
        <v>695</v>
      </c>
      <c r="D1622" s="651" t="s">
        <v>1842</v>
      </c>
      <c r="E1622" s="651" t="s">
        <v>697</v>
      </c>
      <c r="F1622" s="653">
        <v>0</v>
      </c>
      <c r="G1622" s="654"/>
      <c r="H1622" s="651" t="s">
        <v>650</v>
      </c>
      <c r="I1622" s="655"/>
      <c r="J1622" s="655"/>
      <c r="K1622" s="653">
        <v>0</v>
      </c>
      <c r="L1622" s="656">
        <v>0</v>
      </c>
    </row>
    <row r="1623" spans="1:12" ht="21" x14ac:dyDescent="0.25">
      <c r="A1623" s="651" t="s">
        <v>99</v>
      </c>
      <c r="B1623" s="652">
        <v>2021</v>
      </c>
      <c r="C1623" s="651" t="s">
        <v>698</v>
      </c>
      <c r="D1623" s="651" t="s">
        <v>1843</v>
      </c>
      <c r="E1623" s="651" t="s">
        <v>700</v>
      </c>
      <c r="F1623" s="653">
        <v>0</v>
      </c>
      <c r="G1623" s="654"/>
      <c r="H1623" s="651" t="s">
        <v>650</v>
      </c>
      <c r="I1623" s="655"/>
      <c r="J1623" s="655"/>
      <c r="K1623" s="653">
        <v>0</v>
      </c>
      <c r="L1623" s="656">
        <v>0</v>
      </c>
    </row>
    <row r="1624" spans="1:12" ht="21" x14ac:dyDescent="0.25">
      <c r="A1624" s="651" t="s">
        <v>99</v>
      </c>
      <c r="B1624" s="652">
        <v>2021</v>
      </c>
      <c r="C1624" s="651" t="s">
        <v>701</v>
      </c>
      <c r="D1624" s="651" t="s">
        <v>1844</v>
      </c>
      <c r="E1624" s="651" t="s">
        <v>1</v>
      </c>
      <c r="F1624" s="653">
        <v>-1625219.46</v>
      </c>
      <c r="G1624" s="651" t="s">
        <v>650</v>
      </c>
      <c r="H1624" s="654"/>
      <c r="I1624" s="653">
        <v>-1615861.875</v>
      </c>
      <c r="J1624" s="653">
        <v>-9357.5302734375</v>
      </c>
      <c r="K1624" s="653">
        <v>-1625219.5</v>
      </c>
      <c r="L1624" s="656">
        <v>-1625219.46</v>
      </c>
    </row>
    <row r="1625" spans="1:12" ht="21" x14ac:dyDescent="0.25">
      <c r="A1625" s="651" t="s">
        <v>99</v>
      </c>
      <c r="B1625" s="652">
        <v>2021</v>
      </c>
      <c r="C1625" s="651" t="s">
        <v>701</v>
      </c>
      <c r="D1625" s="651" t="s">
        <v>1844</v>
      </c>
      <c r="E1625" s="651" t="s">
        <v>703</v>
      </c>
      <c r="F1625" s="653">
        <v>0</v>
      </c>
      <c r="G1625" s="654"/>
      <c r="H1625" s="654"/>
      <c r="I1625" s="655"/>
      <c r="J1625" s="655"/>
      <c r="K1625" s="653">
        <v>0</v>
      </c>
      <c r="L1625" s="656">
        <v>0</v>
      </c>
    </row>
    <row r="1626" spans="1:12" ht="21" x14ac:dyDescent="0.25">
      <c r="A1626" s="651" t="s">
        <v>99</v>
      </c>
      <c r="B1626" s="652">
        <v>2021</v>
      </c>
      <c r="C1626" s="651" t="s">
        <v>701</v>
      </c>
      <c r="D1626" s="651" t="s">
        <v>1844</v>
      </c>
      <c r="E1626" s="651" t="s">
        <v>704</v>
      </c>
      <c r="F1626" s="653">
        <v>0</v>
      </c>
      <c r="G1626" s="654"/>
      <c r="H1626" s="654"/>
      <c r="I1626" s="655"/>
      <c r="J1626" s="655"/>
      <c r="K1626" s="653">
        <v>0</v>
      </c>
      <c r="L1626" s="656">
        <v>0</v>
      </c>
    </row>
    <row r="1627" spans="1:12" ht="21" x14ac:dyDescent="0.25">
      <c r="A1627" s="651" t="s">
        <v>99</v>
      </c>
      <c r="B1627" s="652">
        <v>2021</v>
      </c>
      <c r="C1627" s="651" t="s">
        <v>701</v>
      </c>
      <c r="D1627" s="651" t="s">
        <v>1844</v>
      </c>
      <c r="E1627" s="651" t="s">
        <v>705</v>
      </c>
      <c r="F1627" s="653">
        <v>-5789.62</v>
      </c>
      <c r="G1627" s="654"/>
      <c r="H1627" s="654"/>
      <c r="I1627" s="655"/>
      <c r="J1627" s="655"/>
      <c r="K1627" s="653">
        <v>0</v>
      </c>
      <c r="L1627" s="656">
        <v>-5789.62</v>
      </c>
    </row>
    <row r="1628" spans="1:12" ht="21" x14ac:dyDescent="0.25">
      <c r="A1628" s="651" t="s">
        <v>99</v>
      </c>
      <c r="B1628" s="652">
        <v>2021</v>
      </c>
      <c r="C1628" s="651" t="s">
        <v>701</v>
      </c>
      <c r="D1628" s="651" t="s">
        <v>1844</v>
      </c>
      <c r="E1628" s="651" t="s">
        <v>706</v>
      </c>
      <c r="F1628" s="653">
        <v>-220828.27</v>
      </c>
      <c r="G1628" s="654"/>
      <c r="H1628" s="654"/>
      <c r="I1628" s="655"/>
      <c r="J1628" s="655"/>
      <c r="K1628" s="653">
        <v>0</v>
      </c>
      <c r="L1628" s="656">
        <v>-220828.27</v>
      </c>
    </row>
    <row r="1629" spans="1:12" ht="14.5" x14ac:dyDescent="0.25">
      <c r="A1629" s="651" t="s">
        <v>99</v>
      </c>
      <c r="B1629" s="652">
        <v>2021</v>
      </c>
      <c r="C1629" s="651" t="s">
        <v>707</v>
      </c>
      <c r="D1629" s="651" t="s">
        <v>1845</v>
      </c>
      <c r="E1629" s="651" t="s">
        <v>709</v>
      </c>
      <c r="F1629" s="653">
        <v>0</v>
      </c>
      <c r="G1629" s="654"/>
      <c r="H1629" s="651" t="s">
        <v>650</v>
      </c>
      <c r="I1629" s="655"/>
      <c r="J1629" s="655"/>
      <c r="K1629" s="653">
        <v>0</v>
      </c>
      <c r="L1629" s="656">
        <v>0</v>
      </c>
    </row>
    <row r="1630" spans="1:12" ht="31.5" x14ac:dyDescent="0.25">
      <c r="A1630" s="651" t="s">
        <v>99</v>
      </c>
      <c r="B1630" s="652">
        <v>2021</v>
      </c>
      <c r="C1630" s="651" t="s">
        <v>710</v>
      </c>
      <c r="D1630" s="651" t="s">
        <v>1846</v>
      </c>
      <c r="E1630" s="651" t="s">
        <v>2</v>
      </c>
      <c r="F1630" s="653">
        <v>6999469</v>
      </c>
      <c r="G1630" s="651" t="s">
        <v>650</v>
      </c>
      <c r="H1630" s="654"/>
      <c r="I1630" s="653">
        <v>6723555</v>
      </c>
      <c r="J1630" s="653">
        <v>275914.09375</v>
      </c>
      <c r="K1630" s="653">
        <v>6999469</v>
      </c>
      <c r="L1630" s="656">
        <v>6999469</v>
      </c>
    </row>
    <row r="1631" spans="1:12" ht="31.5" x14ac:dyDescent="0.25">
      <c r="A1631" s="651" t="s">
        <v>99</v>
      </c>
      <c r="B1631" s="652">
        <v>2021</v>
      </c>
      <c r="C1631" s="651" t="s">
        <v>712</v>
      </c>
      <c r="D1631" s="651" t="s">
        <v>1847</v>
      </c>
      <c r="E1631" s="651" t="s">
        <v>3</v>
      </c>
      <c r="F1631" s="653">
        <v>-57901.69</v>
      </c>
      <c r="G1631" s="651" t="s">
        <v>650</v>
      </c>
      <c r="H1631" s="654"/>
      <c r="I1631" s="653">
        <v>-54900.6015625</v>
      </c>
      <c r="J1631" s="653">
        <v>-3001.09008789063</v>
      </c>
      <c r="K1631" s="653">
        <v>-57901.69140625</v>
      </c>
      <c r="L1631" s="656">
        <v>-57901.69</v>
      </c>
    </row>
    <row r="1632" spans="1:12" ht="31.5" x14ac:dyDescent="0.25">
      <c r="A1632" s="651" t="s">
        <v>99</v>
      </c>
      <c r="B1632" s="652">
        <v>2021</v>
      </c>
      <c r="C1632" s="651" t="s">
        <v>714</v>
      </c>
      <c r="D1632" s="651" t="s">
        <v>1848</v>
      </c>
      <c r="E1632" s="651" t="s">
        <v>38</v>
      </c>
      <c r="F1632" s="653">
        <v>643291.46</v>
      </c>
      <c r="G1632" s="651" t="s">
        <v>650</v>
      </c>
      <c r="H1632" s="654"/>
      <c r="I1632" s="653">
        <v>702849.75</v>
      </c>
      <c r="J1632" s="653">
        <v>-59558.26171875</v>
      </c>
      <c r="K1632" s="653">
        <v>643291.4375</v>
      </c>
      <c r="L1632" s="656">
        <v>643291.46</v>
      </c>
    </row>
    <row r="1633" spans="1:12" ht="21" x14ac:dyDescent="0.25">
      <c r="A1633" s="651" t="s">
        <v>99</v>
      </c>
      <c r="B1633" s="652">
        <v>2021</v>
      </c>
      <c r="C1633" s="651" t="s">
        <v>716</v>
      </c>
      <c r="D1633" s="651" t="s">
        <v>1849</v>
      </c>
      <c r="E1633" s="651" t="s">
        <v>66</v>
      </c>
      <c r="F1633" s="653">
        <v>1073030.78</v>
      </c>
      <c r="G1633" s="651" t="s">
        <v>650</v>
      </c>
      <c r="H1633" s="654"/>
      <c r="I1633" s="653">
        <v>973739.0625</v>
      </c>
      <c r="J1633" s="653">
        <v>99291.7421875</v>
      </c>
      <c r="K1633" s="653">
        <v>1073030.75</v>
      </c>
      <c r="L1633" s="656">
        <v>1073030.78</v>
      </c>
    </row>
    <row r="1634" spans="1:12" ht="31.5" x14ac:dyDescent="0.25">
      <c r="A1634" s="651" t="s">
        <v>99</v>
      </c>
      <c r="B1634" s="652">
        <v>2021</v>
      </c>
      <c r="C1634" s="651" t="s">
        <v>718</v>
      </c>
      <c r="D1634" s="651" t="s">
        <v>1850</v>
      </c>
      <c r="E1634" s="651" t="s">
        <v>720</v>
      </c>
      <c r="F1634" s="653">
        <v>-554594.29</v>
      </c>
      <c r="G1634" s="654"/>
      <c r="H1634" s="651" t="s">
        <v>650</v>
      </c>
      <c r="I1634" s="655"/>
      <c r="J1634" s="655"/>
      <c r="K1634" s="653">
        <v>0</v>
      </c>
      <c r="L1634" s="656">
        <v>-554594.29</v>
      </c>
    </row>
    <row r="1635" spans="1:12" ht="42" x14ac:dyDescent="0.25">
      <c r="A1635" s="651" t="s">
        <v>99</v>
      </c>
      <c r="B1635" s="652">
        <v>2021</v>
      </c>
      <c r="C1635" s="651" t="s">
        <v>721</v>
      </c>
      <c r="D1635" s="651" t="s">
        <v>1851</v>
      </c>
      <c r="E1635" s="651" t="s">
        <v>3016</v>
      </c>
      <c r="F1635" s="653">
        <v>0</v>
      </c>
      <c r="G1635" s="651" t="s">
        <v>650</v>
      </c>
      <c r="H1635" s="654"/>
      <c r="I1635" s="653">
        <v>78624.8125</v>
      </c>
      <c r="J1635" s="653">
        <v>-31286.400390625</v>
      </c>
      <c r="K1635" s="653">
        <v>47338.41015625</v>
      </c>
      <c r="L1635" s="656">
        <v>47338.41</v>
      </c>
    </row>
    <row r="1636" spans="1:12" ht="42" x14ac:dyDescent="0.25">
      <c r="A1636" s="651" t="s">
        <v>99</v>
      </c>
      <c r="B1636" s="652">
        <v>2021</v>
      </c>
      <c r="C1636" s="651" t="s">
        <v>721</v>
      </c>
      <c r="D1636" s="651" t="s">
        <v>1851</v>
      </c>
      <c r="E1636" s="651" t="s">
        <v>3058</v>
      </c>
      <c r="F1636" s="653">
        <v>0</v>
      </c>
      <c r="G1636" s="651" t="s">
        <v>650</v>
      </c>
      <c r="H1636" s="654"/>
      <c r="I1636" s="653">
        <v>-89584.3515625</v>
      </c>
      <c r="J1636" s="653">
        <v>2106.9599609375</v>
      </c>
      <c r="K1636" s="653">
        <v>-87477.390625</v>
      </c>
      <c r="L1636" s="656">
        <v>-87477.39</v>
      </c>
    </row>
    <row r="1637" spans="1:12" ht="42" x14ac:dyDescent="0.25">
      <c r="A1637" s="651" t="s">
        <v>99</v>
      </c>
      <c r="B1637" s="652">
        <v>2021</v>
      </c>
      <c r="C1637" s="651" t="s">
        <v>721</v>
      </c>
      <c r="D1637" s="651" t="s">
        <v>1852</v>
      </c>
      <c r="E1637" s="651" t="s">
        <v>724</v>
      </c>
      <c r="F1637" s="653">
        <v>0</v>
      </c>
      <c r="G1637" s="651" t="s">
        <v>650</v>
      </c>
      <c r="H1637" s="654"/>
      <c r="I1637" s="655"/>
      <c r="J1637" s="655"/>
      <c r="K1637" s="653">
        <v>0</v>
      </c>
      <c r="L1637" s="656">
        <v>0</v>
      </c>
    </row>
    <row r="1638" spans="1:12" ht="42" x14ac:dyDescent="0.25">
      <c r="A1638" s="651" t="s">
        <v>99</v>
      </c>
      <c r="B1638" s="652">
        <v>2021</v>
      </c>
      <c r="C1638" s="651" t="s">
        <v>721</v>
      </c>
      <c r="D1638" s="651" t="s">
        <v>1853</v>
      </c>
      <c r="E1638" s="651" t="s">
        <v>55</v>
      </c>
      <c r="F1638" s="653">
        <v>0</v>
      </c>
      <c r="G1638" s="651" t="s">
        <v>650</v>
      </c>
      <c r="H1638" s="654"/>
      <c r="I1638" s="655"/>
      <c r="J1638" s="655"/>
      <c r="K1638" s="653">
        <v>0</v>
      </c>
      <c r="L1638" s="656">
        <v>0</v>
      </c>
    </row>
    <row r="1639" spans="1:12" ht="42" x14ac:dyDescent="0.25">
      <c r="A1639" s="651" t="s">
        <v>99</v>
      </c>
      <c r="B1639" s="652">
        <v>2021</v>
      </c>
      <c r="C1639" s="651" t="s">
        <v>721</v>
      </c>
      <c r="D1639" s="651" t="s">
        <v>1854</v>
      </c>
      <c r="E1639" s="651" t="s">
        <v>56</v>
      </c>
      <c r="F1639" s="653">
        <v>0</v>
      </c>
      <c r="G1639" s="651" t="s">
        <v>650</v>
      </c>
      <c r="H1639" s="654"/>
      <c r="I1639" s="655"/>
      <c r="J1639" s="655"/>
      <c r="K1639" s="653">
        <v>0</v>
      </c>
      <c r="L1639" s="656">
        <v>0</v>
      </c>
    </row>
    <row r="1640" spans="1:12" ht="42" x14ac:dyDescent="0.25">
      <c r="A1640" s="651" t="s">
        <v>99</v>
      </c>
      <c r="B1640" s="652">
        <v>2021</v>
      </c>
      <c r="C1640" s="651" t="s">
        <v>721</v>
      </c>
      <c r="D1640" s="651" t="s">
        <v>1855</v>
      </c>
      <c r="E1640" s="651" t="s">
        <v>728</v>
      </c>
      <c r="F1640" s="653">
        <v>0</v>
      </c>
      <c r="G1640" s="651" t="s">
        <v>650</v>
      </c>
      <c r="H1640" s="654"/>
      <c r="I1640" s="655"/>
      <c r="J1640" s="655"/>
      <c r="K1640" s="653">
        <v>0</v>
      </c>
      <c r="L1640" s="656">
        <v>0</v>
      </c>
    </row>
    <row r="1641" spans="1:12" ht="42" x14ac:dyDescent="0.25">
      <c r="A1641" s="651" t="s">
        <v>99</v>
      </c>
      <c r="B1641" s="652">
        <v>2021</v>
      </c>
      <c r="C1641" s="651" t="s">
        <v>721</v>
      </c>
      <c r="D1641" s="651" t="s">
        <v>1856</v>
      </c>
      <c r="E1641" s="651" t="s">
        <v>730</v>
      </c>
      <c r="F1641" s="653">
        <v>0</v>
      </c>
      <c r="G1641" s="651" t="s">
        <v>650</v>
      </c>
      <c r="H1641" s="654"/>
      <c r="I1641" s="655"/>
      <c r="J1641" s="655"/>
      <c r="K1641" s="653">
        <v>0</v>
      </c>
      <c r="L1641" s="656">
        <v>0</v>
      </c>
    </row>
    <row r="1642" spans="1:12" ht="42" x14ac:dyDescent="0.25">
      <c r="A1642" s="651" t="s">
        <v>99</v>
      </c>
      <c r="B1642" s="652">
        <v>2021</v>
      </c>
      <c r="C1642" s="651" t="s">
        <v>721</v>
      </c>
      <c r="D1642" s="651" t="s">
        <v>1857</v>
      </c>
      <c r="E1642" s="651" t="s">
        <v>142</v>
      </c>
      <c r="F1642" s="653">
        <v>0</v>
      </c>
      <c r="G1642" s="651" t="s">
        <v>650</v>
      </c>
      <c r="H1642" s="654"/>
      <c r="I1642" s="655"/>
      <c r="J1642" s="655"/>
      <c r="K1642" s="653">
        <v>0</v>
      </c>
      <c r="L1642" s="656">
        <v>0</v>
      </c>
    </row>
    <row r="1643" spans="1:12" ht="42" x14ac:dyDescent="0.25">
      <c r="A1643" s="651" t="s">
        <v>99</v>
      </c>
      <c r="B1643" s="652">
        <v>2021</v>
      </c>
      <c r="C1643" s="651" t="s">
        <v>721</v>
      </c>
      <c r="D1643" s="651" t="s">
        <v>1858</v>
      </c>
      <c r="E1643" s="651" t="s">
        <v>143</v>
      </c>
      <c r="F1643" s="653">
        <v>0</v>
      </c>
      <c r="G1643" s="651" t="s">
        <v>650</v>
      </c>
      <c r="H1643" s="654"/>
      <c r="I1643" s="655"/>
      <c r="J1643" s="655"/>
      <c r="K1643" s="653">
        <v>0</v>
      </c>
      <c r="L1643" s="656">
        <v>0</v>
      </c>
    </row>
    <row r="1644" spans="1:12" ht="42" x14ac:dyDescent="0.25">
      <c r="A1644" s="651" t="s">
        <v>99</v>
      </c>
      <c r="B1644" s="652">
        <v>2021</v>
      </c>
      <c r="C1644" s="651" t="s">
        <v>721</v>
      </c>
      <c r="D1644" s="651" t="s">
        <v>1859</v>
      </c>
      <c r="E1644" s="651" t="s">
        <v>182</v>
      </c>
      <c r="F1644" s="653">
        <v>0</v>
      </c>
      <c r="G1644" s="651" t="s">
        <v>650</v>
      </c>
      <c r="H1644" s="654"/>
      <c r="I1644" s="655"/>
      <c r="J1644" s="655"/>
      <c r="K1644" s="653">
        <v>0</v>
      </c>
      <c r="L1644" s="656">
        <v>0</v>
      </c>
    </row>
    <row r="1645" spans="1:12" ht="42" x14ac:dyDescent="0.25">
      <c r="A1645" s="651" t="s">
        <v>99</v>
      </c>
      <c r="B1645" s="652">
        <v>2021</v>
      </c>
      <c r="C1645" s="651" t="s">
        <v>721</v>
      </c>
      <c r="D1645" s="651" t="s">
        <v>1860</v>
      </c>
      <c r="E1645" s="651" t="s">
        <v>394</v>
      </c>
      <c r="F1645" s="653">
        <v>0</v>
      </c>
      <c r="G1645" s="651" t="s">
        <v>650</v>
      </c>
      <c r="H1645" s="654"/>
      <c r="I1645" s="655"/>
      <c r="J1645" s="655"/>
      <c r="K1645" s="653">
        <v>0</v>
      </c>
      <c r="L1645" s="656">
        <v>0</v>
      </c>
    </row>
    <row r="1646" spans="1:12" ht="42" x14ac:dyDescent="0.25">
      <c r="A1646" s="651" t="s">
        <v>99</v>
      </c>
      <c r="B1646" s="652">
        <v>2021</v>
      </c>
      <c r="C1646" s="651" t="s">
        <v>721</v>
      </c>
      <c r="D1646" s="651" t="s">
        <v>1861</v>
      </c>
      <c r="E1646" s="651" t="s">
        <v>423</v>
      </c>
      <c r="F1646" s="653">
        <v>0</v>
      </c>
      <c r="G1646" s="651" t="s">
        <v>650</v>
      </c>
      <c r="H1646" s="654"/>
      <c r="I1646" s="655"/>
      <c r="J1646" s="655"/>
      <c r="K1646" s="653">
        <v>0</v>
      </c>
      <c r="L1646" s="656">
        <v>0</v>
      </c>
    </row>
    <row r="1647" spans="1:12" ht="42" x14ac:dyDescent="0.25">
      <c r="A1647" s="651" t="s">
        <v>99</v>
      </c>
      <c r="B1647" s="652">
        <v>2021</v>
      </c>
      <c r="C1647" s="651" t="s">
        <v>721</v>
      </c>
      <c r="D1647" s="651" t="s">
        <v>3267</v>
      </c>
      <c r="E1647" s="651" t="s">
        <v>441</v>
      </c>
      <c r="F1647" s="653">
        <v>0</v>
      </c>
      <c r="G1647" s="651" t="s">
        <v>650</v>
      </c>
      <c r="H1647" s="654"/>
      <c r="I1647" s="653">
        <v>844227.625</v>
      </c>
      <c r="J1647" s="653">
        <v>-31109.970703125</v>
      </c>
      <c r="K1647" s="653">
        <v>813117.625</v>
      </c>
      <c r="L1647" s="656">
        <v>813117.65</v>
      </c>
    </row>
    <row r="1648" spans="1:12" ht="42" x14ac:dyDescent="0.25">
      <c r="A1648" s="651" t="s">
        <v>99</v>
      </c>
      <c r="B1648" s="652">
        <v>2021</v>
      </c>
      <c r="C1648" s="651" t="s">
        <v>721</v>
      </c>
      <c r="D1648" s="651" t="s">
        <v>1862</v>
      </c>
      <c r="E1648" s="651" t="s">
        <v>737</v>
      </c>
      <c r="F1648" s="653">
        <v>772978.67</v>
      </c>
      <c r="G1648" s="654"/>
      <c r="H1648" s="654"/>
      <c r="I1648" s="655"/>
      <c r="J1648" s="655"/>
      <c r="K1648" s="653">
        <v>0</v>
      </c>
      <c r="L1648" s="656">
        <v>772978.67</v>
      </c>
    </row>
    <row r="1649" spans="1:12" ht="14.5" x14ac:dyDescent="0.25">
      <c r="A1649" s="651" t="s">
        <v>99</v>
      </c>
      <c r="B1649" s="652">
        <v>2021</v>
      </c>
      <c r="C1649" s="651" t="s">
        <v>738</v>
      </c>
      <c r="D1649" s="651" t="s">
        <v>1863</v>
      </c>
      <c r="E1649" s="651" t="s">
        <v>7</v>
      </c>
      <c r="F1649" s="653">
        <v>0</v>
      </c>
      <c r="G1649" s="654"/>
      <c r="H1649" s="651" t="s">
        <v>650</v>
      </c>
      <c r="I1649" s="655"/>
      <c r="J1649" s="655"/>
      <c r="K1649" s="653">
        <v>0</v>
      </c>
      <c r="L1649" s="656">
        <v>0</v>
      </c>
    </row>
    <row r="1650" spans="1:12" ht="21" x14ac:dyDescent="0.25">
      <c r="A1650" s="651" t="s">
        <v>100</v>
      </c>
      <c r="B1650" s="652">
        <v>2021</v>
      </c>
      <c r="C1650" s="651" t="s">
        <v>647</v>
      </c>
      <c r="D1650" s="651" t="s">
        <v>1864</v>
      </c>
      <c r="E1650" s="651" t="s">
        <v>649</v>
      </c>
      <c r="F1650" s="653">
        <v>-49731.98</v>
      </c>
      <c r="G1650" s="654"/>
      <c r="H1650" s="651" t="s">
        <v>650</v>
      </c>
      <c r="I1650" s="655"/>
      <c r="J1650" s="655"/>
      <c r="K1650" s="653">
        <v>0</v>
      </c>
      <c r="L1650" s="656">
        <v>-49731.98</v>
      </c>
    </row>
    <row r="1651" spans="1:12" ht="14.5" x14ac:dyDescent="0.25">
      <c r="A1651" s="651" t="s">
        <v>100</v>
      </c>
      <c r="B1651" s="652">
        <v>2021</v>
      </c>
      <c r="C1651" s="651" t="s">
        <v>651</v>
      </c>
      <c r="D1651" s="651" t="s">
        <v>1865</v>
      </c>
      <c r="E1651" s="651" t="s">
        <v>653</v>
      </c>
      <c r="F1651" s="653">
        <v>14127.76</v>
      </c>
      <c r="G1651" s="654"/>
      <c r="H1651" s="651" t="s">
        <v>650</v>
      </c>
      <c r="I1651" s="655"/>
      <c r="J1651" s="655"/>
      <c r="K1651" s="653">
        <v>0</v>
      </c>
      <c r="L1651" s="656">
        <v>14127.76</v>
      </c>
    </row>
    <row r="1652" spans="1:12" ht="42" x14ac:dyDescent="0.25">
      <c r="A1652" s="651" t="s">
        <v>100</v>
      </c>
      <c r="B1652" s="652">
        <v>2021</v>
      </c>
      <c r="C1652" s="651" t="s">
        <v>654</v>
      </c>
      <c r="D1652" s="651" t="s">
        <v>1866</v>
      </c>
      <c r="E1652" s="651" t="s">
        <v>445</v>
      </c>
      <c r="F1652" s="653">
        <v>0</v>
      </c>
      <c r="G1652" s="654"/>
      <c r="H1652" s="651" t="s">
        <v>650</v>
      </c>
      <c r="I1652" s="655"/>
      <c r="J1652" s="655"/>
      <c r="K1652" s="653">
        <v>0</v>
      </c>
      <c r="L1652" s="656">
        <v>0</v>
      </c>
    </row>
    <row r="1653" spans="1:12" ht="21" x14ac:dyDescent="0.25">
      <c r="A1653" s="651" t="s">
        <v>100</v>
      </c>
      <c r="B1653" s="652">
        <v>2021</v>
      </c>
      <c r="C1653" s="651" t="s">
        <v>656</v>
      </c>
      <c r="D1653" s="651" t="s">
        <v>1867</v>
      </c>
      <c r="E1653" s="651" t="s">
        <v>658</v>
      </c>
      <c r="F1653" s="653">
        <v>0</v>
      </c>
      <c r="G1653" s="654"/>
      <c r="H1653" s="651" t="s">
        <v>650</v>
      </c>
      <c r="I1653" s="655"/>
      <c r="J1653" s="655"/>
      <c r="K1653" s="653">
        <v>0</v>
      </c>
      <c r="L1653" s="656">
        <v>0</v>
      </c>
    </row>
    <row r="1654" spans="1:12" ht="31.5" x14ac:dyDescent="0.25">
      <c r="A1654" s="651" t="s">
        <v>100</v>
      </c>
      <c r="B1654" s="652">
        <v>2021</v>
      </c>
      <c r="C1654" s="651" t="s">
        <v>659</v>
      </c>
      <c r="D1654" s="651" t="s">
        <v>1868</v>
      </c>
      <c r="E1654" s="651" t="s">
        <v>661</v>
      </c>
      <c r="F1654" s="653">
        <v>0</v>
      </c>
      <c r="G1654" s="654"/>
      <c r="H1654" s="651" t="s">
        <v>650</v>
      </c>
      <c r="I1654" s="655"/>
      <c r="J1654" s="655"/>
      <c r="K1654" s="653">
        <v>0</v>
      </c>
      <c r="L1654" s="656">
        <v>0</v>
      </c>
    </row>
    <row r="1655" spans="1:12" ht="21" x14ac:dyDescent="0.25">
      <c r="A1655" s="651" t="s">
        <v>100</v>
      </c>
      <c r="B1655" s="652">
        <v>2021</v>
      </c>
      <c r="C1655" s="651" t="s">
        <v>662</v>
      </c>
      <c r="D1655" s="651" t="s">
        <v>1869</v>
      </c>
      <c r="E1655" s="651" t="s">
        <v>664</v>
      </c>
      <c r="F1655" s="653">
        <v>0</v>
      </c>
      <c r="G1655" s="654"/>
      <c r="H1655" s="651" t="s">
        <v>650</v>
      </c>
      <c r="I1655" s="655"/>
      <c r="J1655" s="655"/>
      <c r="K1655" s="653">
        <v>0</v>
      </c>
      <c r="L1655" s="656">
        <v>0</v>
      </c>
    </row>
    <row r="1656" spans="1:12" ht="31.5" x14ac:dyDescent="0.25">
      <c r="A1656" s="651" t="s">
        <v>100</v>
      </c>
      <c r="B1656" s="652">
        <v>2021</v>
      </c>
      <c r="C1656" s="651" t="s">
        <v>665</v>
      </c>
      <c r="D1656" s="651" t="s">
        <v>1870</v>
      </c>
      <c r="E1656" s="651" t="s">
        <v>667</v>
      </c>
      <c r="F1656" s="653">
        <v>0</v>
      </c>
      <c r="G1656" s="654"/>
      <c r="H1656" s="651" t="s">
        <v>650</v>
      </c>
      <c r="I1656" s="655"/>
      <c r="J1656" s="655"/>
      <c r="K1656" s="653">
        <v>0</v>
      </c>
      <c r="L1656" s="656">
        <v>0</v>
      </c>
    </row>
    <row r="1657" spans="1:12" ht="21" x14ac:dyDescent="0.25">
      <c r="A1657" s="651" t="s">
        <v>100</v>
      </c>
      <c r="B1657" s="652">
        <v>2021</v>
      </c>
      <c r="C1657" s="651" t="s">
        <v>668</v>
      </c>
      <c r="D1657" s="651" t="s">
        <v>1871</v>
      </c>
      <c r="E1657" s="651" t="s">
        <v>12</v>
      </c>
      <c r="F1657" s="653">
        <v>0</v>
      </c>
      <c r="G1657" s="654"/>
      <c r="H1657" s="651" t="s">
        <v>650</v>
      </c>
      <c r="I1657" s="655"/>
      <c r="J1657" s="655"/>
      <c r="K1657" s="653">
        <v>0</v>
      </c>
      <c r="L1657" s="656">
        <v>0</v>
      </c>
    </row>
    <row r="1658" spans="1:12" ht="21" x14ac:dyDescent="0.25">
      <c r="A1658" s="651" t="s">
        <v>100</v>
      </c>
      <c r="B1658" s="652">
        <v>2021</v>
      </c>
      <c r="C1658" s="651" t="s">
        <v>670</v>
      </c>
      <c r="D1658" s="651" t="s">
        <v>1872</v>
      </c>
      <c r="E1658" s="651" t="s">
        <v>13</v>
      </c>
      <c r="F1658" s="653">
        <v>0</v>
      </c>
      <c r="G1658" s="654"/>
      <c r="H1658" s="651" t="s">
        <v>650</v>
      </c>
      <c r="I1658" s="655"/>
      <c r="J1658" s="655"/>
      <c r="K1658" s="653">
        <v>0</v>
      </c>
      <c r="L1658" s="656">
        <v>0</v>
      </c>
    </row>
    <row r="1659" spans="1:12" ht="21" x14ac:dyDescent="0.25">
      <c r="A1659" s="651" t="s">
        <v>100</v>
      </c>
      <c r="B1659" s="652">
        <v>2021</v>
      </c>
      <c r="C1659" s="651" t="s">
        <v>672</v>
      </c>
      <c r="D1659" s="651" t="s">
        <v>1873</v>
      </c>
      <c r="E1659" s="651" t="s">
        <v>15</v>
      </c>
      <c r="F1659" s="653">
        <v>0</v>
      </c>
      <c r="G1659" s="654"/>
      <c r="H1659" s="651" t="s">
        <v>650</v>
      </c>
      <c r="I1659" s="655"/>
      <c r="J1659" s="655"/>
      <c r="K1659" s="653">
        <v>0</v>
      </c>
      <c r="L1659" s="656">
        <v>0</v>
      </c>
    </row>
    <row r="1660" spans="1:12" ht="14.5" x14ac:dyDescent="0.25">
      <c r="A1660" s="651" t="s">
        <v>100</v>
      </c>
      <c r="B1660" s="652">
        <v>2021</v>
      </c>
      <c r="C1660" s="651" t="s">
        <v>674</v>
      </c>
      <c r="D1660" s="651" t="s">
        <v>1874</v>
      </c>
      <c r="E1660" s="651" t="s">
        <v>676</v>
      </c>
      <c r="F1660" s="653">
        <v>20136.34</v>
      </c>
      <c r="G1660" s="654"/>
      <c r="H1660" s="651" t="s">
        <v>650</v>
      </c>
      <c r="I1660" s="655"/>
      <c r="J1660" s="655"/>
      <c r="K1660" s="653">
        <v>0</v>
      </c>
      <c r="L1660" s="656">
        <v>20136.34</v>
      </c>
    </row>
    <row r="1661" spans="1:12" ht="14.5" x14ac:dyDescent="0.25">
      <c r="A1661" s="651" t="s">
        <v>100</v>
      </c>
      <c r="B1661" s="652">
        <v>2021</v>
      </c>
      <c r="C1661" s="651" t="s">
        <v>677</v>
      </c>
      <c r="D1661" s="651" t="s">
        <v>1875</v>
      </c>
      <c r="E1661" s="651" t="s">
        <v>23</v>
      </c>
      <c r="F1661" s="653">
        <v>2503210.4900000002</v>
      </c>
      <c r="G1661" s="651" t="s">
        <v>650</v>
      </c>
      <c r="H1661" s="654"/>
      <c r="I1661" s="653">
        <v>2423989.25</v>
      </c>
      <c r="J1661" s="653">
        <v>79221.171875</v>
      </c>
      <c r="K1661" s="653">
        <v>2503210.5</v>
      </c>
      <c r="L1661" s="656">
        <v>2503210.4900000002</v>
      </c>
    </row>
    <row r="1662" spans="1:12" ht="31.5" x14ac:dyDescent="0.25">
      <c r="A1662" s="651" t="s">
        <v>100</v>
      </c>
      <c r="B1662" s="652">
        <v>2021</v>
      </c>
      <c r="C1662" s="651" t="s">
        <v>679</v>
      </c>
      <c r="D1662" s="651" t="s">
        <v>1876</v>
      </c>
      <c r="E1662" s="651" t="s">
        <v>131</v>
      </c>
      <c r="F1662" s="653">
        <v>-13046.97</v>
      </c>
      <c r="G1662" s="651" t="s">
        <v>650</v>
      </c>
      <c r="H1662" s="654"/>
      <c r="I1662" s="653">
        <v>-12357.849609375</v>
      </c>
      <c r="J1662" s="653">
        <v>-689.11999511718795</v>
      </c>
      <c r="K1662" s="653">
        <v>-13046.9697265625</v>
      </c>
      <c r="L1662" s="656">
        <v>-13046.97</v>
      </c>
    </row>
    <row r="1663" spans="1:12" ht="31.5" x14ac:dyDescent="0.25">
      <c r="A1663" s="651" t="s">
        <v>100</v>
      </c>
      <c r="B1663" s="652">
        <v>2021</v>
      </c>
      <c r="C1663" s="651" t="s">
        <v>681</v>
      </c>
      <c r="D1663" s="651" t="s">
        <v>1877</v>
      </c>
      <c r="E1663" s="651" t="s">
        <v>683</v>
      </c>
      <c r="F1663" s="653">
        <v>0</v>
      </c>
      <c r="G1663" s="654"/>
      <c r="H1663" s="651" t="s">
        <v>650</v>
      </c>
      <c r="I1663" s="655"/>
      <c r="J1663" s="655"/>
      <c r="K1663" s="653">
        <v>0</v>
      </c>
      <c r="L1663" s="656">
        <v>0</v>
      </c>
    </row>
    <row r="1664" spans="1:12" ht="21" x14ac:dyDescent="0.25">
      <c r="A1664" s="651" t="s">
        <v>100</v>
      </c>
      <c r="B1664" s="652">
        <v>2021</v>
      </c>
      <c r="C1664" s="651" t="s">
        <v>681</v>
      </c>
      <c r="D1664" s="651" t="s">
        <v>1877</v>
      </c>
      <c r="E1664" s="651" t="s">
        <v>684</v>
      </c>
      <c r="F1664" s="653">
        <v>0</v>
      </c>
      <c r="G1664" s="654"/>
      <c r="H1664" s="651" t="s">
        <v>650</v>
      </c>
      <c r="I1664" s="655"/>
      <c r="J1664" s="655"/>
      <c r="K1664" s="653">
        <v>0</v>
      </c>
      <c r="L1664" s="656">
        <v>0</v>
      </c>
    </row>
    <row r="1665" spans="1:12" ht="21" x14ac:dyDescent="0.25">
      <c r="A1665" s="651" t="s">
        <v>100</v>
      </c>
      <c r="B1665" s="652">
        <v>2021</v>
      </c>
      <c r="C1665" s="651" t="s">
        <v>685</v>
      </c>
      <c r="D1665" s="651" t="s">
        <v>1878</v>
      </c>
      <c r="E1665" s="651" t="s">
        <v>687</v>
      </c>
      <c r="F1665" s="653">
        <v>0</v>
      </c>
      <c r="G1665" s="654"/>
      <c r="H1665" s="651" t="s">
        <v>650</v>
      </c>
      <c r="I1665" s="655"/>
      <c r="J1665" s="655"/>
      <c r="K1665" s="653">
        <v>0</v>
      </c>
      <c r="L1665" s="656">
        <v>0</v>
      </c>
    </row>
    <row r="1666" spans="1:12" ht="14.5" x14ac:dyDescent="0.25">
      <c r="A1666" s="651" t="s">
        <v>100</v>
      </c>
      <c r="B1666" s="652">
        <v>2021</v>
      </c>
      <c r="C1666" s="651" t="s">
        <v>688</v>
      </c>
      <c r="D1666" s="651" t="s">
        <v>1879</v>
      </c>
      <c r="E1666" s="651" t="s">
        <v>50</v>
      </c>
      <c r="F1666" s="653">
        <v>0</v>
      </c>
      <c r="G1666" s="654"/>
      <c r="H1666" s="651" t="s">
        <v>650</v>
      </c>
      <c r="I1666" s="655"/>
      <c r="J1666" s="655"/>
      <c r="K1666" s="653">
        <v>0</v>
      </c>
      <c r="L1666" s="656">
        <v>0</v>
      </c>
    </row>
    <row r="1667" spans="1:12" ht="21" x14ac:dyDescent="0.25">
      <c r="A1667" s="651" t="s">
        <v>100</v>
      </c>
      <c r="B1667" s="652">
        <v>2021</v>
      </c>
      <c r="C1667" s="651" t="s">
        <v>690</v>
      </c>
      <c r="D1667" s="651" t="s">
        <v>1880</v>
      </c>
      <c r="E1667" s="651" t="s">
        <v>692</v>
      </c>
      <c r="F1667" s="653">
        <v>0</v>
      </c>
      <c r="G1667" s="654"/>
      <c r="H1667" s="651" t="s">
        <v>650</v>
      </c>
      <c r="I1667" s="655"/>
      <c r="J1667" s="655"/>
      <c r="K1667" s="653">
        <v>0</v>
      </c>
      <c r="L1667" s="656">
        <v>0</v>
      </c>
    </row>
    <row r="1668" spans="1:12" ht="21" x14ac:dyDescent="0.25">
      <c r="A1668" s="651" t="s">
        <v>100</v>
      </c>
      <c r="B1668" s="652">
        <v>2021</v>
      </c>
      <c r="C1668" s="651" t="s">
        <v>693</v>
      </c>
      <c r="D1668" s="651" t="s">
        <v>1881</v>
      </c>
      <c r="E1668" s="651" t="s">
        <v>6</v>
      </c>
      <c r="F1668" s="653">
        <v>0</v>
      </c>
      <c r="G1668" s="654"/>
      <c r="H1668" s="651" t="s">
        <v>650</v>
      </c>
      <c r="I1668" s="655"/>
      <c r="J1668" s="655"/>
      <c r="K1668" s="653">
        <v>0</v>
      </c>
      <c r="L1668" s="656">
        <v>0</v>
      </c>
    </row>
    <row r="1669" spans="1:12" ht="31.5" x14ac:dyDescent="0.25">
      <c r="A1669" s="651" t="s">
        <v>100</v>
      </c>
      <c r="B1669" s="652">
        <v>2021</v>
      </c>
      <c r="C1669" s="651" t="s">
        <v>695</v>
      </c>
      <c r="D1669" s="651" t="s">
        <v>1882</v>
      </c>
      <c r="E1669" s="651" t="s">
        <v>697</v>
      </c>
      <c r="F1669" s="653">
        <v>0</v>
      </c>
      <c r="G1669" s="654"/>
      <c r="H1669" s="651" t="s">
        <v>650</v>
      </c>
      <c r="I1669" s="655"/>
      <c r="J1669" s="655"/>
      <c r="K1669" s="653">
        <v>0</v>
      </c>
      <c r="L1669" s="656">
        <v>0</v>
      </c>
    </row>
    <row r="1670" spans="1:12" ht="21" x14ac:dyDescent="0.25">
      <c r="A1670" s="651" t="s">
        <v>100</v>
      </c>
      <c r="B1670" s="652">
        <v>2021</v>
      </c>
      <c r="C1670" s="651" t="s">
        <v>698</v>
      </c>
      <c r="D1670" s="651" t="s">
        <v>1883</v>
      </c>
      <c r="E1670" s="651" t="s">
        <v>700</v>
      </c>
      <c r="F1670" s="653">
        <v>0</v>
      </c>
      <c r="G1670" s="654"/>
      <c r="H1670" s="651" t="s">
        <v>650</v>
      </c>
      <c r="I1670" s="655"/>
      <c r="J1670" s="655"/>
      <c r="K1670" s="653">
        <v>0</v>
      </c>
      <c r="L1670" s="656">
        <v>0</v>
      </c>
    </row>
    <row r="1671" spans="1:12" ht="21" x14ac:dyDescent="0.25">
      <c r="A1671" s="651" t="s">
        <v>100</v>
      </c>
      <c r="B1671" s="652">
        <v>2021</v>
      </c>
      <c r="C1671" s="651" t="s">
        <v>701</v>
      </c>
      <c r="D1671" s="651" t="s">
        <v>1884</v>
      </c>
      <c r="E1671" s="651" t="s">
        <v>1</v>
      </c>
      <c r="F1671" s="653">
        <v>-854211.54</v>
      </c>
      <c r="G1671" s="651" t="s">
        <v>650</v>
      </c>
      <c r="H1671" s="654"/>
      <c r="I1671" s="653">
        <v>-812930.8125</v>
      </c>
      <c r="J1671" s="653">
        <v>-41280.69921875</v>
      </c>
      <c r="K1671" s="653">
        <v>-854211.5625</v>
      </c>
      <c r="L1671" s="656">
        <v>-854211.54</v>
      </c>
    </row>
    <row r="1672" spans="1:12" ht="21" x14ac:dyDescent="0.25">
      <c r="A1672" s="651" t="s">
        <v>100</v>
      </c>
      <c r="B1672" s="652">
        <v>2021</v>
      </c>
      <c r="C1672" s="651" t="s">
        <v>701</v>
      </c>
      <c r="D1672" s="651" t="s">
        <v>1884</v>
      </c>
      <c r="E1672" s="651" t="s">
        <v>703</v>
      </c>
      <c r="F1672" s="653">
        <v>8.36</v>
      </c>
      <c r="G1672" s="654"/>
      <c r="H1672" s="654"/>
      <c r="I1672" s="655"/>
      <c r="J1672" s="655"/>
      <c r="K1672" s="653">
        <v>0</v>
      </c>
      <c r="L1672" s="656">
        <v>8.36</v>
      </c>
    </row>
    <row r="1673" spans="1:12" ht="21" x14ac:dyDescent="0.25">
      <c r="A1673" s="651" t="s">
        <v>100</v>
      </c>
      <c r="B1673" s="652">
        <v>2021</v>
      </c>
      <c r="C1673" s="651" t="s">
        <v>701</v>
      </c>
      <c r="D1673" s="651" t="s">
        <v>1884</v>
      </c>
      <c r="E1673" s="651" t="s">
        <v>704</v>
      </c>
      <c r="F1673" s="653">
        <v>0.1</v>
      </c>
      <c r="G1673" s="654"/>
      <c r="H1673" s="654"/>
      <c r="I1673" s="655"/>
      <c r="J1673" s="655"/>
      <c r="K1673" s="653">
        <v>0</v>
      </c>
      <c r="L1673" s="656">
        <v>0.1</v>
      </c>
    </row>
    <row r="1674" spans="1:12" ht="21" x14ac:dyDescent="0.25">
      <c r="A1674" s="651" t="s">
        <v>100</v>
      </c>
      <c r="B1674" s="652">
        <v>2021</v>
      </c>
      <c r="C1674" s="651" t="s">
        <v>701</v>
      </c>
      <c r="D1674" s="651" t="s">
        <v>1884</v>
      </c>
      <c r="E1674" s="651" t="s">
        <v>705</v>
      </c>
      <c r="F1674" s="653">
        <v>5832.49</v>
      </c>
      <c r="G1674" s="654"/>
      <c r="H1674" s="654"/>
      <c r="I1674" s="655"/>
      <c r="J1674" s="655"/>
      <c r="K1674" s="653">
        <v>0</v>
      </c>
      <c r="L1674" s="656">
        <v>5832.49</v>
      </c>
    </row>
    <row r="1675" spans="1:12" ht="21" x14ac:dyDescent="0.25">
      <c r="A1675" s="651" t="s">
        <v>100</v>
      </c>
      <c r="B1675" s="652">
        <v>2021</v>
      </c>
      <c r="C1675" s="651" t="s">
        <v>701</v>
      </c>
      <c r="D1675" s="651" t="s">
        <v>1884</v>
      </c>
      <c r="E1675" s="651" t="s">
        <v>706</v>
      </c>
      <c r="F1675" s="653">
        <v>53914.29</v>
      </c>
      <c r="G1675" s="654"/>
      <c r="H1675" s="654"/>
      <c r="I1675" s="655"/>
      <c r="J1675" s="655"/>
      <c r="K1675" s="653">
        <v>0</v>
      </c>
      <c r="L1675" s="656">
        <v>53914.29</v>
      </c>
    </row>
    <row r="1676" spans="1:12" ht="14.5" x14ac:dyDescent="0.25">
      <c r="A1676" s="651" t="s">
        <v>100</v>
      </c>
      <c r="B1676" s="652">
        <v>2021</v>
      </c>
      <c r="C1676" s="651" t="s">
        <v>707</v>
      </c>
      <c r="D1676" s="651" t="s">
        <v>1885</v>
      </c>
      <c r="E1676" s="651" t="s">
        <v>709</v>
      </c>
      <c r="F1676" s="653">
        <v>0</v>
      </c>
      <c r="G1676" s="654"/>
      <c r="H1676" s="651" t="s">
        <v>650</v>
      </c>
      <c r="I1676" s="655"/>
      <c r="J1676" s="655"/>
      <c r="K1676" s="653">
        <v>0</v>
      </c>
      <c r="L1676" s="656">
        <v>0</v>
      </c>
    </row>
    <row r="1677" spans="1:12" ht="31.5" x14ac:dyDescent="0.25">
      <c r="A1677" s="651" t="s">
        <v>100</v>
      </c>
      <c r="B1677" s="652">
        <v>2021</v>
      </c>
      <c r="C1677" s="651" t="s">
        <v>710</v>
      </c>
      <c r="D1677" s="651" t="s">
        <v>1886</v>
      </c>
      <c r="E1677" s="651" t="s">
        <v>2</v>
      </c>
      <c r="F1677" s="653">
        <v>212923.42</v>
      </c>
      <c r="G1677" s="651" t="s">
        <v>650</v>
      </c>
      <c r="H1677" s="654"/>
      <c r="I1677" s="653">
        <v>209079.453125</v>
      </c>
      <c r="J1677" s="653">
        <v>3843.96997070313</v>
      </c>
      <c r="K1677" s="653">
        <v>212923.421875</v>
      </c>
      <c r="L1677" s="656">
        <v>212923.42</v>
      </c>
    </row>
    <row r="1678" spans="1:12" ht="31.5" x14ac:dyDescent="0.25">
      <c r="A1678" s="651" t="s">
        <v>100</v>
      </c>
      <c r="B1678" s="652">
        <v>2021</v>
      </c>
      <c r="C1678" s="651" t="s">
        <v>712</v>
      </c>
      <c r="D1678" s="651" t="s">
        <v>1887</v>
      </c>
      <c r="E1678" s="651" t="s">
        <v>3</v>
      </c>
      <c r="F1678" s="653">
        <v>265216.39</v>
      </c>
      <c r="G1678" s="651" t="s">
        <v>650</v>
      </c>
      <c r="H1678" s="654"/>
      <c r="I1678" s="653">
        <v>256535.015625</v>
      </c>
      <c r="J1678" s="653">
        <v>8681.3798828125</v>
      </c>
      <c r="K1678" s="653">
        <v>265216.375</v>
      </c>
      <c r="L1678" s="656">
        <v>265216.39</v>
      </c>
    </row>
    <row r="1679" spans="1:12" ht="31.5" x14ac:dyDescent="0.25">
      <c r="A1679" s="651" t="s">
        <v>100</v>
      </c>
      <c r="B1679" s="652">
        <v>2021</v>
      </c>
      <c r="C1679" s="651" t="s">
        <v>714</v>
      </c>
      <c r="D1679" s="651" t="s">
        <v>1888</v>
      </c>
      <c r="E1679" s="651" t="s">
        <v>38</v>
      </c>
      <c r="F1679" s="653">
        <v>-87319.75</v>
      </c>
      <c r="G1679" s="651" t="s">
        <v>650</v>
      </c>
      <c r="H1679" s="654"/>
      <c r="I1679" s="653">
        <v>-84188.2734375</v>
      </c>
      <c r="J1679" s="653">
        <v>-3131.47998046875</v>
      </c>
      <c r="K1679" s="653">
        <v>-87319.75</v>
      </c>
      <c r="L1679" s="656">
        <v>-87319.75</v>
      </c>
    </row>
    <row r="1680" spans="1:12" ht="21" x14ac:dyDescent="0.25">
      <c r="A1680" s="651" t="s">
        <v>100</v>
      </c>
      <c r="B1680" s="652">
        <v>2021</v>
      </c>
      <c r="C1680" s="651" t="s">
        <v>716</v>
      </c>
      <c r="D1680" s="651" t="s">
        <v>1889</v>
      </c>
      <c r="E1680" s="651" t="s">
        <v>66</v>
      </c>
      <c r="F1680" s="653">
        <v>-1076656.8899999999</v>
      </c>
      <c r="G1680" s="651" t="s">
        <v>650</v>
      </c>
      <c r="H1680" s="654"/>
      <c r="I1680" s="653">
        <v>-1028739.4375</v>
      </c>
      <c r="J1680" s="653">
        <v>-47917.4296875</v>
      </c>
      <c r="K1680" s="653">
        <v>-1076656.875</v>
      </c>
      <c r="L1680" s="656">
        <v>-1076656.8899999999</v>
      </c>
    </row>
    <row r="1681" spans="1:12" ht="31.5" x14ac:dyDescent="0.25">
      <c r="A1681" s="651" t="s">
        <v>100</v>
      </c>
      <c r="B1681" s="652">
        <v>2021</v>
      </c>
      <c r="C1681" s="651" t="s">
        <v>718</v>
      </c>
      <c r="D1681" s="651" t="s">
        <v>1890</v>
      </c>
      <c r="E1681" s="651" t="s">
        <v>720</v>
      </c>
      <c r="F1681" s="653">
        <v>-68163.520000000004</v>
      </c>
      <c r="G1681" s="654"/>
      <c r="H1681" s="651" t="s">
        <v>650</v>
      </c>
      <c r="I1681" s="655"/>
      <c r="J1681" s="655"/>
      <c r="K1681" s="653">
        <v>0</v>
      </c>
      <c r="L1681" s="656">
        <v>-68163.520000000004</v>
      </c>
    </row>
    <row r="1682" spans="1:12" ht="42" x14ac:dyDescent="0.25">
      <c r="A1682" s="651" t="s">
        <v>100</v>
      </c>
      <c r="B1682" s="652">
        <v>2021</v>
      </c>
      <c r="C1682" s="651" t="s">
        <v>721</v>
      </c>
      <c r="D1682" s="651" t="s">
        <v>1891</v>
      </c>
      <c r="E1682" s="651" t="s">
        <v>3016</v>
      </c>
      <c r="F1682" s="653">
        <v>0</v>
      </c>
      <c r="G1682" s="651" t="s">
        <v>650</v>
      </c>
      <c r="H1682" s="654"/>
      <c r="I1682" s="655"/>
      <c r="J1682" s="655"/>
      <c r="K1682" s="653">
        <v>0</v>
      </c>
      <c r="L1682" s="656">
        <v>0</v>
      </c>
    </row>
    <row r="1683" spans="1:12" ht="42" x14ac:dyDescent="0.25">
      <c r="A1683" s="651" t="s">
        <v>100</v>
      </c>
      <c r="B1683" s="652">
        <v>2021</v>
      </c>
      <c r="C1683" s="651" t="s">
        <v>721</v>
      </c>
      <c r="D1683" s="651" t="s">
        <v>1891</v>
      </c>
      <c r="E1683" s="651" t="s">
        <v>3058</v>
      </c>
      <c r="F1683" s="653">
        <v>0</v>
      </c>
      <c r="G1683" s="651" t="s">
        <v>650</v>
      </c>
      <c r="H1683" s="654"/>
      <c r="I1683" s="655"/>
      <c r="J1683" s="655"/>
      <c r="K1683" s="653">
        <v>0</v>
      </c>
      <c r="L1683" s="656">
        <v>0</v>
      </c>
    </row>
    <row r="1684" spans="1:12" ht="42" x14ac:dyDescent="0.25">
      <c r="A1684" s="651" t="s">
        <v>100</v>
      </c>
      <c r="B1684" s="652">
        <v>2021</v>
      </c>
      <c r="C1684" s="651" t="s">
        <v>721</v>
      </c>
      <c r="D1684" s="651" t="s">
        <v>1892</v>
      </c>
      <c r="E1684" s="651" t="s">
        <v>724</v>
      </c>
      <c r="F1684" s="653">
        <v>0</v>
      </c>
      <c r="G1684" s="651" t="s">
        <v>650</v>
      </c>
      <c r="H1684" s="654"/>
      <c r="I1684" s="655"/>
      <c r="J1684" s="655"/>
      <c r="K1684" s="653">
        <v>0</v>
      </c>
      <c r="L1684" s="656">
        <v>0</v>
      </c>
    </row>
    <row r="1685" spans="1:12" ht="42" x14ac:dyDescent="0.25">
      <c r="A1685" s="651" t="s">
        <v>100</v>
      </c>
      <c r="B1685" s="652">
        <v>2021</v>
      </c>
      <c r="C1685" s="651" t="s">
        <v>721</v>
      </c>
      <c r="D1685" s="651" t="s">
        <v>1893</v>
      </c>
      <c r="E1685" s="651" t="s">
        <v>55</v>
      </c>
      <c r="F1685" s="653">
        <v>0</v>
      </c>
      <c r="G1685" s="651" t="s">
        <v>650</v>
      </c>
      <c r="H1685" s="654"/>
      <c r="I1685" s="655"/>
      <c r="J1685" s="655"/>
      <c r="K1685" s="653">
        <v>0</v>
      </c>
      <c r="L1685" s="656">
        <v>0</v>
      </c>
    </row>
    <row r="1686" spans="1:12" ht="42" x14ac:dyDescent="0.25">
      <c r="A1686" s="651" t="s">
        <v>100</v>
      </c>
      <c r="B1686" s="652">
        <v>2021</v>
      </c>
      <c r="C1686" s="651" t="s">
        <v>721</v>
      </c>
      <c r="D1686" s="651" t="s">
        <v>1894</v>
      </c>
      <c r="E1686" s="651" t="s">
        <v>56</v>
      </c>
      <c r="F1686" s="653">
        <v>0</v>
      </c>
      <c r="G1686" s="651" t="s">
        <v>650</v>
      </c>
      <c r="H1686" s="654"/>
      <c r="I1686" s="655"/>
      <c r="J1686" s="655"/>
      <c r="K1686" s="653">
        <v>0</v>
      </c>
      <c r="L1686" s="656">
        <v>0</v>
      </c>
    </row>
    <row r="1687" spans="1:12" ht="42" x14ac:dyDescent="0.25">
      <c r="A1687" s="651" t="s">
        <v>100</v>
      </c>
      <c r="B1687" s="652">
        <v>2021</v>
      </c>
      <c r="C1687" s="651" t="s">
        <v>721</v>
      </c>
      <c r="D1687" s="651" t="s">
        <v>1895</v>
      </c>
      <c r="E1687" s="651" t="s">
        <v>728</v>
      </c>
      <c r="F1687" s="653">
        <v>0</v>
      </c>
      <c r="G1687" s="651" t="s">
        <v>650</v>
      </c>
      <c r="H1687" s="654"/>
      <c r="I1687" s="655"/>
      <c r="J1687" s="655"/>
      <c r="K1687" s="653">
        <v>0</v>
      </c>
      <c r="L1687" s="656">
        <v>0</v>
      </c>
    </row>
    <row r="1688" spans="1:12" ht="42" x14ac:dyDescent="0.25">
      <c r="A1688" s="651" t="s">
        <v>100</v>
      </c>
      <c r="B1688" s="652">
        <v>2021</v>
      </c>
      <c r="C1688" s="651" t="s">
        <v>721</v>
      </c>
      <c r="D1688" s="651" t="s">
        <v>1896</v>
      </c>
      <c r="E1688" s="651" t="s">
        <v>730</v>
      </c>
      <c r="F1688" s="653">
        <v>0</v>
      </c>
      <c r="G1688" s="651" t="s">
        <v>650</v>
      </c>
      <c r="H1688" s="654"/>
      <c r="I1688" s="653">
        <v>170827.09375</v>
      </c>
      <c r="J1688" s="653">
        <v>-69100.2890625</v>
      </c>
      <c r="K1688" s="653">
        <v>101726.8125</v>
      </c>
      <c r="L1688" s="656">
        <v>101726.81</v>
      </c>
    </row>
    <row r="1689" spans="1:12" ht="42" x14ac:dyDescent="0.25">
      <c r="A1689" s="651" t="s">
        <v>100</v>
      </c>
      <c r="B1689" s="652">
        <v>2021</v>
      </c>
      <c r="C1689" s="651" t="s">
        <v>721</v>
      </c>
      <c r="D1689" s="651" t="s">
        <v>1897</v>
      </c>
      <c r="E1689" s="651" t="s">
        <v>142</v>
      </c>
      <c r="F1689" s="653">
        <v>0</v>
      </c>
      <c r="G1689" s="651" t="s">
        <v>650</v>
      </c>
      <c r="H1689" s="654"/>
      <c r="I1689" s="655"/>
      <c r="J1689" s="655"/>
      <c r="K1689" s="653">
        <v>0</v>
      </c>
      <c r="L1689" s="656">
        <v>0</v>
      </c>
    </row>
    <row r="1690" spans="1:12" ht="42" x14ac:dyDescent="0.25">
      <c r="A1690" s="651" t="s">
        <v>100</v>
      </c>
      <c r="B1690" s="652">
        <v>2021</v>
      </c>
      <c r="C1690" s="651" t="s">
        <v>721</v>
      </c>
      <c r="D1690" s="651" t="s">
        <v>1898</v>
      </c>
      <c r="E1690" s="651" t="s">
        <v>143</v>
      </c>
      <c r="F1690" s="653">
        <v>0</v>
      </c>
      <c r="G1690" s="651" t="s">
        <v>650</v>
      </c>
      <c r="H1690" s="654"/>
      <c r="I1690" s="655"/>
      <c r="J1690" s="655"/>
      <c r="K1690" s="653">
        <v>0</v>
      </c>
      <c r="L1690" s="656">
        <v>0</v>
      </c>
    </row>
    <row r="1691" spans="1:12" ht="42" x14ac:dyDescent="0.25">
      <c r="A1691" s="651" t="s">
        <v>100</v>
      </c>
      <c r="B1691" s="652">
        <v>2021</v>
      </c>
      <c r="C1691" s="651" t="s">
        <v>721</v>
      </c>
      <c r="D1691" s="651" t="s">
        <v>1899</v>
      </c>
      <c r="E1691" s="651" t="s">
        <v>182</v>
      </c>
      <c r="F1691" s="653">
        <v>0</v>
      </c>
      <c r="G1691" s="651" t="s">
        <v>650</v>
      </c>
      <c r="H1691" s="654"/>
      <c r="I1691" s="653">
        <v>-1477802.125</v>
      </c>
      <c r="J1691" s="653">
        <v>1425445.625</v>
      </c>
      <c r="K1691" s="653">
        <v>-52356.51171875</v>
      </c>
      <c r="L1691" s="656">
        <v>-52356.51</v>
      </c>
    </row>
    <row r="1692" spans="1:12" ht="42" x14ac:dyDescent="0.25">
      <c r="A1692" s="651" t="s">
        <v>100</v>
      </c>
      <c r="B1692" s="652">
        <v>2021</v>
      </c>
      <c r="C1692" s="651" t="s">
        <v>721</v>
      </c>
      <c r="D1692" s="651" t="s">
        <v>1900</v>
      </c>
      <c r="E1692" s="651" t="s">
        <v>394</v>
      </c>
      <c r="F1692" s="653">
        <v>0</v>
      </c>
      <c r="G1692" s="651" t="s">
        <v>650</v>
      </c>
      <c r="H1692" s="654"/>
      <c r="I1692" s="653">
        <v>-17456.5390625</v>
      </c>
      <c r="J1692" s="653">
        <v>-63222.94140625</v>
      </c>
      <c r="K1692" s="653">
        <v>-80679.4765625</v>
      </c>
      <c r="L1692" s="656">
        <v>-80679.48</v>
      </c>
    </row>
    <row r="1693" spans="1:12" ht="42" x14ac:dyDescent="0.25">
      <c r="A1693" s="651" t="s">
        <v>100</v>
      </c>
      <c r="B1693" s="652">
        <v>2021</v>
      </c>
      <c r="C1693" s="651" t="s">
        <v>721</v>
      </c>
      <c r="D1693" s="651" t="s">
        <v>1901</v>
      </c>
      <c r="E1693" s="651" t="s">
        <v>423</v>
      </c>
      <c r="F1693" s="653">
        <v>0</v>
      </c>
      <c r="G1693" s="651" t="s">
        <v>650</v>
      </c>
      <c r="H1693" s="654"/>
      <c r="I1693" s="653">
        <v>164266.296875</v>
      </c>
      <c r="J1693" s="653">
        <v>-169736.234375</v>
      </c>
      <c r="K1693" s="653">
        <v>-5469.9501953125</v>
      </c>
      <c r="L1693" s="656">
        <v>-5469.9499999999798</v>
      </c>
    </row>
    <row r="1694" spans="1:12" ht="42" x14ac:dyDescent="0.25">
      <c r="A1694" s="651" t="s">
        <v>100</v>
      </c>
      <c r="B1694" s="652">
        <v>2021</v>
      </c>
      <c r="C1694" s="651" t="s">
        <v>721</v>
      </c>
      <c r="D1694" s="651" t="s">
        <v>3268</v>
      </c>
      <c r="E1694" s="651" t="s">
        <v>441</v>
      </c>
      <c r="F1694" s="653">
        <v>0</v>
      </c>
      <c r="G1694" s="651" t="s">
        <v>650</v>
      </c>
      <c r="H1694" s="654"/>
      <c r="I1694" s="655"/>
      <c r="J1694" s="655"/>
      <c r="K1694" s="653">
        <v>0</v>
      </c>
      <c r="L1694" s="656">
        <v>0</v>
      </c>
    </row>
    <row r="1695" spans="1:12" ht="42" x14ac:dyDescent="0.25">
      <c r="A1695" s="651" t="s">
        <v>100</v>
      </c>
      <c r="B1695" s="652">
        <v>2021</v>
      </c>
      <c r="C1695" s="651" t="s">
        <v>721</v>
      </c>
      <c r="D1695" s="651" t="s">
        <v>1902</v>
      </c>
      <c r="E1695" s="651" t="s">
        <v>737</v>
      </c>
      <c r="F1695" s="653">
        <v>-36779.129999999997</v>
      </c>
      <c r="G1695" s="654"/>
      <c r="H1695" s="654"/>
      <c r="I1695" s="655"/>
      <c r="J1695" s="655"/>
      <c r="K1695" s="653">
        <v>0</v>
      </c>
      <c r="L1695" s="656">
        <v>-36779.129999999997</v>
      </c>
    </row>
    <row r="1696" spans="1:12" ht="14.5" x14ac:dyDescent="0.25">
      <c r="A1696" s="651" t="s">
        <v>100</v>
      </c>
      <c r="B1696" s="652">
        <v>2021</v>
      </c>
      <c r="C1696" s="651" t="s">
        <v>738</v>
      </c>
      <c r="D1696" s="651" t="s">
        <v>1903</v>
      </c>
      <c r="E1696" s="651" t="s">
        <v>7</v>
      </c>
      <c r="F1696" s="653">
        <v>0</v>
      </c>
      <c r="G1696" s="654"/>
      <c r="H1696" s="651" t="s">
        <v>650</v>
      </c>
      <c r="I1696" s="655"/>
      <c r="J1696" s="655"/>
      <c r="K1696" s="653">
        <v>0</v>
      </c>
      <c r="L1696" s="656">
        <v>0</v>
      </c>
    </row>
    <row r="1697" spans="1:12" ht="21" x14ac:dyDescent="0.25">
      <c r="A1697" s="651" t="s">
        <v>101</v>
      </c>
      <c r="B1697" s="652">
        <v>2021</v>
      </c>
      <c r="C1697" s="651" t="s">
        <v>647</v>
      </c>
      <c r="D1697" s="651" t="s">
        <v>1904</v>
      </c>
      <c r="E1697" s="651" t="s">
        <v>649</v>
      </c>
      <c r="F1697" s="653">
        <v>457982.41</v>
      </c>
      <c r="G1697" s="654"/>
      <c r="H1697" s="651" t="s">
        <v>650</v>
      </c>
      <c r="I1697" s="655"/>
      <c r="J1697" s="655"/>
      <c r="K1697" s="653">
        <v>0</v>
      </c>
      <c r="L1697" s="656">
        <v>457982.41</v>
      </c>
    </row>
    <row r="1698" spans="1:12" ht="14.5" x14ac:dyDescent="0.25">
      <c r="A1698" s="651" t="s">
        <v>101</v>
      </c>
      <c r="B1698" s="652">
        <v>2021</v>
      </c>
      <c r="C1698" s="651" t="s">
        <v>651</v>
      </c>
      <c r="D1698" s="651" t="s">
        <v>1905</v>
      </c>
      <c r="E1698" s="651" t="s">
        <v>653</v>
      </c>
      <c r="F1698" s="653">
        <v>-1566.27</v>
      </c>
      <c r="G1698" s="654"/>
      <c r="H1698" s="651" t="s">
        <v>650</v>
      </c>
      <c r="I1698" s="655"/>
      <c r="J1698" s="655"/>
      <c r="K1698" s="653">
        <v>0</v>
      </c>
      <c r="L1698" s="656">
        <v>-1566.27</v>
      </c>
    </row>
    <row r="1699" spans="1:12" ht="42" x14ac:dyDescent="0.25">
      <c r="A1699" s="651" t="s">
        <v>101</v>
      </c>
      <c r="B1699" s="652">
        <v>2021</v>
      </c>
      <c r="C1699" s="651" t="s">
        <v>654</v>
      </c>
      <c r="D1699" s="651" t="s">
        <v>1906</v>
      </c>
      <c r="E1699" s="651" t="s">
        <v>445</v>
      </c>
      <c r="F1699" s="653">
        <v>0</v>
      </c>
      <c r="G1699" s="654"/>
      <c r="H1699" s="651" t="s">
        <v>650</v>
      </c>
      <c r="I1699" s="655"/>
      <c r="J1699" s="655"/>
      <c r="K1699" s="653">
        <v>0</v>
      </c>
      <c r="L1699" s="656">
        <v>0</v>
      </c>
    </row>
    <row r="1700" spans="1:12" ht="21" x14ac:dyDescent="0.25">
      <c r="A1700" s="651" t="s">
        <v>101</v>
      </c>
      <c r="B1700" s="652">
        <v>2021</v>
      </c>
      <c r="C1700" s="651" t="s">
        <v>656</v>
      </c>
      <c r="D1700" s="651" t="s">
        <v>1907</v>
      </c>
      <c r="E1700" s="651" t="s">
        <v>658</v>
      </c>
      <c r="F1700" s="653">
        <v>0</v>
      </c>
      <c r="G1700" s="654"/>
      <c r="H1700" s="651" t="s">
        <v>650</v>
      </c>
      <c r="I1700" s="655"/>
      <c r="J1700" s="655"/>
      <c r="K1700" s="653">
        <v>0</v>
      </c>
      <c r="L1700" s="656">
        <v>0</v>
      </c>
    </row>
    <row r="1701" spans="1:12" ht="31.5" x14ac:dyDescent="0.25">
      <c r="A1701" s="651" t="s">
        <v>101</v>
      </c>
      <c r="B1701" s="652">
        <v>2021</v>
      </c>
      <c r="C1701" s="651" t="s">
        <v>659</v>
      </c>
      <c r="D1701" s="651" t="s">
        <v>1908</v>
      </c>
      <c r="E1701" s="651" t="s">
        <v>661</v>
      </c>
      <c r="F1701" s="653">
        <v>257558.07</v>
      </c>
      <c r="G1701" s="654"/>
      <c r="H1701" s="651" t="s">
        <v>650</v>
      </c>
      <c r="I1701" s="655"/>
      <c r="J1701" s="655"/>
      <c r="K1701" s="653">
        <v>0</v>
      </c>
      <c r="L1701" s="656">
        <v>257558.07</v>
      </c>
    </row>
    <row r="1702" spans="1:12" ht="21" x14ac:dyDescent="0.25">
      <c r="A1702" s="651" t="s">
        <v>101</v>
      </c>
      <c r="B1702" s="652">
        <v>2021</v>
      </c>
      <c r="C1702" s="651" t="s">
        <v>662</v>
      </c>
      <c r="D1702" s="651" t="s">
        <v>1909</v>
      </c>
      <c r="E1702" s="651" t="s">
        <v>664</v>
      </c>
      <c r="F1702" s="653">
        <v>0</v>
      </c>
      <c r="G1702" s="654"/>
      <c r="H1702" s="651" t="s">
        <v>650</v>
      </c>
      <c r="I1702" s="655"/>
      <c r="J1702" s="655"/>
      <c r="K1702" s="653">
        <v>0</v>
      </c>
      <c r="L1702" s="656">
        <v>0</v>
      </c>
    </row>
    <row r="1703" spans="1:12" ht="31.5" x14ac:dyDescent="0.25">
      <c r="A1703" s="651" t="s">
        <v>101</v>
      </c>
      <c r="B1703" s="652">
        <v>2021</v>
      </c>
      <c r="C1703" s="651" t="s">
        <v>665</v>
      </c>
      <c r="D1703" s="651" t="s">
        <v>1910</v>
      </c>
      <c r="E1703" s="651" t="s">
        <v>667</v>
      </c>
      <c r="F1703" s="653">
        <v>0</v>
      </c>
      <c r="G1703" s="654"/>
      <c r="H1703" s="651" t="s">
        <v>650</v>
      </c>
      <c r="I1703" s="655"/>
      <c r="J1703" s="655"/>
      <c r="K1703" s="653">
        <v>0</v>
      </c>
      <c r="L1703" s="656">
        <v>0</v>
      </c>
    </row>
    <row r="1704" spans="1:12" ht="21" x14ac:dyDescent="0.25">
      <c r="A1704" s="651" t="s">
        <v>101</v>
      </c>
      <c r="B1704" s="652">
        <v>2021</v>
      </c>
      <c r="C1704" s="651" t="s">
        <v>668</v>
      </c>
      <c r="D1704" s="651" t="s">
        <v>1911</v>
      </c>
      <c r="E1704" s="651" t="s">
        <v>12</v>
      </c>
      <c r="F1704" s="653">
        <v>0</v>
      </c>
      <c r="G1704" s="654"/>
      <c r="H1704" s="651" t="s">
        <v>650</v>
      </c>
      <c r="I1704" s="655"/>
      <c r="J1704" s="655"/>
      <c r="K1704" s="653">
        <v>0</v>
      </c>
      <c r="L1704" s="656">
        <v>0</v>
      </c>
    </row>
    <row r="1705" spans="1:12" ht="21" x14ac:dyDescent="0.25">
      <c r="A1705" s="651" t="s">
        <v>101</v>
      </c>
      <c r="B1705" s="652">
        <v>2021</v>
      </c>
      <c r="C1705" s="651" t="s">
        <v>670</v>
      </c>
      <c r="D1705" s="651" t="s">
        <v>1912</v>
      </c>
      <c r="E1705" s="651" t="s">
        <v>13</v>
      </c>
      <c r="F1705" s="653">
        <v>0</v>
      </c>
      <c r="G1705" s="654"/>
      <c r="H1705" s="651" t="s">
        <v>650</v>
      </c>
      <c r="I1705" s="655"/>
      <c r="J1705" s="655"/>
      <c r="K1705" s="653">
        <v>0</v>
      </c>
      <c r="L1705" s="656">
        <v>0</v>
      </c>
    </row>
    <row r="1706" spans="1:12" ht="21" x14ac:dyDescent="0.25">
      <c r="A1706" s="651" t="s">
        <v>101</v>
      </c>
      <c r="B1706" s="652">
        <v>2021</v>
      </c>
      <c r="C1706" s="651" t="s">
        <v>672</v>
      </c>
      <c r="D1706" s="651" t="s">
        <v>1913</v>
      </c>
      <c r="E1706" s="651" t="s">
        <v>15</v>
      </c>
      <c r="F1706" s="653">
        <v>0</v>
      </c>
      <c r="G1706" s="654"/>
      <c r="H1706" s="651" t="s">
        <v>650</v>
      </c>
      <c r="I1706" s="655"/>
      <c r="J1706" s="655"/>
      <c r="K1706" s="653">
        <v>0</v>
      </c>
      <c r="L1706" s="656">
        <v>0</v>
      </c>
    </row>
    <row r="1707" spans="1:12" ht="14.5" x14ac:dyDescent="0.25">
      <c r="A1707" s="651" t="s">
        <v>101</v>
      </c>
      <c r="B1707" s="652">
        <v>2021</v>
      </c>
      <c r="C1707" s="651" t="s">
        <v>674</v>
      </c>
      <c r="D1707" s="651" t="s">
        <v>1914</v>
      </c>
      <c r="E1707" s="651" t="s">
        <v>676</v>
      </c>
      <c r="F1707" s="653">
        <v>-617.9</v>
      </c>
      <c r="G1707" s="654"/>
      <c r="H1707" s="651" t="s">
        <v>650</v>
      </c>
      <c r="I1707" s="655"/>
      <c r="J1707" s="655"/>
      <c r="K1707" s="653">
        <v>0</v>
      </c>
      <c r="L1707" s="656">
        <v>-617.9</v>
      </c>
    </row>
    <row r="1708" spans="1:12" ht="14.5" x14ac:dyDescent="0.25">
      <c r="A1708" s="651" t="s">
        <v>101</v>
      </c>
      <c r="B1708" s="652">
        <v>2021</v>
      </c>
      <c r="C1708" s="651" t="s">
        <v>677</v>
      </c>
      <c r="D1708" s="651" t="s">
        <v>1915</v>
      </c>
      <c r="E1708" s="651" t="s">
        <v>23</v>
      </c>
      <c r="F1708" s="653">
        <v>34422.76</v>
      </c>
      <c r="G1708" s="651" t="s">
        <v>650</v>
      </c>
      <c r="H1708" s="654"/>
      <c r="I1708" s="653">
        <v>34961.3203125</v>
      </c>
      <c r="J1708" s="653">
        <v>-538.55999755859398</v>
      </c>
      <c r="K1708" s="653">
        <v>34422.76171875</v>
      </c>
      <c r="L1708" s="656">
        <v>34422.76</v>
      </c>
    </row>
    <row r="1709" spans="1:12" ht="31.5" x14ac:dyDescent="0.25">
      <c r="A1709" s="651" t="s">
        <v>101</v>
      </c>
      <c r="B1709" s="652">
        <v>2021</v>
      </c>
      <c r="C1709" s="651" t="s">
        <v>679</v>
      </c>
      <c r="D1709" s="651" t="s">
        <v>1916</v>
      </c>
      <c r="E1709" s="651" t="s">
        <v>131</v>
      </c>
      <c r="F1709" s="653">
        <v>-4710.57</v>
      </c>
      <c r="G1709" s="651" t="s">
        <v>650</v>
      </c>
      <c r="H1709" s="654"/>
      <c r="I1709" s="653">
        <v>-4681.64013671875</v>
      </c>
      <c r="J1709" s="653">
        <v>-28.930000305175799</v>
      </c>
      <c r="K1709" s="653">
        <v>-4710.56982421875</v>
      </c>
      <c r="L1709" s="656">
        <v>-4710.57</v>
      </c>
    </row>
    <row r="1710" spans="1:12" ht="31.5" x14ac:dyDescent="0.25">
      <c r="A1710" s="651" t="s">
        <v>101</v>
      </c>
      <c r="B1710" s="652">
        <v>2021</v>
      </c>
      <c r="C1710" s="651" t="s">
        <v>681</v>
      </c>
      <c r="D1710" s="651" t="s">
        <v>1917</v>
      </c>
      <c r="E1710" s="651" t="s">
        <v>683</v>
      </c>
      <c r="F1710" s="653">
        <v>0</v>
      </c>
      <c r="G1710" s="654"/>
      <c r="H1710" s="651" t="s">
        <v>650</v>
      </c>
      <c r="I1710" s="655"/>
      <c r="J1710" s="655"/>
      <c r="K1710" s="653">
        <v>0</v>
      </c>
      <c r="L1710" s="656">
        <v>0</v>
      </c>
    </row>
    <row r="1711" spans="1:12" ht="21" x14ac:dyDescent="0.25">
      <c r="A1711" s="651" t="s">
        <v>101</v>
      </c>
      <c r="B1711" s="652">
        <v>2021</v>
      </c>
      <c r="C1711" s="651" t="s">
        <v>681</v>
      </c>
      <c r="D1711" s="651" t="s">
        <v>1917</v>
      </c>
      <c r="E1711" s="651" t="s">
        <v>684</v>
      </c>
      <c r="F1711" s="653">
        <v>0</v>
      </c>
      <c r="G1711" s="654"/>
      <c r="H1711" s="651" t="s">
        <v>650</v>
      </c>
      <c r="I1711" s="655"/>
      <c r="J1711" s="655"/>
      <c r="K1711" s="653">
        <v>0</v>
      </c>
      <c r="L1711" s="656">
        <v>0</v>
      </c>
    </row>
    <row r="1712" spans="1:12" ht="21" x14ac:dyDescent="0.25">
      <c r="A1712" s="651" t="s">
        <v>101</v>
      </c>
      <c r="B1712" s="652">
        <v>2021</v>
      </c>
      <c r="C1712" s="651" t="s">
        <v>685</v>
      </c>
      <c r="D1712" s="651" t="s">
        <v>1918</v>
      </c>
      <c r="E1712" s="651" t="s">
        <v>687</v>
      </c>
      <c r="F1712" s="653">
        <v>0</v>
      </c>
      <c r="G1712" s="654"/>
      <c r="H1712" s="651" t="s">
        <v>650</v>
      </c>
      <c r="I1712" s="655"/>
      <c r="J1712" s="655"/>
      <c r="K1712" s="653">
        <v>0</v>
      </c>
      <c r="L1712" s="656">
        <v>0</v>
      </c>
    </row>
    <row r="1713" spans="1:12" ht="14.5" x14ac:dyDescent="0.25">
      <c r="A1713" s="651" t="s">
        <v>101</v>
      </c>
      <c r="B1713" s="652">
        <v>2021</v>
      </c>
      <c r="C1713" s="651" t="s">
        <v>688</v>
      </c>
      <c r="D1713" s="651" t="s">
        <v>1919</v>
      </c>
      <c r="E1713" s="651" t="s">
        <v>50</v>
      </c>
      <c r="F1713" s="653">
        <v>100668.39</v>
      </c>
      <c r="G1713" s="654"/>
      <c r="H1713" s="651" t="s">
        <v>650</v>
      </c>
      <c r="I1713" s="655"/>
      <c r="J1713" s="655"/>
      <c r="K1713" s="653">
        <v>0</v>
      </c>
      <c r="L1713" s="656">
        <v>100668.39</v>
      </c>
    </row>
    <row r="1714" spans="1:12" ht="21" x14ac:dyDescent="0.25">
      <c r="A1714" s="651" t="s">
        <v>101</v>
      </c>
      <c r="B1714" s="652">
        <v>2021</v>
      </c>
      <c r="C1714" s="651" t="s">
        <v>690</v>
      </c>
      <c r="D1714" s="651" t="s">
        <v>1920</v>
      </c>
      <c r="E1714" s="651" t="s">
        <v>692</v>
      </c>
      <c r="F1714" s="653">
        <v>0</v>
      </c>
      <c r="G1714" s="654"/>
      <c r="H1714" s="651" t="s">
        <v>650</v>
      </c>
      <c r="I1714" s="655"/>
      <c r="J1714" s="655"/>
      <c r="K1714" s="653">
        <v>0</v>
      </c>
      <c r="L1714" s="656">
        <v>0</v>
      </c>
    </row>
    <row r="1715" spans="1:12" ht="21" x14ac:dyDescent="0.25">
      <c r="A1715" s="651" t="s">
        <v>101</v>
      </c>
      <c r="B1715" s="652">
        <v>2021</v>
      </c>
      <c r="C1715" s="651" t="s">
        <v>693</v>
      </c>
      <c r="D1715" s="651" t="s">
        <v>1921</v>
      </c>
      <c r="E1715" s="651" t="s">
        <v>6</v>
      </c>
      <c r="F1715" s="653">
        <v>0</v>
      </c>
      <c r="G1715" s="654"/>
      <c r="H1715" s="651" t="s">
        <v>650</v>
      </c>
      <c r="I1715" s="655"/>
      <c r="J1715" s="655"/>
      <c r="K1715" s="653">
        <v>0</v>
      </c>
      <c r="L1715" s="656">
        <v>0</v>
      </c>
    </row>
    <row r="1716" spans="1:12" ht="31.5" x14ac:dyDescent="0.25">
      <c r="A1716" s="651" t="s">
        <v>101</v>
      </c>
      <c r="B1716" s="652">
        <v>2021</v>
      </c>
      <c r="C1716" s="651" t="s">
        <v>695</v>
      </c>
      <c r="D1716" s="651" t="s">
        <v>1922</v>
      </c>
      <c r="E1716" s="651" t="s">
        <v>697</v>
      </c>
      <c r="F1716" s="653">
        <v>0</v>
      </c>
      <c r="G1716" s="654"/>
      <c r="H1716" s="651" t="s">
        <v>650</v>
      </c>
      <c r="I1716" s="655"/>
      <c r="J1716" s="655"/>
      <c r="K1716" s="653">
        <v>0</v>
      </c>
      <c r="L1716" s="656">
        <v>0</v>
      </c>
    </row>
    <row r="1717" spans="1:12" ht="21" x14ac:dyDescent="0.25">
      <c r="A1717" s="651" t="s">
        <v>101</v>
      </c>
      <c r="B1717" s="652">
        <v>2021</v>
      </c>
      <c r="C1717" s="651" t="s">
        <v>698</v>
      </c>
      <c r="D1717" s="651" t="s">
        <v>1923</v>
      </c>
      <c r="E1717" s="651" t="s">
        <v>700</v>
      </c>
      <c r="F1717" s="653">
        <v>-6843.68</v>
      </c>
      <c r="G1717" s="654"/>
      <c r="H1717" s="651" t="s">
        <v>650</v>
      </c>
      <c r="I1717" s="655"/>
      <c r="J1717" s="655"/>
      <c r="K1717" s="653">
        <v>0</v>
      </c>
      <c r="L1717" s="656">
        <v>-6843.68</v>
      </c>
    </row>
    <row r="1718" spans="1:12" ht="21" x14ac:dyDescent="0.25">
      <c r="A1718" s="651" t="s">
        <v>101</v>
      </c>
      <c r="B1718" s="652">
        <v>2021</v>
      </c>
      <c r="C1718" s="651" t="s">
        <v>701</v>
      </c>
      <c r="D1718" s="651" t="s">
        <v>1924</v>
      </c>
      <c r="E1718" s="651" t="s">
        <v>1</v>
      </c>
      <c r="F1718" s="653">
        <v>-392762.15</v>
      </c>
      <c r="G1718" s="651" t="s">
        <v>650</v>
      </c>
      <c r="H1718" s="654"/>
      <c r="I1718" s="653">
        <v>-388952.3125</v>
      </c>
      <c r="J1718" s="653">
        <v>-3809.85009765625</v>
      </c>
      <c r="K1718" s="653">
        <v>-392762.15625</v>
      </c>
      <c r="L1718" s="656">
        <v>-392762.15</v>
      </c>
    </row>
    <row r="1719" spans="1:12" ht="21" x14ac:dyDescent="0.25">
      <c r="A1719" s="651" t="s">
        <v>101</v>
      </c>
      <c r="B1719" s="652">
        <v>2021</v>
      </c>
      <c r="C1719" s="651" t="s">
        <v>701</v>
      </c>
      <c r="D1719" s="651" t="s">
        <v>1924</v>
      </c>
      <c r="E1719" s="651" t="s">
        <v>703</v>
      </c>
      <c r="F1719" s="653">
        <v>0</v>
      </c>
      <c r="G1719" s="654"/>
      <c r="H1719" s="654"/>
      <c r="I1719" s="655"/>
      <c r="J1719" s="655"/>
      <c r="K1719" s="653">
        <v>0</v>
      </c>
      <c r="L1719" s="656">
        <v>0</v>
      </c>
    </row>
    <row r="1720" spans="1:12" ht="21" x14ac:dyDescent="0.25">
      <c r="A1720" s="651" t="s">
        <v>101</v>
      </c>
      <c r="B1720" s="652">
        <v>2021</v>
      </c>
      <c r="C1720" s="651" t="s">
        <v>701</v>
      </c>
      <c r="D1720" s="651" t="s">
        <v>1924</v>
      </c>
      <c r="E1720" s="651" t="s">
        <v>704</v>
      </c>
      <c r="F1720" s="653">
        <v>0</v>
      </c>
      <c r="G1720" s="654"/>
      <c r="H1720" s="654"/>
      <c r="I1720" s="655"/>
      <c r="J1720" s="655"/>
      <c r="K1720" s="653">
        <v>0</v>
      </c>
      <c r="L1720" s="656">
        <v>0</v>
      </c>
    </row>
    <row r="1721" spans="1:12" ht="21" x14ac:dyDescent="0.25">
      <c r="A1721" s="651" t="s">
        <v>101</v>
      </c>
      <c r="B1721" s="652">
        <v>2021</v>
      </c>
      <c r="C1721" s="651" t="s">
        <v>701</v>
      </c>
      <c r="D1721" s="651" t="s">
        <v>1924</v>
      </c>
      <c r="E1721" s="651" t="s">
        <v>705</v>
      </c>
      <c r="F1721" s="653">
        <v>-597.65</v>
      </c>
      <c r="G1721" s="654"/>
      <c r="H1721" s="654"/>
      <c r="I1721" s="655"/>
      <c r="J1721" s="655"/>
      <c r="K1721" s="653">
        <v>0</v>
      </c>
      <c r="L1721" s="656">
        <v>-597.65</v>
      </c>
    </row>
    <row r="1722" spans="1:12" ht="21" x14ac:dyDescent="0.25">
      <c r="A1722" s="651" t="s">
        <v>101</v>
      </c>
      <c r="B1722" s="652">
        <v>2021</v>
      </c>
      <c r="C1722" s="651" t="s">
        <v>701</v>
      </c>
      <c r="D1722" s="651" t="s">
        <v>1924</v>
      </c>
      <c r="E1722" s="651" t="s">
        <v>706</v>
      </c>
      <c r="F1722" s="653">
        <v>-15505.29</v>
      </c>
      <c r="G1722" s="654"/>
      <c r="H1722" s="654"/>
      <c r="I1722" s="655"/>
      <c r="J1722" s="655"/>
      <c r="K1722" s="653">
        <v>0</v>
      </c>
      <c r="L1722" s="656">
        <v>-15505.29</v>
      </c>
    </row>
    <row r="1723" spans="1:12" ht="14.5" x14ac:dyDescent="0.25">
      <c r="A1723" s="651" t="s">
        <v>101</v>
      </c>
      <c r="B1723" s="652">
        <v>2021</v>
      </c>
      <c r="C1723" s="651" t="s">
        <v>707</v>
      </c>
      <c r="D1723" s="651" t="s">
        <v>1925</v>
      </c>
      <c r="E1723" s="651" t="s">
        <v>709</v>
      </c>
      <c r="F1723" s="653">
        <v>0</v>
      </c>
      <c r="G1723" s="654"/>
      <c r="H1723" s="651" t="s">
        <v>650</v>
      </c>
      <c r="I1723" s="655"/>
      <c r="J1723" s="655"/>
      <c r="K1723" s="653">
        <v>0</v>
      </c>
      <c r="L1723" s="656">
        <v>0</v>
      </c>
    </row>
    <row r="1724" spans="1:12" ht="31.5" x14ac:dyDescent="0.25">
      <c r="A1724" s="651" t="s">
        <v>101</v>
      </c>
      <c r="B1724" s="652">
        <v>2021</v>
      </c>
      <c r="C1724" s="651" t="s">
        <v>710</v>
      </c>
      <c r="D1724" s="651" t="s">
        <v>1926</v>
      </c>
      <c r="E1724" s="651" t="s">
        <v>2</v>
      </c>
      <c r="F1724" s="653">
        <v>8958.7999999999993</v>
      </c>
      <c r="G1724" s="651" t="s">
        <v>650</v>
      </c>
      <c r="H1724" s="654"/>
      <c r="I1724" s="653">
        <v>9634.0400390625</v>
      </c>
      <c r="J1724" s="653">
        <v>-675.239990234375</v>
      </c>
      <c r="K1724" s="653">
        <v>8958.7998046875</v>
      </c>
      <c r="L1724" s="656">
        <v>8958.7999999999993</v>
      </c>
    </row>
    <row r="1725" spans="1:12" ht="31.5" x14ac:dyDescent="0.25">
      <c r="A1725" s="651" t="s">
        <v>101</v>
      </c>
      <c r="B1725" s="652">
        <v>2021</v>
      </c>
      <c r="C1725" s="651" t="s">
        <v>712</v>
      </c>
      <c r="D1725" s="651" t="s">
        <v>1927</v>
      </c>
      <c r="E1725" s="651" t="s">
        <v>3</v>
      </c>
      <c r="F1725" s="653">
        <v>84824.07</v>
      </c>
      <c r="G1725" s="651" t="s">
        <v>650</v>
      </c>
      <c r="H1725" s="654"/>
      <c r="I1725" s="653">
        <v>84493.34375</v>
      </c>
      <c r="J1725" s="653">
        <v>330.73001098632801</v>
      </c>
      <c r="K1725" s="653">
        <v>84824.0703125</v>
      </c>
      <c r="L1725" s="656">
        <v>84824.07</v>
      </c>
    </row>
    <row r="1726" spans="1:12" ht="31.5" x14ac:dyDescent="0.25">
      <c r="A1726" s="651" t="s">
        <v>101</v>
      </c>
      <c r="B1726" s="652">
        <v>2021</v>
      </c>
      <c r="C1726" s="651" t="s">
        <v>714</v>
      </c>
      <c r="D1726" s="651" t="s">
        <v>1928</v>
      </c>
      <c r="E1726" s="651" t="s">
        <v>38</v>
      </c>
      <c r="F1726" s="653">
        <v>-776647.32</v>
      </c>
      <c r="G1726" s="651" t="s">
        <v>650</v>
      </c>
      <c r="H1726" s="654"/>
      <c r="I1726" s="653">
        <v>-767084.875</v>
      </c>
      <c r="J1726" s="653">
        <v>-9562.4697265625</v>
      </c>
      <c r="K1726" s="653">
        <v>-776647.3125</v>
      </c>
      <c r="L1726" s="656">
        <v>-776647.32</v>
      </c>
    </row>
    <row r="1727" spans="1:12" ht="21" x14ac:dyDescent="0.25">
      <c r="A1727" s="651" t="s">
        <v>101</v>
      </c>
      <c r="B1727" s="652">
        <v>2021</v>
      </c>
      <c r="C1727" s="651" t="s">
        <v>716</v>
      </c>
      <c r="D1727" s="651" t="s">
        <v>1929</v>
      </c>
      <c r="E1727" s="651" t="s">
        <v>66</v>
      </c>
      <c r="F1727" s="653">
        <v>110650.21</v>
      </c>
      <c r="G1727" s="651" t="s">
        <v>650</v>
      </c>
      <c r="H1727" s="654"/>
      <c r="I1727" s="653">
        <v>215407.34375</v>
      </c>
      <c r="J1727" s="653">
        <v>-104757.1328125</v>
      </c>
      <c r="K1727" s="653">
        <v>110650.2109375</v>
      </c>
      <c r="L1727" s="656">
        <v>110650.21</v>
      </c>
    </row>
    <row r="1728" spans="1:12" ht="31.5" x14ac:dyDescent="0.25">
      <c r="A1728" s="651" t="s">
        <v>101</v>
      </c>
      <c r="B1728" s="652">
        <v>2021</v>
      </c>
      <c r="C1728" s="651" t="s">
        <v>718</v>
      </c>
      <c r="D1728" s="651" t="s">
        <v>1930</v>
      </c>
      <c r="E1728" s="651" t="s">
        <v>720</v>
      </c>
      <c r="F1728" s="653">
        <v>-21.32</v>
      </c>
      <c r="G1728" s="654"/>
      <c r="H1728" s="651" t="s">
        <v>650</v>
      </c>
      <c r="I1728" s="655"/>
      <c r="J1728" s="655"/>
      <c r="K1728" s="653">
        <v>0</v>
      </c>
      <c r="L1728" s="656">
        <v>-21.32</v>
      </c>
    </row>
    <row r="1729" spans="1:12" ht="42" x14ac:dyDescent="0.25">
      <c r="A1729" s="651" t="s">
        <v>101</v>
      </c>
      <c r="B1729" s="652">
        <v>2021</v>
      </c>
      <c r="C1729" s="651" t="s">
        <v>721</v>
      </c>
      <c r="D1729" s="651" t="s">
        <v>1931</v>
      </c>
      <c r="E1729" s="651" t="s">
        <v>3016</v>
      </c>
      <c r="F1729" s="653">
        <v>0</v>
      </c>
      <c r="G1729" s="651" t="s">
        <v>650</v>
      </c>
      <c r="H1729" s="654"/>
      <c r="I1729" s="653">
        <v>-614018.5625</v>
      </c>
      <c r="J1729" s="653">
        <v>479493.125</v>
      </c>
      <c r="K1729" s="653">
        <v>-134525.484375</v>
      </c>
      <c r="L1729" s="656">
        <v>-134525.48000000001</v>
      </c>
    </row>
    <row r="1730" spans="1:12" ht="42" x14ac:dyDescent="0.25">
      <c r="A1730" s="651" t="s">
        <v>101</v>
      </c>
      <c r="B1730" s="652">
        <v>2021</v>
      </c>
      <c r="C1730" s="651" t="s">
        <v>721</v>
      </c>
      <c r="D1730" s="651" t="s">
        <v>1931</v>
      </c>
      <c r="E1730" s="651" t="s">
        <v>3058</v>
      </c>
      <c r="F1730" s="653">
        <v>0</v>
      </c>
      <c r="G1730" s="651" t="s">
        <v>650</v>
      </c>
      <c r="H1730" s="654"/>
      <c r="I1730" s="653">
        <v>480073.375</v>
      </c>
      <c r="J1730" s="653">
        <v>121706.2578125</v>
      </c>
      <c r="K1730" s="653">
        <v>601779.625</v>
      </c>
      <c r="L1730" s="656">
        <v>601779.62</v>
      </c>
    </row>
    <row r="1731" spans="1:12" ht="42" x14ac:dyDescent="0.25">
      <c r="A1731" s="651" t="s">
        <v>101</v>
      </c>
      <c r="B1731" s="652">
        <v>2021</v>
      </c>
      <c r="C1731" s="651" t="s">
        <v>721</v>
      </c>
      <c r="D1731" s="651" t="s">
        <v>1932</v>
      </c>
      <c r="E1731" s="651" t="s">
        <v>724</v>
      </c>
      <c r="F1731" s="653">
        <v>0</v>
      </c>
      <c r="G1731" s="651" t="s">
        <v>650</v>
      </c>
      <c r="H1731" s="654"/>
      <c r="I1731" s="655"/>
      <c r="J1731" s="655"/>
      <c r="K1731" s="653">
        <v>0</v>
      </c>
      <c r="L1731" s="656">
        <v>0</v>
      </c>
    </row>
    <row r="1732" spans="1:12" ht="42" x14ac:dyDescent="0.25">
      <c r="A1732" s="651" t="s">
        <v>101</v>
      </c>
      <c r="B1732" s="652">
        <v>2021</v>
      </c>
      <c r="C1732" s="651" t="s">
        <v>721</v>
      </c>
      <c r="D1732" s="651" t="s">
        <v>1933</v>
      </c>
      <c r="E1732" s="651" t="s">
        <v>55</v>
      </c>
      <c r="F1732" s="653">
        <v>0</v>
      </c>
      <c r="G1732" s="651" t="s">
        <v>650</v>
      </c>
      <c r="H1732" s="654"/>
      <c r="I1732" s="655"/>
      <c r="J1732" s="655"/>
      <c r="K1732" s="653">
        <v>0</v>
      </c>
      <c r="L1732" s="656">
        <v>0</v>
      </c>
    </row>
    <row r="1733" spans="1:12" ht="42" x14ac:dyDescent="0.25">
      <c r="A1733" s="651" t="s">
        <v>101</v>
      </c>
      <c r="B1733" s="652">
        <v>2021</v>
      </c>
      <c r="C1733" s="651" t="s">
        <v>721</v>
      </c>
      <c r="D1733" s="651" t="s">
        <v>1934</v>
      </c>
      <c r="E1733" s="651" t="s">
        <v>56</v>
      </c>
      <c r="F1733" s="653">
        <v>0</v>
      </c>
      <c r="G1733" s="651" t="s">
        <v>650</v>
      </c>
      <c r="H1733" s="654"/>
      <c r="I1733" s="655"/>
      <c r="J1733" s="655"/>
      <c r="K1733" s="653">
        <v>0</v>
      </c>
      <c r="L1733" s="656">
        <v>0</v>
      </c>
    </row>
    <row r="1734" spans="1:12" ht="42" x14ac:dyDescent="0.25">
      <c r="A1734" s="651" t="s">
        <v>101</v>
      </c>
      <c r="B1734" s="652">
        <v>2021</v>
      </c>
      <c r="C1734" s="651" t="s">
        <v>721</v>
      </c>
      <c r="D1734" s="651" t="s">
        <v>1935</v>
      </c>
      <c r="E1734" s="651" t="s">
        <v>728</v>
      </c>
      <c r="F1734" s="653">
        <v>0</v>
      </c>
      <c r="G1734" s="651" t="s">
        <v>650</v>
      </c>
      <c r="H1734" s="654"/>
      <c r="I1734" s="655"/>
      <c r="J1734" s="655"/>
      <c r="K1734" s="653">
        <v>0</v>
      </c>
      <c r="L1734" s="656">
        <v>0</v>
      </c>
    </row>
    <row r="1735" spans="1:12" ht="42" x14ac:dyDescent="0.25">
      <c r="A1735" s="651" t="s">
        <v>101</v>
      </c>
      <c r="B1735" s="652">
        <v>2021</v>
      </c>
      <c r="C1735" s="651" t="s">
        <v>721</v>
      </c>
      <c r="D1735" s="651" t="s">
        <v>1936</v>
      </c>
      <c r="E1735" s="651" t="s">
        <v>730</v>
      </c>
      <c r="F1735" s="653">
        <v>0</v>
      </c>
      <c r="G1735" s="651" t="s">
        <v>650</v>
      </c>
      <c r="H1735" s="654"/>
      <c r="I1735" s="655"/>
      <c r="J1735" s="655"/>
      <c r="K1735" s="653">
        <v>0</v>
      </c>
      <c r="L1735" s="656">
        <v>0</v>
      </c>
    </row>
    <row r="1736" spans="1:12" ht="42" x14ac:dyDescent="0.25">
      <c r="A1736" s="651" t="s">
        <v>101</v>
      </c>
      <c r="B1736" s="652">
        <v>2021</v>
      </c>
      <c r="C1736" s="651" t="s">
        <v>721</v>
      </c>
      <c r="D1736" s="651" t="s">
        <v>1937</v>
      </c>
      <c r="E1736" s="651" t="s">
        <v>142</v>
      </c>
      <c r="F1736" s="653">
        <v>0</v>
      </c>
      <c r="G1736" s="651" t="s">
        <v>650</v>
      </c>
      <c r="H1736" s="654"/>
      <c r="I1736" s="655"/>
      <c r="J1736" s="655"/>
      <c r="K1736" s="653">
        <v>0</v>
      </c>
      <c r="L1736" s="656">
        <v>0</v>
      </c>
    </row>
    <row r="1737" spans="1:12" ht="42" x14ac:dyDescent="0.25">
      <c r="A1737" s="651" t="s">
        <v>101</v>
      </c>
      <c r="B1737" s="652">
        <v>2021</v>
      </c>
      <c r="C1737" s="651" t="s">
        <v>721</v>
      </c>
      <c r="D1737" s="651" t="s">
        <v>1938</v>
      </c>
      <c r="E1737" s="651" t="s">
        <v>143</v>
      </c>
      <c r="F1737" s="653">
        <v>0</v>
      </c>
      <c r="G1737" s="651" t="s">
        <v>650</v>
      </c>
      <c r="H1737" s="654"/>
      <c r="I1737" s="655"/>
      <c r="J1737" s="655"/>
      <c r="K1737" s="653">
        <v>0</v>
      </c>
      <c r="L1737" s="656">
        <v>0</v>
      </c>
    </row>
    <row r="1738" spans="1:12" ht="42" x14ac:dyDescent="0.25">
      <c r="A1738" s="651" t="s">
        <v>101</v>
      </c>
      <c r="B1738" s="652">
        <v>2021</v>
      </c>
      <c r="C1738" s="651" t="s">
        <v>721</v>
      </c>
      <c r="D1738" s="651" t="s">
        <v>1939</v>
      </c>
      <c r="E1738" s="651" t="s">
        <v>182</v>
      </c>
      <c r="F1738" s="653">
        <v>0</v>
      </c>
      <c r="G1738" s="651" t="s">
        <v>650</v>
      </c>
      <c r="H1738" s="654"/>
      <c r="I1738" s="655"/>
      <c r="J1738" s="655"/>
      <c r="K1738" s="653">
        <v>0</v>
      </c>
      <c r="L1738" s="656">
        <v>0</v>
      </c>
    </row>
    <row r="1739" spans="1:12" ht="42" x14ac:dyDescent="0.25">
      <c r="A1739" s="651" t="s">
        <v>101</v>
      </c>
      <c r="B1739" s="652">
        <v>2021</v>
      </c>
      <c r="C1739" s="651" t="s">
        <v>721</v>
      </c>
      <c r="D1739" s="651" t="s">
        <v>1940</v>
      </c>
      <c r="E1739" s="651" t="s">
        <v>394</v>
      </c>
      <c r="F1739" s="653">
        <v>0</v>
      </c>
      <c r="G1739" s="651" t="s">
        <v>650</v>
      </c>
      <c r="H1739" s="654"/>
      <c r="I1739" s="655"/>
      <c r="J1739" s="655"/>
      <c r="K1739" s="653">
        <v>0</v>
      </c>
      <c r="L1739" s="656">
        <v>0</v>
      </c>
    </row>
    <row r="1740" spans="1:12" ht="42" x14ac:dyDescent="0.25">
      <c r="A1740" s="651" t="s">
        <v>101</v>
      </c>
      <c r="B1740" s="652">
        <v>2021</v>
      </c>
      <c r="C1740" s="651" t="s">
        <v>721</v>
      </c>
      <c r="D1740" s="651" t="s">
        <v>1941</v>
      </c>
      <c r="E1740" s="651" t="s">
        <v>423</v>
      </c>
      <c r="F1740" s="653">
        <v>0</v>
      </c>
      <c r="G1740" s="651" t="s">
        <v>650</v>
      </c>
      <c r="H1740" s="654"/>
      <c r="I1740" s="655"/>
      <c r="J1740" s="655"/>
      <c r="K1740" s="653">
        <v>0</v>
      </c>
      <c r="L1740" s="656">
        <v>0</v>
      </c>
    </row>
    <row r="1741" spans="1:12" ht="42" x14ac:dyDescent="0.25">
      <c r="A1741" s="651" t="s">
        <v>101</v>
      </c>
      <c r="B1741" s="652">
        <v>2021</v>
      </c>
      <c r="C1741" s="651" t="s">
        <v>721</v>
      </c>
      <c r="D1741" s="651" t="s">
        <v>3269</v>
      </c>
      <c r="E1741" s="651" t="s">
        <v>441</v>
      </c>
      <c r="F1741" s="653">
        <v>0</v>
      </c>
      <c r="G1741" s="651" t="s">
        <v>650</v>
      </c>
      <c r="H1741" s="654"/>
      <c r="I1741" s="653">
        <v>-2545.93994140625</v>
      </c>
      <c r="J1741" s="653">
        <v>11015.48046875</v>
      </c>
      <c r="K1741" s="653">
        <v>8469.5400390625</v>
      </c>
      <c r="L1741" s="656">
        <v>8469.5400000000009</v>
      </c>
    </row>
    <row r="1742" spans="1:12" ht="42" x14ac:dyDescent="0.25">
      <c r="A1742" s="651" t="s">
        <v>101</v>
      </c>
      <c r="B1742" s="652">
        <v>2021</v>
      </c>
      <c r="C1742" s="651" t="s">
        <v>721</v>
      </c>
      <c r="D1742" s="651" t="s">
        <v>1942</v>
      </c>
      <c r="E1742" s="651" t="s">
        <v>737</v>
      </c>
      <c r="F1742" s="653">
        <v>475723.68</v>
      </c>
      <c r="G1742" s="654"/>
      <c r="H1742" s="654"/>
      <c r="I1742" s="655"/>
      <c r="J1742" s="655"/>
      <c r="K1742" s="653">
        <v>0</v>
      </c>
      <c r="L1742" s="656">
        <v>475723.68</v>
      </c>
    </row>
    <row r="1743" spans="1:12" ht="14.5" x14ac:dyDescent="0.25">
      <c r="A1743" s="651" t="s">
        <v>101</v>
      </c>
      <c r="B1743" s="652">
        <v>2021</v>
      </c>
      <c r="C1743" s="651" t="s">
        <v>738</v>
      </c>
      <c r="D1743" s="651" t="s">
        <v>1943</v>
      </c>
      <c r="E1743" s="651" t="s">
        <v>7</v>
      </c>
      <c r="F1743" s="653">
        <v>0</v>
      </c>
      <c r="G1743" s="654"/>
      <c r="H1743" s="651" t="s">
        <v>650</v>
      </c>
      <c r="I1743" s="655"/>
      <c r="J1743" s="655"/>
      <c r="K1743" s="653">
        <v>0</v>
      </c>
      <c r="L1743" s="656">
        <v>0</v>
      </c>
    </row>
    <row r="1744" spans="1:12" ht="21" x14ac:dyDescent="0.25">
      <c r="A1744" s="651" t="s">
        <v>102</v>
      </c>
      <c r="B1744" s="652">
        <v>2021</v>
      </c>
      <c r="C1744" s="651" t="s">
        <v>647</v>
      </c>
      <c r="D1744" s="651" t="s">
        <v>1944</v>
      </c>
      <c r="E1744" s="651" t="s">
        <v>649</v>
      </c>
      <c r="F1744" s="653">
        <v>8885541.5199999996</v>
      </c>
      <c r="G1744" s="654"/>
      <c r="H1744" s="651" t="s">
        <v>650</v>
      </c>
      <c r="I1744" s="655"/>
      <c r="J1744" s="655"/>
      <c r="K1744" s="653">
        <v>0</v>
      </c>
      <c r="L1744" s="656">
        <v>8885541.5199999996</v>
      </c>
    </row>
    <row r="1745" spans="1:12" ht="14.5" x14ac:dyDescent="0.25">
      <c r="A1745" s="651" t="s">
        <v>102</v>
      </c>
      <c r="B1745" s="652">
        <v>2021</v>
      </c>
      <c r="C1745" s="651" t="s">
        <v>651</v>
      </c>
      <c r="D1745" s="651" t="s">
        <v>1945</v>
      </c>
      <c r="E1745" s="651" t="s">
        <v>653</v>
      </c>
      <c r="F1745" s="653">
        <v>311258.21999999997</v>
      </c>
      <c r="G1745" s="654"/>
      <c r="H1745" s="651" t="s">
        <v>650</v>
      </c>
      <c r="I1745" s="655"/>
      <c r="J1745" s="655"/>
      <c r="K1745" s="653">
        <v>0</v>
      </c>
      <c r="L1745" s="656">
        <v>311258.21999999997</v>
      </c>
    </row>
    <row r="1746" spans="1:12" ht="42" x14ac:dyDescent="0.25">
      <c r="A1746" s="651" t="s">
        <v>102</v>
      </c>
      <c r="B1746" s="652">
        <v>2021</v>
      </c>
      <c r="C1746" s="651" t="s">
        <v>654</v>
      </c>
      <c r="D1746" s="651" t="s">
        <v>1946</v>
      </c>
      <c r="E1746" s="651" t="s">
        <v>445</v>
      </c>
      <c r="F1746" s="653">
        <v>0</v>
      </c>
      <c r="G1746" s="654"/>
      <c r="H1746" s="651" t="s">
        <v>650</v>
      </c>
      <c r="I1746" s="655"/>
      <c r="J1746" s="655"/>
      <c r="K1746" s="653">
        <v>0</v>
      </c>
      <c r="L1746" s="656">
        <v>0</v>
      </c>
    </row>
    <row r="1747" spans="1:12" ht="21" x14ac:dyDescent="0.25">
      <c r="A1747" s="651" t="s">
        <v>102</v>
      </c>
      <c r="B1747" s="652">
        <v>2021</v>
      </c>
      <c r="C1747" s="651" t="s">
        <v>656</v>
      </c>
      <c r="D1747" s="651" t="s">
        <v>1947</v>
      </c>
      <c r="E1747" s="651" t="s">
        <v>658</v>
      </c>
      <c r="F1747" s="653">
        <v>0</v>
      </c>
      <c r="G1747" s="654"/>
      <c r="H1747" s="651" t="s">
        <v>650</v>
      </c>
      <c r="I1747" s="655"/>
      <c r="J1747" s="655"/>
      <c r="K1747" s="653">
        <v>0</v>
      </c>
      <c r="L1747" s="656">
        <v>0</v>
      </c>
    </row>
    <row r="1748" spans="1:12" ht="31.5" x14ac:dyDescent="0.25">
      <c r="A1748" s="651" t="s">
        <v>102</v>
      </c>
      <c r="B1748" s="652">
        <v>2021</v>
      </c>
      <c r="C1748" s="651" t="s">
        <v>659</v>
      </c>
      <c r="D1748" s="651" t="s">
        <v>1948</v>
      </c>
      <c r="E1748" s="651" t="s">
        <v>661</v>
      </c>
      <c r="F1748" s="653">
        <v>0</v>
      </c>
      <c r="G1748" s="654"/>
      <c r="H1748" s="651" t="s">
        <v>650</v>
      </c>
      <c r="I1748" s="655"/>
      <c r="J1748" s="655"/>
      <c r="K1748" s="653">
        <v>0</v>
      </c>
      <c r="L1748" s="656">
        <v>0</v>
      </c>
    </row>
    <row r="1749" spans="1:12" ht="21" x14ac:dyDescent="0.25">
      <c r="A1749" s="651" t="s">
        <v>102</v>
      </c>
      <c r="B1749" s="652">
        <v>2021</v>
      </c>
      <c r="C1749" s="651" t="s">
        <v>662</v>
      </c>
      <c r="D1749" s="651" t="s">
        <v>1949</v>
      </c>
      <c r="E1749" s="651" t="s">
        <v>664</v>
      </c>
      <c r="F1749" s="653">
        <v>0</v>
      </c>
      <c r="G1749" s="654"/>
      <c r="H1749" s="651" t="s">
        <v>650</v>
      </c>
      <c r="I1749" s="655"/>
      <c r="J1749" s="655"/>
      <c r="K1749" s="653">
        <v>0</v>
      </c>
      <c r="L1749" s="656">
        <v>0</v>
      </c>
    </row>
    <row r="1750" spans="1:12" ht="31.5" x14ac:dyDescent="0.25">
      <c r="A1750" s="651" t="s">
        <v>102</v>
      </c>
      <c r="B1750" s="652">
        <v>2021</v>
      </c>
      <c r="C1750" s="651" t="s">
        <v>665</v>
      </c>
      <c r="D1750" s="651" t="s">
        <v>1950</v>
      </c>
      <c r="E1750" s="651" t="s">
        <v>667</v>
      </c>
      <c r="F1750" s="653">
        <v>0</v>
      </c>
      <c r="G1750" s="654"/>
      <c r="H1750" s="651" t="s">
        <v>650</v>
      </c>
      <c r="I1750" s="655"/>
      <c r="J1750" s="655"/>
      <c r="K1750" s="653">
        <v>0</v>
      </c>
      <c r="L1750" s="656">
        <v>0</v>
      </c>
    </row>
    <row r="1751" spans="1:12" ht="21" x14ac:dyDescent="0.25">
      <c r="A1751" s="651" t="s">
        <v>102</v>
      </c>
      <c r="B1751" s="652">
        <v>2021</v>
      </c>
      <c r="C1751" s="651" t="s">
        <v>668</v>
      </c>
      <c r="D1751" s="651" t="s">
        <v>1951</v>
      </c>
      <c r="E1751" s="651" t="s">
        <v>12</v>
      </c>
      <c r="F1751" s="653">
        <v>0</v>
      </c>
      <c r="G1751" s="654"/>
      <c r="H1751" s="651" t="s">
        <v>650</v>
      </c>
      <c r="I1751" s="655"/>
      <c r="J1751" s="655"/>
      <c r="K1751" s="653">
        <v>0</v>
      </c>
      <c r="L1751" s="656">
        <v>0</v>
      </c>
    </row>
    <row r="1752" spans="1:12" ht="21" x14ac:dyDescent="0.25">
      <c r="A1752" s="651" t="s">
        <v>102</v>
      </c>
      <c r="B1752" s="652">
        <v>2021</v>
      </c>
      <c r="C1752" s="651" t="s">
        <v>670</v>
      </c>
      <c r="D1752" s="651" t="s">
        <v>1952</v>
      </c>
      <c r="E1752" s="651" t="s">
        <v>13</v>
      </c>
      <c r="F1752" s="653">
        <v>0</v>
      </c>
      <c r="G1752" s="654"/>
      <c r="H1752" s="651" t="s">
        <v>650</v>
      </c>
      <c r="I1752" s="655"/>
      <c r="J1752" s="655"/>
      <c r="K1752" s="653">
        <v>0</v>
      </c>
      <c r="L1752" s="656">
        <v>0</v>
      </c>
    </row>
    <row r="1753" spans="1:12" ht="21" x14ac:dyDescent="0.25">
      <c r="A1753" s="651" t="s">
        <v>102</v>
      </c>
      <c r="B1753" s="652">
        <v>2021</v>
      </c>
      <c r="C1753" s="651" t="s">
        <v>672</v>
      </c>
      <c r="D1753" s="651" t="s">
        <v>1953</v>
      </c>
      <c r="E1753" s="651" t="s">
        <v>15</v>
      </c>
      <c r="F1753" s="653">
        <v>0</v>
      </c>
      <c r="G1753" s="654"/>
      <c r="H1753" s="651" t="s">
        <v>650</v>
      </c>
      <c r="I1753" s="655"/>
      <c r="J1753" s="655"/>
      <c r="K1753" s="653">
        <v>0</v>
      </c>
      <c r="L1753" s="656">
        <v>0</v>
      </c>
    </row>
    <row r="1754" spans="1:12" ht="14.5" x14ac:dyDescent="0.25">
      <c r="A1754" s="651" t="s">
        <v>102</v>
      </c>
      <c r="B1754" s="652">
        <v>2021</v>
      </c>
      <c r="C1754" s="651" t="s">
        <v>674</v>
      </c>
      <c r="D1754" s="651" t="s">
        <v>1954</v>
      </c>
      <c r="E1754" s="651" t="s">
        <v>676</v>
      </c>
      <c r="F1754" s="653">
        <v>12465.83</v>
      </c>
      <c r="G1754" s="654"/>
      <c r="H1754" s="651" t="s">
        <v>650</v>
      </c>
      <c r="I1754" s="655"/>
      <c r="J1754" s="655"/>
      <c r="K1754" s="653">
        <v>0</v>
      </c>
      <c r="L1754" s="656">
        <v>12465.83</v>
      </c>
    </row>
    <row r="1755" spans="1:12" ht="14.5" x14ac:dyDescent="0.25">
      <c r="A1755" s="651" t="s">
        <v>102</v>
      </c>
      <c r="B1755" s="652">
        <v>2021</v>
      </c>
      <c r="C1755" s="651" t="s">
        <v>677</v>
      </c>
      <c r="D1755" s="651" t="s">
        <v>1955</v>
      </c>
      <c r="E1755" s="651" t="s">
        <v>23</v>
      </c>
      <c r="F1755" s="653">
        <v>0</v>
      </c>
      <c r="G1755" s="651" t="s">
        <v>650</v>
      </c>
      <c r="H1755" s="654"/>
      <c r="I1755" s="655"/>
      <c r="J1755" s="655"/>
      <c r="K1755" s="653">
        <v>0</v>
      </c>
      <c r="L1755" s="656">
        <v>0</v>
      </c>
    </row>
    <row r="1756" spans="1:12" ht="31.5" x14ac:dyDescent="0.25">
      <c r="A1756" s="651" t="s">
        <v>102</v>
      </c>
      <c r="B1756" s="652">
        <v>2021</v>
      </c>
      <c r="C1756" s="651" t="s">
        <v>679</v>
      </c>
      <c r="D1756" s="651" t="s">
        <v>1956</v>
      </c>
      <c r="E1756" s="651" t="s">
        <v>131</v>
      </c>
      <c r="F1756" s="653">
        <v>-207050.93</v>
      </c>
      <c r="G1756" s="651" t="s">
        <v>650</v>
      </c>
      <c r="H1756" s="654"/>
      <c r="I1756" s="653">
        <v>-198289.84375</v>
      </c>
      <c r="J1756" s="653">
        <v>-8761.080078125</v>
      </c>
      <c r="K1756" s="653">
        <v>-207050.9375</v>
      </c>
      <c r="L1756" s="656">
        <v>-207050.93</v>
      </c>
    </row>
    <row r="1757" spans="1:12" ht="31.5" x14ac:dyDescent="0.25">
      <c r="A1757" s="651" t="s">
        <v>102</v>
      </c>
      <c r="B1757" s="652">
        <v>2021</v>
      </c>
      <c r="C1757" s="651" t="s">
        <v>681</v>
      </c>
      <c r="D1757" s="651" t="s">
        <v>1957</v>
      </c>
      <c r="E1757" s="651" t="s">
        <v>683</v>
      </c>
      <c r="F1757" s="653">
        <v>0</v>
      </c>
      <c r="G1757" s="654"/>
      <c r="H1757" s="651" t="s">
        <v>650</v>
      </c>
      <c r="I1757" s="655"/>
      <c r="J1757" s="655"/>
      <c r="K1757" s="653">
        <v>0</v>
      </c>
      <c r="L1757" s="656">
        <v>0</v>
      </c>
    </row>
    <row r="1758" spans="1:12" ht="21" x14ac:dyDescent="0.25">
      <c r="A1758" s="651" t="s">
        <v>102</v>
      </c>
      <c r="B1758" s="652">
        <v>2021</v>
      </c>
      <c r="C1758" s="651" t="s">
        <v>681</v>
      </c>
      <c r="D1758" s="651" t="s">
        <v>1957</v>
      </c>
      <c r="E1758" s="651" t="s">
        <v>684</v>
      </c>
      <c r="F1758" s="653">
        <v>0</v>
      </c>
      <c r="G1758" s="654"/>
      <c r="H1758" s="651" t="s">
        <v>650</v>
      </c>
      <c r="I1758" s="655"/>
      <c r="J1758" s="655"/>
      <c r="K1758" s="653">
        <v>0</v>
      </c>
      <c r="L1758" s="656">
        <v>0</v>
      </c>
    </row>
    <row r="1759" spans="1:12" ht="21" x14ac:dyDescent="0.25">
      <c r="A1759" s="651" t="s">
        <v>102</v>
      </c>
      <c r="B1759" s="652">
        <v>2021</v>
      </c>
      <c r="C1759" s="651" t="s">
        <v>685</v>
      </c>
      <c r="D1759" s="651" t="s">
        <v>1958</v>
      </c>
      <c r="E1759" s="651" t="s">
        <v>687</v>
      </c>
      <c r="F1759" s="653">
        <v>0</v>
      </c>
      <c r="G1759" s="654"/>
      <c r="H1759" s="651" t="s">
        <v>650</v>
      </c>
      <c r="I1759" s="655"/>
      <c r="J1759" s="655"/>
      <c r="K1759" s="653">
        <v>0</v>
      </c>
      <c r="L1759" s="656">
        <v>0</v>
      </c>
    </row>
    <row r="1760" spans="1:12" ht="14.5" x14ac:dyDescent="0.25">
      <c r="A1760" s="651" t="s">
        <v>102</v>
      </c>
      <c r="B1760" s="652">
        <v>2021</v>
      </c>
      <c r="C1760" s="651" t="s">
        <v>688</v>
      </c>
      <c r="D1760" s="651" t="s">
        <v>1959</v>
      </c>
      <c r="E1760" s="651" t="s">
        <v>50</v>
      </c>
      <c r="F1760" s="653">
        <v>3118465.58</v>
      </c>
      <c r="G1760" s="654"/>
      <c r="H1760" s="651" t="s">
        <v>650</v>
      </c>
      <c r="I1760" s="655"/>
      <c r="J1760" s="655"/>
      <c r="K1760" s="653">
        <v>0</v>
      </c>
      <c r="L1760" s="656">
        <v>3118465.58</v>
      </c>
    </row>
    <row r="1761" spans="1:12" ht="21" x14ac:dyDescent="0.25">
      <c r="A1761" s="651" t="s">
        <v>102</v>
      </c>
      <c r="B1761" s="652">
        <v>2021</v>
      </c>
      <c r="C1761" s="651" t="s">
        <v>690</v>
      </c>
      <c r="D1761" s="651" t="s">
        <v>1960</v>
      </c>
      <c r="E1761" s="651" t="s">
        <v>692</v>
      </c>
      <c r="F1761" s="653">
        <v>0</v>
      </c>
      <c r="G1761" s="654"/>
      <c r="H1761" s="651" t="s">
        <v>650</v>
      </c>
      <c r="I1761" s="655"/>
      <c r="J1761" s="655"/>
      <c r="K1761" s="653">
        <v>0</v>
      </c>
      <c r="L1761" s="656">
        <v>0</v>
      </c>
    </row>
    <row r="1762" spans="1:12" ht="21" x14ac:dyDescent="0.25">
      <c r="A1762" s="651" t="s">
        <v>102</v>
      </c>
      <c r="B1762" s="652">
        <v>2021</v>
      </c>
      <c r="C1762" s="651" t="s">
        <v>693</v>
      </c>
      <c r="D1762" s="651" t="s">
        <v>1961</v>
      </c>
      <c r="E1762" s="651" t="s">
        <v>6</v>
      </c>
      <c r="F1762" s="653">
        <v>0</v>
      </c>
      <c r="G1762" s="654"/>
      <c r="H1762" s="651" t="s">
        <v>650</v>
      </c>
      <c r="I1762" s="655"/>
      <c r="J1762" s="655"/>
      <c r="K1762" s="653">
        <v>0</v>
      </c>
      <c r="L1762" s="656">
        <v>0</v>
      </c>
    </row>
    <row r="1763" spans="1:12" ht="31.5" x14ac:dyDescent="0.25">
      <c r="A1763" s="651" t="s">
        <v>102</v>
      </c>
      <c r="B1763" s="652">
        <v>2021</v>
      </c>
      <c r="C1763" s="651" t="s">
        <v>695</v>
      </c>
      <c r="D1763" s="651" t="s">
        <v>1962</v>
      </c>
      <c r="E1763" s="651" t="s">
        <v>697</v>
      </c>
      <c r="F1763" s="653">
        <v>0</v>
      </c>
      <c r="G1763" s="654"/>
      <c r="H1763" s="651" t="s">
        <v>650</v>
      </c>
      <c r="I1763" s="655"/>
      <c r="J1763" s="655"/>
      <c r="K1763" s="653">
        <v>0</v>
      </c>
      <c r="L1763" s="656">
        <v>0</v>
      </c>
    </row>
    <row r="1764" spans="1:12" ht="21" x14ac:dyDescent="0.25">
      <c r="A1764" s="651" t="s">
        <v>102</v>
      </c>
      <c r="B1764" s="652">
        <v>2021</v>
      </c>
      <c r="C1764" s="651" t="s">
        <v>698</v>
      </c>
      <c r="D1764" s="651" t="s">
        <v>1963</v>
      </c>
      <c r="E1764" s="651" t="s">
        <v>700</v>
      </c>
      <c r="F1764" s="653">
        <v>0</v>
      </c>
      <c r="G1764" s="654"/>
      <c r="H1764" s="651" t="s">
        <v>650</v>
      </c>
      <c r="I1764" s="655"/>
      <c r="J1764" s="655"/>
      <c r="K1764" s="653">
        <v>0</v>
      </c>
      <c r="L1764" s="656">
        <v>0</v>
      </c>
    </row>
    <row r="1765" spans="1:12" ht="21" x14ac:dyDescent="0.25">
      <c r="A1765" s="651" t="s">
        <v>102</v>
      </c>
      <c r="B1765" s="652">
        <v>2021</v>
      </c>
      <c r="C1765" s="651" t="s">
        <v>701</v>
      </c>
      <c r="D1765" s="651" t="s">
        <v>1964</v>
      </c>
      <c r="E1765" s="651" t="s">
        <v>1</v>
      </c>
      <c r="F1765" s="653">
        <v>-6228320.96</v>
      </c>
      <c r="G1765" s="651" t="s">
        <v>650</v>
      </c>
      <c r="H1765" s="654"/>
      <c r="I1765" s="653">
        <v>-6008298.5</v>
      </c>
      <c r="J1765" s="653">
        <v>-220022.546875</v>
      </c>
      <c r="K1765" s="653">
        <v>-6228321</v>
      </c>
      <c r="L1765" s="656">
        <v>-6228320.96</v>
      </c>
    </row>
    <row r="1766" spans="1:12" ht="21" x14ac:dyDescent="0.25">
      <c r="A1766" s="651" t="s">
        <v>102</v>
      </c>
      <c r="B1766" s="652">
        <v>2021</v>
      </c>
      <c r="C1766" s="651" t="s">
        <v>701</v>
      </c>
      <c r="D1766" s="651" t="s">
        <v>1964</v>
      </c>
      <c r="E1766" s="651" t="s">
        <v>703</v>
      </c>
      <c r="F1766" s="653">
        <v>-8</v>
      </c>
      <c r="G1766" s="654"/>
      <c r="H1766" s="654"/>
      <c r="I1766" s="655"/>
      <c r="J1766" s="655"/>
      <c r="K1766" s="653">
        <v>0</v>
      </c>
      <c r="L1766" s="656">
        <v>-8</v>
      </c>
    </row>
    <row r="1767" spans="1:12" ht="21" x14ac:dyDescent="0.25">
      <c r="A1767" s="651" t="s">
        <v>102</v>
      </c>
      <c r="B1767" s="652">
        <v>2021</v>
      </c>
      <c r="C1767" s="651" t="s">
        <v>701</v>
      </c>
      <c r="D1767" s="651" t="s">
        <v>1964</v>
      </c>
      <c r="E1767" s="651" t="s">
        <v>704</v>
      </c>
      <c r="F1767" s="653">
        <v>274.01</v>
      </c>
      <c r="G1767" s="654"/>
      <c r="H1767" s="654"/>
      <c r="I1767" s="655"/>
      <c r="J1767" s="655"/>
      <c r="K1767" s="653">
        <v>0</v>
      </c>
      <c r="L1767" s="656">
        <v>274.01</v>
      </c>
    </row>
    <row r="1768" spans="1:12" ht="21" x14ac:dyDescent="0.25">
      <c r="A1768" s="651" t="s">
        <v>102</v>
      </c>
      <c r="B1768" s="652">
        <v>2021</v>
      </c>
      <c r="C1768" s="651" t="s">
        <v>701</v>
      </c>
      <c r="D1768" s="651" t="s">
        <v>1964</v>
      </c>
      <c r="E1768" s="651" t="s">
        <v>705</v>
      </c>
      <c r="F1768" s="653">
        <v>-10386.52</v>
      </c>
      <c r="G1768" s="654"/>
      <c r="H1768" s="654"/>
      <c r="I1768" s="655"/>
      <c r="J1768" s="655"/>
      <c r="K1768" s="653">
        <v>0</v>
      </c>
      <c r="L1768" s="656">
        <v>-10386.52</v>
      </c>
    </row>
    <row r="1769" spans="1:12" ht="21" x14ac:dyDescent="0.25">
      <c r="A1769" s="651" t="s">
        <v>102</v>
      </c>
      <c r="B1769" s="652">
        <v>2021</v>
      </c>
      <c r="C1769" s="651" t="s">
        <v>701</v>
      </c>
      <c r="D1769" s="651" t="s">
        <v>1964</v>
      </c>
      <c r="E1769" s="651" t="s">
        <v>706</v>
      </c>
      <c r="F1769" s="653">
        <v>-367674.06</v>
      </c>
      <c r="G1769" s="654"/>
      <c r="H1769" s="654"/>
      <c r="I1769" s="655"/>
      <c r="J1769" s="655"/>
      <c r="K1769" s="653">
        <v>0</v>
      </c>
      <c r="L1769" s="656">
        <v>-367674.06</v>
      </c>
    </row>
    <row r="1770" spans="1:12" ht="14.5" x14ac:dyDescent="0.25">
      <c r="A1770" s="651" t="s">
        <v>102</v>
      </c>
      <c r="B1770" s="652">
        <v>2021</v>
      </c>
      <c r="C1770" s="651" t="s">
        <v>707</v>
      </c>
      <c r="D1770" s="651" t="s">
        <v>1965</v>
      </c>
      <c r="E1770" s="651" t="s">
        <v>709</v>
      </c>
      <c r="F1770" s="653">
        <v>0</v>
      </c>
      <c r="G1770" s="654"/>
      <c r="H1770" s="651" t="s">
        <v>650</v>
      </c>
      <c r="I1770" s="655"/>
      <c r="J1770" s="655"/>
      <c r="K1770" s="653">
        <v>0</v>
      </c>
      <c r="L1770" s="656">
        <v>0</v>
      </c>
    </row>
    <row r="1771" spans="1:12" ht="31.5" x14ac:dyDescent="0.25">
      <c r="A1771" s="651" t="s">
        <v>102</v>
      </c>
      <c r="B1771" s="652">
        <v>2021</v>
      </c>
      <c r="C1771" s="651" t="s">
        <v>710</v>
      </c>
      <c r="D1771" s="651" t="s">
        <v>1966</v>
      </c>
      <c r="E1771" s="651" t="s">
        <v>2</v>
      </c>
      <c r="F1771" s="653">
        <v>3633931.26</v>
      </c>
      <c r="G1771" s="651" t="s">
        <v>650</v>
      </c>
      <c r="H1771" s="654"/>
      <c r="I1771" s="653">
        <v>3496347.5</v>
      </c>
      <c r="J1771" s="653">
        <v>137583.84375</v>
      </c>
      <c r="K1771" s="653">
        <v>3633931.25</v>
      </c>
      <c r="L1771" s="656">
        <v>3633931.26</v>
      </c>
    </row>
    <row r="1772" spans="1:12" ht="31.5" x14ac:dyDescent="0.25">
      <c r="A1772" s="651" t="s">
        <v>102</v>
      </c>
      <c r="B1772" s="652">
        <v>2021</v>
      </c>
      <c r="C1772" s="651" t="s">
        <v>712</v>
      </c>
      <c r="D1772" s="651" t="s">
        <v>1967</v>
      </c>
      <c r="E1772" s="651" t="s">
        <v>3</v>
      </c>
      <c r="F1772" s="653">
        <v>206842.53</v>
      </c>
      <c r="G1772" s="651" t="s">
        <v>650</v>
      </c>
      <c r="H1772" s="654"/>
      <c r="I1772" s="653">
        <v>174564.90625</v>
      </c>
      <c r="J1772" s="653">
        <v>32277.619140625</v>
      </c>
      <c r="K1772" s="653">
        <v>206842.53125</v>
      </c>
      <c r="L1772" s="656">
        <v>206842.53</v>
      </c>
    </row>
    <row r="1773" spans="1:12" ht="31.5" x14ac:dyDescent="0.25">
      <c r="A1773" s="651" t="s">
        <v>102</v>
      </c>
      <c r="B1773" s="652">
        <v>2021</v>
      </c>
      <c r="C1773" s="651" t="s">
        <v>714</v>
      </c>
      <c r="D1773" s="651" t="s">
        <v>1968</v>
      </c>
      <c r="E1773" s="651" t="s">
        <v>38</v>
      </c>
      <c r="F1773" s="653">
        <v>2048580.1</v>
      </c>
      <c r="G1773" s="651" t="s">
        <v>650</v>
      </c>
      <c r="H1773" s="654"/>
      <c r="I1773" s="653">
        <v>2076553.25</v>
      </c>
      <c r="J1773" s="653">
        <v>-27973.099609375</v>
      </c>
      <c r="K1773" s="653">
        <v>2048580.125</v>
      </c>
      <c r="L1773" s="656">
        <v>2048580.1</v>
      </c>
    </row>
    <row r="1774" spans="1:12" ht="21" x14ac:dyDescent="0.25">
      <c r="A1774" s="651" t="s">
        <v>102</v>
      </c>
      <c r="B1774" s="652">
        <v>2021</v>
      </c>
      <c r="C1774" s="651" t="s">
        <v>716</v>
      </c>
      <c r="D1774" s="651" t="s">
        <v>1969</v>
      </c>
      <c r="E1774" s="651" t="s">
        <v>66</v>
      </c>
      <c r="F1774" s="653">
        <v>6395428.9299999997</v>
      </c>
      <c r="G1774" s="651" t="s">
        <v>650</v>
      </c>
      <c r="H1774" s="654"/>
      <c r="I1774" s="653">
        <v>6059419</v>
      </c>
      <c r="J1774" s="653">
        <v>336010.0625</v>
      </c>
      <c r="K1774" s="653">
        <v>6395429</v>
      </c>
      <c r="L1774" s="656">
        <v>6395428.9299999997</v>
      </c>
    </row>
    <row r="1775" spans="1:12" ht="31.5" x14ac:dyDescent="0.25">
      <c r="A1775" s="651" t="s">
        <v>102</v>
      </c>
      <c r="B1775" s="652">
        <v>2021</v>
      </c>
      <c r="C1775" s="651" t="s">
        <v>718</v>
      </c>
      <c r="D1775" s="651" t="s">
        <v>1970</v>
      </c>
      <c r="E1775" s="651" t="s">
        <v>720</v>
      </c>
      <c r="F1775" s="653">
        <v>-2905358</v>
      </c>
      <c r="G1775" s="654"/>
      <c r="H1775" s="651" t="s">
        <v>650</v>
      </c>
      <c r="I1775" s="655"/>
      <c r="J1775" s="655"/>
      <c r="K1775" s="653">
        <v>0</v>
      </c>
      <c r="L1775" s="656">
        <v>-2905358</v>
      </c>
    </row>
    <row r="1776" spans="1:12" ht="42" x14ac:dyDescent="0.25">
      <c r="A1776" s="651" t="s">
        <v>102</v>
      </c>
      <c r="B1776" s="652">
        <v>2021</v>
      </c>
      <c r="C1776" s="651" t="s">
        <v>721</v>
      </c>
      <c r="D1776" s="651" t="s">
        <v>1971</v>
      </c>
      <c r="E1776" s="651" t="s">
        <v>3016</v>
      </c>
      <c r="F1776" s="653">
        <v>0</v>
      </c>
      <c r="G1776" s="651" t="s">
        <v>650</v>
      </c>
      <c r="H1776" s="654"/>
      <c r="I1776" s="653">
        <v>173222.921875</v>
      </c>
      <c r="J1776" s="653">
        <v>-70467.84375</v>
      </c>
      <c r="K1776" s="653">
        <v>102755.078125</v>
      </c>
      <c r="L1776" s="656">
        <v>102755.08</v>
      </c>
    </row>
    <row r="1777" spans="1:12" ht="42" x14ac:dyDescent="0.25">
      <c r="A1777" s="651" t="s">
        <v>102</v>
      </c>
      <c r="B1777" s="652">
        <v>2021</v>
      </c>
      <c r="C1777" s="651" t="s">
        <v>721</v>
      </c>
      <c r="D1777" s="651" t="s">
        <v>1971</v>
      </c>
      <c r="E1777" s="651" t="s">
        <v>3058</v>
      </c>
      <c r="F1777" s="653">
        <v>0</v>
      </c>
      <c r="G1777" s="651" t="s">
        <v>650</v>
      </c>
      <c r="H1777" s="654"/>
      <c r="I1777" s="655"/>
      <c r="J1777" s="655"/>
      <c r="K1777" s="653">
        <v>0</v>
      </c>
      <c r="L1777" s="656">
        <v>0</v>
      </c>
    </row>
    <row r="1778" spans="1:12" ht="42" x14ac:dyDescent="0.25">
      <c r="A1778" s="651" t="s">
        <v>102</v>
      </c>
      <c r="B1778" s="652">
        <v>2021</v>
      </c>
      <c r="C1778" s="651" t="s">
        <v>721</v>
      </c>
      <c r="D1778" s="651" t="s">
        <v>1972</v>
      </c>
      <c r="E1778" s="651" t="s">
        <v>724</v>
      </c>
      <c r="F1778" s="653">
        <v>0</v>
      </c>
      <c r="G1778" s="651" t="s">
        <v>650</v>
      </c>
      <c r="H1778" s="654"/>
      <c r="I1778" s="655"/>
      <c r="J1778" s="655"/>
      <c r="K1778" s="653">
        <v>0</v>
      </c>
      <c r="L1778" s="656">
        <v>0</v>
      </c>
    </row>
    <row r="1779" spans="1:12" ht="42" x14ac:dyDescent="0.25">
      <c r="A1779" s="651" t="s">
        <v>102</v>
      </c>
      <c r="B1779" s="652">
        <v>2021</v>
      </c>
      <c r="C1779" s="651" t="s">
        <v>721</v>
      </c>
      <c r="D1779" s="651" t="s">
        <v>1973</v>
      </c>
      <c r="E1779" s="651" t="s">
        <v>55</v>
      </c>
      <c r="F1779" s="653">
        <v>0</v>
      </c>
      <c r="G1779" s="651" t="s">
        <v>650</v>
      </c>
      <c r="H1779" s="654"/>
      <c r="I1779" s="655"/>
      <c r="J1779" s="655"/>
      <c r="K1779" s="653">
        <v>0</v>
      </c>
      <c r="L1779" s="656">
        <v>0</v>
      </c>
    </row>
    <row r="1780" spans="1:12" ht="42" x14ac:dyDescent="0.25">
      <c r="A1780" s="651" t="s">
        <v>102</v>
      </c>
      <c r="B1780" s="652">
        <v>2021</v>
      </c>
      <c r="C1780" s="651" t="s">
        <v>721</v>
      </c>
      <c r="D1780" s="651" t="s">
        <v>1974</v>
      </c>
      <c r="E1780" s="651" t="s">
        <v>56</v>
      </c>
      <c r="F1780" s="653">
        <v>0</v>
      </c>
      <c r="G1780" s="651" t="s">
        <v>650</v>
      </c>
      <c r="H1780" s="654"/>
      <c r="I1780" s="655"/>
      <c r="J1780" s="655"/>
      <c r="K1780" s="653">
        <v>0</v>
      </c>
      <c r="L1780" s="656">
        <v>0</v>
      </c>
    </row>
    <row r="1781" spans="1:12" ht="42" x14ac:dyDescent="0.25">
      <c r="A1781" s="651" t="s">
        <v>102</v>
      </c>
      <c r="B1781" s="652">
        <v>2021</v>
      </c>
      <c r="C1781" s="651" t="s">
        <v>721</v>
      </c>
      <c r="D1781" s="651" t="s">
        <v>1975</v>
      </c>
      <c r="E1781" s="651" t="s">
        <v>728</v>
      </c>
      <c r="F1781" s="653">
        <v>0</v>
      </c>
      <c r="G1781" s="651" t="s">
        <v>650</v>
      </c>
      <c r="H1781" s="654"/>
      <c r="I1781" s="655"/>
      <c r="J1781" s="655"/>
      <c r="K1781" s="653">
        <v>0</v>
      </c>
      <c r="L1781" s="656">
        <v>0</v>
      </c>
    </row>
    <row r="1782" spans="1:12" ht="42" x14ac:dyDescent="0.25">
      <c r="A1782" s="651" t="s">
        <v>102</v>
      </c>
      <c r="B1782" s="652">
        <v>2021</v>
      </c>
      <c r="C1782" s="651" t="s">
        <v>721</v>
      </c>
      <c r="D1782" s="651" t="s">
        <v>1976</v>
      </c>
      <c r="E1782" s="651" t="s">
        <v>730</v>
      </c>
      <c r="F1782" s="653">
        <v>0</v>
      </c>
      <c r="G1782" s="651" t="s">
        <v>650</v>
      </c>
      <c r="H1782" s="654"/>
      <c r="I1782" s="655"/>
      <c r="J1782" s="655"/>
      <c r="K1782" s="653">
        <v>0</v>
      </c>
      <c r="L1782" s="656">
        <v>0</v>
      </c>
    </row>
    <row r="1783" spans="1:12" ht="42" x14ac:dyDescent="0.25">
      <c r="A1783" s="651" t="s">
        <v>102</v>
      </c>
      <c r="B1783" s="652">
        <v>2021</v>
      </c>
      <c r="C1783" s="651" t="s">
        <v>721</v>
      </c>
      <c r="D1783" s="651" t="s">
        <v>1977</v>
      </c>
      <c r="E1783" s="651" t="s">
        <v>142</v>
      </c>
      <c r="F1783" s="653">
        <v>0</v>
      </c>
      <c r="G1783" s="651" t="s">
        <v>650</v>
      </c>
      <c r="H1783" s="654"/>
      <c r="I1783" s="655"/>
      <c r="J1783" s="655"/>
      <c r="K1783" s="653">
        <v>0</v>
      </c>
      <c r="L1783" s="656">
        <v>0</v>
      </c>
    </row>
    <row r="1784" spans="1:12" ht="42" x14ac:dyDescent="0.25">
      <c r="A1784" s="651" t="s">
        <v>102</v>
      </c>
      <c r="B1784" s="652">
        <v>2021</v>
      </c>
      <c r="C1784" s="651" t="s">
        <v>721</v>
      </c>
      <c r="D1784" s="651" t="s">
        <v>1978</v>
      </c>
      <c r="E1784" s="651" t="s">
        <v>143</v>
      </c>
      <c r="F1784" s="653">
        <v>0</v>
      </c>
      <c r="G1784" s="651" t="s">
        <v>650</v>
      </c>
      <c r="H1784" s="654"/>
      <c r="I1784" s="655"/>
      <c r="J1784" s="655"/>
      <c r="K1784" s="653">
        <v>0</v>
      </c>
      <c r="L1784" s="656">
        <v>0</v>
      </c>
    </row>
    <row r="1785" spans="1:12" ht="42" x14ac:dyDescent="0.25">
      <c r="A1785" s="651" t="s">
        <v>102</v>
      </c>
      <c r="B1785" s="652">
        <v>2021</v>
      </c>
      <c r="C1785" s="651" t="s">
        <v>721</v>
      </c>
      <c r="D1785" s="651" t="s">
        <v>1979</v>
      </c>
      <c r="E1785" s="651" t="s">
        <v>182</v>
      </c>
      <c r="F1785" s="653">
        <v>0</v>
      </c>
      <c r="G1785" s="651" t="s">
        <v>650</v>
      </c>
      <c r="H1785" s="654"/>
      <c r="I1785" s="655"/>
      <c r="J1785" s="655"/>
      <c r="K1785" s="653">
        <v>0</v>
      </c>
      <c r="L1785" s="656">
        <v>0</v>
      </c>
    </row>
    <row r="1786" spans="1:12" ht="42" x14ac:dyDescent="0.25">
      <c r="A1786" s="651" t="s">
        <v>102</v>
      </c>
      <c r="B1786" s="652">
        <v>2021</v>
      </c>
      <c r="C1786" s="651" t="s">
        <v>721</v>
      </c>
      <c r="D1786" s="651" t="s">
        <v>1980</v>
      </c>
      <c r="E1786" s="651" t="s">
        <v>394</v>
      </c>
      <c r="F1786" s="653">
        <v>0</v>
      </c>
      <c r="G1786" s="651" t="s">
        <v>650</v>
      </c>
      <c r="H1786" s="654"/>
      <c r="I1786" s="653">
        <v>106064.75</v>
      </c>
      <c r="J1786" s="653">
        <v>-195134.796875</v>
      </c>
      <c r="K1786" s="653">
        <v>-89070.0390625</v>
      </c>
      <c r="L1786" s="656">
        <v>-89070.04</v>
      </c>
    </row>
    <row r="1787" spans="1:12" ht="42" x14ac:dyDescent="0.25">
      <c r="A1787" s="651" t="s">
        <v>102</v>
      </c>
      <c r="B1787" s="652">
        <v>2021</v>
      </c>
      <c r="C1787" s="651" t="s">
        <v>721</v>
      </c>
      <c r="D1787" s="651" t="s">
        <v>1981</v>
      </c>
      <c r="E1787" s="651" t="s">
        <v>423</v>
      </c>
      <c r="F1787" s="653">
        <v>0</v>
      </c>
      <c r="G1787" s="651" t="s">
        <v>650</v>
      </c>
      <c r="H1787" s="654"/>
      <c r="I1787" s="653">
        <v>-131705.625</v>
      </c>
      <c r="J1787" s="653">
        <v>-57657.94140625</v>
      </c>
      <c r="K1787" s="653">
        <v>-189363.5625</v>
      </c>
      <c r="L1787" s="656">
        <v>-189363.57</v>
      </c>
    </row>
    <row r="1788" spans="1:12" ht="42" x14ac:dyDescent="0.25">
      <c r="A1788" s="651" t="s">
        <v>102</v>
      </c>
      <c r="B1788" s="652">
        <v>2021</v>
      </c>
      <c r="C1788" s="651" t="s">
        <v>721</v>
      </c>
      <c r="D1788" s="651" t="s">
        <v>3270</v>
      </c>
      <c r="E1788" s="651" t="s">
        <v>441</v>
      </c>
      <c r="F1788" s="653">
        <v>0</v>
      </c>
      <c r="G1788" s="651" t="s">
        <v>650</v>
      </c>
      <c r="H1788" s="654"/>
      <c r="I1788" s="653">
        <v>-285492.3125</v>
      </c>
      <c r="J1788" s="653">
        <v>11419.5</v>
      </c>
      <c r="K1788" s="653">
        <v>-274072.8125</v>
      </c>
      <c r="L1788" s="656">
        <v>-274072.81</v>
      </c>
    </row>
    <row r="1789" spans="1:12" ht="42" x14ac:dyDescent="0.25">
      <c r="A1789" s="651" t="s">
        <v>102</v>
      </c>
      <c r="B1789" s="652">
        <v>2021</v>
      </c>
      <c r="C1789" s="651" t="s">
        <v>721</v>
      </c>
      <c r="D1789" s="651" t="s">
        <v>1982</v>
      </c>
      <c r="E1789" s="651" t="s">
        <v>737</v>
      </c>
      <c r="F1789" s="653">
        <v>-449751.34</v>
      </c>
      <c r="G1789" s="654"/>
      <c r="H1789" s="654"/>
      <c r="I1789" s="655"/>
      <c r="J1789" s="655"/>
      <c r="K1789" s="653">
        <v>0</v>
      </c>
      <c r="L1789" s="656">
        <v>-449751.34</v>
      </c>
    </row>
    <row r="1790" spans="1:12" ht="14.5" x14ac:dyDescent="0.25">
      <c r="A1790" s="651" t="s">
        <v>102</v>
      </c>
      <c r="B1790" s="652">
        <v>2021</v>
      </c>
      <c r="C1790" s="651" t="s">
        <v>738</v>
      </c>
      <c r="D1790" s="651" t="s">
        <v>1983</v>
      </c>
      <c r="E1790" s="651" t="s">
        <v>7</v>
      </c>
      <c r="F1790" s="653">
        <v>0</v>
      </c>
      <c r="G1790" s="654"/>
      <c r="H1790" s="651" t="s">
        <v>650</v>
      </c>
      <c r="I1790" s="655"/>
      <c r="J1790" s="655"/>
      <c r="K1790" s="653">
        <v>0</v>
      </c>
      <c r="L1790" s="656">
        <v>0</v>
      </c>
    </row>
    <row r="1791" spans="1:12" ht="21" x14ac:dyDescent="0.25">
      <c r="A1791" s="651" t="s">
        <v>129</v>
      </c>
      <c r="B1791" s="652">
        <v>2021</v>
      </c>
      <c r="C1791" s="651" t="s">
        <v>647</v>
      </c>
      <c r="D1791" s="651" t="s">
        <v>1984</v>
      </c>
      <c r="E1791" s="651" t="s">
        <v>649</v>
      </c>
      <c r="F1791" s="653">
        <v>4316</v>
      </c>
      <c r="G1791" s="654"/>
      <c r="H1791" s="651" t="s">
        <v>650</v>
      </c>
      <c r="I1791" s="655"/>
      <c r="J1791" s="655"/>
      <c r="K1791" s="653">
        <v>0</v>
      </c>
      <c r="L1791" s="656">
        <v>4316</v>
      </c>
    </row>
    <row r="1792" spans="1:12" ht="14.5" x14ac:dyDescent="0.25">
      <c r="A1792" s="651" t="s">
        <v>129</v>
      </c>
      <c r="B1792" s="652">
        <v>2021</v>
      </c>
      <c r="C1792" s="651" t="s">
        <v>651</v>
      </c>
      <c r="D1792" s="651" t="s">
        <v>1985</v>
      </c>
      <c r="E1792" s="651" t="s">
        <v>653</v>
      </c>
      <c r="F1792" s="653">
        <v>0</v>
      </c>
      <c r="G1792" s="654"/>
      <c r="H1792" s="651" t="s">
        <v>650</v>
      </c>
      <c r="I1792" s="655"/>
      <c r="J1792" s="655"/>
      <c r="K1792" s="653">
        <v>0</v>
      </c>
      <c r="L1792" s="656">
        <v>0</v>
      </c>
    </row>
    <row r="1793" spans="1:12" ht="42" x14ac:dyDescent="0.25">
      <c r="A1793" s="651" t="s">
        <v>129</v>
      </c>
      <c r="B1793" s="652">
        <v>2021</v>
      </c>
      <c r="C1793" s="651" t="s">
        <v>654</v>
      </c>
      <c r="D1793" s="651" t="s">
        <v>1986</v>
      </c>
      <c r="E1793" s="651" t="s">
        <v>445</v>
      </c>
      <c r="F1793" s="653">
        <v>0</v>
      </c>
      <c r="G1793" s="654"/>
      <c r="H1793" s="651" t="s">
        <v>650</v>
      </c>
      <c r="I1793" s="655"/>
      <c r="J1793" s="655"/>
      <c r="K1793" s="653">
        <v>0</v>
      </c>
      <c r="L1793" s="656">
        <v>0</v>
      </c>
    </row>
    <row r="1794" spans="1:12" ht="21" x14ac:dyDescent="0.25">
      <c r="A1794" s="651" t="s">
        <v>129</v>
      </c>
      <c r="B1794" s="652">
        <v>2021</v>
      </c>
      <c r="C1794" s="651" t="s">
        <v>656</v>
      </c>
      <c r="D1794" s="651" t="s">
        <v>1987</v>
      </c>
      <c r="E1794" s="651" t="s">
        <v>658</v>
      </c>
      <c r="F1794" s="653">
        <v>0</v>
      </c>
      <c r="G1794" s="654"/>
      <c r="H1794" s="651" t="s">
        <v>650</v>
      </c>
      <c r="I1794" s="655"/>
      <c r="J1794" s="655"/>
      <c r="K1794" s="653">
        <v>0</v>
      </c>
      <c r="L1794" s="656">
        <v>0</v>
      </c>
    </row>
    <row r="1795" spans="1:12" ht="31.5" x14ac:dyDescent="0.25">
      <c r="A1795" s="651" t="s">
        <v>129</v>
      </c>
      <c r="B1795" s="652">
        <v>2021</v>
      </c>
      <c r="C1795" s="651" t="s">
        <v>659</v>
      </c>
      <c r="D1795" s="651" t="s">
        <v>1988</v>
      </c>
      <c r="E1795" s="651" t="s">
        <v>661</v>
      </c>
      <c r="F1795" s="653">
        <v>0</v>
      </c>
      <c r="G1795" s="654"/>
      <c r="H1795" s="651" t="s">
        <v>650</v>
      </c>
      <c r="I1795" s="655"/>
      <c r="J1795" s="655"/>
      <c r="K1795" s="653">
        <v>0</v>
      </c>
      <c r="L1795" s="656">
        <v>0</v>
      </c>
    </row>
    <row r="1796" spans="1:12" ht="21" x14ac:dyDescent="0.25">
      <c r="A1796" s="651" t="s">
        <v>129</v>
      </c>
      <c r="B1796" s="652">
        <v>2021</v>
      </c>
      <c r="C1796" s="651" t="s">
        <v>662</v>
      </c>
      <c r="D1796" s="651" t="s">
        <v>1989</v>
      </c>
      <c r="E1796" s="651" t="s">
        <v>664</v>
      </c>
      <c r="F1796" s="653">
        <v>0</v>
      </c>
      <c r="G1796" s="654"/>
      <c r="H1796" s="651" t="s">
        <v>650</v>
      </c>
      <c r="I1796" s="655"/>
      <c r="J1796" s="655"/>
      <c r="K1796" s="653">
        <v>0</v>
      </c>
      <c r="L1796" s="656">
        <v>0</v>
      </c>
    </row>
    <row r="1797" spans="1:12" ht="31.5" x14ac:dyDescent="0.25">
      <c r="A1797" s="651" t="s">
        <v>129</v>
      </c>
      <c r="B1797" s="652">
        <v>2021</v>
      </c>
      <c r="C1797" s="651" t="s">
        <v>665</v>
      </c>
      <c r="D1797" s="651" t="s">
        <v>1990</v>
      </c>
      <c r="E1797" s="651" t="s">
        <v>667</v>
      </c>
      <c r="F1797" s="653">
        <v>0</v>
      </c>
      <c r="G1797" s="654"/>
      <c r="H1797" s="651" t="s">
        <v>650</v>
      </c>
      <c r="I1797" s="655"/>
      <c r="J1797" s="655"/>
      <c r="K1797" s="653">
        <v>0</v>
      </c>
      <c r="L1797" s="656">
        <v>0</v>
      </c>
    </row>
    <row r="1798" spans="1:12" ht="21" x14ac:dyDescent="0.25">
      <c r="A1798" s="651" t="s">
        <v>129</v>
      </c>
      <c r="B1798" s="652">
        <v>2021</v>
      </c>
      <c r="C1798" s="651" t="s">
        <v>668</v>
      </c>
      <c r="D1798" s="651" t="s">
        <v>1991</v>
      </c>
      <c r="E1798" s="651" t="s">
        <v>12</v>
      </c>
      <c r="F1798" s="653">
        <v>0</v>
      </c>
      <c r="G1798" s="654"/>
      <c r="H1798" s="651" t="s">
        <v>650</v>
      </c>
      <c r="I1798" s="655"/>
      <c r="J1798" s="655"/>
      <c r="K1798" s="653">
        <v>0</v>
      </c>
      <c r="L1798" s="656">
        <v>0</v>
      </c>
    </row>
    <row r="1799" spans="1:12" ht="21" x14ac:dyDescent="0.25">
      <c r="A1799" s="651" t="s">
        <v>129</v>
      </c>
      <c r="B1799" s="652">
        <v>2021</v>
      </c>
      <c r="C1799" s="651" t="s">
        <v>670</v>
      </c>
      <c r="D1799" s="651" t="s">
        <v>1992</v>
      </c>
      <c r="E1799" s="651" t="s">
        <v>13</v>
      </c>
      <c r="F1799" s="653">
        <v>0</v>
      </c>
      <c r="G1799" s="654"/>
      <c r="H1799" s="651" t="s">
        <v>650</v>
      </c>
      <c r="I1799" s="655"/>
      <c r="J1799" s="655"/>
      <c r="K1799" s="653">
        <v>0</v>
      </c>
      <c r="L1799" s="656">
        <v>0</v>
      </c>
    </row>
    <row r="1800" spans="1:12" ht="21" x14ac:dyDescent="0.25">
      <c r="A1800" s="651" t="s">
        <v>129</v>
      </c>
      <c r="B1800" s="652">
        <v>2021</v>
      </c>
      <c r="C1800" s="651" t="s">
        <v>672</v>
      </c>
      <c r="D1800" s="651" t="s">
        <v>1993</v>
      </c>
      <c r="E1800" s="651" t="s">
        <v>15</v>
      </c>
      <c r="F1800" s="653">
        <v>0</v>
      </c>
      <c r="G1800" s="654"/>
      <c r="H1800" s="651" t="s">
        <v>650</v>
      </c>
      <c r="I1800" s="655"/>
      <c r="J1800" s="655"/>
      <c r="K1800" s="653">
        <v>0</v>
      </c>
      <c r="L1800" s="656">
        <v>0</v>
      </c>
    </row>
    <row r="1801" spans="1:12" ht="14.5" x14ac:dyDescent="0.25">
      <c r="A1801" s="651" t="s">
        <v>129</v>
      </c>
      <c r="B1801" s="652">
        <v>2021</v>
      </c>
      <c r="C1801" s="651" t="s">
        <v>674</v>
      </c>
      <c r="D1801" s="651" t="s">
        <v>1994</v>
      </c>
      <c r="E1801" s="651" t="s">
        <v>676</v>
      </c>
      <c r="F1801" s="653">
        <v>0</v>
      </c>
      <c r="G1801" s="654"/>
      <c r="H1801" s="651" t="s">
        <v>650</v>
      </c>
      <c r="I1801" s="655"/>
      <c r="J1801" s="655"/>
      <c r="K1801" s="653">
        <v>0</v>
      </c>
      <c r="L1801" s="656">
        <v>0</v>
      </c>
    </row>
    <row r="1802" spans="1:12" ht="14.5" x14ac:dyDescent="0.25">
      <c r="A1802" s="651" t="s">
        <v>129</v>
      </c>
      <c r="B1802" s="652">
        <v>2021</v>
      </c>
      <c r="C1802" s="651" t="s">
        <v>677</v>
      </c>
      <c r="D1802" s="651" t="s">
        <v>1995</v>
      </c>
      <c r="E1802" s="651" t="s">
        <v>23</v>
      </c>
      <c r="F1802" s="653">
        <v>800677</v>
      </c>
      <c r="G1802" s="651" t="s">
        <v>650</v>
      </c>
      <c r="H1802" s="654"/>
      <c r="I1802" s="653">
        <v>787017</v>
      </c>
      <c r="J1802" s="653">
        <v>13660</v>
      </c>
      <c r="K1802" s="653">
        <v>800677</v>
      </c>
      <c r="L1802" s="656">
        <v>800677</v>
      </c>
    </row>
    <row r="1803" spans="1:12" ht="31.5" x14ac:dyDescent="0.25">
      <c r="A1803" s="651" t="s">
        <v>129</v>
      </c>
      <c r="B1803" s="652">
        <v>2021</v>
      </c>
      <c r="C1803" s="651" t="s">
        <v>679</v>
      </c>
      <c r="D1803" s="651" t="s">
        <v>1996</v>
      </c>
      <c r="E1803" s="651" t="s">
        <v>131</v>
      </c>
      <c r="F1803" s="653">
        <v>-58134</v>
      </c>
      <c r="G1803" s="651" t="s">
        <v>650</v>
      </c>
      <c r="H1803" s="654"/>
      <c r="I1803" s="653">
        <v>-56279</v>
      </c>
      <c r="J1803" s="653">
        <v>-1855</v>
      </c>
      <c r="K1803" s="653">
        <v>-58134</v>
      </c>
      <c r="L1803" s="656">
        <v>-58134</v>
      </c>
    </row>
    <row r="1804" spans="1:12" ht="31.5" x14ac:dyDescent="0.25">
      <c r="A1804" s="651" t="s">
        <v>129</v>
      </c>
      <c r="B1804" s="652">
        <v>2021</v>
      </c>
      <c r="C1804" s="651" t="s">
        <v>681</v>
      </c>
      <c r="D1804" s="651" t="s">
        <v>1997</v>
      </c>
      <c r="E1804" s="651" t="s">
        <v>683</v>
      </c>
      <c r="F1804" s="653">
        <v>0</v>
      </c>
      <c r="G1804" s="654"/>
      <c r="H1804" s="651" t="s">
        <v>650</v>
      </c>
      <c r="I1804" s="655"/>
      <c r="J1804" s="655"/>
      <c r="K1804" s="653">
        <v>0</v>
      </c>
      <c r="L1804" s="656">
        <v>0</v>
      </c>
    </row>
    <row r="1805" spans="1:12" ht="21" x14ac:dyDescent="0.25">
      <c r="A1805" s="651" t="s">
        <v>129</v>
      </c>
      <c r="B1805" s="652">
        <v>2021</v>
      </c>
      <c r="C1805" s="651" t="s">
        <v>681</v>
      </c>
      <c r="D1805" s="651" t="s">
        <v>1997</v>
      </c>
      <c r="E1805" s="651" t="s">
        <v>684</v>
      </c>
      <c r="F1805" s="653">
        <v>0</v>
      </c>
      <c r="G1805" s="654"/>
      <c r="H1805" s="651" t="s">
        <v>650</v>
      </c>
      <c r="I1805" s="655"/>
      <c r="J1805" s="655"/>
      <c r="K1805" s="653">
        <v>0</v>
      </c>
      <c r="L1805" s="656">
        <v>0</v>
      </c>
    </row>
    <row r="1806" spans="1:12" ht="21" x14ac:dyDescent="0.25">
      <c r="A1806" s="651" t="s">
        <v>129</v>
      </c>
      <c r="B1806" s="652">
        <v>2021</v>
      </c>
      <c r="C1806" s="651" t="s">
        <v>685</v>
      </c>
      <c r="D1806" s="651" t="s">
        <v>1998</v>
      </c>
      <c r="E1806" s="651" t="s">
        <v>687</v>
      </c>
      <c r="F1806" s="653">
        <v>0</v>
      </c>
      <c r="G1806" s="654"/>
      <c r="H1806" s="651" t="s">
        <v>650</v>
      </c>
      <c r="I1806" s="655"/>
      <c r="J1806" s="655"/>
      <c r="K1806" s="653">
        <v>0</v>
      </c>
      <c r="L1806" s="656">
        <v>0</v>
      </c>
    </row>
    <row r="1807" spans="1:12" ht="14.5" x14ac:dyDescent="0.25">
      <c r="A1807" s="651" t="s">
        <v>129</v>
      </c>
      <c r="B1807" s="652">
        <v>2021</v>
      </c>
      <c r="C1807" s="651" t="s">
        <v>688</v>
      </c>
      <c r="D1807" s="651" t="s">
        <v>1999</v>
      </c>
      <c r="E1807" s="651" t="s">
        <v>50</v>
      </c>
      <c r="F1807" s="653">
        <v>0</v>
      </c>
      <c r="G1807" s="654"/>
      <c r="H1807" s="651" t="s">
        <v>650</v>
      </c>
      <c r="I1807" s="655"/>
      <c r="J1807" s="655"/>
      <c r="K1807" s="653">
        <v>0</v>
      </c>
      <c r="L1807" s="656">
        <v>0</v>
      </c>
    </row>
    <row r="1808" spans="1:12" ht="21" x14ac:dyDescent="0.25">
      <c r="A1808" s="651" t="s">
        <v>129</v>
      </c>
      <c r="B1808" s="652">
        <v>2021</v>
      </c>
      <c r="C1808" s="651" t="s">
        <v>690</v>
      </c>
      <c r="D1808" s="651" t="s">
        <v>2000</v>
      </c>
      <c r="E1808" s="651" t="s">
        <v>692</v>
      </c>
      <c r="F1808" s="653">
        <v>0</v>
      </c>
      <c r="G1808" s="654"/>
      <c r="H1808" s="651" t="s">
        <v>650</v>
      </c>
      <c r="I1808" s="655"/>
      <c r="J1808" s="655"/>
      <c r="K1808" s="653">
        <v>0</v>
      </c>
      <c r="L1808" s="656">
        <v>0</v>
      </c>
    </row>
    <row r="1809" spans="1:12" ht="21" x14ac:dyDescent="0.25">
      <c r="A1809" s="651" t="s">
        <v>129</v>
      </c>
      <c r="B1809" s="652">
        <v>2021</v>
      </c>
      <c r="C1809" s="651" t="s">
        <v>693</v>
      </c>
      <c r="D1809" s="651" t="s">
        <v>2001</v>
      </c>
      <c r="E1809" s="651" t="s">
        <v>6</v>
      </c>
      <c r="F1809" s="653">
        <v>0</v>
      </c>
      <c r="G1809" s="654"/>
      <c r="H1809" s="651" t="s">
        <v>650</v>
      </c>
      <c r="I1809" s="655"/>
      <c r="J1809" s="655"/>
      <c r="K1809" s="653">
        <v>0</v>
      </c>
      <c r="L1809" s="656">
        <v>0</v>
      </c>
    </row>
    <row r="1810" spans="1:12" ht="31.5" x14ac:dyDescent="0.25">
      <c r="A1810" s="651" t="s">
        <v>129</v>
      </c>
      <c r="B1810" s="652">
        <v>2021</v>
      </c>
      <c r="C1810" s="651" t="s">
        <v>695</v>
      </c>
      <c r="D1810" s="651" t="s">
        <v>2002</v>
      </c>
      <c r="E1810" s="651" t="s">
        <v>697</v>
      </c>
      <c r="F1810" s="653">
        <v>173789</v>
      </c>
      <c r="G1810" s="654"/>
      <c r="H1810" s="651" t="s">
        <v>650</v>
      </c>
      <c r="I1810" s="655"/>
      <c r="J1810" s="655"/>
      <c r="K1810" s="653">
        <v>0</v>
      </c>
      <c r="L1810" s="656">
        <v>173789</v>
      </c>
    </row>
    <row r="1811" spans="1:12" ht="21" x14ac:dyDescent="0.25">
      <c r="A1811" s="651" t="s">
        <v>129</v>
      </c>
      <c r="B1811" s="652">
        <v>2021</v>
      </c>
      <c r="C1811" s="651" t="s">
        <v>698</v>
      </c>
      <c r="D1811" s="651" t="s">
        <v>2003</v>
      </c>
      <c r="E1811" s="651" t="s">
        <v>700</v>
      </c>
      <c r="F1811" s="653">
        <v>174417</v>
      </c>
      <c r="G1811" s="654"/>
      <c r="H1811" s="651" t="s">
        <v>650</v>
      </c>
      <c r="I1811" s="655"/>
      <c r="J1811" s="655"/>
      <c r="K1811" s="653">
        <v>0</v>
      </c>
      <c r="L1811" s="656">
        <v>174417</v>
      </c>
    </row>
    <row r="1812" spans="1:12" ht="21" x14ac:dyDescent="0.25">
      <c r="A1812" s="651" t="s">
        <v>129</v>
      </c>
      <c r="B1812" s="652">
        <v>2021</v>
      </c>
      <c r="C1812" s="651" t="s">
        <v>701</v>
      </c>
      <c r="D1812" s="651" t="s">
        <v>2004</v>
      </c>
      <c r="E1812" s="651" t="s">
        <v>1</v>
      </c>
      <c r="F1812" s="653">
        <v>-929423</v>
      </c>
      <c r="G1812" s="651" t="s">
        <v>650</v>
      </c>
      <c r="H1812" s="654"/>
      <c r="I1812" s="653">
        <v>-919626</v>
      </c>
      <c r="J1812" s="653">
        <v>-9797</v>
      </c>
      <c r="K1812" s="653">
        <v>-929423</v>
      </c>
      <c r="L1812" s="656">
        <v>-929423</v>
      </c>
    </row>
    <row r="1813" spans="1:12" ht="21" x14ac:dyDescent="0.25">
      <c r="A1813" s="651" t="s">
        <v>129</v>
      </c>
      <c r="B1813" s="652">
        <v>2021</v>
      </c>
      <c r="C1813" s="651" t="s">
        <v>701</v>
      </c>
      <c r="D1813" s="651" t="s">
        <v>2004</v>
      </c>
      <c r="E1813" s="651" t="s">
        <v>703</v>
      </c>
      <c r="F1813" s="653">
        <v>0</v>
      </c>
      <c r="G1813" s="654"/>
      <c r="H1813" s="654"/>
      <c r="I1813" s="655"/>
      <c r="J1813" s="655"/>
      <c r="K1813" s="653">
        <v>0</v>
      </c>
      <c r="L1813" s="656">
        <v>0</v>
      </c>
    </row>
    <row r="1814" spans="1:12" ht="21" x14ac:dyDescent="0.25">
      <c r="A1814" s="651" t="s">
        <v>129</v>
      </c>
      <c r="B1814" s="652">
        <v>2021</v>
      </c>
      <c r="C1814" s="651" t="s">
        <v>701</v>
      </c>
      <c r="D1814" s="651" t="s">
        <v>2004</v>
      </c>
      <c r="E1814" s="651" t="s">
        <v>704</v>
      </c>
      <c r="F1814" s="653">
        <v>0</v>
      </c>
      <c r="G1814" s="654"/>
      <c r="H1814" s="654"/>
      <c r="I1814" s="655"/>
      <c r="J1814" s="655"/>
      <c r="K1814" s="653">
        <v>0</v>
      </c>
      <c r="L1814" s="656">
        <v>0</v>
      </c>
    </row>
    <row r="1815" spans="1:12" ht="21" x14ac:dyDescent="0.25">
      <c r="A1815" s="651" t="s">
        <v>129</v>
      </c>
      <c r="B1815" s="652">
        <v>2021</v>
      </c>
      <c r="C1815" s="651" t="s">
        <v>701</v>
      </c>
      <c r="D1815" s="651" t="s">
        <v>2004</v>
      </c>
      <c r="E1815" s="651" t="s">
        <v>705</v>
      </c>
      <c r="F1815" s="653">
        <v>-138941.89000000001</v>
      </c>
      <c r="G1815" s="654"/>
      <c r="H1815" s="654"/>
      <c r="I1815" s="655"/>
      <c r="J1815" s="655"/>
      <c r="K1815" s="653">
        <v>0</v>
      </c>
      <c r="L1815" s="656">
        <v>-138941.89000000001</v>
      </c>
    </row>
    <row r="1816" spans="1:12" ht="21" x14ac:dyDescent="0.25">
      <c r="A1816" s="651" t="s">
        <v>129</v>
      </c>
      <c r="B1816" s="652">
        <v>2021</v>
      </c>
      <c r="C1816" s="651" t="s">
        <v>701</v>
      </c>
      <c r="D1816" s="651" t="s">
        <v>2004</v>
      </c>
      <c r="E1816" s="651" t="s">
        <v>706</v>
      </c>
      <c r="F1816" s="653">
        <v>-6796.23</v>
      </c>
      <c r="G1816" s="654"/>
      <c r="H1816" s="654"/>
      <c r="I1816" s="655"/>
      <c r="J1816" s="655"/>
      <c r="K1816" s="653">
        <v>0</v>
      </c>
      <c r="L1816" s="656">
        <v>-6796.23</v>
      </c>
    </row>
    <row r="1817" spans="1:12" ht="14.5" x14ac:dyDescent="0.25">
      <c r="A1817" s="651" t="s">
        <v>129</v>
      </c>
      <c r="B1817" s="652">
        <v>2021</v>
      </c>
      <c r="C1817" s="651" t="s">
        <v>707</v>
      </c>
      <c r="D1817" s="651" t="s">
        <v>2005</v>
      </c>
      <c r="E1817" s="651" t="s">
        <v>709</v>
      </c>
      <c r="F1817" s="653">
        <v>0</v>
      </c>
      <c r="G1817" s="654"/>
      <c r="H1817" s="651" t="s">
        <v>650</v>
      </c>
      <c r="I1817" s="655"/>
      <c r="J1817" s="655"/>
      <c r="K1817" s="653">
        <v>0</v>
      </c>
      <c r="L1817" s="656">
        <v>0</v>
      </c>
    </row>
    <row r="1818" spans="1:12" ht="31.5" x14ac:dyDescent="0.25">
      <c r="A1818" s="651" t="s">
        <v>129</v>
      </c>
      <c r="B1818" s="652">
        <v>2021</v>
      </c>
      <c r="C1818" s="651" t="s">
        <v>710</v>
      </c>
      <c r="D1818" s="651" t="s">
        <v>2006</v>
      </c>
      <c r="E1818" s="651" t="s">
        <v>2</v>
      </c>
      <c r="F1818" s="653">
        <v>304188</v>
      </c>
      <c r="G1818" s="651" t="s">
        <v>650</v>
      </c>
      <c r="H1818" s="654"/>
      <c r="I1818" s="653">
        <v>302566</v>
      </c>
      <c r="J1818" s="653">
        <v>1622</v>
      </c>
      <c r="K1818" s="653">
        <v>304188</v>
      </c>
      <c r="L1818" s="656">
        <v>304188</v>
      </c>
    </row>
    <row r="1819" spans="1:12" ht="31.5" x14ac:dyDescent="0.25">
      <c r="A1819" s="651" t="s">
        <v>129</v>
      </c>
      <c r="B1819" s="652">
        <v>2021</v>
      </c>
      <c r="C1819" s="651" t="s">
        <v>712</v>
      </c>
      <c r="D1819" s="651" t="s">
        <v>2007</v>
      </c>
      <c r="E1819" s="651" t="s">
        <v>3</v>
      </c>
      <c r="F1819" s="653">
        <v>31757</v>
      </c>
      <c r="G1819" s="651" t="s">
        <v>650</v>
      </c>
      <c r="H1819" s="654"/>
      <c r="I1819" s="653">
        <v>31675</v>
      </c>
      <c r="J1819" s="653">
        <v>82</v>
      </c>
      <c r="K1819" s="653">
        <v>31757</v>
      </c>
      <c r="L1819" s="656">
        <v>31757</v>
      </c>
    </row>
    <row r="1820" spans="1:12" ht="31.5" x14ac:dyDescent="0.25">
      <c r="A1820" s="651" t="s">
        <v>129</v>
      </c>
      <c r="B1820" s="652">
        <v>2021</v>
      </c>
      <c r="C1820" s="651" t="s">
        <v>714</v>
      </c>
      <c r="D1820" s="651" t="s">
        <v>2008</v>
      </c>
      <c r="E1820" s="651" t="s">
        <v>38</v>
      </c>
      <c r="F1820" s="653">
        <v>-2291855</v>
      </c>
      <c r="G1820" s="651" t="s">
        <v>650</v>
      </c>
      <c r="H1820" s="654"/>
      <c r="I1820" s="653">
        <v>-2248000</v>
      </c>
      <c r="J1820" s="653">
        <v>-43855</v>
      </c>
      <c r="K1820" s="653">
        <v>-2291855</v>
      </c>
      <c r="L1820" s="656">
        <v>-2291855</v>
      </c>
    </row>
    <row r="1821" spans="1:12" ht="21" x14ac:dyDescent="0.25">
      <c r="A1821" s="651" t="s">
        <v>129</v>
      </c>
      <c r="B1821" s="652">
        <v>2021</v>
      </c>
      <c r="C1821" s="651" t="s">
        <v>716</v>
      </c>
      <c r="D1821" s="651" t="s">
        <v>2009</v>
      </c>
      <c r="E1821" s="651" t="s">
        <v>66</v>
      </c>
      <c r="F1821" s="653">
        <v>885547</v>
      </c>
      <c r="G1821" s="651" t="s">
        <v>650</v>
      </c>
      <c r="H1821" s="654"/>
      <c r="I1821" s="653">
        <v>844983</v>
      </c>
      <c r="J1821" s="653">
        <v>40564</v>
      </c>
      <c r="K1821" s="653">
        <v>885547</v>
      </c>
      <c r="L1821" s="656">
        <v>885547</v>
      </c>
    </row>
    <row r="1822" spans="1:12" ht="31.5" x14ac:dyDescent="0.25">
      <c r="A1822" s="651" t="s">
        <v>129</v>
      </c>
      <c r="B1822" s="652">
        <v>2021</v>
      </c>
      <c r="C1822" s="651" t="s">
        <v>718</v>
      </c>
      <c r="D1822" s="651" t="s">
        <v>2010</v>
      </c>
      <c r="E1822" s="651" t="s">
        <v>720</v>
      </c>
      <c r="F1822" s="653">
        <v>-577832</v>
      </c>
      <c r="G1822" s="654"/>
      <c r="H1822" s="651" t="s">
        <v>650</v>
      </c>
      <c r="I1822" s="655"/>
      <c r="J1822" s="655"/>
      <c r="K1822" s="653">
        <v>0</v>
      </c>
      <c r="L1822" s="656">
        <v>-577832</v>
      </c>
    </row>
    <row r="1823" spans="1:12" ht="42" x14ac:dyDescent="0.25">
      <c r="A1823" s="651" t="s">
        <v>129</v>
      </c>
      <c r="B1823" s="652">
        <v>2021</v>
      </c>
      <c r="C1823" s="651" t="s">
        <v>721</v>
      </c>
      <c r="D1823" s="651" t="s">
        <v>2011</v>
      </c>
      <c r="E1823" s="651" t="s">
        <v>3016</v>
      </c>
      <c r="F1823" s="653">
        <v>0</v>
      </c>
      <c r="G1823" s="651" t="s">
        <v>650</v>
      </c>
      <c r="H1823" s="654"/>
      <c r="I1823" s="653">
        <v>-110861</v>
      </c>
      <c r="J1823" s="653">
        <v>11879</v>
      </c>
      <c r="K1823" s="653">
        <v>-98982</v>
      </c>
      <c r="L1823" s="656">
        <v>-98982</v>
      </c>
    </row>
    <row r="1824" spans="1:12" ht="42" x14ac:dyDescent="0.25">
      <c r="A1824" s="651" t="s">
        <v>129</v>
      </c>
      <c r="B1824" s="652">
        <v>2021</v>
      </c>
      <c r="C1824" s="651" t="s">
        <v>721</v>
      </c>
      <c r="D1824" s="651" t="s">
        <v>2011</v>
      </c>
      <c r="E1824" s="651" t="s">
        <v>3058</v>
      </c>
      <c r="F1824" s="653">
        <v>0</v>
      </c>
      <c r="G1824" s="651" t="s">
        <v>650</v>
      </c>
      <c r="H1824" s="654"/>
      <c r="I1824" s="655"/>
      <c r="J1824" s="655"/>
      <c r="K1824" s="653">
        <v>0</v>
      </c>
      <c r="L1824" s="656">
        <v>0</v>
      </c>
    </row>
    <row r="1825" spans="1:12" ht="42" x14ac:dyDescent="0.25">
      <c r="A1825" s="651" t="s">
        <v>129</v>
      </c>
      <c r="B1825" s="652">
        <v>2021</v>
      </c>
      <c r="C1825" s="651" t="s">
        <v>721</v>
      </c>
      <c r="D1825" s="651" t="s">
        <v>2012</v>
      </c>
      <c r="E1825" s="651" t="s">
        <v>724</v>
      </c>
      <c r="F1825" s="653">
        <v>0</v>
      </c>
      <c r="G1825" s="651" t="s">
        <v>650</v>
      </c>
      <c r="H1825" s="654"/>
      <c r="I1825" s="655"/>
      <c r="J1825" s="655"/>
      <c r="K1825" s="653">
        <v>0</v>
      </c>
      <c r="L1825" s="656">
        <v>0</v>
      </c>
    </row>
    <row r="1826" spans="1:12" ht="42" x14ac:dyDescent="0.25">
      <c r="A1826" s="651" t="s">
        <v>129</v>
      </c>
      <c r="B1826" s="652">
        <v>2021</v>
      </c>
      <c r="C1826" s="651" t="s">
        <v>721</v>
      </c>
      <c r="D1826" s="651" t="s">
        <v>2013</v>
      </c>
      <c r="E1826" s="651" t="s">
        <v>55</v>
      </c>
      <c r="F1826" s="653">
        <v>0</v>
      </c>
      <c r="G1826" s="651" t="s">
        <v>650</v>
      </c>
      <c r="H1826" s="654"/>
      <c r="I1826" s="655"/>
      <c r="J1826" s="655"/>
      <c r="K1826" s="653">
        <v>0</v>
      </c>
      <c r="L1826" s="656">
        <v>0</v>
      </c>
    </row>
    <row r="1827" spans="1:12" ht="42" x14ac:dyDescent="0.25">
      <c r="A1827" s="651" t="s">
        <v>129</v>
      </c>
      <c r="B1827" s="652">
        <v>2021</v>
      </c>
      <c r="C1827" s="651" t="s">
        <v>721</v>
      </c>
      <c r="D1827" s="651" t="s">
        <v>2014</v>
      </c>
      <c r="E1827" s="651" t="s">
        <v>56</v>
      </c>
      <c r="F1827" s="653">
        <v>0</v>
      </c>
      <c r="G1827" s="651" t="s">
        <v>650</v>
      </c>
      <c r="H1827" s="654"/>
      <c r="I1827" s="655"/>
      <c r="J1827" s="655"/>
      <c r="K1827" s="653">
        <v>0</v>
      </c>
      <c r="L1827" s="656">
        <v>0</v>
      </c>
    </row>
    <row r="1828" spans="1:12" ht="42" x14ac:dyDescent="0.25">
      <c r="A1828" s="651" t="s">
        <v>129</v>
      </c>
      <c r="B1828" s="652">
        <v>2021</v>
      </c>
      <c r="C1828" s="651" t="s">
        <v>721</v>
      </c>
      <c r="D1828" s="651" t="s">
        <v>2015</v>
      </c>
      <c r="E1828" s="651" t="s">
        <v>728</v>
      </c>
      <c r="F1828" s="653">
        <v>0</v>
      </c>
      <c r="G1828" s="651" t="s">
        <v>650</v>
      </c>
      <c r="H1828" s="654"/>
      <c r="I1828" s="655"/>
      <c r="J1828" s="655"/>
      <c r="K1828" s="653">
        <v>0</v>
      </c>
      <c r="L1828" s="656">
        <v>0</v>
      </c>
    </row>
    <row r="1829" spans="1:12" ht="42" x14ac:dyDescent="0.25">
      <c r="A1829" s="651" t="s">
        <v>129</v>
      </c>
      <c r="B1829" s="652">
        <v>2021</v>
      </c>
      <c r="C1829" s="651" t="s">
        <v>721</v>
      </c>
      <c r="D1829" s="651" t="s">
        <v>2016</v>
      </c>
      <c r="E1829" s="651" t="s">
        <v>730</v>
      </c>
      <c r="F1829" s="653">
        <v>0</v>
      </c>
      <c r="G1829" s="651" t="s">
        <v>650</v>
      </c>
      <c r="H1829" s="654"/>
      <c r="I1829" s="655"/>
      <c r="J1829" s="655"/>
      <c r="K1829" s="653">
        <v>0</v>
      </c>
      <c r="L1829" s="656">
        <v>0</v>
      </c>
    </row>
    <row r="1830" spans="1:12" ht="42" x14ac:dyDescent="0.25">
      <c r="A1830" s="651" t="s">
        <v>129</v>
      </c>
      <c r="B1830" s="652">
        <v>2021</v>
      </c>
      <c r="C1830" s="651" t="s">
        <v>721</v>
      </c>
      <c r="D1830" s="651" t="s">
        <v>2017</v>
      </c>
      <c r="E1830" s="651" t="s">
        <v>142</v>
      </c>
      <c r="F1830" s="653">
        <v>0</v>
      </c>
      <c r="G1830" s="651" t="s">
        <v>650</v>
      </c>
      <c r="H1830" s="654"/>
      <c r="I1830" s="655"/>
      <c r="J1830" s="655"/>
      <c r="K1830" s="653">
        <v>0</v>
      </c>
      <c r="L1830" s="656">
        <v>0</v>
      </c>
    </row>
    <row r="1831" spans="1:12" ht="42" x14ac:dyDescent="0.25">
      <c r="A1831" s="651" t="s">
        <v>129</v>
      </c>
      <c r="B1831" s="652">
        <v>2021</v>
      </c>
      <c r="C1831" s="651" t="s">
        <v>721</v>
      </c>
      <c r="D1831" s="651" t="s">
        <v>2018</v>
      </c>
      <c r="E1831" s="651" t="s">
        <v>143</v>
      </c>
      <c r="F1831" s="653">
        <v>0</v>
      </c>
      <c r="G1831" s="651" t="s">
        <v>650</v>
      </c>
      <c r="H1831" s="654"/>
      <c r="I1831" s="653">
        <v>0</v>
      </c>
      <c r="J1831" s="653">
        <v>0</v>
      </c>
      <c r="K1831" s="653">
        <v>0</v>
      </c>
      <c r="L1831" s="656">
        <v>0</v>
      </c>
    </row>
    <row r="1832" spans="1:12" ht="42" x14ac:dyDescent="0.25">
      <c r="A1832" s="651" t="s">
        <v>129</v>
      </c>
      <c r="B1832" s="652">
        <v>2021</v>
      </c>
      <c r="C1832" s="651" t="s">
        <v>721</v>
      </c>
      <c r="D1832" s="651" t="s">
        <v>2019</v>
      </c>
      <c r="E1832" s="651" t="s">
        <v>182</v>
      </c>
      <c r="F1832" s="653">
        <v>0</v>
      </c>
      <c r="G1832" s="651" t="s">
        <v>650</v>
      </c>
      <c r="H1832" s="654"/>
      <c r="I1832" s="653">
        <v>0</v>
      </c>
      <c r="J1832" s="655"/>
      <c r="K1832" s="653">
        <v>0</v>
      </c>
      <c r="L1832" s="656">
        <v>0</v>
      </c>
    </row>
    <row r="1833" spans="1:12" ht="42" x14ac:dyDescent="0.25">
      <c r="A1833" s="651" t="s">
        <v>129</v>
      </c>
      <c r="B1833" s="652">
        <v>2021</v>
      </c>
      <c r="C1833" s="651" t="s">
        <v>721</v>
      </c>
      <c r="D1833" s="651" t="s">
        <v>2020</v>
      </c>
      <c r="E1833" s="651" t="s">
        <v>394</v>
      </c>
      <c r="F1833" s="653">
        <v>0</v>
      </c>
      <c r="G1833" s="651" t="s">
        <v>650</v>
      </c>
      <c r="H1833" s="654"/>
      <c r="I1833" s="653">
        <v>2628</v>
      </c>
      <c r="J1833" s="653">
        <v>-1583</v>
      </c>
      <c r="K1833" s="653">
        <v>1045</v>
      </c>
      <c r="L1833" s="656">
        <v>1045</v>
      </c>
    </row>
    <row r="1834" spans="1:12" ht="42" x14ac:dyDescent="0.25">
      <c r="A1834" s="651" t="s">
        <v>129</v>
      </c>
      <c r="B1834" s="652">
        <v>2021</v>
      </c>
      <c r="C1834" s="651" t="s">
        <v>721</v>
      </c>
      <c r="D1834" s="651" t="s">
        <v>2021</v>
      </c>
      <c r="E1834" s="651" t="s">
        <v>423</v>
      </c>
      <c r="F1834" s="653">
        <v>0</v>
      </c>
      <c r="G1834" s="651" t="s">
        <v>650</v>
      </c>
      <c r="H1834" s="654"/>
      <c r="I1834" s="653">
        <v>86116</v>
      </c>
      <c r="J1834" s="653">
        <v>-52520</v>
      </c>
      <c r="K1834" s="653">
        <v>33596</v>
      </c>
      <c r="L1834" s="656">
        <v>33596</v>
      </c>
    </row>
    <row r="1835" spans="1:12" ht="42" x14ac:dyDescent="0.25">
      <c r="A1835" s="651" t="s">
        <v>129</v>
      </c>
      <c r="B1835" s="652">
        <v>2021</v>
      </c>
      <c r="C1835" s="651" t="s">
        <v>721</v>
      </c>
      <c r="D1835" s="651" t="s">
        <v>3271</v>
      </c>
      <c r="E1835" s="651" t="s">
        <v>441</v>
      </c>
      <c r="F1835" s="653">
        <v>0</v>
      </c>
      <c r="G1835" s="651" t="s">
        <v>650</v>
      </c>
      <c r="H1835" s="654"/>
      <c r="I1835" s="655"/>
      <c r="J1835" s="655"/>
      <c r="K1835" s="653">
        <v>0</v>
      </c>
      <c r="L1835" s="656">
        <v>0</v>
      </c>
    </row>
    <row r="1836" spans="1:12" ht="42" x14ac:dyDescent="0.25">
      <c r="A1836" s="651" t="s">
        <v>129</v>
      </c>
      <c r="B1836" s="652">
        <v>2021</v>
      </c>
      <c r="C1836" s="651" t="s">
        <v>721</v>
      </c>
      <c r="D1836" s="651" t="s">
        <v>2022</v>
      </c>
      <c r="E1836" s="651" t="s">
        <v>737</v>
      </c>
      <c r="F1836" s="653">
        <v>-64341</v>
      </c>
      <c r="G1836" s="654"/>
      <c r="H1836" s="654"/>
      <c r="I1836" s="655"/>
      <c r="J1836" s="655"/>
      <c r="K1836" s="653">
        <v>0</v>
      </c>
      <c r="L1836" s="656">
        <v>-64341</v>
      </c>
    </row>
    <row r="1837" spans="1:12" ht="14.5" x14ac:dyDescent="0.25">
      <c r="A1837" s="651" t="s">
        <v>129</v>
      </c>
      <c r="B1837" s="652">
        <v>2021</v>
      </c>
      <c r="C1837" s="651" t="s">
        <v>738</v>
      </c>
      <c r="D1837" s="651" t="s">
        <v>2023</v>
      </c>
      <c r="E1837" s="651" t="s">
        <v>7</v>
      </c>
      <c r="F1837" s="653">
        <v>0</v>
      </c>
      <c r="G1837" s="654"/>
      <c r="H1837" s="651" t="s">
        <v>650</v>
      </c>
      <c r="I1837" s="655"/>
      <c r="J1837" s="655"/>
      <c r="K1837" s="653">
        <v>0</v>
      </c>
      <c r="L1837" s="656">
        <v>0</v>
      </c>
    </row>
    <row r="1838" spans="1:12" ht="21" x14ac:dyDescent="0.25">
      <c r="A1838" s="651" t="s">
        <v>2024</v>
      </c>
      <c r="B1838" s="652">
        <v>2021</v>
      </c>
      <c r="C1838" s="651" t="s">
        <v>647</v>
      </c>
      <c r="D1838" s="651" t="s">
        <v>2025</v>
      </c>
      <c r="E1838" s="651" t="s">
        <v>649</v>
      </c>
      <c r="F1838" s="653">
        <v>-250131.17</v>
      </c>
      <c r="G1838" s="654"/>
      <c r="H1838" s="651" t="s">
        <v>650</v>
      </c>
      <c r="I1838" s="655"/>
      <c r="J1838" s="655"/>
      <c r="K1838" s="653">
        <v>0</v>
      </c>
      <c r="L1838" s="656">
        <v>-250131.17</v>
      </c>
    </row>
    <row r="1839" spans="1:12" ht="21" x14ac:dyDescent="0.25">
      <c r="A1839" s="651" t="s">
        <v>2024</v>
      </c>
      <c r="B1839" s="652">
        <v>2021</v>
      </c>
      <c r="C1839" s="651" t="s">
        <v>651</v>
      </c>
      <c r="D1839" s="651" t="s">
        <v>2026</v>
      </c>
      <c r="E1839" s="651" t="s">
        <v>653</v>
      </c>
      <c r="F1839" s="653">
        <v>105529.1</v>
      </c>
      <c r="G1839" s="654"/>
      <c r="H1839" s="651" t="s">
        <v>650</v>
      </c>
      <c r="I1839" s="655"/>
      <c r="J1839" s="655"/>
      <c r="K1839" s="653">
        <v>0</v>
      </c>
      <c r="L1839" s="656">
        <v>105529.1</v>
      </c>
    </row>
    <row r="1840" spans="1:12" ht="42" x14ac:dyDescent="0.25">
      <c r="A1840" s="651" t="s">
        <v>2024</v>
      </c>
      <c r="B1840" s="652">
        <v>2021</v>
      </c>
      <c r="C1840" s="651" t="s">
        <v>654</v>
      </c>
      <c r="D1840" s="651" t="s">
        <v>2027</v>
      </c>
      <c r="E1840" s="651" t="s">
        <v>445</v>
      </c>
      <c r="F1840" s="653">
        <v>0</v>
      </c>
      <c r="G1840" s="654"/>
      <c r="H1840" s="651" t="s">
        <v>650</v>
      </c>
      <c r="I1840" s="655"/>
      <c r="J1840" s="655"/>
      <c r="K1840" s="653">
        <v>0</v>
      </c>
      <c r="L1840" s="656">
        <v>0</v>
      </c>
    </row>
    <row r="1841" spans="1:12" ht="21" x14ac:dyDescent="0.25">
      <c r="A1841" s="651" t="s">
        <v>2024</v>
      </c>
      <c r="B1841" s="652">
        <v>2021</v>
      </c>
      <c r="C1841" s="651" t="s">
        <v>656</v>
      </c>
      <c r="D1841" s="651" t="s">
        <v>2028</v>
      </c>
      <c r="E1841" s="651" t="s">
        <v>658</v>
      </c>
      <c r="F1841" s="653">
        <v>0</v>
      </c>
      <c r="G1841" s="654"/>
      <c r="H1841" s="651" t="s">
        <v>650</v>
      </c>
      <c r="I1841" s="655"/>
      <c r="J1841" s="655"/>
      <c r="K1841" s="653">
        <v>0</v>
      </c>
      <c r="L1841" s="656">
        <v>0</v>
      </c>
    </row>
    <row r="1842" spans="1:12" ht="31.5" x14ac:dyDescent="0.25">
      <c r="A1842" s="651" t="s">
        <v>2024</v>
      </c>
      <c r="B1842" s="652">
        <v>2021</v>
      </c>
      <c r="C1842" s="651" t="s">
        <v>659</v>
      </c>
      <c r="D1842" s="651" t="s">
        <v>2029</v>
      </c>
      <c r="E1842" s="651" t="s">
        <v>661</v>
      </c>
      <c r="F1842" s="653">
        <v>0</v>
      </c>
      <c r="G1842" s="654"/>
      <c r="H1842" s="651" t="s">
        <v>650</v>
      </c>
      <c r="I1842" s="655"/>
      <c r="J1842" s="655"/>
      <c r="K1842" s="653">
        <v>0</v>
      </c>
      <c r="L1842" s="656">
        <v>0</v>
      </c>
    </row>
    <row r="1843" spans="1:12" ht="21" x14ac:dyDescent="0.25">
      <c r="A1843" s="651" t="s">
        <v>2024</v>
      </c>
      <c r="B1843" s="652">
        <v>2021</v>
      </c>
      <c r="C1843" s="651" t="s">
        <v>662</v>
      </c>
      <c r="D1843" s="651" t="s">
        <v>2030</v>
      </c>
      <c r="E1843" s="651" t="s">
        <v>664</v>
      </c>
      <c r="F1843" s="653">
        <v>0</v>
      </c>
      <c r="G1843" s="654"/>
      <c r="H1843" s="651" t="s">
        <v>650</v>
      </c>
      <c r="I1843" s="655"/>
      <c r="J1843" s="655"/>
      <c r="K1843" s="653">
        <v>0</v>
      </c>
      <c r="L1843" s="656">
        <v>0</v>
      </c>
    </row>
    <row r="1844" spans="1:12" ht="31.5" x14ac:dyDescent="0.25">
      <c r="A1844" s="651" t="s">
        <v>2024</v>
      </c>
      <c r="B1844" s="652">
        <v>2021</v>
      </c>
      <c r="C1844" s="651" t="s">
        <v>665</v>
      </c>
      <c r="D1844" s="651" t="s">
        <v>2031</v>
      </c>
      <c r="E1844" s="651" t="s">
        <v>667</v>
      </c>
      <c r="F1844" s="653">
        <v>0</v>
      </c>
      <c r="G1844" s="654"/>
      <c r="H1844" s="651" t="s">
        <v>650</v>
      </c>
      <c r="I1844" s="655"/>
      <c r="J1844" s="655"/>
      <c r="K1844" s="653">
        <v>0</v>
      </c>
      <c r="L1844" s="656">
        <v>0</v>
      </c>
    </row>
    <row r="1845" spans="1:12" ht="21" x14ac:dyDescent="0.25">
      <c r="A1845" s="651" t="s">
        <v>2024</v>
      </c>
      <c r="B1845" s="652">
        <v>2021</v>
      </c>
      <c r="C1845" s="651" t="s">
        <v>668</v>
      </c>
      <c r="D1845" s="651" t="s">
        <v>2032</v>
      </c>
      <c r="E1845" s="651" t="s">
        <v>12</v>
      </c>
      <c r="F1845" s="653">
        <v>0</v>
      </c>
      <c r="G1845" s="654"/>
      <c r="H1845" s="651" t="s">
        <v>650</v>
      </c>
      <c r="I1845" s="655"/>
      <c r="J1845" s="655"/>
      <c r="K1845" s="653">
        <v>0</v>
      </c>
      <c r="L1845" s="656">
        <v>0</v>
      </c>
    </row>
    <row r="1846" spans="1:12" ht="21" x14ac:dyDescent="0.25">
      <c r="A1846" s="651" t="s">
        <v>2024</v>
      </c>
      <c r="B1846" s="652">
        <v>2021</v>
      </c>
      <c r="C1846" s="651" t="s">
        <v>670</v>
      </c>
      <c r="D1846" s="651" t="s">
        <v>2033</v>
      </c>
      <c r="E1846" s="651" t="s">
        <v>13</v>
      </c>
      <c r="F1846" s="653">
        <v>0</v>
      </c>
      <c r="G1846" s="654"/>
      <c r="H1846" s="651" t="s">
        <v>650</v>
      </c>
      <c r="I1846" s="655"/>
      <c r="J1846" s="655"/>
      <c r="K1846" s="653">
        <v>0</v>
      </c>
      <c r="L1846" s="656">
        <v>0</v>
      </c>
    </row>
    <row r="1847" spans="1:12" ht="21" x14ac:dyDescent="0.25">
      <c r="A1847" s="651" t="s">
        <v>2024</v>
      </c>
      <c r="B1847" s="652">
        <v>2021</v>
      </c>
      <c r="C1847" s="651" t="s">
        <v>672</v>
      </c>
      <c r="D1847" s="651" t="s">
        <v>2034</v>
      </c>
      <c r="E1847" s="651" t="s">
        <v>15</v>
      </c>
      <c r="F1847" s="653">
        <v>0</v>
      </c>
      <c r="G1847" s="654"/>
      <c r="H1847" s="651" t="s">
        <v>650</v>
      </c>
      <c r="I1847" s="655"/>
      <c r="J1847" s="655"/>
      <c r="K1847" s="653">
        <v>0</v>
      </c>
      <c r="L1847" s="656">
        <v>0</v>
      </c>
    </row>
    <row r="1848" spans="1:12" ht="21" x14ac:dyDescent="0.25">
      <c r="A1848" s="651" t="s">
        <v>2024</v>
      </c>
      <c r="B1848" s="652">
        <v>2021</v>
      </c>
      <c r="C1848" s="651" t="s">
        <v>674</v>
      </c>
      <c r="D1848" s="651" t="s">
        <v>2035</v>
      </c>
      <c r="E1848" s="651" t="s">
        <v>676</v>
      </c>
      <c r="F1848" s="653">
        <v>55135.03</v>
      </c>
      <c r="G1848" s="654"/>
      <c r="H1848" s="651" t="s">
        <v>650</v>
      </c>
      <c r="I1848" s="655"/>
      <c r="J1848" s="655"/>
      <c r="K1848" s="653">
        <v>0</v>
      </c>
      <c r="L1848" s="656">
        <v>55135.03</v>
      </c>
    </row>
    <row r="1849" spans="1:12" ht="21" x14ac:dyDescent="0.25">
      <c r="A1849" s="651" t="s">
        <v>2024</v>
      </c>
      <c r="B1849" s="652">
        <v>2021</v>
      </c>
      <c r="C1849" s="651" t="s">
        <v>677</v>
      </c>
      <c r="D1849" s="651" t="s">
        <v>2036</v>
      </c>
      <c r="E1849" s="651" t="s">
        <v>23</v>
      </c>
      <c r="F1849" s="653">
        <v>1605913.79</v>
      </c>
      <c r="G1849" s="651" t="s">
        <v>650</v>
      </c>
      <c r="H1849" s="654"/>
      <c r="I1849" s="653">
        <v>1572860.625</v>
      </c>
      <c r="J1849" s="653">
        <v>33053.2109375</v>
      </c>
      <c r="K1849" s="653">
        <v>1605913.75</v>
      </c>
      <c r="L1849" s="656">
        <v>1605913.79</v>
      </c>
    </row>
    <row r="1850" spans="1:12" ht="31.5" x14ac:dyDescent="0.25">
      <c r="A1850" s="651" t="s">
        <v>2024</v>
      </c>
      <c r="B1850" s="652">
        <v>2021</v>
      </c>
      <c r="C1850" s="651" t="s">
        <v>679</v>
      </c>
      <c r="D1850" s="651" t="s">
        <v>2037</v>
      </c>
      <c r="E1850" s="651" t="s">
        <v>131</v>
      </c>
      <c r="F1850" s="653">
        <v>-93879.61</v>
      </c>
      <c r="G1850" s="651" t="s">
        <v>650</v>
      </c>
      <c r="H1850" s="654"/>
      <c r="I1850" s="653">
        <v>-89673.828125</v>
      </c>
      <c r="J1850" s="653">
        <v>-4205.77978515625</v>
      </c>
      <c r="K1850" s="653">
        <v>-93879.609375</v>
      </c>
      <c r="L1850" s="656">
        <v>-93879.61</v>
      </c>
    </row>
    <row r="1851" spans="1:12" ht="31.5" x14ac:dyDescent="0.25">
      <c r="A1851" s="651" t="s">
        <v>2024</v>
      </c>
      <c r="B1851" s="652">
        <v>2021</v>
      </c>
      <c r="C1851" s="651" t="s">
        <v>681</v>
      </c>
      <c r="D1851" s="651" t="s">
        <v>2038</v>
      </c>
      <c r="E1851" s="651" t="s">
        <v>683</v>
      </c>
      <c r="F1851" s="653">
        <v>2024.6</v>
      </c>
      <c r="G1851" s="654"/>
      <c r="H1851" s="651" t="s">
        <v>650</v>
      </c>
      <c r="I1851" s="655"/>
      <c r="J1851" s="655"/>
      <c r="K1851" s="653">
        <v>0</v>
      </c>
      <c r="L1851" s="656">
        <v>2024.6</v>
      </c>
    </row>
    <row r="1852" spans="1:12" ht="21" x14ac:dyDescent="0.25">
      <c r="A1852" s="651" t="s">
        <v>2024</v>
      </c>
      <c r="B1852" s="652">
        <v>2021</v>
      </c>
      <c r="C1852" s="651" t="s">
        <v>681</v>
      </c>
      <c r="D1852" s="651" t="s">
        <v>2038</v>
      </c>
      <c r="E1852" s="651" t="s">
        <v>684</v>
      </c>
      <c r="F1852" s="653">
        <v>2024.6</v>
      </c>
      <c r="G1852" s="654"/>
      <c r="H1852" s="651" t="s">
        <v>650</v>
      </c>
      <c r="I1852" s="655"/>
      <c r="J1852" s="655"/>
      <c r="K1852" s="653">
        <v>0</v>
      </c>
      <c r="L1852" s="656">
        <v>2024.6</v>
      </c>
    </row>
    <row r="1853" spans="1:12" ht="21" x14ac:dyDescent="0.25">
      <c r="A1853" s="651" t="s">
        <v>2024</v>
      </c>
      <c r="B1853" s="652">
        <v>2021</v>
      </c>
      <c r="C1853" s="651" t="s">
        <v>685</v>
      </c>
      <c r="D1853" s="651" t="s">
        <v>2039</v>
      </c>
      <c r="E1853" s="651" t="s">
        <v>687</v>
      </c>
      <c r="F1853" s="653">
        <v>161833.42000000001</v>
      </c>
      <c r="G1853" s="654"/>
      <c r="H1853" s="651" t="s">
        <v>650</v>
      </c>
      <c r="I1853" s="655"/>
      <c r="J1853" s="655"/>
      <c r="K1853" s="653">
        <v>0</v>
      </c>
      <c r="L1853" s="656">
        <v>161833.42000000001</v>
      </c>
    </row>
    <row r="1854" spans="1:12" ht="21" x14ac:dyDescent="0.25">
      <c r="A1854" s="651" t="s">
        <v>2024</v>
      </c>
      <c r="B1854" s="652">
        <v>2021</v>
      </c>
      <c r="C1854" s="651" t="s">
        <v>688</v>
      </c>
      <c r="D1854" s="651" t="s">
        <v>2040</v>
      </c>
      <c r="E1854" s="651" t="s">
        <v>50</v>
      </c>
      <c r="F1854" s="653">
        <v>1072199.42</v>
      </c>
      <c r="G1854" s="654"/>
      <c r="H1854" s="651" t="s">
        <v>650</v>
      </c>
      <c r="I1854" s="655"/>
      <c r="J1854" s="655"/>
      <c r="K1854" s="653">
        <v>0</v>
      </c>
      <c r="L1854" s="656">
        <v>1072199.42</v>
      </c>
    </row>
    <row r="1855" spans="1:12" ht="21" x14ac:dyDescent="0.25">
      <c r="A1855" s="651" t="s">
        <v>2024</v>
      </c>
      <c r="B1855" s="652">
        <v>2021</v>
      </c>
      <c r="C1855" s="651" t="s">
        <v>690</v>
      </c>
      <c r="D1855" s="651" t="s">
        <v>2041</v>
      </c>
      <c r="E1855" s="651" t="s">
        <v>692</v>
      </c>
      <c r="F1855" s="653">
        <v>0</v>
      </c>
      <c r="G1855" s="654"/>
      <c r="H1855" s="651" t="s">
        <v>650</v>
      </c>
      <c r="I1855" s="655"/>
      <c r="J1855" s="655"/>
      <c r="K1855" s="653">
        <v>0</v>
      </c>
      <c r="L1855" s="656">
        <v>0</v>
      </c>
    </row>
    <row r="1856" spans="1:12" ht="21" x14ac:dyDescent="0.25">
      <c r="A1856" s="651" t="s">
        <v>2024</v>
      </c>
      <c r="B1856" s="652">
        <v>2021</v>
      </c>
      <c r="C1856" s="651" t="s">
        <v>693</v>
      </c>
      <c r="D1856" s="651" t="s">
        <v>2042</v>
      </c>
      <c r="E1856" s="651" t="s">
        <v>6</v>
      </c>
      <c r="F1856" s="653">
        <v>0</v>
      </c>
      <c r="G1856" s="654"/>
      <c r="H1856" s="651" t="s">
        <v>650</v>
      </c>
      <c r="I1856" s="655"/>
      <c r="J1856" s="655"/>
      <c r="K1856" s="653">
        <v>0</v>
      </c>
      <c r="L1856" s="656">
        <v>0</v>
      </c>
    </row>
    <row r="1857" spans="1:12" ht="31.5" x14ac:dyDescent="0.25">
      <c r="A1857" s="651" t="s">
        <v>2024</v>
      </c>
      <c r="B1857" s="652">
        <v>2021</v>
      </c>
      <c r="C1857" s="651" t="s">
        <v>695</v>
      </c>
      <c r="D1857" s="651" t="s">
        <v>2043</v>
      </c>
      <c r="E1857" s="651" t="s">
        <v>697</v>
      </c>
      <c r="F1857" s="653">
        <v>0</v>
      </c>
      <c r="G1857" s="654"/>
      <c r="H1857" s="651" t="s">
        <v>650</v>
      </c>
      <c r="I1857" s="655"/>
      <c r="J1857" s="655"/>
      <c r="K1857" s="653">
        <v>0</v>
      </c>
      <c r="L1857" s="656">
        <v>0</v>
      </c>
    </row>
    <row r="1858" spans="1:12" ht="21" x14ac:dyDescent="0.25">
      <c r="A1858" s="651" t="s">
        <v>2024</v>
      </c>
      <c r="B1858" s="652">
        <v>2021</v>
      </c>
      <c r="C1858" s="651" t="s">
        <v>698</v>
      </c>
      <c r="D1858" s="651" t="s">
        <v>2044</v>
      </c>
      <c r="E1858" s="651" t="s">
        <v>700</v>
      </c>
      <c r="F1858" s="653">
        <v>-2111965.94</v>
      </c>
      <c r="G1858" s="654"/>
      <c r="H1858" s="651" t="s">
        <v>650</v>
      </c>
      <c r="I1858" s="655"/>
      <c r="J1858" s="655"/>
      <c r="K1858" s="653">
        <v>0</v>
      </c>
      <c r="L1858" s="656">
        <v>-2111965.94</v>
      </c>
    </row>
    <row r="1859" spans="1:12" ht="21" x14ac:dyDescent="0.25">
      <c r="A1859" s="651" t="s">
        <v>2024</v>
      </c>
      <c r="B1859" s="652">
        <v>2021</v>
      </c>
      <c r="C1859" s="651" t="s">
        <v>701</v>
      </c>
      <c r="D1859" s="651" t="s">
        <v>2045</v>
      </c>
      <c r="E1859" s="651" t="s">
        <v>1</v>
      </c>
      <c r="F1859" s="653">
        <v>-740372.57</v>
      </c>
      <c r="G1859" s="651" t="s">
        <v>650</v>
      </c>
      <c r="H1859" s="654"/>
      <c r="I1859" s="653">
        <v>-713915.875</v>
      </c>
      <c r="J1859" s="653">
        <v>-26456.720703125</v>
      </c>
      <c r="K1859" s="653">
        <v>-740372.5625</v>
      </c>
      <c r="L1859" s="656">
        <v>-740372.57</v>
      </c>
    </row>
    <row r="1860" spans="1:12" ht="21" x14ac:dyDescent="0.25">
      <c r="A1860" s="651" t="s">
        <v>2024</v>
      </c>
      <c r="B1860" s="652">
        <v>2021</v>
      </c>
      <c r="C1860" s="651" t="s">
        <v>701</v>
      </c>
      <c r="D1860" s="651" t="s">
        <v>2045</v>
      </c>
      <c r="E1860" s="651" t="s">
        <v>703</v>
      </c>
      <c r="F1860" s="653">
        <v>0</v>
      </c>
      <c r="G1860" s="654"/>
      <c r="H1860" s="654"/>
      <c r="I1860" s="655"/>
      <c r="J1860" s="655"/>
      <c r="K1860" s="653">
        <v>0</v>
      </c>
      <c r="L1860" s="656">
        <v>0</v>
      </c>
    </row>
    <row r="1861" spans="1:12" ht="21" x14ac:dyDescent="0.25">
      <c r="A1861" s="651" t="s">
        <v>2024</v>
      </c>
      <c r="B1861" s="652">
        <v>2021</v>
      </c>
      <c r="C1861" s="651" t="s">
        <v>701</v>
      </c>
      <c r="D1861" s="651" t="s">
        <v>2045</v>
      </c>
      <c r="E1861" s="651" t="s">
        <v>704</v>
      </c>
      <c r="F1861" s="653">
        <v>-10001.69</v>
      </c>
      <c r="G1861" s="654"/>
      <c r="H1861" s="654"/>
      <c r="I1861" s="655"/>
      <c r="J1861" s="655"/>
      <c r="K1861" s="653">
        <v>0</v>
      </c>
      <c r="L1861" s="656">
        <v>-10001.69</v>
      </c>
    </row>
    <row r="1862" spans="1:12" ht="21" x14ac:dyDescent="0.25">
      <c r="A1862" s="651" t="s">
        <v>2024</v>
      </c>
      <c r="B1862" s="652">
        <v>2021</v>
      </c>
      <c r="C1862" s="651" t="s">
        <v>701</v>
      </c>
      <c r="D1862" s="651" t="s">
        <v>2045</v>
      </c>
      <c r="E1862" s="651" t="s">
        <v>705</v>
      </c>
      <c r="F1862" s="653">
        <v>-456.04</v>
      </c>
      <c r="G1862" s="654"/>
      <c r="H1862" s="654"/>
      <c r="I1862" s="655"/>
      <c r="J1862" s="655"/>
      <c r="K1862" s="653">
        <v>0</v>
      </c>
      <c r="L1862" s="656">
        <v>-456.04</v>
      </c>
    </row>
    <row r="1863" spans="1:12" ht="21" x14ac:dyDescent="0.25">
      <c r="A1863" s="651" t="s">
        <v>2024</v>
      </c>
      <c r="B1863" s="652">
        <v>2021</v>
      </c>
      <c r="C1863" s="651" t="s">
        <v>701</v>
      </c>
      <c r="D1863" s="651" t="s">
        <v>2045</v>
      </c>
      <c r="E1863" s="651" t="s">
        <v>706</v>
      </c>
      <c r="F1863" s="653">
        <v>-56169.86</v>
      </c>
      <c r="G1863" s="654"/>
      <c r="H1863" s="654"/>
      <c r="I1863" s="655"/>
      <c r="J1863" s="655"/>
      <c r="K1863" s="653">
        <v>0</v>
      </c>
      <c r="L1863" s="656">
        <v>-56169.86</v>
      </c>
    </row>
    <row r="1864" spans="1:12" ht="21" x14ac:dyDescent="0.25">
      <c r="A1864" s="651" t="s">
        <v>2024</v>
      </c>
      <c r="B1864" s="652">
        <v>2021</v>
      </c>
      <c r="C1864" s="651" t="s">
        <v>707</v>
      </c>
      <c r="D1864" s="651" t="s">
        <v>2046</v>
      </c>
      <c r="E1864" s="651" t="s">
        <v>709</v>
      </c>
      <c r="F1864" s="653">
        <v>71855.360000000001</v>
      </c>
      <c r="G1864" s="654"/>
      <c r="H1864" s="651" t="s">
        <v>650</v>
      </c>
      <c r="I1864" s="655"/>
      <c r="J1864" s="655"/>
      <c r="K1864" s="653">
        <v>0</v>
      </c>
      <c r="L1864" s="656">
        <v>71855.360000000001</v>
      </c>
    </row>
    <row r="1865" spans="1:12" ht="31.5" x14ac:dyDescent="0.25">
      <c r="A1865" s="651" t="s">
        <v>2024</v>
      </c>
      <c r="B1865" s="652">
        <v>2021</v>
      </c>
      <c r="C1865" s="651" t="s">
        <v>710</v>
      </c>
      <c r="D1865" s="651" t="s">
        <v>2047</v>
      </c>
      <c r="E1865" s="651" t="s">
        <v>2</v>
      </c>
      <c r="F1865" s="653">
        <v>-291647.86</v>
      </c>
      <c r="G1865" s="651" t="s">
        <v>650</v>
      </c>
      <c r="H1865" s="654"/>
      <c r="I1865" s="653">
        <v>-297703.03125</v>
      </c>
      <c r="J1865" s="653">
        <v>6055.16015625</v>
      </c>
      <c r="K1865" s="653">
        <v>-291647.875</v>
      </c>
      <c r="L1865" s="656">
        <v>-291647.86</v>
      </c>
    </row>
    <row r="1866" spans="1:12" ht="31.5" x14ac:dyDescent="0.25">
      <c r="A1866" s="651" t="s">
        <v>2024</v>
      </c>
      <c r="B1866" s="652">
        <v>2021</v>
      </c>
      <c r="C1866" s="651" t="s">
        <v>712</v>
      </c>
      <c r="D1866" s="651" t="s">
        <v>2048</v>
      </c>
      <c r="E1866" s="651" t="s">
        <v>3</v>
      </c>
      <c r="F1866" s="653">
        <v>146911.66</v>
      </c>
      <c r="G1866" s="651" t="s">
        <v>650</v>
      </c>
      <c r="H1866" s="654"/>
      <c r="I1866" s="653">
        <v>135765.0625</v>
      </c>
      <c r="J1866" s="653">
        <v>11146.58984375</v>
      </c>
      <c r="K1866" s="653">
        <v>146911.65625</v>
      </c>
      <c r="L1866" s="656">
        <v>146911.66</v>
      </c>
    </row>
    <row r="1867" spans="1:12" ht="31.5" x14ac:dyDescent="0.25">
      <c r="A1867" s="651" t="s">
        <v>2024</v>
      </c>
      <c r="B1867" s="652">
        <v>2021</v>
      </c>
      <c r="C1867" s="651" t="s">
        <v>714</v>
      </c>
      <c r="D1867" s="651" t="s">
        <v>2049</v>
      </c>
      <c r="E1867" s="651" t="s">
        <v>38</v>
      </c>
      <c r="F1867" s="653">
        <v>931276.84</v>
      </c>
      <c r="G1867" s="651" t="s">
        <v>650</v>
      </c>
      <c r="H1867" s="654"/>
      <c r="I1867" s="653">
        <v>833813.0625</v>
      </c>
      <c r="J1867" s="653">
        <v>97463.75</v>
      </c>
      <c r="K1867" s="653">
        <v>931276.8125</v>
      </c>
      <c r="L1867" s="656">
        <v>931276.84</v>
      </c>
    </row>
    <row r="1868" spans="1:12" ht="21" x14ac:dyDescent="0.25">
      <c r="A1868" s="651" t="s">
        <v>2024</v>
      </c>
      <c r="B1868" s="652">
        <v>2021</v>
      </c>
      <c r="C1868" s="651" t="s">
        <v>716</v>
      </c>
      <c r="D1868" s="651" t="s">
        <v>2050</v>
      </c>
      <c r="E1868" s="651" t="s">
        <v>66</v>
      </c>
      <c r="F1868" s="653">
        <v>-369712.78</v>
      </c>
      <c r="G1868" s="651" t="s">
        <v>650</v>
      </c>
      <c r="H1868" s="654"/>
      <c r="I1868" s="653">
        <v>-428427.65625</v>
      </c>
      <c r="J1868" s="653">
        <v>58714.87109375</v>
      </c>
      <c r="K1868" s="653">
        <v>-369712.78125</v>
      </c>
      <c r="L1868" s="656">
        <v>-369712.78</v>
      </c>
    </row>
    <row r="1869" spans="1:12" ht="31.5" x14ac:dyDescent="0.25">
      <c r="A1869" s="651" t="s">
        <v>2024</v>
      </c>
      <c r="B1869" s="652">
        <v>2021</v>
      </c>
      <c r="C1869" s="651" t="s">
        <v>718</v>
      </c>
      <c r="D1869" s="651" t="s">
        <v>2051</v>
      </c>
      <c r="E1869" s="651" t="s">
        <v>720</v>
      </c>
      <c r="F1869" s="653">
        <v>-144377.57999999999</v>
      </c>
      <c r="G1869" s="654"/>
      <c r="H1869" s="651" t="s">
        <v>650</v>
      </c>
      <c r="I1869" s="655"/>
      <c r="J1869" s="655"/>
      <c r="K1869" s="653">
        <v>0</v>
      </c>
      <c r="L1869" s="656">
        <v>-144377.57999999999</v>
      </c>
    </row>
    <row r="1870" spans="1:12" ht="42" x14ac:dyDescent="0.25">
      <c r="A1870" s="651" t="s">
        <v>2024</v>
      </c>
      <c r="B1870" s="652">
        <v>2021</v>
      </c>
      <c r="C1870" s="651" t="s">
        <v>721</v>
      </c>
      <c r="D1870" s="651" t="s">
        <v>2052</v>
      </c>
      <c r="E1870" s="651" t="s">
        <v>3016</v>
      </c>
      <c r="F1870" s="653">
        <v>0</v>
      </c>
      <c r="G1870" s="651" t="s">
        <v>650</v>
      </c>
      <c r="H1870" s="654"/>
      <c r="I1870" s="653">
        <v>21356.330078125</v>
      </c>
      <c r="J1870" s="653">
        <v>62031.87109375</v>
      </c>
      <c r="K1870" s="653">
        <v>83388.203125</v>
      </c>
      <c r="L1870" s="656">
        <v>83388.2</v>
      </c>
    </row>
    <row r="1871" spans="1:12" ht="42" x14ac:dyDescent="0.25">
      <c r="A1871" s="651" t="s">
        <v>2024</v>
      </c>
      <c r="B1871" s="652">
        <v>2021</v>
      </c>
      <c r="C1871" s="651" t="s">
        <v>721</v>
      </c>
      <c r="D1871" s="651" t="s">
        <v>2052</v>
      </c>
      <c r="E1871" s="651" t="s">
        <v>3058</v>
      </c>
      <c r="F1871" s="653">
        <v>0</v>
      </c>
      <c r="G1871" s="651" t="s">
        <v>650</v>
      </c>
      <c r="H1871" s="654"/>
      <c r="I1871" s="653">
        <v>177654.75</v>
      </c>
      <c r="J1871" s="653">
        <v>18247.33984375</v>
      </c>
      <c r="K1871" s="653">
        <v>195902.09375</v>
      </c>
      <c r="L1871" s="656">
        <v>195902.09</v>
      </c>
    </row>
    <row r="1872" spans="1:12" ht="42" x14ac:dyDescent="0.25">
      <c r="A1872" s="651" t="s">
        <v>2024</v>
      </c>
      <c r="B1872" s="652">
        <v>2021</v>
      </c>
      <c r="C1872" s="651" t="s">
        <v>721</v>
      </c>
      <c r="D1872" s="651" t="s">
        <v>2053</v>
      </c>
      <c r="E1872" s="651" t="s">
        <v>724</v>
      </c>
      <c r="F1872" s="653">
        <v>0</v>
      </c>
      <c r="G1872" s="651" t="s">
        <v>650</v>
      </c>
      <c r="H1872" s="654"/>
      <c r="I1872" s="655"/>
      <c r="J1872" s="655"/>
      <c r="K1872" s="653">
        <v>0</v>
      </c>
      <c r="L1872" s="656">
        <v>0</v>
      </c>
    </row>
    <row r="1873" spans="1:12" ht="42" x14ac:dyDescent="0.25">
      <c r="A1873" s="651" t="s">
        <v>2024</v>
      </c>
      <c r="B1873" s="652">
        <v>2021</v>
      </c>
      <c r="C1873" s="651" t="s">
        <v>721</v>
      </c>
      <c r="D1873" s="651" t="s">
        <v>2054</v>
      </c>
      <c r="E1873" s="651" t="s">
        <v>55</v>
      </c>
      <c r="F1873" s="653">
        <v>0</v>
      </c>
      <c r="G1873" s="651" t="s">
        <v>650</v>
      </c>
      <c r="H1873" s="654"/>
      <c r="I1873" s="655"/>
      <c r="J1873" s="655"/>
      <c r="K1873" s="653">
        <v>0</v>
      </c>
      <c r="L1873" s="656">
        <v>0</v>
      </c>
    </row>
    <row r="1874" spans="1:12" ht="42" x14ac:dyDescent="0.25">
      <c r="A1874" s="651" t="s">
        <v>2024</v>
      </c>
      <c r="B1874" s="652">
        <v>2021</v>
      </c>
      <c r="C1874" s="651" t="s">
        <v>721</v>
      </c>
      <c r="D1874" s="651" t="s">
        <v>2055</v>
      </c>
      <c r="E1874" s="651" t="s">
        <v>56</v>
      </c>
      <c r="F1874" s="653">
        <v>0</v>
      </c>
      <c r="G1874" s="651" t="s">
        <v>650</v>
      </c>
      <c r="H1874" s="654"/>
      <c r="I1874" s="655"/>
      <c r="J1874" s="655"/>
      <c r="K1874" s="653">
        <v>0</v>
      </c>
      <c r="L1874" s="656">
        <v>0</v>
      </c>
    </row>
    <row r="1875" spans="1:12" ht="42" x14ac:dyDescent="0.25">
      <c r="A1875" s="651" t="s">
        <v>2024</v>
      </c>
      <c r="B1875" s="652">
        <v>2021</v>
      </c>
      <c r="C1875" s="651" t="s">
        <v>721</v>
      </c>
      <c r="D1875" s="651" t="s">
        <v>2056</v>
      </c>
      <c r="E1875" s="651" t="s">
        <v>728</v>
      </c>
      <c r="F1875" s="653">
        <v>0</v>
      </c>
      <c r="G1875" s="651" t="s">
        <v>650</v>
      </c>
      <c r="H1875" s="654"/>
      <c r="I1875" s="653">
        <v>-330820</v>
      </c>
      <c r="J1875" s="653">
        <v>-40894.87890625</v>
      </c>
      <c r="K1875" s="653">
        <v>-371714.875</v>
      </c>
      <c r="L1875" s="656">
        <v>-371714.88</v>
      </c>
    </row>
    <row r="1876" spans="1:12" ht="42" x14ac:dyDescent="0.25">
      <c r="A1876" s="651" t="s">
        <v>2024</v>
      </c>
      <c r="B1876" s="652">
        <v>2021</v>
      </c>
      <c r="C1876" s="651" t="s">
        <v>721</v>
      </c>
      <c r="D1876" s="651" t="s">
        <v>2057</v>
      </c>
      <c r="E1876" s="651" t="s">
        <v>730</v>
      </c>
      <c r="F1876" s="653">
        <v>0</v>
      </c>
      <c r="G1876" s="651" t="s">
        <v>650</v>
      </c>
      <c r="H1876" s="654"/>
      <c r="I1876" s="655"/>
      <c r="J1876" s="655"/>
      <c r="K1876" s="653">
        <v>0</v>
      </c>
      <c r="L1876" s="656">
        <v>0</v>
      </c>
    </row>
    <row r="1877" spans="1:12" ht="42" x14ac:dyDescent="0.25">
      <c r="A1877" s="651" t="s">
        <v>2024</v>
      </c>
      <c r="B1877" s="652">
        <v>2021</v>
      </c>
      <c r="C1877" s="651" t="s">
        <v>721</v>
      </c>
      <c r="D1877" s="651" t="s">
        <v>2058</v>
      </c>
      <c r="E1877" s="651" t="s">
        <v>142</v>
      </c>
      <c r="F1877" s="653">
        <v>0</v>
      </c>
      <c r="G1877" s="651" t="s">
        <v>650</v>
      </c>
      <c r="H1877" s="654"/>
      <c r="I1877" s="653">
        <v>183519.6875</v>
      </c>
      <c r="J1877" s="653">
        <v>-245316.484375</v>
      </c>
      <c r="K1877" s="653">
        <v>-61796.7890625</v>
      </c>
      <c r="L1877" s="656">
        <v>-61796.79</v>
      </c>
    </row>
    <row r="1878" spans="1:12" ht="42" x14ac:dyDescent="0.25">
      <c r="A1878" s="651" t="s">
        <v>2024</v>
      </c>
      <c r="B1878" s="652">
        <v>2021</v>
      </c>
      <c r="C1878" s="651" t="s">
        <v>721</v>
      </c>
      <c r="D1878" s="651" t="s">
        <v>2059</v>
      </c>
      <c r="E1878" s="651" t="s">
        <v>143</v>
      </c>
      <c r="F1878" s="653">
        <v>0</v>
      </c>
      <c r="G1878" s="651" t="s">
        <v>650</v>
      </c>
      <c r="H1878" s="654"/>
      <c r="I1878" s="653">
        <v>-101432.578125</v>
      </c>
      <c r="J1878" s="653">
        <v>38145.41015625</v>
      </c>
      <c r="K1878" s="653">
        <v>-63287.171875</v>
      </c>
      <c r="L1878" s="656">
        <v>-63287.17</v>
      </c>
    </row>
    <row r="1879" spans="1:12" ht="42" x14ac:dyDescent="0.25">
      <c r="A1879" s="651" t="s">
        <v>2024</v>
      </c>
      <c r="B1879" s="652">
        <v>2021</v>
      </c>
      <c r="C1879" s="651" t="s">
        <v>721</v>
      </c>
      <c r="D1879" s="651" t="s">
        <v>2060</v>
      </c>
      <c r="E1879" s="651" t="s">
        <v>182</v>
      </c>
      <c r="F1879" s="653">
        <v>0</v>
      </c>
      <c r="G1879" s="651" t="s">
        <v>650</v>
      </c>
      <c r="H1879" s="654"/>
      <c r="I1879" s="653">
        <v>30992.55078125</v>
      </c>
      <c r="J1879" s="653">
        <v>1463.23999023438</v>
      </c>
      <c r="K1879" s="653">
        <v>32455.7890625</v>
      </c>
      <c r="L1879" s="656">
        <v>32455.79</v>
      </c>
    </row>
    <row r="1880" spans="1:12" ht="42" x14ac:dyDescent="0.25">
      <c r="A1880" s="651" t="s">
        <v>2024</v>
      </c>
      <c r="B1880" s="652">
        <v>2021</v>
      </c>
      <c r="C1880" s="651" t="s">
        <v>721</v>
      </c>
      <c r="D1880" s="651" t="s">
        <v>2061</v>
      </c>
      <c r="E1880" s="651" t="s">
        <v>394</v>
      </c>
      <c r="F1880" s="653">
        <v>0</v>
      </c>
      <c r="G1880" s="651" t="s">
        <v>650</v>
      </c>
      <c r="H1880" s="654"/>
      <c r="I1880" s="655"/>
      <c r="J1880" s="655"/>
      <c r="K1880" s="653">
        <v>0</v>
      </c>
      <c r="L1880" s="656">
        <v>0</v>
      </c>
    </row>
    <row r="1881" spans="1:12" ht="42" x14ac:dyDescent="0.25">
      <c r="A1881" s="651" t="s">
        <v>2024</v>
      </c>
      <c r="B1881" s="652">
        <v>2021</v>
      </c>
      <c r="C1881" s="651" t="s">
        <v>721</v>
      </c>
      <c r="D1881" s="651" t="s">
        <v>2062</v>
      </c>
      <c r="E1881" s="651" t="s">
        <v>423</v>
      </c>
      <c r="F1881" s="653">
        <v>0</v>
      </c>
      <c r="G1881" s="651" t="s">
        <v>650</v>
      </c>
      <c r="H1881" s="654"/>
      <c r="I1881" s="653">
        <v>27502.970703125</v>
      </c>
      <c r="J1881" s="653">
        <v>-11541.73046875</v>
      </c>
      <c r="K1881" s="653">
        <v>15961.240234375</v>
      </c>
      <c r="L1881" s="656">
        <v>15961.24</v>
      </c>
    </row>
    <row r="1882" spans="1:12" ht="42" x14ac:dyDescent="0.25">
      <c r="A1882" s="651" t="s">
        <v>2024</v>
      </c>
      <c r="B1882" s="652">
        <v>2021</v>
      </c>
      <c r="C1882" s="651" t="s">
        <v>721</v>
      </c>
      <c r="D1882" s="651" t="s">
        <v>3272</v>
      </c>
      <c r="E1882" s="651" t="s">
        <v>441</v>
      </c>
      <c r="F1882" s="653">
        <v>0</v>
      </c>
      <c r="G1882" s="651" t="s">
        <v>650</v>
      </c>
      <c r="H1882" s="654"/>
      <c r="I1882" s="653">
        <v>-441925.3125</v>
      </c>
      <c r="J1882" s="653">
        <v>408522.53125</v>
      </c>
      <c r="K1882" s="653">
        <v>-33402.7890625</v>
      </c>
      <c r="L1882" s="656">
        <v>-33402.79</v>
      </c>
    </row>
    <row r="1883" spans="1:12" ht="42" x14ac:dyDescent="0.25">
      <c r="A1883" s="651" t="s">
        <v>2024</v>
      </c>
      <c r="B1883" s="652">
        <v>2021</v>
      </c>
      <c r="C1883" s="651" t="s">
        <v>721</v>
      </c>
      <c r="D1883" s="651" t="s">
        <v>2063</v>
      </c>
      <c r="E1883" s="651" t="s">
        <v>737</v>
      </c>
      <c r="F1883" s="653">
        <v>-202494.31</v>
      </c>
      <c r="G1883" s="654"/>
      <c r="H1883" s="654"/>
      <c r="I1883" s="655"/>
      <c r="J1883" s="655"/>
      <c r="K1883" s="653">
        <v>0</v>
      </c>
      <c r="L1883" s="656">
        <v>-202494.31</v>
      </c>
    </row>
    <row r="1884" spans="1:12" ht="21" x14ac:dyDescent="0.25">
      <c r="A1884" s="651" t="s">
        <v>2024</v>
      </c>
      <c r="B1884" s="652">
        <v>2021</v>
      </c>
      <c r="C1884" s="651" t="s">
        <v>738</v>
      </c>
      <c r="D1884" s="651" t="s">
        <v>2064</v>
      </c>
      <c r="E1884" s="651" t="s">
        <v>7</v>
      </c>
      <c r="F1884" s="653">
        <v>-17670.82</v>
      </c>
      <c r="G1884" s="654"/>
      <c r="H1884" s="651" t="s">
        <v>650</v>
      </c>
      <c r="I1884" s="655"/>
      <c r="J1884" s="655"/>
      <c r="K1884" s="653">
        <v>0</v>
      </c>
      <c r="L1884" s="656">
        <v>-17670.82</v>
      </c>
    </row>
    <row r="1885" spans="1:12" ht="21" x14ac:dyDescent="0.25">
      <c r="A1885" s="651" t="s">
        <v>103</v>
      </c>
      <c r="B1885" s="652">
        <v>2021</v>
      </c>
      <c r="C1885" s="651" t="s">
        <v>647</v>
      </c>
      <c r="D1885" s="651" t="s">
        <v>2065</v>
      </c>
      <c r="E1885" s="651" t="s">
        <v>649</v>
      </c>
      <c r="F1885" s="653">
        <v>-825652.13</v>
      </c>
      <c r="G1885" s="654"/>
      <c r="H1885" s="651" t="s">
        <v>650</v>
      </c>
      <c r="I1885" s="655"/>
      <c r="J1885" s="655"/>
      <c r="K1885" s="653">
        <v>0</v>
      </c>
      <c r="L1885" s="656">
        <v>-825652.13</v>
      </c>
    </row>
    <row r="1886" spans="1:12" ht="14.5" x14ac:dyDescent="0.25">
      <c r="A1886" s="651" t="s">
        <v>103</v>
      </c>
      <c r="B1886" s="652">
        <v>2021</v>
      </c>
      <c r="C1886" s="651" t="s">
        <v>651</v>
      </c>
      <c r="D1886" s="651" t="s">
        <v>2066</v>
      </c>
      <c r="E1886" s="651" t="s">
        <v>653</v>
      </c>
      <c r="F1886" s="653">
        <v>126676</v>
      </c>
      <c r="G1886" s="654"/>
      <c r="H1886" s="651" t="s">
        <v>650</v>
      </c>
      <c r="I1886" s="655"/>
      <c r="J1886" s="655"/>
      <c r="K1886" s="653">
        <v>0</v>
      </c>
      <c r="L1886" s="656">
        <v>126676</v>
      </c>
    </row>
    <row r="1887" spans="1:12" ht="42" x14ac:dyDescent="0.25">
      <c r="A1887" s="651" t="s">
        <v>103</v>
      </c>
      <c r="B1887" s="652">
        <v>2021</v>
      </c>
      <c r="C1887" s="651" t="s">
        <v>654</v>
      </c>
      <c r="D1887" s="651" t="s">
        <v>2067</v>
      </c>
      <c r="E1887" s="651" t="s">
        <v>445</v>
      </c>
      <c r="F1887" s="653">
        <v>-74.599999999999994</v>
      </c>
      <c r="G1887" s="654"/>
      <c r="H1887" s="651" t="s">
        <v>650</v>
      </c>
      <c r="I1887" s="655"/>
      <c r="J1887" s="655"/>
      <c r="K1887" s="653">
        <v>0</v>
      </c>
      <c r="L1887" s="656">
        <v>-74.599999999999994</v>
      </c>
    </row>
    <row r="1888" spans="1:12" ht="21" x14ac:dyDescent="0.25">
      <c r="A1888" s="651" t="s">
        <v>103</v>
      </c>
      <c r="B1888" s="652">
        <v>2021</v>
      </c>
      <c r="C1888" s="651" t="s">
        <v>656</v>
      </c>
      <c r="D1888" s="651" t="s">
        <v>2068</v>
      </c>
      <c r="E1888" s="651" t="s">
        <v>658</v>
      </c>
      <c r="F1888" s="653">
        <v>0</v>
      </c>
      <c r="G1888" s="654"/>
      <c r="H1888" s="651" t="s">
        <v>650</v>
      </c>
      <c r="I1888" s="655"/>
      <c r="J1888" s="655"/>
      <c r="K1888" s="653">
        <v>0</v>
      </c>
      <c r="L1888" s="656">
        <v>0</v>
      </c>
    </row>
    <row r="1889" spans="1:12" ht="31.5" x14ac:dyDescent="0.25">
      <c r="A1889" s="651" t="s">
        <v>103</v>
      </c>
      <c r="B1889" s="652">
        <v>2021</v>
      </c>
      <c r="C1889" s="651" t="s">
        <v>659</v>
      </c>
      <c r="D1889" s="651" t="s">
        <v>2069</v>
      </c>
      <c r="E1889" s="651" t="s">
        <v>661</v>
      </c>
      <c r="F1889" s="653">
        <v>0</v>
      </c>
      <c r="G1889" s="654"/>
      <c r="H1889" s="651" t="s">
        <v>650</v>
      </c>
      <c r="I1889" s="655"/>
      <c r="J1889" s="655"/>
      <c r="K1889" s="653">
        <v>0</v>
      </c>
      <c r="L1889" s="656">
        <v>0</v>
      </c>
    </row>
    <row r="1890" spans="1:12" ht="21" x14ac:dyDescent="0.25">
      <c r="A1890" s="651" t="s">
        <v>103</v>
      </c>
      <c r="B1890" s="652">
        <v>2021</v>
      </c>
      <c r="C1890" s="651" t="s">
        <v>662</v>
      </c>
      <c r="D1890" s="651" t="s">
        <v>2070</v>
      </c>
      <c r="E1890" s="651" t="s">
        <v>664</v>
      </c>
      <c r="F1890" s="653">
        <v>0</v>
      </c>
      <c r="G1890" s="654"/>
      <c r="H1890" s="651" t="s">
        <v>650</v>
      </c>
      <c r="I1890" s="655"/>
      <c r="J1890" s="655"/>
      <c r="K1890" s="653">
        <v>0</v>
      </c>
      <c r="L1890" s="656">
        <v>0</v>
      </c>
    </row>
    <row r="1891" spans="1:12" ht="31.5" x14ac:dyDescent="0.25">
      <c r="A1891" s="651" t="s">
        <v>103</v>
      </c>
      <c r="B1891" s="652">
        <v>2021</v>
      </c>
      <c r="C1891" s="651" t="s">
        <v>665</v>
      </c>
      <c r="D1891" s="651" t="s">
        <v>2071</v>
      </c>
      <c r="E1891" s="651" t="s">
        <v>667</v>
      </c>
      <c r="F1891" s="653">
        <v>0</v>
      </c>
      <c r="G1891" s="654"/>
      <c r="H1891" s="651" t="s">
        <v>650</v>
      </c>
      <c r="I1891" s="655"/>
      <c r="J1891" s="655"/>
      <c r="K1891" s="653">
        <v>0</v>
      </c>
      <c r="L1891" s="656">
        <v>0</v>
      </c>
    </row>
    <row r="1892" spans="1:12" ht="21" x14ac:dyDescent="0.25">
      <c r="A1892" s="651" t="s">
        <v>103</v>
      </c>
      <c r="B1892" s="652">
        <v>2021</v>
      </c>
      <c r="C1892" s="651" t="s">
        <v>668</v>
      </c>
      <c r="D1892" s="651" t="s">
        <v>2072</v>
      </c>
      <c r="E1892" s="651" t="s">
        <v>12</v>
      </c>
      <c r="F1892" s="653">
        <v>0</v>
      </c>
      <c r="G1892" s="654"/>
      <c r="H1892" s="651" t="s">
        <v>650</v>
      </c>
      <c r="I1892" s="655"/>
      <c r="J1892" s="655"/>
      <c r="K1892" s="653">
        <v>0</v>
      </c>
      <c r="L1892" s="656">
        <v>0</v>
      </c>
    </row>
    <row r="1893" spans="1:12" ht="21" x14ac:dyDescent="0.25">
      <c r="A1893" s="651" t="s">
        <v>103</v>
      </c>
      <c r="B1893" s="652">
        <v>2021</v>
      </c>
      <c r="C1893" s="651" t="s">
        <v>670</v>
      </c>
      <c r="D1893" s="651" t="s">
        <v>2073</v>
      </c>
      <c r="E1893" s="651" t="s">
        <v>13</v>
      </c>
      <c r="F1893" s="653">
        <v>0</v>
      </c>
      <c r="G1893" s="654"/>
      <c r="H1893" s="651" t="s">
        <v>650</v>
      </c>
      <c r="I1893" s="655"/>
      <c r="J1893" s="655"/>
      <c r="K1893" s="653">
        <v>0</v>
      </c>
      <c r="L1893" s="656">
        <v>0</v>
      </c>
    </row>
    <row r="1894" spans="1:12" ht="21" x14ac:dyDescent="0.25">
      <c r="A1894" s="651" t="s">
        <v>103</v>
      </c>
      <c r="B1894" s="652">
        <v>2021</v>
      </c>
      <c r="C1894" s="651" t="s">
        <v>672</v>
      </c>
      <c r="D1894" s="651" t="s">
        <v>2074</v>
      </c>
      <c r="E1894" s="651" t="s">
        <v>15</v>
      </c>
      <c r="F1894" s="653">
        <v>0</v>
      </c>
      <c r="G1894" s="654"/>
      <c r="H1894" s="651" t="s">
        <v>650</v>
      </c>
      <c r="I1894" s="655"/>
      <c r="J1894" s="655"/>
      <c r="K1894" s="653">
        <v>0</v>
      </c>
      <c r="L1894" s="656">
        <v>0</v>
      </c>
    </row>
    <row r="1895" spans="1:12" ht="14.5" x14ac:dyDescent="0.25">
      <c r="A1895" s="651" t="s">
        <v>103</v>
      </c>
      <c r="B1895" s="652">
        <v>2021</v>
      </c>
      <c r="C1895" s="651" t="s">
        <v>674</v>
      </c>
      <c r="D1895" s="651" t="s">
        <v>2075</v>
      </c>
      <c r="E1895" s="651" t="s">
        <v>676</v>
      </c>
      <c r="F1895" s="653">
        <v>433650</v>
      </c>
      <c r="G1895" s="654"/>
      <c r="H1895" s="651" t="s">
        <v>650</v>
      </c>
      <c r="I1895" s="655"/>
      <c r="J1895" s="655"/>
      <c r="K1895" s="653">
        <v>0</v>
      </c>
      <c r="L1895" s="656">
        <v>433650</v>
      </c>
    </row>
    <row r="1896" spans="1:12" ht="14.5" x14ac:dyDescent="0.25">
      <c r="A1896" s="651" t="s">
        <v>103</v>
      </c>
      <c r="B1896" s="652">
        <v>2021</v>
      </c>
      <c r="C1896" s="651" t="s">
        <v>677</v>
      </c>
      <c r="D1896" s="651" t="s">
        <v>2076</v>
      </c>
      <c r="E1896" s="651" t="s">
        <v>23</v>
      </c>
      <c r="F1896" s="653">
        <v>2587747.33</v>
      </c>
      <c r="G1896" s="651" t="s">
        <v>650</v>
      </c>
      <c r="H1896" s="654"/>
      <c r="I1896" s="653">
        <v>2547200.75</v>
      </c>
      <c r="J1896" s="653">
        <v>40546.53125</v>
      </c>
      <c r="K1896" s="653">
        <v>2587747.25</v>
      </c>
      <c r="L1896" s="656">
        <v>2587747.33</v>
      </c>
    </row>
    <row r="1897" spans="1:12" ht="31.5" x14ac:dyDescent="0.25">
      <c r="A1897" s="651" t="s">
        <v>103</v>
      </c>
      <c r="B1897" s="652">
        <v>2021</v>
      </c>
      <c r="C1897" s="651" t="s">
        <v>679</v>
      </c>
      <c r="D1897" s="651" t="s">
        <v>2077</v>
      </c>
      <c r="E1897" s="651" t="s">
        <v>131</v>
      </c>
      <c r="F1897" s="653">
        <v>-13684.13</v>
      </c>
      <c r="G1897" s="651" t="s">
        <v>650</v>
      </c>
      <c r="H1897" s="654"/>
      <c r="I1897" s="653">
        <v>-13339.3896484375</v>
      </c>
      <c r="J1897" s="653">
        <v>-344.739990234375</v>
      </c>
      <c r="K1897" s="653">
        <v>-13684.1298828125</v>
      </c>
      <c r="L1897" s="656">
        <v>-13684.13</v>
      </c>
    </row>
    <row r="1898" spans="1:12" ht="31.5" x14ac:dyDescent="0.25">
      <c r="A1898" s="651" t="s">
        <v>103</v>
      </c>
      <c r="B1898" s="652">
        <v>2021</v>
      </c>
      <c r="C1898" s="651" t="s">
        <v>681</v>
      </c>
      <c r="D1898" s="651" t="s">
        <v>2078</v>
      </c>
      <c r="E1898" s="651" t="s">
        <v>683</v>
      </c>
      <c r="F1898" s="653">
        <v>-24682.86</v>
      </c>
      <c r="G1898" s="654"/>
      <c r="H1898" s="651" t="s">
        <v>650</v>
      </c>
      <c r="I1898" s="655"/>
      <c r="J1898" s="655"/>
      <c r="K1898" s="653">
        <v>0</v>
      </c>
      <c r="L1898" s="656">
        <v>-24682.86</v>
      </c>
    </row>
    <row r="1899" spans="1:12" ht="21" x14ac:dyDescent="0.25">
      <c r="A1899" s="651" t="s">
        <v>103</v>
      </c>
      <c r="B1899" s="652">
        <v>2021</v>
      </c>
      <c r="C1899" s="651" t="s">
        <v>681</v>
      </c>
      <c r="D1899" s="651" t="s">
        <v>2078</v>
      </c>
      <c r="E1899" s="651" t="s">
        <v>684</v>
      </c>
      <c r="F1899" s="653">
        <v>-24682.86</v>
      </c>
      <c r="G1899" s="654"/>
      <c r="H1899" s="651" t="s">
        <v>650</v>
      </c>
      <c r="I1899" s="655"/>
      <c r="J1899" s="655"/>
      <c r="K1899" s="653">
        <v>0</v>
      </c>
      <c r="L1899" s="656">
        <v>-24682.86</v>
      </c>
    </row>
    <row r="1900" spans="1:12" ht="21" x14ac:dyDescent="0.25">
      <c r="A1900" s="651" t="s">
        <v>103</v>
      </c>
      <c r="B1900" s="652">
        <v>2021</v>
      </c>
      <c r="C1900" s="651" t="s">
        <v>685</v>
      </c>
      <c r="D1900" s="651" t="s">
        <v>2079</v>
      </c>
      <c r="E1900" s="651" t="s">
        <v>687</v>
      </c>
      <c r="F1900" s="653">
        <v>300013</v>
      </c>
      <c r="G1900" s="654"/>
      <c r="H1900" s="651" t="s">
        <v>650</v>
      </c>
      <c r="I1900" s="655"/>
      <c r="J1900" s="655"/>
      <c r="K1900" s="653">
        <v>0</v>
      </c>
      <c r="L1900" s="656">
        <v>300013</v>
      </c>
    </row>
    <row r="1901" spans="1:12" ht="14.5" x14ac:dyDescent="0.25">
      <c r="A1901" s="651" t="s">
        <v>103</v>
      </c>
      <c r="B1901" s="652">
        <v>2021</v>
      </c>
      <c r="C1901" s="651" t="s">
        <v>688</v>
      </c>
      <c r="D1901" s="651" t="s">
        <v>2080</v>
      </c>
      <c r="E1901" s="651" t="s">
        <v>50</v>
      </c>
      <c r="F1901" s="653">
        <v>829370.63</v>
      </c>
      <c r="G1901" s="654"/>
      <c r="H1901" s="651" t="s">
        <v>650</v>
      </c>
      <c r="I1901" s="655"/>
      <c r="J1901" s="655"/>
      <c r="K1901" s="653">
        <v>0</v>
      </c>
      <c r="L1901" s="656">
        <v>829370.63</v>
      </c>
    </row>
    <row r="1902" spans="1:12" ht="21" x14ac:dyDescent="0.25">
      <c r="A1902" s="651" t="s">
        <v>103</v>
      </c>
      <c r="B1902" s="652">
        <v>2021</v>
      </c>
      <c r="C1902" s="651" t="s">
        <v>690</v>
      </c>
      <c r="D1902" s="651" t="s">
        <v>2081</v>
      </c>
      <c r="E1902" s="651" t="s">
        <v>692</v>
      </c>
      <c r="F1902" s="653">
        <v>0</v>
      </c>
      <c r="G1902" s="654"/>
      <c r="H1902" s="651" t="s">
        <v>650</v>
      </c>
      <c r="I1902" s="655"/>
      <c r="J1902" s="655"/>
      <c r="K1902" s="653">
        <v>0</v>
      </c>
      <c r="L1902" s="656">
        <v>0</v>
      </c>
    </row>
    <row r="1903" spans="1:12" ht="21" x14ac:dyDescent="0.25">
      <c r="A1903" s="651" t="s">
        <v>103</v>
      </c>
      <c r="B1903" s="652">
        <v>2021</v>
      </c>
      <c r="C1903" s="651" t="s">
        <v>693</v>
      </c>
      <c r="D1903" s="651" t="s">
        <v>2082</v>
      </c>
      <c r="E1903" s="651" t="s">
        <v>6</v>
      </c>
      <c r="F1903" s="653">
        <v>0</v>
      </c>
      <c r="G1903" s="654"/>
      <c r="H1903" s="651" t="s">
        <v>650</v>
      </c>
      <c r="I1903" s="655"/>
      <c r="J1903" s="655"/>
      <c r="K1903" s="653">
        <v>0</v>
      </c>
      <c r="L1903" s="656">
        <v>0</v>
      </c>
    </row>
    <row r="1904" spans="1:12" ht="31.5" x14ac:dyDescent="0.25">
      <c r="A1904" s="651" t="s">
        <v>103</v>
      </c>
      <c r="B1904" s="652">
        <v>2021</v>
      </c>
      <c r="C1904" s="651" t="s">
        <v>695</v>
      </c>
      <c r="D1904" s="651" t="s">
        <v>2083</v>
      </c>
      <c r="E1904" s="651" t="s">
        <v>697</v>
      </c>
      <c r="F1904" s="653">
        <v>0</v>
      </c>
      <c r="G1904" s="654"/>
      <c r="H1904" s="651" t="s">
        <v>650</v>
      </c>
      <c r="I1904" s="655"/>
      <c r="J1904" s="655"/>
      <c r="K1904" s="653">
        <v>0</v>
      </c>
      <c r="L1904" s="656">
        <v>0</v>
      </c>
    </row>
    <row r="1905" spans="1:12" ht="21" x14ac:dyDescent="0.25">
      <c r="A1905" s="651" t="s">
        <v>103</v>
      </c>
      <c r="B1905" s="652">
        <v>2021</v>
      </c>
      <c r="C1905" s="651" t="s">
        <v>698</v>
      </c>
      <c r="D1905" s="651" t="s">
        <v>2084</v>
      </c>
      <c r="E1905" s="651" t="s">
        <v>700</v>
      </c>
      <c r="F1905" s="653">
        <v>-160882.10999999999</v>
      </c>
      <c r="G1905" s="654"/>
      <c r="H1905" s="651" t="s">
        <v>650</v>
      </c>
      <c r="I1905" s="655"/>
      <c r="J1905" s="655"/>
      <c r="K1905" s="653">
        <v>0</v>
      </c>
      <c r="L1905" s="656">
        <v>-160882.10999999999</v>
      </c>
    </row>
    <row r="1906" spans="1:12" ht="21" x14ac:dyDescent="0.25">
      <c r="A1906" s="651" t="s">
        <v>103</v>
      </c>
      <c r="B1906" s="652">
        <v>2021</v>
      </c>
      <c r="C1906" s="651" t="s">
        <v>701</v>
      </c>
      <c r="D1906" s="651" t="s">
        <v>2085</v>
      </c>
      <c r="E1906" s="651" t="s">
        <v>1</v>
      </c>
      <c r="F1906" s="653">
        <v>-1215497.6599999999</v>
      </c>
      <c r="G1906" s="651" t="s">
        <v>650</v>
      </c>
      <c r="H1906" s="654"/>
      <c r="I1906" s="653">
        <v>-1192805.625</v>
      </c>
      <c r="J1906" s="653">
        <v>-22692.060546875</v>
      </c>
      <c r="K1906" s="653">
        <v>-1215497.625</v>
      </c>
      <c r="L1906" s="656">
        <v>-1215497.6599999999</v>
      </c>
    </row>
    <row r="1907" spans="1:12" ht="21" x14ac:dyDescent="0.25">
      <c r="A1907" s="651" t="s">
        <v>103</v>
      </c>
      <c r="B1907" s="652">
        <v>2021</v>
      </c>
      <c r="C1907" s="651" t="s">
        <v>701</v>
      </c>
      <c r="D1907" s="651" t="s">
        <v>2085</v>
      </c>
      <c r="E1907" s="651" t="s">
        <v>703</v>
      </c>
      <c r="F1907" s="653">
        <v>0</v>
      </c>
      <c r="G1907" s="654"/>
      <c r="H1907" s="654"/>
      <c r="I1907" s="655"/>
      <c r="J1907" s="655"/>
      <c r="K1907" s="653">
        <v>0</v>
      </c>
      <c r="L1907" s="656">
        <v>0</v>
      </c>
    </row>
    <row r="1908" spans="1:12" ht="21" x14ac:dyDescent="0.25">
      <c r="A1908" s="651" t="s">
        <v>103</v>
      </c>
      <c r="B1908" s="652">
        <v>2021</v>
      </c>
      <c r="C1908" s="651" t="s">
        <v>701</v>
      </c>
      <c r="D1908" s="651" t="s">
        <v>2085</v>
      </c>
      <c r="E1908" s="651" t="s">
        <v>704</v>
      </c>
      <c r="F1908" s="653">
        <v>0</v>
      </c>
      <c r="G1908" s="654"/>
      <c r="H1908" s="654"/>
      <c r="I1908" s="655"/>
      <c r="J1908" s="655"/>
      <c r="K1908" s="653">
        <v>0</v>
      </c>
      <c r="L1908" s="656">
        <v>0</v>
      </c>
    </row>
    <row r="1909" spans="1:12" ht="21" x14ac:dyDescent="0.25">
      <c r="A1909" s="651" t="s">
        <v>103</v>
      </c>
      <c r="B1909" s="652">
        <v>2021</v>
      </c>
      <c r="C1909" s="651" t="s">
        <v>701</v>
      </c>
      <c r="D1909" s="651" t="s">
        <v>2085</v>
      </c>
      <c r="E1909" s="651" t="s">
        <v>705</v>
      </c>
      <c r="F1909" s="653">
        <v>-2612.6999999999998</v>
      </c>
      <c r="G1909" s="654"/>
      <c r="H1909" s="654"/>
      <c r="I1909" s="655"/>
      <c r="J1909" s="655"/>
      <c r="K1909" s="653">
        <v>0</v>
      </c>
      <c r="L1909" s="656">
        <v>-2612.6999999999998</v>
      </c>
    </row>
    <row r="1910" spans="1:12" ht="21" x14ac:dyDescent="0.25">
      <c r="A1910" s="651" t="s">
        <v>103</v>
      </c>
      <c r="B1910" s="652">
        <v>2021</v>
      </c>
      <c r="C1910" s="651" t="s">
        <v>701</v>
      </c>
      <c r="D1910" s="651" t="s">
        <v>2085</v>
      </c>
      <c r="E1910" s="651" t="s">
        <v>706</v>
      </c>
      <c r="F1910" s="653">
        <v>-126825.42</v>
      </c>
      <c r="G1910" s="654"/>
      <c r="H1910" s="654"/>
      <c r="I1910" s="655"/>
      <c r="J1910" s="655"/>
      <c r="K1910" s="653">
        <v>0</v>
      </c>
      <c r="L1910" s="656">
        <v>-126825.42</v>
      </c>
    </row>
    <row r="1911" spans="1:12" ht="14.5" x14ac:dyDescent="0.25">
      <c r="A1911" s="651" t="s">
        <v>103</v>
      </c>
      <c r="B1911" s="652">
        <v>2021</v>
      </c>
      <c r="C1911" s="651" t="s">
        <v>707</v>
      </c>
      <c r="D1911" s="651" t="s">
        <v>2086</v>
      </c>
      <c r="E1911" s="651" t="s">
        <v>709</v>
      </c>
      <c r="F1911" s="653">
        <v>0</v>
      </c>
      <c r="G1911" s="654"/>
      <c r="H1911" s="651" t="s">
        <v>650</v>
      </c>
      <c r="I1911" s="655"/>
      <c r="J1911" s="655"/>
      <c r="K1911" s="653">
        <v>0</v>
      </c>
      <c r="L1911" s="656">
        <v>0</v>
      </c>
    </row>
    <row r="1912" spans="1:12" ht="31.5" x14ac:dyDescent="0.25">
      <c r="A1912" s="651" t="s">
        <v>103</v>
      </c>
      <c r="B1912" s="652">
        <v>2021</v>
      </c>
      <c r="C1912" s="651" t="s">
        <v>710</v>
      </c>
      <c r="D1912" s="651" t="s">
        <v>2087</v>
      </c>
      <c r="E1912" s="651" t="s">
        <v>2</v>
      </c>
      <c r="F1912" s="653">
        <v>639369.59</v>
      </c>
      <c r="G1912" s="651" t="s">
        <v>650</v>
      </c>
      <c r="H1912" s="654"/>
      <c r="I1912" s="653">
        <v>636063.5625</v>
      </c>
      <c r="J1912" s="653">
        <v>3306</v>
      </c>
      <c r="K1912" s="653">
        <v>639369.5625</v>
      </c>
      <c r="L1912" s="656">
        <v>639369.59</v>
      </c>
    </row>
    <row r="1913" spans="1:12" ht="31.5" x14ac:dyDescent="0.25">
      <c r="A1913" s="651" t="s">
        <v>103</v>
      </c>
      <c r="B1913" s="652">
        <v>2021</v>
      </c>
      <c r="C1913" s="651" t="s">
        <v>712</v>
      </c>
      <c r="D1913" s="651" t="s">
        <v>2088</v>
      </c>
      <c r="E1913" s="651" t="s">
        <v>3</v>
      </c>
      <c r="F1913" s="653">
        <v>-239369.25</v>
      </c>
      <c r="G1913" s="651" t="s">
        <v>650</v>
      </c>
      <c r="H1913" s="654"/>
      <c r="I1913" s="653">
        <v>-233044.296875</v>
      </c>
      <c r="J1913" s="653">
        <v>-6324.9501953125</v>
      </c>
      <c r="K1913" s="653">
        <v>-239369.25</v>
      </c>
      <c r="L1913" s="656">
        <v>-239369.25</v>
      </c>
    </row>
    <row r="1914" spans="1:12" ht="31.5" x14ac:dyDescent="0.25">
      <c r="A1914" s="651" t="s">
        <v>103</v>
      </c>
      <c r="B1914" s="652">
        <v>2021</v>
      </c>
      <c r="C1914" s="651" t="s">
        <v>714</v>
      </c>
      <c r="D1914" s="651" t="s">
        <v>2089</v>
      </c>
      <c r="E1914" s="651" t="s">
        <v>38</v>
      </c>
      <c r="F1914" s="653">
        <v>-1519091.09</v>
      </c>
      <c r="G1914" s="651" t="s">
        <v>650</v>
      </c>
      <c r="H1914" s="654"/>
      <c r="I1914" s="653">
        <v>-1541816.25</v>
      </c>
      <c r="J1914" s="653">
        <v>22725.19921875</v>
      </c>
      <c r="K1914" s="653">
        <v>-1519091.125</v>
      </c>
      <c r="L1914" s="656">
        <v>-1519091.09</v>
      </c>
    </row>
    <row r="1915" spans="1:12" ht="21" x14ac:dyDescent="0.25">
      <c r="A1915" s="651" t="s">
        <v>103</v>
      </c>
      <c r="B1915" s="652">
        <v>2021</v>
      </c>
      <c r="C1915" s="651" t="s">
        <v>716</v>
      </c>
      <c r="D1915" s="651" t="s">
        <v>2090</v>
      </c>
      <c r="E1915" s="651" t="s">
        <v>66</v>
      </c>
      <c r="F1915" s="653">
        <v>-698209.07</v>
      </c>
      <c r="G1915" s="651" t="s">
        <v>650</v>
      </c>
      <c r="H1915" s="654"/>
      <c r="I1915" s="653">
        <v>-680817</v>
      </c>
      <c r="J1915" s="653">
        <v>-17392.0703125</v>
      </c>
      <c r="K1915" s="653">
        <v>-698209.0625</v>
      </c>
      <c r="L1915" s="656">
        <v>-698209.07</v>
      </c>
    </row>
    <row r="1916" spans="1:12" ht="31.5" x14ac:dyDescent="0.25">
      <c r="A1916" s="651" t="s">
        <v>103</v>
      </c>
      <c r="B1916" s="652">
        <v>2021</v>
      </c>
      <c r="C1916" s="651" t="s">
        <v>718</v>
      </c>
      <c r="D1916" s="651" t="s">
        <v>2091</v>
      </c>
      <c r="E1916" s="651" t="s">
        <v>720</v>
      </c>
      <c r="F1916" s="653">
        <v>-677434</v>
      </c>
      <c r="G1916" s="654"/>
      <c r="H1916" s="651" t="s">
        <v>650</v>
      </c>
      <c r="I1916" s="655"/>
      <c r="J1916" s="655"/>
      <c r="K1916" s="653">
        <v>0</v>
      </c>
      <c r="L1916" s="656">
        <v>-677434</v>
      </c>
    </row>
    <row r="1917" spans="1:12" ht="42" x14ac:dyDescent="0.25">
      <c r="A1917" s="651" t="s">
        <v>103</v>
      </c>
      <c r="B1917" s="652">
        <v>2021</v>
      </c>
      <c r="C1917" s="651" t="s">
        <v>721</v>
      </c>
      <c r="D1917" s="651" t="s">
        <v>2092</v>
      </c>
      <c r="E1917" s="651" t="s">
        <v>3016</v>
      </c>
      <c r="F1917" s="653">
        <v>0</v>
      </c>
      <c r="G1917" s="651" t="s">
        <v>650</v>
      </c>
      <c r="H1917" s="654"/>
      <c r="I1917" s="653">
        <v>55757.4296875</v>
      </c>
      <c r="J1917" s="653">
        <v>124.18000030517599</v>
      </c>
      <c r="K1917" s="653">
        <v>55881.609375</v>
      </c>
      <c r="L1917" s="656">
        <v>55881.61</v>
      </c>
    </row>
    <row r="1918" spans="1:12" ht="42" x14ac:dyDescent="0.25">
      <c r="A1918" s="651" t="s">
        <v>103</v>
      </c>
      <c r="B1918" s="652">
        <v>2021</v>
      </c>
      <c r="C1918" s="651" t="s">
        <v>721</v>
      </c>
      <c r="D1918" s="651" t="s">
        <v>2092</v>
      </c>
      <c r="E1918" s="651" t="s">
        <v>3058</v>
      </c>
      <c r="F1918" s="653">
        <v>0</v>
      </c>
      <c r="G1918" s="651" t="s">
        <v>650</v>
      </c>
      <c r="H1918" s="654"/>
      <c r="I1918" s="653">
        <v>1364374.125</v>
      </c>
      <c r="J1918" s="653">
        <v>92832.859375</v>
      </c>
      <c r="K1918" s="653">
        <v>1457207</v>
      </c>
      <c r="L1918" s="656">
        <v>1457207.01</v>
      </c>
    </row>
    <row r="1919" spans="1:12" ht="42" x14ac:dyDescent="0.25">
      <c r="A1919" s="651" t="s">
        <v>103</v>
      </c>
      <c r="B1919" s="652">
        <v>2021</v>
      </c>
      <c r="C1919" s="651" t="s">
        <v>721</v>
      </c>
      <c r="D1919" s="651" t="s">
        <v>2093</v>
      </c>
      <c r="E1919" s="651" t="s">
        <v>724</v>
      </c>
      <c r="F1919" s="653">
        <v>0</v>
      </c>
      <c r="G1919" s="651" t="s">
        <v>650</v>
      </c>
      <c r="H1919" s="654"/>
      <c r="I1919" s="655"/>
      <c r="J1919" s="655"/>
      <c r="K1919" s="653">
        <v>0</v>
      </c>
      <c r="L1919" s="656">
        <v>0</v>
      </c>
    </row>
    <row r="1920" spans="1:12" ht="42" x14ac:dyDescent="0.25">
      <c r="A1920" s="651" t="s">
        <v>103</v>
      </c>
      <c r="B1920" s="652">
        <v>2021</v>
      </c>
      <c r="C1920" s="651" t="s">
        <v>721</v>
      </c>
      <c r="D1920" s="651" t="s">
        <v>2094</v>
      </c>
      <c r="E1920" s="651" t="s">
        <v>55</v>
      </c>
      <c r="F1920" s="653">
        <v>0</v>
      </c>
      <c r="G1920" s="651" t="s">
        <v>650</v>
      </c>
      <c r="H1920" s="654"/>
      <c r="I1920" s="655"/>
      <c r="J1920" s="655"/>
      <c r="K1920" s="653">
        <v>0</v>
      </c>
      <c r="L1920" s="656">
        <v>0</v>
      </c>
    </row>
    <row r="1921" spans="1:12" ht="42" x14ac:dyDescent="0.25">
      <c r="A1921" s="651" t="s">
        <v>103</v>
      </c>
      <c r="B1921" s="652">
        <v>2021</v>
      </c>
      <c r="C1921" s="651" t="s">
        <v>721</v>
      </c>
      <c r="D1921" s="651" t="s">
        <v>2095</v>
      </c>
      <c r="E1921" s="651" t="s">
        <v>56</v>
      </c>
      <c r="F1921" s="653">
        <v>0</v>
      </c>
      <c r="G1921" s="651" t="s">
        <v>650</v>
      </c>
      <c r="H1921" s="654"/>
      <c r="I1921" s="655"/>
      <c r="J1921" s="655"/>
      <c r="K1921" s="653">
        <v>0</v>
      </c>
      <c r="L1921" s="656">
        <v>0</v>
      </c>
    </row>
    <row r="1922" spans="1:12" ht="42" x14ac:dyDescent="0.25">
      <c r="A1922" s="651" t="s">
        <v>103</v>
      </c>
      <c r="B1922" s="652">
        <v>2021</v>
      </c>
      <c r="C1922" s="651" t="s">
        <v>721</v>
      </c>
      <c r="D1922" s="651" t="s">
        <v>2096</v>
      </c>
      <c r="E1922" s="651" t="s">
        <v>728</v>
      </c>
      <c r="F1922" s="653">
        <v>0</v>
      </c>
      <c r="G1922" s="651" t="s">
        <v>650</v>
      </c>
      <c r="H1922" s="654"/>
      <c r="I1922" s="655"/>
      <c r="J1922" s="655"/>
      <c r="K1922" s="653">
        <v>0</v>
      </c>
      <c r="L1922" s="656">
        <v>0</v>
      </c>
    </row>
    <row r="1923" spans="1:12" ht="42" x14ac:dyDescent="0.25">
      <c r="A1923" s="651" t="s">
        <v>103</v>
      </c>
      <c r="B1923" s="652">
        <v>2021</v>
      </c>
      <c r="C1923" s="651" t="s">
        <v>721</v>
      </c>
      <c r="D1923" s="651" t="s">
        <v>2097</v>
      </c>
      <c r="E1923" s="651" t="s">
        <v>730</v>
      </c>
      <c r="F1923" s="653">
        <v>0</v>
      </c>
      <c r="G1923" s="651" t="s">
        <v>650</v>
      </c>
      <c r="H1923" s="654"/>
      <c r="I1923" s="655"/>
      <c r="J1923" s="655"/>
      <c r="K1923" s="653">
        <v>0</v>
      </c>
      <c r="L1923" s="656">
        <v>0</v>
      </c>
    </row>
    <row r="1924" spans="1:12" ht="42" x14ac:dyDescent="0.25">
      <c r="A1924" s="651" t="s">
        <v>103</v>
      </c>
      <c r="B1924" s="652">
        <v>2021</v>
      </c>
      <c r="C1924" s="651" t="s">
        <v>721</v>
      </c>
      <c r="D1924" s="651" t="s">
        <v>2098</v>
      </c>
      <c r="E1924" s="651" t="s">
        <v>142</v>
      </c>
      <c r="F1924" s="653">
        <v>0</v>
      </c>
      <c r="G1924" s="651" t="s">
        <v>650</v>
      </c>
      <c r="H1924" s="654"/>
      <c r="I1924" s="655"/>
      <c r="J1924" s="655"/>
      <c r="K1924" s="653">
        <v>0</v>
      </c>
      <c r="L1924" s="656">
        <v>0</v>
      </c>
    </row>
    <row r="1925" spans="1:12" ht="42" x14ac:dyDescent="0.25">
      <c r="A1925" s="651" t="s">
        <v>103</v>
      </c>
      <c r="B1925" s="652">
        <v>2021</v>
      </c>
      <c r="C1925" s="651" t="s">
        <v>721</v>
      </c>
      <c r="D1925" s="651" t="s">
        <v>2099</v>
      </c>
      <c r="E1925" s="651" t="s">
        <v>143</v>
      </c>
      <c r="F1925" s="653">
        <v>0</v>
      </c>
      <c r="G1925" s="651" t="s">
        <v>650</v>
      </c>
      <c r="H1925" s="654"/>
      <c r="I1925" s="655"/>
      <c r="J1925" s="655"/>
      <c r="K1925" s="653">
        <v>0</v>
      </c>
      <c r="L1925" s="656">
        <v>0</v>
      </c>
    </row>
    <row r="1926" spans="1:12" ht="42" x14ac:dyDescent="0.25">
      <c r="A1926" s="651" t="s">
        <v>103</v>
      </c>
      <c r="B1926" s="652">
        <v>2021</v>
      </c>
      <c r="C1926" s="651" t="s">
        <v>721</v>
      </c>
      <c r="D1926" s="651" t="s">
        <v>2100</v>
      </c>
      <c r="E1926" s="651" t="s">
        <v>182</v>
      </c>
      <c r="F1926" s="653">
        <v>0</v>
      </c>
      <c r="G1926" s="651" t="s">
        <v>650</v>
      </c>
      <c r="H1926" s="654"/>
      <c r="I1926" s="655"/>
      <c r="J1926" s="655"/>
      <c r="K1926" s="653">
        <v>0</v>
      </c>
      <c r="L1926" s="656">
        <v>0</v>
      </c>
    </row>
    <row r="1927" spans="1:12" ht="42" x14ac:dyDescent="0.25">
      <c r="A1927" s="651" t="s">
        <v>103</v>
      </c>
      <c r="B1927" s="652">
        <v>2021</v>
      </c>
      <c r="C1927" s="651" t="s">
        <v>721</v>
      </c>
      <c r="D1927" s="651" t="s">
        <v>2101</v>
      </c>
      <c r="E1927" s="651" t="s">
        <v>394</v>
      </c>
      <c r="F1927" s="653">
        <v>0</v>
      </c>
      <c r="G1927" s="651" t="s">
        <v>650</v>
      </c>
      <c r="H1927" s="654"/>
      <c r="I1927" s="655"/>
      <c r="J1927" s="655"/>
      <c r="K1927" s="653">
        <v>0</v>
      </c>
      <c r="L1927" s="656">
        <v>0</v>
      </c>
    </row>
    <row r="1928" spans="1:12" ht="42" x14ac:dyDescent="0.25">
      <c r="A1928" s="651" t="s">
        <v>103</v>
      </c>
      <c r="B1928" s="652">
        <v>2021</v>
      </c>
      <c r="C1928" s="651" t="s">
        <v>721</v>
      </c>
      <c r="D1928" s="651" t="s">
        <v>2102</v>
      </c>
      <c r="E1928" s="651" t="s">
        <v>423</v>
      </c>
      <c r="F1928" s="653">
        <v>0</v>
      </c>
      <c r="G1928" s="651" t="s">
        <v>650</v>
      </c>
      <c r="H1928" s="654"/>
      <c r="I1928" s="655"/>
      <c r="J1928" s="655"/>
      <c r="K1928" s="653">
        <v>0</v>
      </c>
      <c r="L1928" s="656">
        <v>0</v>
      </c>
    </row>
    <row r="1929" spans="1:12" ht="42" x14ac:dyDescent="0.25">
      <c r="A1929" s="651" t="s">
        <v>103</v>
      </c>
      <c r="B1929" s="652">
        <v>2021</v>
      </c>
      <c r="C1929" s="651" t="s">
        <v>721</v>
      </c>
      <c r="D1929" s="651" t="s">
        <v>3273</v>
      </c>
      <c r="E1929" s="651" t="s">
        <v>441</v>
      </c>
      <c r="F1929" s="653">
        <v>0</v>
      </c>
      <c r="G1929" s="651" t="s">
        <v>650</v>
      </c>
      <c r="H1929" s="654"/>
      <c r="I1929" s="653">
        <v>-1164276.125</v>
      </c>
      <c r="J1929" s="653">
        <v>1030656.0625</v>
      </c>
      <c r="K1929" s="653">
        <v>-133620.03125</v>
      </c>
      <c r="L1929" s="656">
        <v>-133620.03</v>
      </c>
    </row>
    <row r="1930" spans="1:12" ht="42" x14ac:dyDescent="0.25">
      <c r="A1930" s="651" t="s">
        <v>103</v>
      </c>
      <c r="B1930" s="652">
        <v>2021</v>
      </c>
      <c r="C1930" s="651" t="s">
        <v>721</v>
      </c>
      <c r="D1930" s="651" t="s">
        <v>2103</v>
      </c>
      <c r="E1930" s="651" t="s">
        <v>737</v>
      </c>
      <c r="F1930" s="653">
        <v>1379468.59</v>
      </c>
      <c r="G1930" s="654"/>
      <c r="H1930" s="654"/>
      <c r="I1930" s="655"/>
      <c r="J1930" s="655"/>
      <c r="K1930" s="653">
        <v>0</v>
      </c>
      <c r="L1930" s="656">
        <v>1379468.59</v>
      </c>
    </row>
    <row r="1931" spans="1:12" ht="14.5" x14ac:dyDescent="0.25">
      <c r="A1931" s="651" t="s">
        <v>103</v>
      </c>
      <c r="B1931" s="652">
        <v>2021</v>
      </c>
      <c r="C1931" s="651" t="s">
        <v>738</v>
      </c>
      <c r="D1931" s="651" t="s">
        <v>2104</v>
      </c>
      <c r="E1931" s="651" t="s">
        <v>7</v>
      </c>
      <c r="F1931" s="653">
        <v>-912935.11</v>
      </c>
      <c r="G1931" s="654"/>
      <c r="H1931" s="651" t="s">
        <v>650</v>
      </c>
      <c r="I1931" s="655"/>
      <c r="J1931" s="655"/>
      <c r="K1931" s="653">
        <v>0</v>
      </c>
      <c r="L1931" s="656">
        <v>-912935.11</v>
      </c>
    </row>
    <row r="1932" spans="1:12" ht="21" x14ac:dyDescent="0.25">
      <c r="A1932" s="651" t="s">
        <v>104</v>
      </c>
      <c r="B1932" s="652">
        <v>2021</v>
      </c>
      <c r="C1932" s="651" t="s">
        <v>647</v>
      </c>
      <c r="D1932" s="651" t="s">
        <v>2105</v>
      </c>
      <c r="E1932" s="651" t="s">
        <v>649</v>
      </c>
      <c r="F1932" s="653">
        <v>-91389.29</v>
      </c>
      <c r="G1932" s="654"/>
      <c r="H1932" s="651" t="s">
        <v>650</v>
      </c>
      <c r="I1932" s="655"/>
      <c r="J1932" s="655"/>
      <c r="K1932" s="653">
        <v>0</v>
      </c>
      <c r="L1932" s="656">
        <v>-91389.29</v>
      </c>
    </row>
    <row r="1933" spans="1:12" ht="14.5" x14ac:dyDescent="0.25">
      <c r="A1933" s="651" t="s">
        <v>104</v>
      </c>
      <c r="B1933" s="652">
        <v>2021</v>
      </c>
      <c r="C1933" s="651" t="s">
        <v>651</v>
      </c>
      <c r="D1933" s="651" t="s">
        <v>2106</v>
      </c>
      <c r="E1933" s="651" t="s">
        <v>653</v>
      </c>
      <c r="F1933" s="653">
        <v>8984.4500000000007</v>
      </c>
      <c r="G1933" s="654"/>
      <c r="H1933" s="651" t="s">
        <v>650</v>
      </c>
      <c r="I1933" s="655"/>
      <c r="J1933" s="655"/>
      <c r="K1933" s="653">
        <v>0</v>
      </c>
      <c r="L1933" s="656">
        <v>8984.4500000000007</v>
      </c>
    </row>
    <row r="1934" spans="1:12" ht="42" x14ac:dyDescent="0.25">
      <c r="A1934" s="651" t="s">
        <v>104</v>
      </c>
      <c r="B1934" s="652">
        <v>2021</v>
      </c>
      <c r="C1934" s="651" t="s">
        <v>654</v>
      </c>
      <c r="D1934" s="651" t="s">
        <v>2107</v>
      </c>
      <c r="E1934" s="651" t="s">
        <v>445</v>
      </c>
      <c r="F1934" s="653">
        <v>-1659.47</v>
      </c>
      <c r="G1934" s="654"/>
      <c r="H1934" s="651" t="s">
        <v>650</v>
      </c>
      <c r="I1934" s="655"/>
      <c r="J1934" s="655"/>
      <c r="K1934" s="653">
        <v>0</v>
      </c>
      <c r="L1934" s="656">
        <v>-1659.47</v>
      </c>
    </row>
    <row r="1935" spans="1:12" ht="21" x14ac:dyDescent="0.25">
      <c r="A1935" s="651" t="s">
        <v>104</v>
      </c>
      <c r="B1935" s="652">
        <v>2021</v>
      </c>
      <c r="C1935" s="651" t="s">
        <v>656</v>
      </c>
      <c r="D1935" s="651" t="s">
        <v>2108</v>
      </c>
      <c r="E1935" s="651" t="s">
        <v>658</v>
      </c>
      <c r="F1935" s="653">
        <v>0</v>
      </c>
      <c r="G1935" s="654"/>
      <c r="H1935" s="651" t="s">
        <v>650</v>
      </c>
      <c r="I1935" s="655"/>
      <c r="J1935" s="655"/>
      <c r="K1935" s="653">
        <v>0</v>
      </c>
      <c r="L1935" s="656">
        <v>0</v>
      </c>
    </row>
    <row r="1936" spans="1:12" ht="31.5" x14ac:dyDescent="0.25">
      <c r="A1936" s="651" t="s">
        <v>104</v>
      </c>
      <c r="B1936" s="652">
        <v>2021</v>
      </c>
      <c r="C1936" s="651" t="s">
        <v>659</v>
      </c>
      <c r="D1936" s="651" t="s">
        <v>2109</v>
      </c>
      <c r="E1936" s="651" t="s">
        <v>661</v>
      </c>
      <c r="F1936" s="653">
        <v>0</v>
      </c>
      <c r="G1936" s="654"/>
      <c r="H1936" s="651" t="s">
        <v>650</v>
      </c>
      <c r="I1936" s="655"/>
      <c r="J1936" s="655"/>
      <c r="K1936" s="653">
        <v>0</v>
      </c>
      <c r="L1936" s="656">
        <v>0</v>
      </c>
    </row>
    <row r="1937" spans="1:12" ht="21" x14ac:dyDescent="0.25">
      <c r="A1937" s="651" t="s">
        <v>104</v>
      </c>
      <c r="B1937" s="652">
        <v>2021</v>
      </c>
      <c r="C1937" s="651" t="s">
        <v>662</v>
      </c>
      <c r="D1937" s="651" t="s">
        <v>2110</v>
      </c>
      <c r="E1937" s="651" t="s">
        <v>664</v>
      </c>
      <c r="F1937" s="653">
        <v>0</v>
      </c>
      <c r="G1937" s="654"/>
      <c r="H1937" s="651" t="s">
        <v>650</v>
      </c>
      <c r="I1937" s="655"/>
      <c r="J1937" s="655"/>
      <c r="K1937" s="653">
        <v>0</v>
      </c>
      <c r="L1937" s="656">
        <v>0</v>
      </c>
    </row>
    <row r="1938" spans="1:12" ht="31.5" x14ac:dyDescent="0.25">
      <c r="A1938" s="651" t="s">
        <v>104</v>
      </c>
      <c r="B1938" s="652">
        <v>2021</v>
      </c>
      <c r="C1938" s="651" t="s">
        <v>665</v>
      </c>
      <c r="D1938" s="651" t="s">
        <v>2111</v>
      </c>
      <c r="E1938" s="651" t="s">
        <v>667</v>
      </c>
      <c r="F1938" s="653">
        <v>0</v>
      </c>
      <c r="G1938" s="654"/>
      <c r="H1938" s="651" t="s">
        <v>650</v>
      </c>
      <c r="I1938" s="655"/>
      <c r="J1938" s="655"/>
      <c r="K1938" s="653">
        <v>0</v>
      </c>
      <c r="L1938" s="656">
        <v>0</v>
      </c>
    </row>
    <row r="1939" spans="1:12" ht="21" x14ac:dyDescent="0.25">
      <c r="A1939" s="651" t="s">
        <v>104</v>
      </c>
      <c r="B1939" s="652">
        <v>2021</v>
      </c>
      <c r="C1939" s="651" t="s">
        <v>668</v>
      </c>
      <c r="D1939" s="651" t="s">
        <v>2112</v>
      </c>
      <c r="E1939" s="651" t="s">
        <v>12</v>
      </c>
      <c r="F1939" s="653">
        <v>0</v>
      </c>
      <c r="G1939" s="654"/>
      <c r="H1939" s="651" t="s">
        <v>650</v>
      </c>
      <c r="I1939" s="655"/>
      <c r="J1939" s="655"/>
      <c r="K1939" s="653">
        <v>0</v>
      </c>
      <c r="L1939" s="656">
        <v>0</v>
      </c>
    </row>
    <row r="1940" spans="1:12" ht="21" x14ac:dyDescent="0.25">
      <c r="A1940" s="651" t="s">
        <v>104</v>
      </c>
      <c r="B1940" s="652">
        <v>2021</v>
      </c>
      <c r="C1940" s="651" t="s">
        <v>670</v>
      </c>
      <c r="D1940" s="651" t="s">
        <v>2113</v>
      </c>
      <c r="E1940" s="651" t="s">
        <v>13</v>
      </c>
      <c r="F1940" s="653">
        <v>0</v>
      </c>
      <c r="G1940" s="654"/>
      <c r="H1940" s="651" t="s">
        <v>650</v>
      </c>
      <c r="I1940" s="655"/>
      <c r="J1940" s="655"/>
      <c r="K1940" s="653">
        <v>0</v>
      </c>
      <c r="L1940" s="656">
        <v>0</v>
      </c>
    </row>
    <row r="1941" spans="1:12" ht="21" x14ac:dyDescent="0.25">
      <c r="A1941" s="651" t="s">
        <v>104</v>
      </c>
      <c r="B1941" s="652">
        <v>2021</v>
      </c>
      <c r="C1941" s="651" t="s">
        <v>672</v>
      </c>
      <c r="D1941" s="651" t="s">
        <v>2114</v>
      </c>
      <c r="E1941" s="651" t="s">
        <v>15</v>
      </c>
      <c r="F1941" s="653">
        <v>0</v>
      </c>
      <c r="G1941" s="654"/>
      <c r="H1941" s="651" t="s">
        <v>650</v>
      </c>
      <c r="I1941" s="655"/>
      <c r="J1941" s="655"/>
      <c r="K1941" s="653">
        <v>0</v>
      </c>
      <c r="L1941" s="656">
        <v>0</v>
      </c>
    </row>
    <row r="1942" spans="1:12" ht="14.5" x14ac:dyDescent="0.25">
      <c r="A1942" s="651" t="s">
        <v>104</v>
      </c>
      <c r="B1942" s="652">
        <v>2021</v>
      </c>
      <c r="C1942" s="651" t="s">
        <v>674</v>
      </c>
      <c r="D1942" s="651" t="s">
        <v>2115</v>
      </c>
      <c r="E1942" s="651" t="s">
        <v>676</v>
      </c>
      <c r="F1942" s="653">
        <v>10040.08</v>
      </c>
      <c r="G1942" s="654"/>
      <c r="H1942" s="651" t="s">
        <v>650</v>
      </c>
      <c r="I1942" s="655"/>
      <c r="J1942" s="655"/>
      <c r="K1942" s="653">
        <v>0</v>
      </c>
      <c r="L1942" s="656">
        <v>10040.08</v>
      </c>
    </row>
    <row r="1943" spans="1:12" ht="14.5" x14ac:dyDescent="0.25">
      <c r="A1943" s="651" t="s">
        <v>104</v>
      </c>
      <c r="B1943" s="652">
        <v>2021</v>
      </c>
      <c r="C1943" s="651" t="s">
        <v>677</v>
      </c>
      <c r="D1943" s="651" t="s">
        <v>2116</v>
      </c>
      <c r="E1943" s="651" t="s">
        <v>23</v>
      </c>
      <c r="F1943" s="653">
        <v>0</v>
      </c>
      <c r="G1943" s="651" t="s">
        <v>650</v>
      </c>
      <c r="H1943" s="654"/>
      <c r="I1943" s="655"/>
      <c r="J1943" s="655"/>
      <c r="K1943" s="653">
        <v>0</v>
      </c>
      <c r="L1943" s="656">
        <v>0</v>
      </c>
    </row>
    <row r="1944" spans="1:12" ht="31.5" x14ac:dyDescent="0.25">
      <c r="A1944" s="651" t="s">
        <v>104</v>
      </c>
      <c r="B1944" s="652">
        <v>2021</v>
      </c>
      <c r="C1944" s="651" t="s">
        <v>679</v>
      </c>
      <c r="D1944" s="651" t="s">
        <v>2117</v>
      </c>
      <c r="E1944" s="651" t="s">
        <v>131</v>
      </c>
      <c r="F1944" s="653">
        <v>-4496.99</v>
      </c>
      <c r="G1944" s="651" t="s">
        <v>650</v>
      </c>
      <c r="H1944" s="654"/>
      <c r="I1944" s="653">
        <v>-4380.2900390625</v>
      </c>
      <c r="J1944" s="653">
        <v>-116.699996948242</v>
      </c>
      <c r="K1944" s="653">
        <v>-4496.990234375</v>
      </c>
      <c r="L1944" s="656">
        <v>-4496.99</v>
      </c>
    </row>
    <row r="1945" spans="1:12" ht="31.5" x14ac:dyDescent="0.25">
      <c r="A1945" s="651" t="s">
        <v>104</v>
      </c>
      <c r="B1945" s="652">
        <v>2021</v>
      </c>
      <c r="C1945" s="651" t="s">
        <v>681</v>
      </c>
      <c r="D1945" s="651" t="s">
        <v>2118</v>
      </c>
      <c r="E1945" s="651" t="s">
        <v>683</v>
      </c>
      <c r="F1945" s="653">
        <v>0</v>
      </c>
      <c r="G1945" s="654"/>
      <c r="H1945" s="651" t="s">
        <v>650</v>
      </c>
      <c r="I1945" s="655"/>
      <c r="J1945" s="655"/>
      <c r="K1945" s="653">
        <v>0</v>
      </c>
      <c r="L1945" s="656">
        <v>0</v>
      </c>
    </row>
    <row r="1946" spans="1:12" ht="21" x14ac:dyDescent="0.25">
      <c r="A1946" s="651" t="s">
        <v>104</v>
      </c>
      <c r="B1946" s="652">
        <v>2021</v>
      </c>
      <c r="C1946" s="651" t="s">
        <v>681</v>
      </c>
      <c r="D1946" s="651" t="s">
        <v>2118</v>
      </c>
      <c r="E1946" s="651" t="s">
        <v>684</v>
      </c>
      <c r="F1946" s="653">
        <v>0</v>
      </c>
      <c r="G1946" s="654"/>
      <c r="H1946" s="651" t="s">
        <v>650</v>
      </c>
      <c r="I1946" s="655"/>
      <c r="J1946" s="655"/>
      <c r="K1946" s="653">
        <v>0</v>
      </c>
      <c r="L1946" s="656">
        <v>0</v>
      </c>
    </row>
    <row r="1947" spans="1:12" ht="21" x14ac:dyDescent="0.25">
      <c r="A1947" s="651" t="s">
        <v>104</v>
      </c>
      <c r="B1947" s="652">
        <v>2021</v>
      </c>
      <c r="C1947" s="651" t="s">
        <v>685</v>
      </c>
      <c r="D1947" s="651" t="s">
        <v>2119</v>
      </c>
      <c r="E1947" s="651" t="s">
        <v>687</v>
      </c>
      <c r="F1947" s="653">
        <v>0</v>
      </c>
      <c r="G1947" s="654"/>
      <c r="H1947" s="651" t="s">
        <v>650</v>
      </c>
      <c r="I1947" s="655"/>
      <c r="J1947" s="655"/>
      <c r="K1947" s="653">
        <v>0</v>
      </c>
      <c r="L1947" s="656">
        <v>0</v>
      </c>
    </row>
    <row r="1948" spans="1:12" ht="14.5" x14ac:dyDescent="0.25">
      <c r="A1948" s="651" t="s">
        <v>104</v>
      </c>
      <c r="B1948" s="652">
        <v>2021</v>
      </c>
      <c r="C1948" s="651" t="s">
        <v>688</v>
      </c>
      <c r="D1948" s="651" t="s">
        <v>2120</v>
      </c>
      <c r="E1948" s="651" t="s">
        <v>50</v>
      </c>
      <c r="F1948" s="653">
        <v>0</v>
      </c>
      <c r="G1948" s="654"/>
      <c r="H1948" s="651" t="s">
        <v>650</v>
      </c>
      <c r="I1948" s="655"/>
      <c r="J1948" s="655"/>
      <c r="K1948" s="653">
        <v>0</v>
      </c>
      <c r="L1948" s="656">
        <v>0</v>
      </c>
    </row>
    <row r="1949" spans="1:12" ht="21" x14ac:dyDescent="0.25">
      <c r="A1949" s="651" t="s">
        <v>104</v>
      </c>
      <c r="B1949" s="652">
        <v>2021</v>
      </c>
      <c r="C1949" s="651" t="s">
        <v>690</v>
      </c>
      <c r="D1949" s="651" t="s">
        <v>2121</v>
      </c>
      <c r="E1949" s="651" t="s">
        <v>692</v>
      </c>
      <c r="F1949" s="653">
        <v>0</v>
      </c>
      <c r="G1949" s="654"/>
      <c r="H1949" s="651" t="s">
        <v>650</v>
      </c>
      <c r="I1949" s="655"/>
      <c r="J1949" s="655"/>
      <c r="K1949" s="653">
        <v>0</v>
      </c>
      <c r="L1949" s="656">
        <v>0</v>
      </c>
    </row>
    <row r="1950" spans="1:12" ht="21" x14ac:dyDescent="0.25">
      <c r="A1950" s="651" t="s">
        <v>104</v>
      </c>
      <c r="B1950" s="652">
        <v>2021</v>
      </c>
      <c r="C1950" s="651" t="s">
        <v>693</v>
      </c>
      <c r="D1950" s="651" t="s">
        <v>2122</v>
      </c>
      <c r="E1950" s="651" t="s">
        <v>6</v>
      </c>
      <c r="F1950" s="653">
        <v>0</v>
      </c>
      <c r="G1950" s="654"/>
      <c r="H1950" s="651" t="s">
        <v>650</v>
      </c>
      <c r="I1950" s="655"/>
      <c r="J1950" s="655"/>
      <c r="K1950" s="653">
        <v>0</v>
      </c>
      <c r="L1950" s="656">
        <v>0</v>
      </c>
    </row>
    <row r="1951" spans="1:12" ht="31.5" x14ac:dyDescent="0.25">
      <c r="A1951" s="651" t="s">
        <v>104</v>
      </c>
      <c r="B1951" s="652">
        <v>2021</v>
      </c>
      <c r="C1951" s="651" t="s">
        <v>695</v>
      </c>
      <c r="D1951" s="651" t="s">
        <v>2123</v>
      </c>
      <c r="E1951" s="651" t="s">
        <v>697</v>
      </c>
      <c r="F1951" s="653">
        <v>0</v>
      </c>
      <c r="G1951" s="654"/>
      <c r="H1951" s="651" t="s">
        <v>650</v>
      </c>
      <c r="I1951" s="655"/>
      <c r="J1951" s="655"/>
      <c r="K1951" s="653">
        <v>0</v>
      </c>
      <c r="L1951" s="656">
        <v>0</v>
      </c>
    </row>
    <row r="1952" spans="1:12" ht="21" x14ac:dyDescent="0.25">
      <c r="A1952" s="651" t="s">
        <v>104</v>
      </c>
      <c r="B1952" s="652">
        <v>2021</v>
      </c>
      <c r="C1952" s="651" t="s">
        <v>698</v>
      </c>
      <c r="D1952" s="651" t="s">
        <v>2124</v>
      </c>
      <c r="E1952" s="651" t="s">
        <v>700</v>
      </c>
      <c r="F1952" s="653">
        <v>116220.15</v>
      </c>
      <c r="G1952" s="654"/>
      <c r="H1952" s="651" t="s">
        <v>650</v>
      </c>
      <c r="I1952" s="655"/>
      <c r="J1952" s="655"/>
      <c r="K1952" s="653">
        <v>0</v>
      </c>
      <c r="L1952" s="656">
        <v>116220.15</v>
      </c>
    </row>
    <row r="1953" spans="1:12" ht="21" x14ac:dyDescent="0.25">
      <c r="A1953" s="651" t="s">
        <v>104</v>
      </c>
      <c r="B1953" s="652">
        <v>2021</v>
      </c>
      <c r="C1953" s="651" t="s">
        <v>701</v>
      </c>
      <c r="D1953" s="651" t="s">
        <v>2125</v>
      </c>
      <c r="E1953" s="651" t="s">
        <v>1</v>
      </c>
      <c r="F1953" s="653">
        <v>-239636.62</v>
      </c>
      <c r="G1953" s="651" t="s">
        <v>650</v>
      </c>
      <c r="H1953" s="654"/>
      <c r="I1953" s="653">
        <v>-235893.046875</v>
      </c>
      <c r="J1953" s="653">
        <v>-3743.580078125</v>
      </c>
      <c r="K1953" s="653">
        <v>-239636.625</v>
      </c>
      <c r="L1953" s="656">
        <v>-239636.62</v>
      </c>
    </row>
    <row r="1954" spans="1:12" ht="21" x14ac:dyDescent="0.25">
      <c r="A1954" s="651" t="s">
        <v>104</v>
      </c>
      <c r="B1954" s="652">
        <v>2021</v>
      </c>
      <c r="C1954" s="651" t="s">
        <v>701</v>
      </c>
      <c r="D1954" s="651" t="s">
        <v>2125</v>
      </c>
      <c r="E1954" s="651" t="s">
        <v>703</v>
      </c>
      <c r="F1954" s="653">
        <v>0</v>
      </c>
      <c r="G1954" s="654"/>
      <c r="H1954" s="654"/>
      <c r="I1954" s="655"/>
      <c r="J1954" s="655"/>
      <c r="K1954" s="653">
        <v>0</v>
      </c>
      <c r="L1954" s="656">
        <v>0</v>
      </c>
    </row>
    <row r="1955" spans="1:12" ht="21" x14ac:dyDescent="0.25">
      <c r="A1955" s="651" t="s">
        <v>104</v>
      </c>
      <c r="B1955" s="652">
        <v>2021</v>
      </c>
      <c r="C1955" s="651" t="s">
        <v>701</v>
      </c>
      <c r="D1955" s="651" t="s">
        <v>2125</v>
      </c>
      <c r="E1955" s="651" t="s">
        <v>704</v>
      </c>
      <c r="F1955" s="653">
        <v>0</v>
      </c>
      <c r="G1955" s="654"/>
      <c r="H1955" s="654"/>
      <c r="I1955" s="655"/>
      <c r="J1955" s="655"/>
      <c r="K1955" s="653">
        <v>0</v>
      </c>
      <c r="L1955" s="656">
        <v>0</v>
      </c>
    </row>
    <row r="1956" spans="1:12" ht="21" x14ac:dyDescent="0.25">
      <c r="A1956" s="651" t="s">
        <v>104</v>
      </c>
      <c r="B1956" s="652">
        <v>2021</v>
      </c>
      <c r="C1956" s="651" t="s">
        <v>701</v>
      </c>
      <c r="D1956" s="651" t="s">
        <v>2125</v>
      </c>
      <c r="E1956" s="651" t="s">
        <v>705</v>
      </c>
      <c r="F1956" s="653">
        <v>-637.30999999999995</v>
      </c>
      <c r="G1956" s="654"/>
      <c r="H1956" s="654"/>
      <c r="I1956" s="655"/>
      <c r="J1956" s="655"/>
      <c r="K1956" s="653">
        <v>0</v>
      </c>
      <c r="L1956" s="656">
        <v>-637.30999999999995</v>
      </c>
    </row>
    <row r="1957" spans="1:12" ht="21" x14ac:dyDescent="0.25">
      <c r="A1957" s="651" t="s">
        <v>104</v>
      </c>
      <c r="B1957" s="652">
        <v>2021</v>
      </c>
      <c r="C1957" s="651" t="s">
        <v>701</v>
      </c>
      <c r="D1957" s="651" t="s">
        <v>2125</v>
      </c>
      <c r="E1957" s="651" t="s">
        <v>706</v>
      </c>
      <c r="F1957" s="653">
        <v>-28818.65</v>
      </c>
      <c r="G1957" s="654"/>
      <c r="H1957" s="654"/>
      <c r="I1957" s="655"/>
      <c r="J1957" s="655"/>
      <c r="K1957" s="653">
        <v>0</v>
      </c>
      <c r="L1957" s="656">
        <v>-28818.65</v>
      </c>
    </row>
    <row r="1958" spans="1:12" ht="14.5" x14ac:dyDescent="0.25">
      <c r="A1958" s="651" t="s">
        <v>104</v>
      </c>
      <c r="B1958" s="652">
        <v>2021</v>
      </c>
      <c r="C1958" s="651" t="s">
        <v>707</v>
      </c>
      <c r="D1958" s="651" t="s">
        <v>2126</v>
      </c>
      <c r="E1958" s="651" t="s">
        <v>709</v>
      </c>
      <c r="F1958" s="653">
        <v>0</v>
      </c>
      <c r="G1958" s="654"/>
      <c r="H1958" s="651" t="s">
        <v>650</v>
      </c>
      <c r="I1958" s="655"/>
      <c r="J1958" s="655"/>
      <c r="K1958" s="653">
        <v>0</v>
      </c>
      <c r="L1958" s="656">
        <v>0</v>
      </c>
    </row>
    <row r="1959" spans="1:12" ht="31.5" x14ac:dyDescent="0.25">
      <c r="A1959" s="651" t="s">
        <v>104</v>
      </c>
      <c r="B1959" s="652">
        <v>2021</v>
      </c>
      <c r="C1959" s="651" t="s">
        <v>710</v>
      </c>
      <c r="D1959" s="651" t="s">
        <v>2127</v>
      </c>
      <c r="E1959" s="651" t="s">
        <v>2</v>
      </c>
      <c r="F1959" s="653">
        <v>-156715.56</v>
      </c>
      <c r="G1959" s="651" t="s">
        <v>650</v>
      </c>
      <c r="H1959" s="654"/>
      <c r="I1959" s="653">
        <v>-155204.453125</v>
      </c>
      <c r="J1959" s="653">
        <v>-1511.09997558594</v>
      </c>
      <c r="K1959" s="653">
        <v>-156715.5625</v>
      </c>
      <c r="L1959" s="656">
        <v>-156715.56</v>
      </c>
    </row>
    <row r="1960" spans="1:12" ht="31.5" x14ac:dyDescent="0.25">
      <c r="A1960" s="651" t="s">
        <v>104</v>
      </c>
      <c r="B1960" s="652">
        <v>2021</v>
      </c>
      <c r="C1960" s="651" t="s">
        <v>712</v>
      </c>
      <c r="D1960" s="651" t="s">
        <v>2128</v>
      </c>
      <c r="E1960" s="651" t="s">
        <v>3</v>
      </c>
      <c r="F1960" s="653">
        <v>-149595.38</v>
      </c>
      <c r="G1960" s="651" t="s">
        <v>650</v>
      </c>
      <c r="H1960" s="654"/>
      <c r="I1960" s="653">
        <v>-147908.34375</v>
      </c>
      <c r="J1960" s="653">
        <v>-1687.0400390625</v>
      </c>
      <c r="K1960" s="653">
        <v>-149595.375</v>
      </c>
      <c r="L1960" s="656">
        <v>-149595.38</v>
      </c>
    </row>
    <row r="1961" spans="1:12" ht="31.5" x14ac:dyDescent="0.25">
      <c r="A1961" s="651" t="s">
        <v>104</v>
      </c>
      <c r="B1961" s="652">
        <v>2021</v>
      </c>
      <c r="C1961" s="651" t="s">
        <v>714</v>
      </c>
      <c r="D1961" s="651" t="s">
        <v>2129</v>
      </c>
      <c r="E1961" s="651" t="s">
        <v>38</v>
      </c>
      <c r="F1961" s="653">
        <v>-19677.22</v>
      </c>
      <c r="G1961" s="651" t="s">
        <v>650</v>
      </c>
      <c r="H1961" s="654"/>
      <c r="I1961" s="653">
        <v>-21799.130859375</v>
      </c>
      <c r="J1961" s="653">
        <v>2121.90991210938</v>
      </c>
      <c r="K1961" s="653">
        <v>-19677.220703125</v>
      </c>
      <c r="L1961" s="656">
        <v>-19677.22</v>
      </c>
    </row>
    <row r="1962" spans="1:12" ht="21" x14ac:dyDescent="0.25">
      <c r="A1962" s="651" t="s">
        <v>104</v>
      </c>
      <c r="B1962" s="652">
        <v>2021</v>
      </c>
      <c r="C1962" s="651" t="s">
        <v>716</v>
      </c>
      <c r="D1962" s="651" t="s">
        <v>2130</v>
      </c>
      <c r="E1962" s="651" t="s">
        <v>66</v>
      </c>
      <c r="F1962" s="653">
        <v>-42446.39</v>
      </c>
      <c r="G1962" s="651" t="s">
        <v>650</v>
      </c>
      <c r="H1962" s="654"/>
      <c r="I1962" s="653">
        <v>-41660.28125</v>
      </c>
      <c r="J1962" s="653">
        <v>-786.10998535156295</v>
      </c>
      <c r="K1962" s="653">
        <v>-42446.390625</v>
      </c>
      <c r="L1962" s="656">
        <v>-42446.39</v>
      </c>
    </row>
    <row r="1963" spans="1:12" ht="31.5" x14ac:dyDescent="0.25">
      <c r="A1963" s="651" t="s">
        <v>104</v>
      </c>
      <c r="B1963" s="652">
        <v>2021</v>
      </c>
      <c r="C1963" s="651" t="s">
        <v>718</v>
      </c>
      <c r="D1963" s="651" t="s">
        <v>2131</v>
      </c>
      <c r="E1963" s="651" t="s">
        <v>720</v>
      </c>
      <c r="F1963" s="653">
        <v>0</v>
      </c>
      <c r="G1963" s="654"/>
      <c r="H1963" s="651" t="s">
        <v>650</v>
      </c>
      <c r="I1963" s="655"/>
      <c r="J1963" s="655"/>
      <c r="K1963" s="653">
        <v>0</v>
      </c>
      <c r="L1963" s="656">
        <v>0</v>
      </c>
    </row>
    <row r="1964" spans="1:12" ht="42" x14ac:dyDescent="0.25">
      <c r="A1964" s="651" t="s">
        <v>104</v>
      </c>
      <c r="B1964" s="652">
        <v>2021</v>
      </c>
      <c r="C1964" s="651" t="s">
        <v>721</v>
      </c>
      <c r="D1964" s="651" t="s">
        <v>2132</v>
      </c>
      <c r="E1964" s="651" t="s">
        <v>3016</v>
      </c>
      <c r="F1964" s="653">
        <v>0</v>
      </c>
      <c r="G1964" s="651" t="s">
        <v>650</v>
      </c>
      <c r="H1964" s="654"/>
      <c r="I1964" s="653">
        <v>69759.546875</v>
      </c>
      <c r="J1964" s="653">
        <v>23575.80078125</v>
      </c>
      <c r="K1964" s="653">
        <v>93335.3515625</v>
      </c>
      <c r="L1964" s="656">
        <v>93335.35</v>
      </c>
    </row>
    <row r="1965" spans="1:12" ht="42" x14ac:dyDescent="0.25">
      <c r="A1965" s="651" t="s">
        <v>104</v>
      </c>
      <c r="B1965" s="652">
        <v>2021</v>
      </c>
      <c r="C1965" s="651" t="s">
        <v>721</v>
      </c>
      <c r="D1965" s="651" t="s">
        <v>2132</v>
      </c>
      <c r="E1965" s="651" t="s">
        <v>3058</v>
      </c>
      <c r="F1965" s="653">
        <v>0</v>
      </c>
      <c r="G1965" s="651" t="s">
        <v>650</v>
      </c>
      <c r="H1965" s="654"/>
      <c r="I1965" s="653">
        <v>23895.119140625</v>
      </c>
      <c r="J1965" s="653">
        <v>16129.900390625</v>
      </c>
      <c r="K1965" s="653">
        <v>40025.01953125</v>
      </c>
      <c r="L1965" s="656">
        <v>40025.019999999997</v>
      </c>
    </row>
    <row r="1966" spans="1:12" ht="42" x14ac:dyDescent="0.25">
      <c r="A1966" s="651" t="s">
        <v>104</v>
      </c>
      <c r="B1966" s="652">
        <v>2021</v>
      </c>
      <c r="C1966" s="651" t="s">
        <v>721</v>
      </c>
      <c r="D1966" s="651" t="s">
        <v>2133</v>
      </c>
      <c r="E1966" s="651" t="s">
        <v>724</v>
      </c>
      <c r="F1966" s="653">
        <v>0</v>
      </c>
      <c r="G1966" s="651" t="s">
        <v>650</v>
      </c>
      <c r="H1966" s="654"/>
      <c r="I1966" s="655"/>
      <c r="J1966" s="655"/>
      <c r="K1966" s="653">
        <v>0</v>
      </c>
      <c r="L1966" s="656">
        <v>0</v>
      </c>
    </row>
    <row r="1967" spans="1:12" ht="42" x14ac:dyDescent="0.25">
      <c r="A1967" s="651" t="s">
        <v>104</v>
      </c>
      <c r="B1967" s="652">
        <v>2021</v>
      </c>
      <c r="C1967" s="651" t="s">
        <v>721</v>
      </c>
      <c r="D1967" s="651" t="s">
        <v>2134</v>
      </c>
      <c r="E1967" s="651" t="s">
        <v>55</v>
      </c>
      <c r="F1967" s="653">
        <v>0</v>
      </c>
      <c r="G1967" s="651" t="s">
        <v>650</v>
      </c>
      <c r="H1967" s="654"/>
      <c r="I1967" s="655"/>
      <c r="J1967" s="655"/>
      <c r="K1967" s="653">
        <v>0</v>
      </c>
      <c r="L1967" s="656">
        <v>0</v>
      </c>
    </row>
    <row r="1968" spans="1:12" ht="42" x14ac:dyDescent="0.25">
      <c r="A1968" s="651" t="s">
        <v>104</v>
      </c>
      <c r="B1968" s="652">
        <v>2021</v>
      </c>
      <c r="C1968" s="651" t="s">
        <v>721</v>
      </c>
      <c r="D1968" s="651" t="s">
        <v>2135</v>
      </c>
      <c r="E1968" s="651" t="s">
        <v>56</v>
      </c>
      <c r="F1968" s="653">
        <v>0</v>
      </c>
      <c r="G1968" s="651" t="s">
        <v>650</v>
      </c>
      <c r="H1968" s="654"/>
      <c r="I1968" s="655"/>
      <c r="J1968" s="655"/>
      <c r="K1968" s="653">
        <v>0</v>
      </c>
      <c r="L1968" s="656">
        <v>0</v>
      </c>
    </row>
    <row r="1969" spans="1:12" ht="42" x14ac:dyDescent="0.25">
      <c r="A1969" s="651" t="s">
        <v>104</v>
      </c>
      <c r="B1969" s="652">
        <v>2021</v>
      </c>
      <c r="C1969" s="651" t="s">
        <v>721</v>
      </c>
      <c r="D1969" s="651" t="s">
        <v>2136</v>
      </c>
      <c r="E1969" s="651" t="s">
        <v>728</v>
      </c>
      <c r="F1969" s="653">
        <v>0</v>
      </c>
      <c r="G1969" s="651" t="s">
        <v>650</v>
      </c>
      <c r="H1969" s="654"/>
      <c r="I1969" s="655"/>
      <c r="J1969" s="655"/>
      <c r="K1969" s="653">
        <v>0</v>
      </c>
      <c r="L1969" s="656">
        <v>0</v>
      </c>
    </row>
    <row r="1970" spans="1:12" ht="42" x14ac:dyDescent="0.25">
      <c r="A1970" s="651" t="s">
        <v>104</v>
      </c>
      <c r="B1970" s="652">
        <v>2021</v>
      </c>
      <c r="C1970" s="651" t="s">
        <v>721</v>
      </c>
      <c r="D1970" s="651" t="s">
        <v>2137</v>
      </c>
      <c r="E1970" s="651" t="s">
        <v>730</v>
      </c>
      <c r="F1970" s="653">
        <v>0</v>
      </c>
      <c r="G1970" s="651" t="s">
        <v>650</v>
      </c>
      <c r="H1970" s="654"/>
      <c r="I1970" s="655"/>
      <c r="J1970" s="655"/>
      <c r="K1970" s="653">
        <v>0</v>
      </c>
      <c r="L1970" s="656">
        <v>0</v>
      </c>
    </row>
    <row r="1971" spans="1:12" ht="42" x14ac:dyDescent="0.25">
      <c r="A1971" s="651" t="s">
        <v>104</v>
      </c>
      <c r="B1971" s="652">
        <v>2021</v>
      </c>
      <c r="C1971" s="651" t="s">
        <v>721</v>
      </c>
      <c r="D1971" s="651" t="s">
        <v>2138</v>
      </c>
      <c r="E1971" s="651" t="s">
        <v>142</v>
      </c>
      <c r="F1971" s="653">
        <v>0</v>
      </c>
      <c r="G1971" s="651" t="s">
        <v>650</v>
      </c>
      <c r="H1971" s="654"/>
      <c r="I1971" s="655"/>
      <c r="J1971" s="655"/>
      <c r="K1971" s="653">
        <v>0</v>
      </c>
      <c r="L1971" s="656">
        <v>0</v>
      </c>
    </row>
    <row r="1972" spans="1:12" ht="42" x14ac:dyDescent="0.25">
      <c r="A1972" s="651" t="s">
        <v>104</v>
      </c>
      <c r="B1972" s="652">
        <v>2021</v>
      </c>
      <c r="C1972" s="651" t="s">
        <v>721</v>
      </c>
      <c r="D1972" s="651" t="s">
        <v>2139</v>
      </c>
      <c r="E1972" s="651" t="s">
        <v>143</v>
      </c>
      <c r="F1972" s="653">
        <v>0</v>
      </c>
      <c r="G1972" s="651" t="s">
        <v>650</v>
      </c>
      <c r="H1972" s="654"/>
      <c r="I1972" s="655"/>
      <c r="J1972" s="655"/>
      <c r="K1972" s="653">
        <v>0</v>
      </c>
      <c r="L1972" s="656">
        <v>0</v>
      </c>
    </row>
    <row r="1973" spans="1:12" ht="42" x14ac:dyDescent="0.25">
      <c r="A1973" s="651" t="s">
        <v>104</v>
      </c>
      <c r="B1973" s="652">
        <v>2021</v>
      </c>
      <c r="C1973" s="651" t="s">
        <v>721</v>
      </c>
      <c r="D1973" s="651" t="s">
        <v>2140</v>
      </c>
      <c r="E1973" s="651" t="s">
        <v>182</v>
      </c>
      <c r="F1973" s="653">
        <v>0</v>
      </c>
      <c r="G1973" s="651" t="s">
        <v>650</v>
      </c>
      <c r="H1973" s="654"/>
      <c r="I1973" s="655"/>
      <c r="J1973" s="655"/>
      <c r="K1973" s="653">
        <v>0</v>
      </c>
      <c r="L1973" s="656">
        <v>0</v>
      </c>
    </row>
    <row r="1974" spans="1:12" ht="42" x14ac:dyDescent="0.25">
      <c r="A1974" s="651" t="s">
        <v>104</v>
      </c>
      <c r="B1974" s="652">
        <v>2021</v>
      </c>
      <c r="C1974" s="651" t="s">
        <v>721</v>
      </c>
      <c r="D1974" s="651" t="s">
        <v>2141</v>
      </c>
      <c r="E1974" s="651" t="s">
        <v>394</v>
      </c>
      <c r="F1974" s="653">
        <v>0</v>
      </c>
      <c r="G1974" s="651" t="s">
        <v>650</v>
      </c>
      <c r="H1974" s="654"/>
      <c r="I1974" s="655"/>
      <c r="J1974" s="653">
        <v>-6326.0498046875</v>
      </c>
      <c r="K1974" s="653">
        <v>-6326.0498046875</v>
      </c>
      <c r="L1974" s="656">
        <v>-6326.05</v>
      </c>
    </row>
    <row r="1975" spans="1:12" ht="42" x14ac:dyDescent="0.25">
      <c r="A1975" s="651" t="s">
        <v>104</v>
      </c>
      <c r="B1975" s="652">
        <v>2021</v>
      </c>
      <c r="C1975" s="651" t="s">
        <v>721</v>
      </c>
      <c r="D1975" s="651" t="s">
        <v>2142</v>
      </c>
      <c r="E1975" s="651" t="s">
        <v>423</v>
      </c>
      <c r="F1975" s="653">
        <v>0</v>
      </c>
      <c r="G1975" s="651" t="s">
        <v>650</v>
      </c>
      <c r="H1975" s="654"/>
      <c r="I1975" s="653">
        <v>1655.51000976563</v>
      </c>
      <c r="J1975" s="653">
        <v>59.959999084472699</v>
      </c>
      <c r="K1975" s="653">
        <v>1715.46997070313</v>
      </c>
      <c r="L1975" s="656">
        <v>1715.47</v>
      </c>
    </row>
    <row r="1976" spans="1:12" ht="42" x14ac:dyDescent="0.25">
      <c r="A1976" s="651" t="s">
        <v>104</v>
      </c>
      <c r="B1976" s="652">
        <v>2021</v>
      </c>
      <c r="C1976" s="651" t="s">
        <v>721</v>
      </c>
      <c r="D1976" s="651" t="s">
        <v>3274</v>
      </c>
      <c r="E1976" s="651" t="s">
        <v>441</v>
      </c>
      <c r="F1976" s="653">
        <v>0</v>
      </c>
      <c r="G1976" s="651" t="s">
        <v>650</v>
      </c>
      <c r="H1976" s="654"/>
      <c r="I1976" s="653">
        <v>41897.30078125</v>
      </c>
      <c r="J1976" s="653">
        <v>14312.8203125</v>
      </c>
      <c r="K1976" s="653">
        <v>56210.12109375</v>
      </c>
      <c r="L1976" s="656">
        <v>56210.12</v>
      </c>
    </row>
    <row r="1977" spans="1:12" ht="42" x14ac:dyDescent="0.25">
      <c r="A1977" s="651" t="s">
        <v>104</v>
      </c>
      <c r="B1977" s="652">
        <v>2021</v>
      </c>
      <c r="C1977" s="651" t="s">
        <v>721</v>
      </c>
      <c r="D1977" s="651" t="s">
        <v>2143</v>
      </c>
      <c r="E1977" s="651" t="s">
        <v>737</v>
      </c>
      <c r="F1977" s="653">
        <v>184959.91</v>
      </c>
      <c r="G1977" s="654"/>
      <c r="H1977" s="654"/>
      <c r="I1977" s="655"/>
      <c r="J1977" s="655"/>
      <c r="K1977" s="653">
        <v>0</v>
      </c>
      <c r="L1977" s="656">
        <v>184959.91</v>
      </c>
    </row>
    <row r="1978" spans="1:12" ht="14.5" x14ac:dyDescent="0.25">
      <c r="A1978" s="651" t="s">
        <v>104</v>
      </c>
      <c r="B1978" s="652">
        <v>2021</v>
      </c>
      <c r="C1978" s="651" t="s">
        <v>738</v>
      </c>
      <c r="D1978" s="651" t="s">
        <v>2144</v>
      </c>
      <c r="E1978" s="651" t="s">
        <v>7</v>
      </c>
      <c r="F1978" s="653">
        <v>-128367.73</v>
      </c>
      <c r="G1978" s="654"/>
      <c r="H1978" s="651" t="s">
        <v>650</v>
      </c>
      <c r="I1978" s="655"/>
      <c r="J1978" s="655"/>
      <c r="K1978" s="653">
        <v>0</v>
      </c>
      <c r="L1978" s="656">
        <v>-128367.73</v>
      </c>
    </row>
    <row r="1979" spans="1:12" ht="21" x14ac:dyDescent="0.25">
      <c r="A1979" s="651" t="s">
        <v>105</v>
      </c>
      <c r="B1979" s="652">
        <v>2021</v>
      </c>
      <c r="C1979" s="651" t="s">
        <v>647</v>
      </c>
      <c r="D1979" s="651" t="s">
        <v>2145</v>
      </c>
      <c r="E1979" s="651" t="s">
        <v>649</v>
      </c>
      <c r="F1979" s="653">
        <v>-340029.42</v>
      </c>
      <c r="G1979" s="654"/>
      <c r="H1979" s="651" t="s">
        <v>650</v>
      </c>
      <c r="I1979" s="655"/>
      <c r="J1979" s="655"/>
      <c r="K1979" s="653">
        <v>0</v>
      </c>
      <c r="L1979" s="656">
        <v>-340029.42</v>
      </c>
    </row>
    <row r="1980" spans="1:12" ht="21" x14ac:dyDescent="0.25">
      <c r="A1980" s="651" t="s">
        <v>105</v>
      </c>
      <c r="B1980" s="652">
        <v>2021</v>
      </c>
      <c r="C1980" s="651" t="s">
        <v>651</v>
      </c>
      <c r="D1980" s="651" t="s">
        <v>2146</v>
      </c>
      <c r="E1980" s="651" t="s">
        <v>653</v>
      </c>
      <c r="F1980" s="653">
        <v>-225386.18</v>
      </c>
      <c r="G1980" s="654"/>
      <c r="H1980" s="651" t="s">
        <v>650</v>
      </c>
      <c r="I1980" s="655"/>
      <c r="J1980" s="655"/>
      <c r="K1980" s="653">
        <v>0</v>
      </c>
      <c r="L1980" s="656">
        <v>-225386.18</v>
      </c>
    </row>
    <row r="1981" spans="1:12" ht="42" x14ac:dyDescent="0.25">
      <c r="A1981" s="651" t="s">
        <v>105</v>
      </c>
      <c r="B1981" s="652">
        <v>2021</v>
      </c>
      <c r="C1981" s="651" t="s">
        <v>654</v>
      </c>
      <c r="D1981" s="651" t="s">
        <v>2147</v>
      </c>
      <c r="E1981" s="651" t="s">
        <v>445</v>
      </c>
      <c r="F1981" s="653">
        <v>0</v>
      </c>
      <c r="G1981" s="654"/>
      <c r="H1981" s="651" t="s">
        <v>650</v>
      </c>
      <c r="I1981" s="655"/>
      <c r="J1981" s="655"/>
      <c r="K1981" s="653">
        <v>0</v>
      </c>
      <c r="L1981" s="656">
        <v>0</v>
      </c>
    </row>
    <row r="1982" spans="1:12" ht="21" x14ac:dyDescent="0.25">
      <c r="A1982" s="651" t="s">
        <v>105</v>
      </c>
      <c r="B1982" s="652">
        <v>2021</v>
      </c>
      <c r="C1982" s="651" t="s">
        <v>656</v>
      </c>
      <c r="D1982" s="651" t="s">
        <v>2148</v>
      </c>
      <c r="E1982" s="651" t="s">
        <v>658</v>
      </c>
      <c r="F1982" s="653">
        <v>0</v>
      </c>
      <c r="G1982" s="654"/>
      <c r="H1982" s="651" t="s">
        <v>650</v>
      </c>
      <c r="I1982" s="655"/>
      <c r="J1982" s="655"/>
      <c r="K1982" s="653">
        <v>0</v>
      </c>
      <c r="L1982" s="656">
        <v>0</v>
      </c>
    </row>
    <row r="1983" spans="1:12" ht="31.5" x14ac:dyDescent="0.25">
      <c r="A1983" s="651" t="s">
        <v>105</v>
      </c>
      <c r="B1983" s="652">
        <v>2021</v>
      </c>
      <c r="C1983" s="651" t="s">
        <v>659</v>
      </c>
      <c r="D1983" s="651" t="s">
        <v>2149</v>
      </c>
      <c r="E1983" s="651" t="s">
        <v>661</v>
      </c>
      <c r="F1983" s="653">
        <v>0</v>
      </c>
      <c r="G1983" s="654"/>
      <c r="H1983" s="651" t="s">
        <v>650</v>
      </c>
      <c r="I1983" s="655"/>
      <c r="J1983" s="655"/>
      <c r="K1983" s="653">
        <v>0</v>
      </c>
      <c r="L1983" s="656">
        <v>0</v>
      </c>
    </row>
    <row r="1984" spans="1:12" ht="21" x14ac:dyDescent="0.25">
      <c r="A1984" s="651" t="s">
        <v>105</v>
      </c>
      <c r="B1984" s="652">
        <v>2021</v>
      </c>
      <c r="C1984" s="651" t="s">
        <v>662</v>
      </c>
      <c r="D1984" s="651" t="s">
        <v>2150</v>
      </c>
      <c r="E1984" s="651" t="s">
        <v>664</v>
      </c>
      <c r="F1984" s="653">
        <v>0</v>
      </c>
      <c r="G1984" s="654"/>
      <c r="H1984" s="651" t="s">
        <v>650</v>
      </c>
      <c r="I1984" s="655"/>
      <c r="J1984" s="655"/>
      <c r="K1984" s="653">
        <v>0</v>
      </c>
      <c r="L1984" s="656">
        <v>0</v>
      </c>
    </row>
    <row r="1985" spans="1:12" ht="31.5" x14ac:dyDescent="0.25">
      <c r="A1985" s="651" t="s">
        <v>105</v>
      </c>
      <c r="B1985" s="652">
        <v>2021</v>
      </c>
      <c r="C1985" s="651" t="s">
        <v>665</v>
      </c>
      <c r="D1985" s="651" t="s">
        <v>2151</v>
      </c>
      <c r="E1985" s="651" t="s">
        <v>667</v>
      </c>
      <c r="F1985" s="653">
        <v>0</v>
      </c>
      <c r="G1985" s="654"/>
      <c r="H1985" s="651" t="s">
        <v>650</v>
      </c>
      <c r="I1985" s="655"/>
      <c r="J1985" s="655"/>
      <c r="K1985" s="653">
        <v>0</v>
      </c>
      <c r="L1985" s="656">
        <v>0</v>
      </c>
    </row>
    <row r="1986" spans="1:12" ht="21" x14ac:dyDescent="0.25">
      <c r="A1986" s="651" t="s">
        <v>105</v>
      </c>
      <c r="B1986" s="652">
        <v>2021</v>
      </c>
      <c r="C1986" s="651" t="s">
        <v>668</v>
      </c>
      <c r="D1986" s="651" t="s">
        <v>2152</v>
      </c>
      <c r="E1986" s="651" t="s">
        <v>12</v>
      </c>
      <c r="F1986" s="653">
        <v>0</v>
      </c>
      <c r="G1986" s="654"/>
      <c r="H1986" s="651" t="s">
        <v>650</v>
      </c>
      <c r="I1986" s="655"/>
      <c r="J1986" s="655"/>
      <c r="K1986" s="653">
        <v>0</v>
      </c>
      <c r="L1986" s="656">
        <v>0</v>
      </c>
    </row>
    <row r="1987" spans="1:12" ht="21" x14ac:dyDescent="0.25">
      <c r="A1987" s="651" t="s">
        <v>105</v>
      </c>
      <c r="B1987" s="652">
        <v>2021</v>
      </c>
      <c r="C1987" s="651" t="s">
        <v>670</v>
      </c>
      <c r="D1987" s="651" t="s">
        <v>2153</v>
      </c>
      <c r="E1987" s="651" t="s">
        <v>13</v>
      </c>
      <c r="F1987" s="653">
        <v>0</v>
      </c>
      <c r="G1987" s="654"/>
      <c r="H1987" s="651" t="s">
        <v>650</v>
      </c>
      <c r="I1987" s="655"/>
      <c r="J1987" s="655"/>
      <c r="K1987" s="653">
        <v>0</v>
      </c>
      <c r="L1987" s="656">
        <v>0</v>
      </c>
    </row>
    <row r="1988" spans="1:12" ht="21" x14ac:dyDescent="0.25">
      <c r="A1988" s="651" t="s">
        <v>105</v>
      </c>
      <c r="B1988" s="652">
        <v>2021</v>
      </c>
      <c r="C1988" s="651" t="s">
        <v>672</v>
      </c>
      <c r="D1988" s="651" t="s">
        <v>2154</v>
      </c>
      <c r="E1988" s="651" t="s">
        <v>15</v>
      </c>
      <c r="F1988" s="653">
        <v>0</v>
      </c>
      <c r="G1988" s="654"/>
      <c r="H1988" s="651" t="s">
        <v>650</v>
      </c>
      <c r="I1988" s="655"/>
      <c r="J1988" s="655"/>
      <c r="K1988" s="653">
        <v>0</v>
      </c>
      <c r="L1988" s="656">
        <v>0</v>
      </c>
    </row>
    <row r="1989" spans="1:12" ht="21" x14ac:dyDescent="0.25">
      <c r="A1989" s="651" t="s">
        <v>105</v>
      </c>
      <c r="B1989" s="652">
        <v>2021</v>
      </c>
      <c r="C1989" s="651" t="s">
        <v>674</v>
      </c>
      <c r="D1989" s="651" t="s">
        <v>2155</v>
      </c>
      <c r="E1989" s="651" t="s">
        <v>676</v>
      </c>
      <c r="F1989" s="653">
        <v>46226.89</v>
      </c>
      <c r="G1989" s="654"/>
      <c r="H1989" s="651" t="s">
        <v>650</v>
      </c>
      <c r="I1989" s="655"/>
      <c r="J1989" s="655"/>
      <c r="K1989" s="653">
        <v>0</v>
      </c>
      <c r="L1989" s="656">
        <v>46226.89</v>
      </c>
    </row>
    <row r="1990" spans="1:12" ht="21" x14ac:dyDescent="0.25">
      <c r="A1990" s="651" t="s">
        <v>105</v>
      </c>
      <c r="B1990" s="652">
        <v>2021</v>
      </c>
      <c r="C1990" s="651" t="s">
        <v>677</v>
      </c>
      <c r="D1990" s="651" t="s">
        <v>2156</v>
      </c>
      <c r="E1990" s="651" t="s">
        <v>23</v>
      </c>
      <c r="F1990" s="653">
        <v>145945.12</v>
      </c>
      <c r="G1990" s="651" t="s">
        <v>650</v>
      </c>
      <c r="H1990" s="654"/>
      <c r="I1990" s="653">
        <v>142499.6875</v>
      </c>
      <c r="J1990" s="653">
        <v>3445.43994140625</v>
      </c>
      <c r="K1990" s="653">
        <v>145945.125</v>
      </c>
      <c r="L1990" s="656">
        <v>145945.12</v>
      </c>
    </row>
    <row r="1991" spans="1:12" ht="31.5" x14ac:dyDescent="0.25">
      <c r="A1991" s="651" t="s">
        <v>105</v>
      </c>
      <c r="B1991" s="652">
        <v>2021</v>
      </c>
      <c r="C1991" s="651" t="s">
        <v>679</v>
      </c>
      <c r="D1991" s="651" t="s">
        <v>2157</v>
      </c>
      <c r="E1991" s="651" t="s">
        <v>131</v>
      </c>
      <c r="F1991" s="653">
        <v>-24513.16</v>
      </c>
      <c r="G1991" s="651" t="s">
        <v>650</v>
      </c>
      <c r="H1991" s="654"/>
      <c r="I1991" s="653">
        <v>-23393.560546875</v>
      </c>
      <c r="J1991" s="653">
        <v>-1119.59997558594</v>
      </c>
      <c r="K1991" s="653">
        <v>-24513.16015625</v>
      </c>
      <c r="L1991" s="656">
        <v>-24513.16</v>
      </c>
    </row>
    <row r="1992" spans="1:12" ht="31.5" x14ac:dyDescent="0.25">
      <c r="A1992" s="651" t="s">
        <v>105</v>
      </c>
      <c r="B1992" s="652">
        <v>2021</v>
      </c>
      <c r="C1992" s="651" t="s">
        <v>681</v>
      </c>
      <c r="D1992" s="651" t="s">
        <v>2158</v>
      </c>
      <c r="E1992" s="651" t="s">
        <v>683</v>
      </c>
      <c r="F1992" s="653">
        <v>3142.46</v>
      </c>
      <c r="G1992" s="654"/>
      <c r="H1992" s="651" t="s">
        <v>650</v>
      </c>
      <c r="I1992" s="655"/>
      <c r="J1992" s="655"/>
      <c r="K1992" s="653">
        <v>0</v>
      </c>
      <c r="L1992" s="656">
        <v>3142.46</v>
      </c>
    </row>
    <row r="1993" spans="1:12" ht="21" x14ac:dyDescent="0.25">
      <c r="A1993" s="651" t="s">
        <v>105</v>
      </c>
      <c r="B1993" s="652">
        <v>2021</v>
      </c>
      <c r="C1993" s="651" t="s">
        <v>681</v>
      </c>
      <c r="D1993" s="651" t="s">
        <v>2158</v>
      </c>
      <c r="E1993" s="651" t="s">
        <v>684</v>
      </c>
      <c r="F1993" s="653">
        <v>3142.46</v>
      </c>
      <c r="G1993" s="654"/>
      <c r="H1993" s="651" t="s">
        <v>650</v>
      </c>
      <c r="I1993" s="655"/>
      <c r="J1993" s="655"/>
      <c r="K1993" s="653">
        <v>0</v>
      </c>
      <c r="L1993" s="656">
        <v>3142.46</v>
      </c>
    </row>
    <row r="1994" spans="1:12" ht="21" x14ac:dyDescent="0.25">
      <c r="A1994" s="651" t="s">
        <v>105</v>
      </c>
      <c r="B1994" s="652">
        <v>2021</v>
      </c>
      <c r="C1994" s="651" t="s">
        <v>685</v>
      </c>
      <c r="D1994" s="651" t="s">
        <v>2159</v>
      </c>
      <c r="E1994" s="651" t="s">
        <v>687</v>
      </c>
      <c r="F1994" s="653">
        <v>0</v>
      </c>
      <c r="G1994" s="654"/>
      <c r="H1994" s="651" t="s">
        <v>650</v>
      </c>
      <c r="I1994" s="655"/>
      <c r="J1994" s="655"/>
      <c r="K1994" s="653">
        <v>0</v>
      </c>
      <c r="L1994" s="656">
        <v>0</v>
      </c>
    </row>
    <row r="1995" spans="1:12" ht="21" x14ac:dyDescent="0.25">
      <c r="A1995" s="651" t="s">
        <v>105</v>
      </c>
      <c r="B1995" s="652">
        <v>2021</v>
      </c>
      <c r="C1995" s="651" t="s">
        <v>688</v>
      </c>
      <c r="D1995" s="651" t="s">
        <v>2160</v>
      </c>
      <c r="E1995" s="651" t="s">
        <v>50</v>
      </c>
      <c r="F1995" s="653">
        <v>-4122.2700000000004</v>
      </c>
      <c r="G1995" s="654"/>
      <c r="H1995" s="651" t="s">
        <v>650</v>
      </c>
      <c r="I1995" s="655"/>
      <c r="J1995" s="655"/>
      <c r="K1995" s="653">
        <v>0</v>
      </c>
      <c r="L1995" s="656">
        <v>-4122.2700000000004</v>
      </c>
    </row>
    <row r="1996" spans="1:12" ht="21" x14ac:dyDescent="0.25">
      <c r="A1996" s="651" t="s">
        <v>105</v>
      </c>
      <c r="B1996" s="652">
        <v>2021</v>
      </c>
      <c r="C1996" s="651" t="s">
        <v>690</v>
      </c>
      <c r="D1996" s="651" t="s">
        <v>2161</v>
      </c>
      <c r="E1996" s="651" t="s">
        <v>692</v>
      </c>
      <c r="F1996" s="653">
        <v>0</v>
      </c>
      <c r="G1996" s="654"/>
      <c r="H1996" s="651" t="s">
        <v>650</v>
      </c>
      <c r="I1996" s="655"/>
      <c r="J1996" s="655"/>
      <c r="K1996" s="653">
        <v>0</v>
      </c>
      <c r="L1996" s="656">
        <v>0</v>
      </c>
    </row>
    <row r="1997" spans="1:12" ht="21" x14ac:dyDescent="0.25">
      <c r="A1997" s="651" t="s">
        <v>105</v>
      </c>
      <c r="B1997" s="652">
        <v>2021</v>
      </c>
      <c r="C1997" s="651" t="s">
        <v>693</v>
      </c>
      <c r="D1997" s="651" t="s">
        <v>2162</v>
      </c>
      <c r="E1997" s="651" t="s">
        <v>6</v>
      </c>
      <c r="F1997" s="653">
        <v>0</v>
      </c>
      <c r="G1997" s="654"/>
      <c r="H1997" s="651" t="s">
        <v>650</v>
      </c>
      <c r="I1997" s="655"/>
      <c r="J1997" s="655"/>
      <c r="K1997" s="653">
        <v>0</v>
      </c>
      <c r="L1997" s="656">
        <v>0</v>
      </c>
    </row>
    <row r="1998" spans="1:12" ht="31.5" x14ac:dyDescent="0.25">
      <c r="A1998" s="651" t="s">
        <v>105</v>
      </c>
      <c r="B1998" s="652">
        <v>2021</v>
      </c>
      <c r="C1998" s="651" t="s">
        <v>695</v>
      </c>
      <c r="D1998" s="651" t="s">
        <v>2163</v>
      </c>
      <c r="E1998" s="651" t="s">
        <v>697</v>
      </c>
      <c r="F1998" s="653">
        <v>7.0000000000000007E-2</v>
      </c>
      <c r="G1998" s="654"/>
      <c r="H1998" s="651" t="s">
        <v>650</v>
      </c>
      <c r="I1998" s="655"/>
      <c r="J1998" s="655"/>
      <c r="K1998" s="653">
        <v>0</v>
      </c>
      <c r="L1998" s="656">
        <v>7.0000000000000007E-2</v>
      </c>
    </row>
    <row r="1999" spans="1:12" ht="21" x14ac:dyDescent="0.25">
      <c r="A1999" s="651" t="s">
        <v>105</v>
      </c>
      <c r="B1999" s="652">
        <v>2021</v>
      </c>
      <c r="C1999" s="651" t="s">
        <v>698</v>
      </c>
      <c r="D1999" s="651" t="s">
        <v>2164</v>
      </c>
      <c r="E1999" s="651" t="s">
        <v>700</v>
      </c>
      <c r="F1999" s="653">
        <v>-0.01</v>
      </c>
      <c r="G1999" s="654"/>
      <c r="H1999" s="651" t="s">
        <v>650</v>
      </c>
      <c r="I1999" s="655"/>
      <c r="J1999" s="655"/>
      <c r="K1999" s="653">
        <v>0</v>
      </c>
      <c r="L1999" s="656">
        <v>-0.01</v>
      </c>
    </row>
    <row r="2000" spans="1:12" ht="21" x14ac:dyDescent="0.25">
      <c r="A2000" s="651" t="s">
        <v>105</v>
      </c>
      <c r="B2000" s="652">
        <v>2021</v>
      </c>
      <c r="C2000" s="651" t="s">
        <v>701</v>
      </c>
      <c r="D2000" s="651" t="s">
        <v>2165</v>
      </c>
      <c r="E2000" s="651" t="s">
        <v>1</v>
      </c>
      <c r="F2000" s="653">
        <v>-1105783.6499999999</v>
      </c>
      <c r="G2000" s="651" t="s">
        <v>650</v>
      </c>
      <c r="H2000" s="654"/>
      <c r="I2000" s="653">
        <v>-1062598</v>
      </c>
      <c r="J2000" s="653">
        <v>-43185.62109375</v>
      </c>
      <c r="K2000" s="653">
        <v>-1105783.625</v>
      </c>
      <c r="L2000" s="656">
        <v>-1105783.6499999999</v>
      </c>
    </row>
    <row r="2001" spans="1:12" ht="21" x14ac:dyDescent="0.25">
      <c r="A2001" s="651" t="s">
        <v>105</v>
      </c>
      <c r="B2001" s="652">
        <v>2021</v>
      </c>
      <c r="C2001" s="651" t="s">
        <v>701</v>
      </c>
      <c r="D2001" s="651" t="s">
        <v>2165</v>
      </c>
      <c r="E2001" s="651" t="s">
        <v>703</v>
      </c>
      <c r="F2001" s="653">
        <v>0</v>
      </c>
      <c r="G2001" s="654"/>
      <c r="H2001" s="654"/>
      <c r="I2001" s="655"/>
      <c r="J2001" s="655"/>
      <c r="K2001" s="653">
        <v>0</v>
      </c>
      <c r="L2001" s="656">
        <v>0</v>
      </c>
    </row>
    <row r="2002" spans="1:12" ht="21" x14ac:dyDescent="0.25">
      <c r="A2002" s="651" t="s">
        <v>105</v>
      </c>
      <c r="B2002" s="652">
        <v>2021</v>
      </c>
      <c r="C2002" s="651" t="s">
        <v>701</v>
      </c>
      <c r="D2002" s="651" t="s">
        <v>2165</v>
      </c>
      <c r="E2002" s="651" t="s">
        <v>704</v>
      </c>
      <c r="F2002" s="653">
        <v>0</v>
      </c>
      <c r="G2002" s="654"/>
      <c r="H2002" s="654"/>
      <c r="I2002" s="655"/>
      <c r="J2002" s="655"/>
      <c r="K2002" s="653">
        <v>0</v>
      </c>
      <c r="L2002" s="656">
        <v>0</v>
      </c>
    </row>
    <row r="2003" spans="1:12" ht="21" x14ac:dyDescent="0.25">
      <c r="A2003" s="651" t="s">
        <v>105</v>
      </c>
      <c r="B2003" s="652">
        <v>2021</v>
      </c>
      <c r="C2003" s="651" t="s">
        <v>701</v>
      </c>
      <c r="D2003" s="651" t="s">
        <v>2165</v>
      </c>
      <c r="E2003" s="651" t="s">
        <v>705</v>
      </c>
      <c r="F2003" s="653">
        <v>-1793.5</v>
      </c>
      <c r="G2003" s="654"/>
      <c r="H2003" s="654"/>
      <c r="I2003" s="655"/>
      <c r="J2003" s="655"/>
      <c r="K2003" s="653">
        <v>0</v>
      </c>
      <c r="L2003" s="656">
        <v>-1793.5</v>
      </c>
    </row>
    <row r="2004" spans="1:12" ht="21" x14ac:dyDescent="0.25">
      <c r="A2004" s="651" t="s">
        <v>105</v>
      </c>
      <c r="B2004" s="652">
        <v>2021</v>
      </c>
      <c r="C2004" s="651" t="s">
        <v>701</v>
      </c>
      <c r="D2004" s="651" t="s">
        <v>2165</v>
      </c>
      <c r="E2004" s="651" t="s">
        <v>706</v>
      </c>
      <c r="F2004" s="653">
        <v>-93758.34</v>
      </c>
      <c r="G2004" s="654"/>
      <c r="H2004" s="654"/>
      <c r="I2004" s="655"/>
      <c r="J2004" s="655"/>
      <c r="K2004" s="653">
        <v>0</v>
      </c>
      <c r="L2004" s="656">
        <v>-93758.34</v>
      </c>
    </row>
    <row r="2005" spans="1:12" ht="21" x14ac:dyDescent="0.25">
      <c r="A2005" s="651" t="s">
        <v>105</v>
      </c>
      <c r="B2005" s="652">
        <v>2021</v>
      </c>
      <c r="C2005" s="651" t="s">
        <v>707</v>
      </c>
      <c r="D2005" s="651" t="s">
        <v>2166</v>
      </c>
      <c r="E2005" s="651" t="s">
        <v>709</v>
      </c>
      <c r="F2005" s="653">
        <v>0</v>
      </c>
      <c r="G2005" s="654"/>
      <c r="H2005" s="651" t="s">
        <v>650</v>
      </c>
      <c r="I2005" s="655"/>
      <c r="J2005" s="655"/>
      <c r="K2005" s="653">
        <v>0</v>
      </c>
      <c r="L2005" s="656">
        <v>0</v>
      </c>
    </row>
    <row r="2006" spans="1:12" ht="31.5" x14ac:dyDescent="0.25">
      <c r="A2006" s="651" t="s">
        <v>105</v>
      </c>
      <c r="B2006" s="652">
        <v>2021</v>
      </c>
      <c r="C2006" s="651" t="s">
        <v>710</v>
      </c>
      <c r="D2006" s="651" t="s">
        <v>2167</v>
      </c>
      <c r="E2006" s="651" t="s">
        <v>2</v>
      </c>
      <c r="F2006" s="653">
        <v>595991.11</v>
      </c>
      <c r="G2006" s="651" t="s">
        <v>650</v>
      </c>
      <c r="H2006" s="654"/>
      <c r="I2006" s="653">
        <v>591172.5625</v>
      </c>
      <c r="J2006" s="653">
        <v>4818.5498046875</v>
      </c>
      <c r="K2006" s="653">
        <v>595991.125</v>
      </c>
      <c r="L2006" s="656">
        <v>595991.11</v>
      </c>
    </row>
    <row r="2007" spans="1:12" ht="31.5" x14ac:dyDescent="0.25">
      <c r="A2007" s="651" t="s">
        <v>105</v>
      </c>
      <c r="B2007" s="652">
        <v>2021</v>
      </c>
      <c r="C2007" s="651" t="s">
        <v>712</v>
      </c>
      <c r="D2007" s="651" t="s">
        <v>2168</v>
      </c>
      <c r="E2007" s="651" t="s">
        <v>3</v>
      </c>
      <c r="F2007" s="653">
        <v>570209.74</v>
      </c>
      <c r="G2007" s="651" t="s">
        <v>650</v>
      </c>
      <c r="H2007" s="654"/>
      <c r="I2007" s="653">
        <v>552754.625</v>
      </c>
      <c r="J2007" s="653">
        <v>17455.130859375</v>
      </c>
      <c r="K2007" s="653">
        <v>570209.75</v>
      </c>
      <c r="L2007" s="656">
        <v>570209.74</v>
      </c>
    </row>
    <row r="2008" spans="1:12" ht="31.5" x14ac:dyDescent="0.25">
      <c r="A2008" s="651" t="s">
        <v>105</v>
      </c>
      <c r="B2008" s="652">
        <v>2021</v>
      </c>
      <c r="C2008" s="651" t="s">
        <v>714</v>
      </c>
      <c r="D2008" s="651" t="s">
        <v>2169</v>
      </c>
      <c r="E2008" s="651" t="s">
        <v>38</v>
      </c>
      <c r="F2008" s="653">
        <v>-870259.95</v>
      </c>
      <c r="G2008" s="651" t="s">
        <v>650</v>
      </c>
      <c r="H2008" s="654"/>
      <c r="I2008" s="653">
        <v>-871764.875</v>
      </c>
      <c r="J2008" s="653">
        <v>1504.90002441406</v>
      </c>
      <c r="K2008" s="653">
        <v>-870259.9375</v>
      </c>
      <c r="L2008" s="656">
        <v>-870259.95</v>
      </c>
    </row>
    <row r="2009" spans="1:12" ht="21" x14ac:dyDescent="0.25">
      <c r="A2009" s="651" t="s">
        <v>105</v>
      </c>
      <c r="B2009" s="652">
        <v>2021</v>
      </c>
      <c r="C2009" s="651" t="s">
        <v>716</v>
      </c>
      <c r="D2009" s="651" t="s">
        <v>2170</v>
      </c>
      <c r="E2009" s="651" t="s">
        <v>66</v>
      </c>
      <c r="F2009" s="653">
        <v>468143.18</v>
      </c>
      <c r="G2009" s="651" t="s">
        <v>650</v>
      </c>
      <c r="H2009" s="654"/>
      <c r="I2009" s="653">
        <v>440681.84375</v>
      </c>
      <c r="J2009" s="653">
        <v>27461.349609375</v>
      </c>
      <c r="K2009" s="653">
        <v>468143.1875</v>
      </c>
      <c r="L2009" s="656">
        <v>468143.18</v>
      </c>
    </row>
    <row r="2010" spans="1:12" ht="31.5" x14ac:dyDescent="0.25">
      <c r="A2010" s="651" t="s">
        <v>105</v>
      </c>
      <c r="B2010" s="652">
        <v>2021</v>
      </c>
      <c r="C2010" s="651" t="s">
        <v>718</v>
      </c>
      <c r="D2010" s="651" t="s">
        <v>2171</v>
      </c>
      <c r="E2010" s="651" t="s">
        <v>720</v>
      </c>
      <c r="F2010" s="653">
        <v>-273107.99</v>
      </c>
      <c r="G2010" s="654"/>
      <c r="H2010" s="651" t="s">
        <v>650</v>
      </c>
      <c r="I2010" s="655"/>
      <c r="J2010" s="655"/>
      <c r="K2010" s="653">
        <v>0</v>
      </c>
      <c r="L2010" s="656">
        <v>-273107.99</v>
      </c>
    </row>
    <row r="2011" spans="1:12" ht="42" x14ac:dyDescent="0.25">
      <c r="A2011" s="651" t="s">
        <v>105</v>
      </c>
      <c r="B2011" s="652">
        <v>2021</v>
      </c>
      <c r="C2011" s="651" t="s">
        <v>721</v>
      </c>
      <c r="D2011" s="651" t="s">
        <v>2172</v>
      </c>
      <c r="E2011" s="651" t="s">
        <v>3016</v>
      </c>
      <c r="F2011" s="653">
        <v>0</v>
      </c>
      <c r="G2011" s="651" t="s">
        <v>650</v>
      </c>
      <c r="H2011" s="654"/>
      <c r="I2011" s="655"/>
      <c r="J2011" s="655"/>
      <c r="K2011" s="653">
        <v>0</v>
      </c>
      <c r="L2011" s="656">
        <v>0</v>
      </c>
    </row>
    <row r="2012" spans="1:12" ht="42" x14ac:dyDescent="0.25">
      <c r="A2012" s="651" t="s">
        <v>105</v>
      </c>
      <c r="B2012" s="652">
        <v>2021</v>
      </c>
      <c r="C2012" s="651" t="s">
        <v>721</v>
      </c>
      <c r="D2012" s="651" t="s">
        <v>2172</v>
      </c>
      <c r="E2012" s="651" t="s">
        <v>3058</v>
      </c>
      <c r="F2012" s="653">
        <v>0</v>
      </c>
      <c r="G2012" s="651" t="s">
        <v>650</v>
      </c>
      <c r="H2012" s="654"/>
      <c r="I2012" s="653">
        <v>210207.421875</v>
      </c>
      <c r="J2012" s="653">
        <v>14776.3603515625</v>
      </c>
      <c r="K2012" s="653">
        <v>224983.78125</v>
      </c>
      <c r="L2012" s="656">
        <v>224983.78</v>
      </c>
    </row>
    <row r="2013" spans="1:12" ht="42" x14ac:dyDescent="0.25">
      <c r="A2013" s="651" t="s">
        <v>105</v>
      </c>
      <c r="B2013" s="652">
        <v>2021</v>
      </c>
      <c r="C2013" s="651" t="s">
        <v>721</v>
      </c>
      <c r="D2013" s="651" t="s">
        <v>2173</v>
      </c>
      <c r="E2013" s="651" t="s">
        <v>724</v>
      </c>
      <c r="F2013" s="653">
        <v>0</v>
      </c>
      <c r="G2013" s="651" t="s">
        <v>650</v>
      </c>
      <c r="H2013" s="654"/>
      <c r="I2013" s="655"/>
      <c r="J2013" s="655"/>
      <c r="K2013" s="653">
        <v>0</v>
      </c>
      <c r="L2013" s="656">
        <v>0</v>
      </c>
    </row>
    <row r="2014" spans="1:12" ht="42" x14ac:dyDescent="0.25">
      <c r="A2014" s="651" t="s">
        <v>105</v>
      </c>
      <c r="B2014" s="652">
        <v>2021</v>
      </c>
      <c r="C2014" s="651" t="s">
        <v>721</v>
      </c>
      <c r="D2014" s="651" t="s">
        <v>2174</v>
      </c>
      <c r="E2014" s="651" t="s">
        <v>55</v>
      </c>
      <c r="F2014" s="653">
        <v>0</v>
      </c>
      <c r="G2014" s="651" t="s">
        <v>650</v>
      </c>
      <c r="H2014" s="654"/>
      <c r="I2014" s="655"/>
      <c r="J2014" s="655"/>
      <c r="K2014" s="653">
        <v>0</v>
      </c>
      <c r="L2014" s="656">
        <v>0</v>
      </c>
    </row>
    <row r="2015" spans="1:12" ht="42" x14ac:dyDescent="0.25">
      <c r="A2015" s="651" t="s">
        <v>105</v>
      </c>
      <c r="B2015" s="652">
        <v>2021</v>
      </c>
      <c r="C2015" s="651" t="s">
        <v>721</v>
      </c>
      <c r="D2015" s="651" t="s">
        <v>2175</v>
      </c>
      <c r="E2015" s="651" t="s">
        <v>56</v>
      </c>
      <c r="F2015" s="653">
        <v>0</v>
      </c>
      <c r="G2015" s="651" t="s">
        <v>650</v>
      </c>
      <c r="H2015" s="654"/>
      <c r="I2015" s="655"/>
      <c r="J2015" s="655"/>
      <c r="K2015" s="653">
        <v>0</v>
      </c>
      <c r="L2015" s="656">
        <v>0</v>
      </c>
    </row>
    <row r="2016" spans="1:12" ht="42" x14ac:dyDescent="0.25">
      <c r="A2016" s="651" t="s">
        <v>105</v>
      </c>
      <c r="B2016" s="652">
        <v>2021</v>
      </c>
      <c r="C2016" s="651" t="s">
        <v>721</v>
      </c>
      <c r="D2016" s="651" t="s">
        <v>2176</v>
      </c>
      <c r="E2016" s="651" t="s">
        <v>728</v>
      </c>
      <c r="F2016" s="653">
        <v>0</v>
      </c>
      <c r="G2016" s="651" t="s">
        <v>650</v>
      </c>
      <c r="H2016" s="654"/>
      <c r="I2016" s="655"/>
      <c r="J2016" s="655"/>
      <c r="K2016" s="653">
        <v>0</v>
      </c>
      <c r="L2016" s="656">
        <v>0</v>
      </c>
    </row>
    <row r="2017" spans="1:12" ht="42" x14ac:dyDescent="0.25">
      <c r="A2017" s="651" t="s">
        <v>105</v>
      </c>
      <c r="B2017" s="652">
        <v>2021</v>
      </c>
      <c r="C2017" s="651" t="s">
        <v>721</v>
      </c>
      <c r="D2017" s="651" t="s">
        <v>2177</v>
      </c>
      <c r="E2017" s="651" t="s">
        <v>730</v>
      </c>
      <c r="F2017" s="653">
        <v>0</v>
      </c>
      <c r="G2017" s="651" t="s">
        <v>650</v>
      </c>
      <c r="H2017" s="654"/>
      <c r="I2017" s="655"/>
      <c r="J2017" s="655"/>
      <c r="K2017" s="653">
        <v>0</v>
      </c>
      <c r="L2017" s="656">
        <v>0</v>
      </c>
    </row>
    <row r="2018" spans="1:12" ht="42" x14ac:dyDescent="0.25">
      <c r="A2018" s="651" t="s">
        <v>105</v>
      </c>
      <c r="B2018" s="652">
        <v>2021</v>
      </c>
      <c r="C2018" s="651" t="s">
        <v>721</v>
      </c>
      <c r="D2018" s="651" t="s">
        <v>2178</v>
      </c>
      <c r="E2018" s="651" t="s">
        <v>142</v>
      </c>
      <c r="F2018" s="653">
        <v>0</v>
      </c>
      <c r="G2018" s="651" t="s">
        <v>650</v>
      </c>
      <c r="H2018" s="654"/>
      <c r="I2018" s="655"/>
      <c r="J2018" s="655"/>
      <c r="K2018" s="653">
        <v>0</v>
      </c>
      <c r="L2018" s="656">
        <v>0</v>
      </c>
    </row>
    <row r="2019" spans="1:12" ht="42" x14ac:dyDescent="0.25">
      <c r="A2019" s="651" t="s">
        <v>105</v>
      </c>
      <c r="B2019" s="652">
        <v>2021</v>
      </c>
      <c r="C2019" s="651" t="s">
        <v>721</v>
      </c>
      <c r="D2019" s="651" t="s">
        <v>2179</v>
      </c>
      <c r="E2019" s="651" t="s">
        <v>143</v>
      </c>
      <c r="F2019" s="653">
        <v>0</v>
      </c>
      <c r="G2019" s="651" t="s">
        <v>650</v>
      </c>
      <c r="H2019" s="654"/>
      <c r="I2019" s="653">
        <v>40077.859375</v>
      </c>
      <c r="J2019" s="653">
        <v>-22509.66015625</v>
      </c>
      <c r="K2019" s="653">
        <v>17568.19921875</v>
      </c>
      <c r="L2019" s="656">
        <v>17568.2</v>
      </c>
    </row>
    <row r="2020" spans="1:12" ht="42" x14ac:dyDescent="0.25">
      <c r="A2020" s="651" t="s">
        <v>105</v>
      </c>
      <c r="B2020" s="652">
        <v>2021</v>
      </c>
      <c r="C2020" s="651" t="s">
        <v>721</v>
      </c>
      <c r="D2020" s="651" t="s">
        <v>2180</v>
      </c>
      <c r="E2020" s="651" t="s">
        <v>182</v>
      </c>
      <c r="F2020" s="653">
        <v>0</v>
      </c>
      <c r="G2020" s="651" t="s">
        <v>650</v>
      </c>
      <c r="H2020" s="654"/>
      <c r="I2020" s="653">
        <v>-82886.8671875</v>
      </c>
      <c r="J2020" s="653">
        <v>75693.9921875</v>
      </c>
      <c r="K2020" s="653">
        <v>-7192.8798828125</v>
      </c>
      <c r="L2020" s="656">
        <v>-7192.8799999999901</v>
      </c>
    </row>
    <row r="2021" spans="1:12" ht="42" x14ac:dyDescent="0.25">
      <c r="A2021" s="651" t="s">
        <v>105</v>
      </c>
      <c r="B2021" s="652">
        <v>2021</v>
      </c>
      <c r="C2021" s="651" t="s">
        <v>721</v>
      </c>
      <c r="D2021" s="651" t="s">
        <v>2181</v>
      </c>
      <c r="E2021" s="651" t="s">
        <v>394</v>
      </c>
      <c r="F2021" s="653">
        <v>0</v>
      </c>
      <c r="G2021" s="651" t="s">
        <v>650</v>
      </c>
      <c r="H2021" s="654"/>
      <c r="I2021" s="653">
        <v>35760.2109375</v>
      </c>
      <c r="J2021" s="653">
        <v>25201.1796875</v>
      </c>
      <c r="K2021" s="653">
        <v>60961.390625</v>
      </c>
      <c r="L2021" s="656">
        <v>60961.39</v>
      </c>
    </row>
    <row r="2022" spans="1:12" ht="42" x14ac:dyDescent="0.25">
      <c r="A2022" s="651" t="s">
        <v>105</v>
      </c>
      <c r="B2022" s="652">
        <v>2021</v>
      </c>
      <c r="C2022" s="651" t="s">
        <v>721</v>
      </c>
      <c r="D2022" s="651" t="s">
        <v>2182</v>
      </c>
      <c r="E2022" s="651" t="s">
        <v>423</v>
      </c>
      <c r="F2022" s="653">
        <v>0</v>
      </c>
      <c r="G2022" s="651" t="s">
        <v>650</v>
      </c>
      <c r="H2022" s="654"/>
      <c r="I2022" s="653">
        <v>-6257.93017578125</v>
      </c>
      <c r="J2022" s="653">
        <v>-18782.33984375</v>
      </c>
      <c r="K2022" s="653">
        <v>-25040.26953125</v>
      </c>
      <c r="L2022" s="656">
        <v>-25040.27</v>
      </c>
    </row>
    <row r="2023" spans="1:12" ht="42" x14ac:dyDescent="0.25">
      <c r="A2023" s="651" t="s">
        <v>105</v>
      </c>
      <c r="B2023" s="652">
        <v>2021</v>
      </c>
      <c r="C2023" s="651" t="s">
        <v>721</v>
      </c>
      <c r="D2023" s="651" t="s">
        <v>3275</v>
      </c>
      <c r="E2023" s="651" t="s">
        <v>441</v>
      </c>
      <c r="F2023" s="653">
        <v>0</v>
      </c>
      <c r="G2023" s="651" t="s">
        <v>650</v>
      </c>
      <c r="H2023" s="654"/>
      <c r="I2023" s="653">
        <v>29141.529296875</v>
      </c>
      <c r="J2023" s="653">
        <v>-36252.0703125</v>
      </c>
      <c r="K2023" s="653">
        <v>-7110.5400390625</v>
      </c>
      <c r="L2023" s="656">
        <v>-7110.54</v>
      </c>
    </row>
    <row r="2024" spans="1:12" ht="42" x14ac:dyDescent="0.25">
      <c r="A2024" s="651" t="s">
        <v>105</v>
      </c>
      <c r="B2024" s="652">
        <v>2021</v>
      </c>
      <c r="C2024" s="651" t="s">
        <v>721</v>
      </c>
      <c r="D2024" s="651" t="s">
        <v>2183</v>
      </c>
      <c r="E2024" s="651" t="s">
        <v>737</v>
      </c>
      <c r="F2024" s="653">
        <v>264169.68</v>
      </c>
      <c r="G2024" s="654"/>
      <c r="H2024" s="654"/>
      <c r="I2024" s="655"/>
      <c r="J2024" s="655"/>
      <c r="K2024" s="653">
        <v>0</v>
      </c>
      <c r="L2024" s="656">
        <v>264169.68</v>
      </c>
    </row>
    <row r="2025" spans="1:12" ht="21" x14ac:dyDescent="0.25">
      <c r="A2025" s="651" t="s">
        <v>105</v>
      </c>
      <c r="B2025" s="652">
        <v>2021</v>
      </c>
      <c r="C2025" s="651" t="s">
        <v>738</v>
      </c>
      <c r="D2025" s="651" t="s">
        <v>2184</v>
      </c>
      <c r="E2025" s="651" t="s">
        <v>7</v>
      </c>
      <c r="F2025" s="653">
        <v>0</v>
      </c>
      <c r="G2025" s="654"/>
      <c r="H2025" s="651" t="s">
        <v>650</v>
      </c>
      <c r="I2025" s="655"/>
      <c r="J2025" s="655"/>
      <c r="K2025" s="653">
        <v>0</v>
      </c>
      <c r="L2025" s="656">
        <v>0</v>
      </c>
    </row>
    <row r="2026" spans="1:12" ht="21" x14ac:dyDescent="0.25">
      <c r="A2026" s="651" t="s">
        <v>106</v>
      </c>
      <c r="B2026" s="652">
        <v>2021</v>
      </c>
      <c r="C2026" s="651" t="s">
        <v>647</v>
      </c>
      <c r="D2026" s="651" t="s">
        <v>2185</v>
      </c>
      <c r="E2026" s="651" t="s">
        <v>649</v>
      </c>
      <c r="F2026" s="653">
        <v>-111715.5</v>
      </c>
      <c r="G2026" s="654"/>
      <c r="H2026" s="651" t="s">
        <v>650</v>
      </c>
      <c r="I2026" s="655"/>
      <c r="J2026" s="655"/>
      <c r="K2026" s="653">
        <v>0</v>
      </c>
      <c r="L2026" s="656">
        <v>-111715.5</v>
      </c>
    </row>
    <row r="2027" spans="1:12" ht="14.5" x14ac:dyDescent="0.25">
      <c r="A2027" s="651" t="s">
        <v>106</v>
      </c>
      <c r="B2027" s="652">
        <v>2021</v>
      </c>
      <c r="C2027" s="651" t="s">
        <v>651</v>
      </c>
      <c r="D2027" s="651" t="s">
        <v>2186</v>
      </c>
      <c r="E2027" s="651" t="s">
        <v>653</v>
      </c>
      <c r="F2027" s="653">
        <v>4599.09</v>
      </c>
      <c r="G2027" s="654"/>
      <c r="H2027" s="651" t="s">
        <v>650</v>
      </c>
      <c r="I2027" s="655"/>
      <c r="J2027" s="655"/>
      <c r="K2027" s="653">
        <v>0</v>
      </c>
      <c r="L2027" s="656">
        <v>4599.09</v>
      </c>
    </row>
    <row r="2028" spans="1:12" ht="42" x14ac:dyDescent="0.25">
      <c r="A2028" s="651" t="s">
        <v>106</v>
      </c>
      <c r="B2028" s="652">
        <v>2021</v>
      </c>
      <c r="C2028" s="651" t="s">
        <v>654</v>
      </c>
      <c r="D2028" s="651" t="s">
        <v>2187</v>
      </c>
      <c r="E2028" s="651" t="s">
        <v>445</v>
      </c>
      <c r="F2028" s="653">
        <v>0</v>
      </c>
      <c r="G2028" s="654"/>
      <c r="H2028" s="651" t="s">
        <v>650</v>
      </c>
      <c r="I2028" s="655"/>
      <c r="J2028" s="655"/>
      <c r="K2028" s="653">
        <v>0</v>
      </c>
      <c r="L2028" s="656">
        <v>0</v>
      </c>
    </row>
    <row r="2029" spans="1:12" ht="21" x14ac:dyDescent="0.25">
      <c r="A2029" s="651" t="s">
        <v>106</v>
      </c>
      <c r="B2029" s="652">
        <v>2021</v>
      </c>
      <c r="C2029" s="651" t="s">
        <v>656</v>
      </c>
      <c r="D2029" s="651" t="s">
        <v>2188</v>
      </c>
      <c r="E2029" s="651" t="s">
        <v>658</v>
      </c>
      <c r="F2029" s="653">
        <v>0</v>
      </c>
      <c r="G2029" s="654"/>
      <c r="H2029" s="651" t="s">
        <v>650</v>
      </c>
      <c r="I2029" s="655"/>
      <c r="J2029" s="655"/>
      <c r="K2029" s="653">
        <v>0</v>
      </c>
      <c r="L2029" s="656">
        <v>0</v>
      </c>
    </row>
    <row r="2030" spans="1:12" ht="31.5" x14ac:dyDescent="0.25">
      <c r="A2030" s="651" t="s">
        <v>106</v>
      </c>
      <c r="B2030" s="652">
        <v>2021</v>
      </c>
      <c r="C2030" s="651" t="s">
        <v>659</v>
      </c>
      <c r="D2030" s="651" t="s">
        <v>2189</v>
      </c>
      <c r="E2030" s="651" t="s">
        <v>661</v>
      </c>
      <c r="F2030" s="653">
        <v>0</v>
      </c>
      <c r="G2030" s="654"/>
      <c r="H2030" s="651" t="s">
        <v>650</v>
      </c>
      <c r="I2030" s="655"/>
      <c r="J2030" s="655"/>
      <c r="K2030" s="653">
        <v>0</v>
      </c>
      <c r="L2030" s="656">
        <v>0</v>
      </c>
    </row>
    <row r="2031" spans="1:12" ht="21" x14ac:dyDescent="0.25">
      <c r="A2031" s="651" t="s">
        <v>106</v>
      </c>
      <c r="B2031" s="652">
        <v>2021</v>
      </c>
      <c r="C2031" s="651" t="s">
        <v>662</v>
      </c>
      <c r="D2031" s="651" t="s">
        <v>2190</v>
      </c>
      <c r="E2031" s="651" t="s">
        <v>664</v>
      </c>
      <c r="F2031" s="653">
        <v>0</v>
      </c>
      <c r="G2031" s="654"/>
      <c r="H2031" s="651" t="s">
        <v>650</v>
      </c>
      <c r="I2031" s="655"/>
      <c r="J2031" s="655"/>
      <c r="K2031" s="653">
        <v>0</v>
      </c>
      <c r="L2031" s="656">
        <v>0</v>
      </c>
    </row>
    <row r="2032" spans="1:12" ht="31.5" x14ac:dyDescent="0.25">
      <c r="A2032" s="651" t="s">
        <v>106</v>
      </c>
      <c r="B2032" s="652">
        <v>2021</v>
      </c>
      <c r="C2032" s="651" t="s">
        <v>665</v>
      </c>
      <c r="D2032" s="651" t="s">
        <v>2191</v>
      </c>
      <c r="E2032" s="651" t="s">
        <v>667</v>
      </c>
      <c r="F2032" s="653">
        <v>0</v>
      </c>
      <c r="G2032" s="654"/>
      <c r="H2032" s="651" t="s">
        <v>650</v>
      </c>
      <c r="I2032" s="655"/>
      <c r="J2032" s="655"/>
      <c r="K2032" s="653">
        <v>0</v>
      </c>
      <c r="L2032" s="656">
        <v>0</v>
      </c>
    </row>
    <row r="2033" spans="1:12" ht="21" x14ac:dyDescent="0.25">
      <c r="A2033" s="651" t="s">
        <v>106</v>
      </c>
      <c r="B2033" s="652">
        <v>2021</v>
      </c>
      <c r="C2033" s="651" t="s">
        <v>668</v>
      </c>
      <c r="D2033" s="651" t="s">
        <v>2192</v>
      </c>
      <c r="E2033" s="651" t="s">
        <v>12</v>
      </c>
      <c r="F2033" s="653">
        <v>0</v>
      </c>
      <c r="G2033" s="654"/>
      <c r="H2033" s="651" t="s">
        <v>650</v>
      </c>
      <c r="I2033" s="655"/>
      <c r="J2033" s="655"/>
      <c r="K2033" s="653">
        <v>0</v>
      </c>
      <c r="L2033" s="656">
        <v>0</v>
      </c>
    </row>
    <row r="2034" spans="1:12" ht="21" x14ac:dyDescent="0.25">
      <c r="A2034" s="651" t="s">
        <v>106</v>
      </c>
      <c r="B2034" s="652">
        <v>2021</v>
      </c>
      <c r="C2034" s="651" t="s">
        <v>670</v>
      </c>
      <c r="D2034" s="651" t="s">
        <v>2193</v>
      </c>
      <c r="E2034" s="651" t="s">
        <v>13</v>
      </c>
      <c r="F2034" s="653">
        <v>0</v>
      </c>
      <c r="G2034" s="654"/>
      <c r="H2034" s="651" t="s">
        <v>650</v>
      </c>
      <c r="I2034" s="655"/>
      <c r="J2034" s="655"/>
      <c r="K2034" s="653">
        <v>0</v>
      </c>
      <c r="L2034" s="656">
        <v>0</v>
      </c>
    </row>
    <row r="2035" spans="1:12" ht="21" x14ac:dyDescent="0.25">
      <c r="A2035" s="651" t="s">
        <v>106</v>
      </c>
      <c r="B2035" s="652">
        <v>2021</v>
      </c>
      <c r="C2035" s="651" t="s">
        <v>672</v>
      </c>
      <c r="D2035" s="651" t="s">
        <v>2194</v>
      </c>
      <c r="E2035" s="651" t="s">
        <v>15</v>
      </c>
      <c r="F2035" s="653">
        <v>0</v>
      </c>
      <c r="G2035" s="654"/>
      <c r="H2035" s="651" t="s">
        <v>650</v>
      </c>
      <c r="I2035" s="655"/>
      <c r="J2035" s="655"/>
      <c r="K2035" s="653">
        <v>0</v>
      </c>
      <c r="L2035" s="656">
        <v>0</v>
      </c>
    </row>
    <row r="2036" spans="1:12" ht="14.5" x14ac:dyDescent="0.25">
      <c r="A2036" s="651" t="s">
        <v>106</v>
      </c>
      <c r="B2036" s="652">
        <v>2021</v>
      </c>
      <c r="C2036" s="651" t="s">
        <v>674</v>
      </c>
      <c r="D2036" s="651" t="s">
        <v>2195</v>
      </c>
      <c r="E2036" s="651" t="s">
        <v>676</v>
      </c>
      <c r="F2036" s="653">
        <v>8929.2199999999993</v>
      </c>
      <c r="G2036" s="654"/>
      <c r="H2036" s="651" t="s">
        <v>650</v>
      </c>
      <c r="I2036" s="655"/>
      <c r="J2036" s="655"/>
      <c r="K2036" s="653">
        <v>0</v>
      </c>
      <c r="L2036" s="656">
        <v>8929.2199999999993</v>
      </c>
    </row>
    <row r="2037" spans="1:12" ht="14.5" x14ac:dyDescent="0.25">
      <c r="A2037" s="651" t="s">
        <v>106</v>
      </c>
      <c r="B2037" s="652">
        <v>2021</v>
      </c>
      <c r="C2037" s="651" t="s">
        <v>677</v>
      </c>
      <c r="D2037" s="651" t="s">
        <v>2196</v>
      </c>
      <c r="E2037" s="651" t="s">
        <v>23</v>
      </c>
      <c r="F2037" s="653">
        <v>38001.61</v>
      </c>
      <c r="G2037" s="651" t="s">
        <v>650</v>
      </c>
      <c r="H2037" s="654"/>
      <c r="I2037" s="653">
        <v>38143.609375</v>
      </c>
      <c r="J2037" s="653">
        <v>-142</v>
      </c>
      <c r="K2037" s="653">
        <v>38001.609375</v>
      </c>
      <c r="L2037" s="656">
        <v>38001.61</v>
      </c>
    </row>
    <row r="2038" spans="1:12" ht="31.5" x14ac:dyDescent="0.25">
      <c r="A2038" s="651" t="s">
        <v>106</v>
      </c>
      <c r="B2038" s="652">
        <v>2021</v>
      </c>
      <c r="C2038" s="651" t="s">
        <v>679</v>
      </c>
      <c r="D2038" s="651" t="s">
        <v>2197</v>
      </c>
      <c r="E2038" s="651" t="s">
        <v>131</v>
      </c>
      <c r="F2038" s="653">
        <v>-822.75</v>
      </c>
      <c r="G2038" s="651" t="s">
        <v>650</v>
      </c>
      <c r="H2038" s="654"/>
      <c r="I2038" s="653">
        <v>-797.38000488281295</v>
      </c>
      <c r="J2038" s="653">
        <v>-25.370000839233398</v>
      </c>
      <c r="K2038" s="653">
        <v>-822.75</v>
      </c>
      <c r="L2038" s="656">
        <v>-822.75</v>
      </c>
    </row>
    <row r="2039" spans="1:12" ht="31.5" x14ac:dyDescent="0.25">
      <c r="A2039" s="651" t="s">
        <v>106</v>
      </c>
      <c r="B2039" s="652">
        <v>2021</v>
      </c>
      <c r="C2039" s="651" t="s">
        <v>681</v>
      </c>
      <c r="D2039" s="651" t="s">
        <v>2198</v>
      </c>
      <c r="E2039" s="651" t="s">
        <v>683</v>
      </c>
      <c r="F2039" s="653">
        <v>0</v>
      </c>
      <c r="G2039" s="654"/>
      <c r="H2039" s="651" t="s">
        <v>650</v>
      </c>
      <c r="I2039" s="655"/>
      <c r="J2039" s="655"/>
      <c r="K2039" s="653">
        <v>0</v>
      </c>
      <c r="L2039" s="656">
        <v>0</v>
      </c>
    </row>
    <row r="2040" spans="1:12" ht="21" x14ac:dyDescent="0.25">
      <c r="A2040" s="651" t="s">
        <v>106</v>
      </c>
      <c r="B2040" s="652">
        <v>2021</v>
      </c>
      <c r="C2040" s="651" t="s">
        <v>681</v>
      </c>
      <c r="D2040" s="651" t="s">
        <v>2198</v>
      </c>
      <c r="E2040" s="651" t="s">
        <v>684</v>
      </c>
      <c r="F2040" s="653">
        <v>0</v>
      </c>
      <c r="G2040" s="654"/>
      <c r="H2040" s="651" t="s">
        <v>650</v>
      </c>
      <c r="I2040" s="655"/>
      <c r="J2040" s="655"/>
      <c r="K2040" s="653">
        <v>0</v>
      </c>
      <c r="L2040" s="656">
        <v>0</v>
      </c>
    </row>
    <row r="2041" spans="1:12" ht="21" x14ac:dyDescent="0.25">
      <c r="A2041" s="651" t="s">
        <v>106</v>
      </c>
      <c r="B2041" s="652">
        <v>2021</v>
      </c>
      <c r="C2041" s="651" t="s">
        <v>685</v>
      </c>
      <c r="D2041" s="651" t="s">
        <v>2199</v>
      </c>
      <c r="E2041" s="651" t="s">
        <v>687</v>
      </c>
      <c r="F2041" s="653">
        <v>0</v>
      </c>
      <c r="G2041" s="654"/>
      <c r="H2041" s="651" t="s">
        <v>650</v>
      </c>
      <c r="I2041" s="655"/>
      <c r="J2041" s="655"/>
      <c r="K2041" s="653">
        <v>0</v>
      </c>
      <c r="L2041" s="656">
        <v>0</v>
      </c>
    </row>
    <row r="2042" spans="1:12" ht="14.5" x14ac:dyDescent="0.25">
      <c r="A2042" s="651" t="s">
        <v>106</v>
      </c>
      <c r="B2042" s="652">
        <v>2021</v>
      </c>
      <c r="C2042" s="651" t="s">
        <v>688</v>
      </c>
      <c r="D2042" s="651" t="s">
        <v>2200</v>
      </c>
      <c r="E2042" s="651" t="s">
        <v>50</v>
      </c>
      <c r="F2042" s="653">
        <v>0</v>
      </c>
      <c r="G2042" s="654"/>
      <c r="H2042" s="651" t="s">
        <v>650</v>
      </c>
      <c r="I2042" s="655"/>
      <c r="J2042" s="655"/>
      <c r="K2042" s="653">
        <v>0</v>
      </c>
      <c r="L2042" s="656">
        <v>0</v>
      </c>
    </row>
    <row r="2043" spans="1:12" ht="21" x14ac:dyDescent="0.25">
      <c r="A2043" s="651" t="s">
        <v>106</v>
      </c>
      <c r="B2043" s="652">
        <v>2021</v>
      </c>
      <c r="C2043" s="651" t="s">
        <v>690</v>
      </c>
      <c r="D2043" s="651" t="s">
        <v>2201</v>
      </c>
      <c r="E2043" s="651" t="s">
        <v>692</v>
      </c>
      <c r="F2043" s="653">
        <v>0</v>
      </c>
      <c r="G2043" s="654"/>
      <c r="H2043" s="651" t="s">
        <v>650</v>
      </c>
      <c r="I2043" s="655"/>
      <c r="J2043" s="655"/>
      <c r="K2043" s="653">
        <v>0</v>
      </c>
      <c r="L2043" s="656">
        <v>0</v>
      </c>
    </row>
    <row r="2044" spans="1:12" ht="21" x14ac:dyDescent="0.25">
      <c r="A2044" s="651" t="s">
        <v>106</v>
      </c>
      <c r="B2044" s="652">
        <v>2021</v>
      </c>
      <c r="C2044" s="651" t="s">
        <v>693</v>
      </c>
      <c r="D2044" s="651" t="s">
        <v>2202</v>
      </c>
      <c r="E2044" s="651" t="s">
        <v>6</v>
      </c>
      <c r="F2044" s="653">
        <v>0</v>
      </c>
      <c r="G2044" s="654"/>
      <c r="H2044" s="651" t="s">
        <v>650</v>
      </c>
      <c r="I2044" s="655"/>
      <c r="J2044" s="655"/>
      <c r="K2044" s="653">
        <v>0</v>
      </c>
      <c r="L2044" s="656">
        <v>0</v>
      </c>
    </row>
    <row r="2045" spans="1:12" ht="31.5" x14ac:dyDescent="0.25">
      <c r="A2045" s="651" t="s">
        <v>106</v>
      </c>
      <c r="B2045" s="652">
        <v>2021</v>
      </c>
      <c r="C2045" s="651" t="s">
        <v>695</v>
      </c>
      <c r="D2045" s="651" t="s">
        <v>2203</v>
      </c>
      <c r="E2045" s="651" t="s">
        <v>697</v>
      </c>
      <c r="F2045" s="653">
        <v>0</v>
      </c>
      <c r="G2045" s="654"/>
      <c r="H2045" s="651" t="s">
        <v>650</v>
      </c>
      <c r="I2045" s="655"/>
      <c r="J2045" s="655"/>
      <c r="K2045" s="653">
        <v>0</v>
      </c>
      <c r="L2045" s="656">
        <v>0</v>
      </c>
    </row>
    <row r="2046" spans="1:12" ht="21" x14ac:dyDescent="0.25">
      <c r="A2046" s="651" t="s">
        <v>106</v>
      </c>
      <c r="B2046" s="652">
        <v>2021</v>
      </c>
      <c r="C2046" s="651" t="s">
        <v>698</v>
      </c>
      <c r="D2046" s="651" t="s">
        <v>2204</v>
      </c>
      <c r="E2046" s="651" t="s">
        <v>700</v>
      </c>
      <c r="F2046" s="653">
        <v>0</v>
      </c>
      <c r="G2046" s="654"/>
      <c r="H2046" s="651" t="s">
        <v>650</v>
      </c>
      <c r="I2046" s="655"/>
      <c r="J2046" s="655"/>
      <c r="K2046" s="653">
        <v>0</v>
      </c>
      <c r="L2046" s="656">
        <v>0</v>
      </c>
    </row>
    <row r="2047" spans="1:12" ht="21" x14ac:dyDescent="0.25">
      <c r="A2047" s="651" t="s">
        <v>106</v>
      </c>
      <c r="B2047" s="652">
        <v>2021</v>
      </c>
      <c r="C2047" s="651" t="s">
        <v>701</v>
      </c>
      <c r="D2047" s="651" t="s">
        <v>2205</v>
      </c>
      <c r="E2047" s="651" t="s">
        <v>1</v>
      </c>
      <c r="F2047" s="653">
        <v>-109086.33</v>
      </c>
      <c r="G2047" s="651" t="s">
        <v>650</v>
      </c>
      <c r="H2047" s="654"/>
      <c r="I2047" s="653">
        <v>-108330.359375</v>
      </c>
      <c r="J2047" s="653">
        <v>-755.969970703125</v>
      </c>
      <c r="K2047" s="653">
        <v>-109086.328125</v>
      </c>
      <c r="L2047" s="656">
        <v>-109086.33</v>
      </c>
    </row>
    <row r="2048" spans="1:12" ht="21" x14ac:dyDescent="0.25">
      <c r="A2048" s="651" t="s">
        <v>106</v>
      </c>
      <c r="B2048" s="652">
        <v>2021</v>
      </c>
      <c r="C2048" s="651" t="s">
        <v>701</v>
      </c>
      <c r="D2048" s="651" t="s">
        <v>2205</v>
      </c>
      <c r="E2048" s="651" t="s">
        <v>703</v>
      </c>
      <c r="F2048" s="653">
        <v>0</v>
      </c>
      <c r="G2048" s="654"/>
      <c r="H2048" s="654"/>
      <c r="I2048" s="655"/>
      <c r="J2048" s="655"/>
      <c r="K2048" s="653">
        <v>0</v>
      </c>
      <c r="L2048" s="656">
        <v>0</v>
      </c>
    </row>
    <row r="2049" spans="1:12" ht="21" x14ac:dyDescent="0.25">
      <c r="A2049" s="651" t="s">
        <v>106</v>
      </c>
      <c r="B2049" s="652">
        <v>2021</v>
      </c>
      <c r="C2049" s="651" t="s">
        <v>701</v>
      </c>
      <c r="D2049" s="651" t="s">
        <v>2205</v>
      </c>
      <c r="E2049" s="651" t="s">
        <v>704</v>
      </c>
      <c r="F2049" s="653">
        <v>0</v>
      </c>
      <c r="G2049" s="654"/>
      <c r="H2049" s="654"/>
      <c r="I2049" s="655"/>
      <c r="J2049" s="655"/>
      <c r="K2049" s="653">
        <v>0</v>
      </c>
      <c r="L2049" s="656">
        <v>0</v>
      </c>
    </row>
    <row r="2050" spans="1:12" ht="21" x14ac:dyDescent="0.25">
      <c r="A2050" s="651" t="s">
        <v>106</v>
      </c>
      <c r="B2050" s="652">
        <v>2021</v>
      </c>
      <c r="C2050" s="651" t="s">
        <v>701</v>
      </c>
      <c r="D2050" s="651" t="s">
        <v>2205</v>
      </c>
      <c r="E2050" s="651" t="s">
        <v>705</v>
      </c>
      <c r="F2050" s="653">
        <v>-233.59</v>
      </c>
      <c r="G2050" s="654"/>
      <c r="H2050" s="654"/>
      <c r="I2050" s="655"/>
      <c r="J2050" s="655"/>
      <c r="K2050" s="653">
        <v>0</v>
      </c>
      <c r="L2050" s="656">
        <v>-233.59</v>
      </c>
    </row>
    <row r="2051" spans="1:12" ht="21" x14ac:dyDescent="0.25">
      <c r="A2051" s="651" t="s">
        <v>106</v>
      </c>
      <c r="B2051" s="652">
        <v>2021</v>
      </c>
      <c r="C2051" s="651" t="s">
        <v>701</v>
      </c>
      <c r="D2051" s="651" t="s">
        <v>2205</v>
      </c>
      <c r="E2051" s="651" t="s">
        <v>706</v>
      </c>
      <c r="F2051" s="653">
        <v>-12996.79</v>
      </c>
      <c r="G2051" s="654"/>
      <c r="H2051" s="654"/>
      <c r="I2051" s="655"/>
      <c r="J2051" s="655"/>
      <c r="K2051" s="653">
        <v>0</v>
      </c>
      <c r="L2051" s="656">
        <v>-12996.79</v>
      </c>
    </row>
    <row r="2052" spans="1:12" ht="14.5" x14ac:dyDescent="0.25">
      <c r="A2052" s="651" t="s">
        <v>106</v>
      </c>
      <c r="B2052" s="652">
        <v>2021</v>
      </c>
      <c r="C2052" s="651" t="s">
        <v>707</v>
      </c>
      <c r="D2052" s="651" t="s">
        <v>2206</v>
      </c>
      <c r="E2052" s="651" t="s">
        <v>709</v>
      </c>
      <c r="F2052" s="653">
        <v>0</v>
      </c>
      <c r="G2052" s="654"/>
      <c r="H2052" s="651" t="s">
        <v>650</v>
      </c>
      <c r="I2052" s="655"/>
      <c r="J2052" s="655"/>
      <c r="K2052" s="653">
        <v>0</v>
      </c>
      <c r="L2052" s="656">
        <v>0</v>
      </c>
    </row>
    <row r="2053" spans="1:12" ht="31.5" x14ac:dyDescent="0.25">
      <c r="A2053" s="651" t="s">
        <v>106</v>
      </c>
      <c r="B2053" s="652">
        <v>2021</v>
      </c>
      <c r="C2053" s="651" t="s">
        <v>710</v>
      </c>
      <c r="D2053" s="651" t="s">
        <v>2207</v>
      </c>
      <c r="E2053" s="651" t="s">
        <v>2</v>
      </c>
      <c r="F2053" s="653">
        <v>114774.75</v>
      </c>
      <c r="G2053" s="651" t="s">
        <v>650</v>
      </c>
      <c r="H2053" s="654"/>
      <c r="I2053" s="653">
        <v>114240.8203125</v>
      </c>
      <c r="J2053" s="653">
        <v>533.92999267578102</v>
      </c>
      <c r="K2053" s="653">
        <v>114774.75</v>
      </c>
      <c r="L2053" s="656">
        <v>114774.75</v>
      </c>
    </row>
    <row r="2054" spans="1:12" ht="31.5" x14ac:dyDescent="0.25">
      <c r="A2054" s="651" t="s">
        <v>106</v>
      </c>
      <c r="B2054" s="652">
        <v>2021</v>
      </c>
      <c r="C2054" s="651" t="s">
        <v>712</v>
      </c>
      <c r="D2054" s="651" t="s">
        <v>2208</v>
      </c>
      <c r="E2054" s="651" t="s">
        <v>3</v>
      </c>
      <c r="F2054" s="653">
        <v>24476.17</v>
      </c>
      <c r="G2054" s="651" t="s">
        <v>650</v>
      </c>
      <c r="H2054" s="654"/>
      <c r="I2054" s="653">
        <v>24530.2890625</v>
      </c>
      <c r="J2054" s="653">
        <v>-54.119998931884801</v>
      </c>
      <c r="K2054" s="653">
        <v>24476.169921875</v>
      </c>
      <c r="L2054" s="656">
        <v>24476.17</v>
      </c>
    </row>
    <row r="2055" spans="1:12" ht="31.5" x14ac:dyDescent="0.25">
      <c r="A2055" s="651" t="s">
        <v>106</v>
      </c>
      <c r="B2055" s="652">
        <v>2021</v>
      </c>
      <c r="C2055" s="651" t="s">
        <v>714</v>
      </c>
      <c r="D2055" s="651" t="s">
        <v>2209</v>
      </c>
      <c r="E2055" s="651" t="s">
        <v>38</v>
      </c>
      <c r="F2055" s="653">
        <v>82643.31</v>
      </c>
      <c r="G2055" s="651" t="s">
        <v>650</v>
      </c>
      <c r="H2055" s="654"/>
      <c r="I2055" s="653">
        <v>81185.4296875</v>
      </c>
      <c r="J2055" s="653">
        <v>1457.88000488281</v>
      </c>
      <c r="K2055" s="653">
        <v>82643.3125</v>
      </c>
      <c r="L2055" s="656">
        <v>82643.31</v>
      </c>
    </row>
    <row r="2056" spans="1:12" ht="21" x14ac:dyDescent="0.25">
      <c r="A2056" s="651" t="s">
        <v>106</v>
      </c>
      <c r="B2056" s="652">
        <v>2021</v>
      </c>
      <c r="C2056" s="651" t="s">
        <v>716</v>
      </c>
      <c r="D2056" s="651" t="s">
        <v>2210</v>
      </c>
      <c r="E2056" s="651" t="s">
        <v>66</v>
      </c>
      <c r="F2056" s="653">
        <v>105828.87</v>
      </c>
      <c r="G2056" s="651" t="s">
        <v>650</v>
      </c>
      <c r="H2056" s="654"/>
      <c r="I2056" s="653">
        <v>101781.6171875</v>
      </c>
      <c r="J2056" s="653">
        <v>4047.25</v>
      </c>
      <c r="K2056" s="653">
        <v>105828.8671875</v>
      </c>
      <c r="L2056" s="656">
        <v>105828.87</v>
      </c>
    </row>
    <row r="2057" spans="1:12" ht="31.5" x14ac:dyDescent="0.25">
      <c r="A2057" s="651" t="s">
        <v>106</v>
      </c>
      <c r="B2057" s="652">
        <v>2021</v>
      </c>
      <c r="C2057" s="651" t="s">
        <v>718</v>
      </c>
      <c r="D2057" s="651" t="s">
        <v>2211</v>
      </c>
      <c r="E2057" s="651" t="s">
        <v>720</v>
      </c>
      <c r="F2057" s="653">
        <v>-15911</v>
      </c>
      <c r="G2057" s="654"/>
      <c r="H2057" s="651" t="s">
        <v>650</v>
      </c>
      <c r="I2057" s="655"/>
      <c r="J2057" s="655"/>
      <c r="K2057" s="653">
        <v>0</v>
      </c>
      <c r="L2057" s="656">
        <v>-15911</v>
      </c>
    </row>
    <row r="2058" spans="1:12" ht="42" x14ac:dyDescent="0.25">
      <c r="A2058" s="651" t="s">
        <v>106</v>
      </c>
      <c r="B2058" s="652">
        <v>2021</v>
      </c>
      <c r="C2058" s="651" t="s">
        <v>721</v>
      </c>
      <c r="D2058" s="651" t="s">
        <v>2212</v>
      </c>
      <c r="E2058" s="651" t="s">
        <v>3016</v>
      </c>
      <c r="F2058" s="653">
        <v>0</v>
      </c>
      <c r="G2058" s="651" t="s">
        <v>650</v>
      </c>
      <c r="H2058" s="654"/>
      <c r="I2058" s="653">
        <v>-4175.5498046875</v>
      </c>
      <c r="J2058" s="653">
        <v>-1429.40002441406</v>
      </c>
      <c r="K2058" s="653">
        <v>-5604.9501953125</v>
      </c>
      <c r="L2058" s="656">
        <v>-5604.95</v>
      </c>
    </row>
    <row r="2059" spans="1:12" ht="42" x14ac:dyDescent="0.25">
      <c r="A2059" s="651" t="s">
        <v>106</v>
      </c>
      <c r="B2059" s="652">
        <v>2021</v>
      </c>
      <c r="C2059" s="651" t="s">
        <v>721</v>
      </c>
      <c r="D2059" s="651" t="s">
        <v>2212</v>
      </c>
      <c r="E2059" s="651" t="s">
        <v>3058</v>
      </c>
      <c r="F2059" s="653">
        <v>0</v>
      </c>
      <c r="G2059" s="651" t="s">
        <v>650</v>
      </c>
      <c r="H2059" s="654"/>
      <c r="I2059" s="653">
        <v>-171875.796875</v>
      </c>
      <c r="J2059" s="653">
        <v>-1311.31005859375</v>
      </c>
      <c r="K2059" s="653">
        <v>-173187.109375</v>
      </c>
      <c r="L2059" s="656">
        <v>-173187.11</v>
      </c>
    </row>
    <row r="2060" spans="1:12" ht="42" x14ac:dyDescent="0.25">
      <c r="A2060" s="651" t="s">
        <v>106</v>
      </c>
      <c r="B2060" s="652">
        <v>2021</v>
      </c>
      <c r="C2060" s="651" t="s">
        <v>721</v>
      </c>
      <c r="D2060" s="651" t="s">
        <v>2213</v>
      </c>
      <c r="E2060" s="651" t="s">
        <v>724</v>
      </c>
      <c r="F2060" s="653">
        <v>0</v>
      </c>
      <c r="G2060" s="651" t="s">
        <v>650</v>
      </c>
      <c r="H2060" s="654"/>
      <c r="I2060" s="655"/>
      <c r="J2060" s="655"/>
      <c r="K2060" s="653">
        <v>0</v>
      </c>
      <c r="L2060" s="656">
        <v>0</v>
      </c>
    </row>
    <row r="2061" spans="1:12" ht="42" x14ac:dyDescent="0.25">
      <c r="A2061" s="651" t="s">
        <v>106</v>
      </c>
      <c r="B2061" s="652">
        <v>2021</v>
      </c>
      <c r="C2061" s="651" t="s">
        <v>721</v>
      </c>
      <c r="D2061" s="651" t="s">
        <v>2214</v>
      </c>
      <c r="E2061" s="651" t="s">
        <v>55</v>
      </c>
      <c r="F2061" s="653">
        <v>0</v>
      </c>
      <c r="G2061" s="651" t="s">
        <v>650</v>
      </c>
      <c r="H2061" s="654"/>
      <c r="I2061" s="655"/>
      <c r="J2061" s="655"/>
      <c r="K2061" s="653">
        <v>0</v>
      </c>
      <c r="L2061" s="656">
        <v>0</v>
      </c>
    </row>
    <row r="2062" spans="1:12" ht="42" x14ac:dyDescent="0.25">
      <c r="A2062" s="651" t="s">
        <v>106</v>
      </c>
      <c r="B2062" s="652">
        <v>2021</v>
      </c>
      <c r="C2062" s="651" t="s">
        <v>721</v>
      </c>
      <c r="D2062" s="651" t="s">
        <v>2215</v>
      </c>
      <c r="E2062" s="651" t="s">
        <v>56</v>
      </c>
      <c r="F2062" s="653">
        <v>0</v>
      </c>
      <c r="G2062" s="651" t="s">
        <v>650</v>
      </c>
      <c r="H2062" s="654"/>
      <c r="I2062" s="655"/>
      <c r="J2062" s="655"/>
      <c r="K2062" s="653">
        <v>0</v>
      </c>
      <c r="L2062" s="656">
        <v>0</v>
      </c>
    </row>
    <row r="2063" spans="1:12" ht="42" x14ac:dyDescent="0.25">
      <c r="A2063" s="651" t="s">
        <v>106</v>
      </c>
      <c r="B2063" s="652">
        <v>2021</v>
      </c>
      <c r="C2063" s="651" t="s">
        <v>721</v>
      </c>
      <c r="D2063" s="651" t="s">
        <v>2216</v>
      </c>
      <c r="E2063" s="651" t="s">
        <v>728</v>
      </c>
      <c r="F2063" s="653">
        <v>0</v>
      </c>
      <c r="G2063" s="651" t="s">
        <v>650</v>
      </c>
      <c r="H2063" s="654"/>
      <c r="I2063" s="655"/>
      <c r="J2063" s="655"/>
      <c r="K2063" s="653">
        <v>0</v>
      </c>
      <c r="L2063" s="656">
        <v>0</v>
      </c>
    </row>
    <row r="2064" spans="1:12" ht="42" x14ac:dyDescent="0.25">
      <c r="A2064" s="651" t="s">
        <v>106</v>
      </c>
      <c r="B2064" s="652">
        <v>2021</v>
      </c>
      <c r="C2064" s="651" t="s">
        <v>721</v>
      </c>
      <c r="D2064" s="651" t="s">
        <v>2217</v>
      </c>
      <c r="E2064" s="651" t="s">
        <v>730</v>
      </c>
      <c r="F2064" s="653">
        <v>0</v>
      </c>
      <c r="G2064" s="651" t="s">
        <v>650</v>
      </c>
      <c r="H2064" s="654"/>
      <c r="I2064" s="655"/>
      <c r="J2064" s="655"/>
      <c r="K2064" s="653">
        <v>0</v>
      </c>
      <c r="L2064" s="656">
        <v>0</v>
      </c>
    </row>
    <row r="2065" spans="1:12" ht="42" x14ac:dyDescent="0.25">
      <c r="A2065" s="651" t="s">
        <v>106</v>
      </c>
      <c r="B2065" s="652">
        <v>2021</v>
      </c>
      <c r="C2065" s="651" t="s">
        <v>721</v>
      </c>
      <c r="D2065" s="651" t="s">
        <v>2218</v>
      </c>
      <c r="E2065" s="651" t="s">
        <v>142</v>
      </c>
      <c r="F2065" s="653">
        <v>0</v>
      </c>
      <c r="G2065" s="651" t="s">
        <v>650</v>
      </c>
      <c r="H2065" s="654"/>
      <c r="I2065" s="655"/>
      <c r="J2065" s="655"/>
      <c r="K2065" s="653">
        <v>0</v>
      </c>
      <c r="L2065" s="656">
        <v>0</v>
      </c>
    </row>
    <row r="2066" spans="1:12" ht="42" x14ac:dyDescent="0.25">
      <c r="A2066" s="651" t="s">
        <v>106</v>
      </c>
      <c r="B2066" s="652">
        <v>2021</v>
      </c>
      <c r="C2066" s="651" t="s">
        <v>721</v>
      </c>
      <c r="D2066" s="651" t="s">
        <v>2219</v>
      </c>
      <c r="E2066" s="651" t="s">
        <v>143</v>
      </c>
      <c r="F2066" s="653">
        <v>0</v>
      </c>
      <c r="G2066" s="651" t="s">
        <v>650</v>
      </c>
      <c r="H2066" s="654"/>
      <c r="I2066" s="655"/>
      <c r="J2066" s="655"/>
      <c r="K2066" s="653">
        <v>0</v>
      </c>
      <c r="L2066" s="656">
        <v>0</v>
      </c>
    </row>
    <row r="2067" spans="1:12" ht="42" x14ac:dyDescent="0.25">
      <c r="A2067" s="651" t="s">
        <v>106</v>
      </c>
      <c r="B2067" s="652">
        <v>2021</v>
      </c>
      <c r="C2067" s="651" t="s">
        <v>721</v>
      </c>
      <c r="D2067" s="651" t="s">
        <v>2220</v>
      </c>
      <c r="E2067" s="651" t="s">
        <v>182</v>
      </c>
      <c r="F2067" s="653">
        <v>0</v>
      </c>
      <c r="G2067" s="651" t="s">
        <v>650</v>
      </c>
      <c r="H2067" s="654"/>
      <c r="I2067" s="655"/>
      <c r="J2067" s="655"/>
      <c r="K2067" s="653">
        <v>0</v>
      </c>
      <c r="L2067" s="656">
        <v>0</v>
      </c>
    </row>
    <row r="2068" spans="1:12" ht="42" x14ac:dyDescent="0.25">
      <c r="A2068" s="651" t="s">
        <v>106</v>
      </c>
      <c r="B2068" s="652">
        <v>2021</v>
      </c>
      <c r="C2068" s="651" t="s">
        <v>721</v>
      </c>
      <c r="D2068" s="651" t="s">
        <v>2221</v>
      </c>
      <c r="E2068" s="651" t="s">
        <v>394</v>
      </c>
      <c r="F2068" s="653">
        <v>0</v>
      </c>
      <c r="G2068" s="651" t="s">
        <v>650</v>
      </c>
      <c r="H2068" s="654"/>
      <c r="I2068" s="655"/>
      <c r="J2068" s="655"/>
      <c r="K2068" s="653">
        <v>0</v>
      </c>
      <c r="L2068" s="656">
        <v>0</v>
      </c>
    </row>
    <row r="2069" spans="1:12" ht="42" x14ac:dyDescent="0.25">
      <c r="A2069" s="651" t="s">
        <v>106</v>
      </c>
      <c r="B2069" s="652">
        <v>2021</v>
      </c>
      <c r="C2069" s="651" t="s">
        <v>721</v>
      </c>
      <c r="D2069" s="651" t="s">
        <v>2222</v>
      </c>
      <c r="E2069" s="651" t="s">
        <v>423</v>
      </c>
      <c r="F2069" s="653">
        <v>0</v>
      </c>
      <c r="G2069" s="651" t="s">
        <v>650</v>
      </c>
      <c r="H2069" s="654"/>
      <c r="I2069" s="653">
        <v>25603.75</v>
      </c>
      <c r="J2069" s="653">
        <v>-813.66998291015602</v>
      </c>
      <c r="K2069" s="653">
        <v>24790.080078125</v>
      </c>
      <c r="L2069" s="656">
        <v>24790.080000000002</v>
      </c>
    </row>
    <row r="2070" spans="1:12" ht="42" x14ac:dyDescent="0.25">
      <c r="A2070" s="651" t="s">
        <v>106</v>
      </c>
      <c r="B2070" s="652">
        <v>2021</v>
      </c>
      <c r="C2070" s="651" t="s">
        <v>721</v>
      </c>
      <c r="D2070" s="651" t="s">
        <v>3276</v>
      </c>
      <c r="E2070" s="651" t="s">
        <v>441</v>
      </c>
      <c r="F2070" s="653">
        <v>0</v>
      </c>
      <c r="G2070" s="651" t="s">
        <v>650</v>
      </c>
      <c r="H2070" s="654"/>
      <c r="I2070" s="653">
        <v>-2183.68994140625</v>
      </c>
      <c r="J2070" s="653">
        <v>-5219.58984375</v>
      </c>
      <c r="K2070" s="653">
        <v>-7403.27978515625</v>
      </c>
      <c r="L2070" s="656">
        <v>-7403.28</v>
      </c>
    </row>
    <row r="2071" spans="1:12" ht="42" x14ac:dyDescent="0.25">
      <c r="A2071" s="651" t="s">
        <v>106</v>
      </c>
      <c r="B2071" s="652">
        <v>2021</v>
      </c>
      <c r="C2071" s="651" t="s">
        <v>721</v>
      </c>
      <c r="D2071" s="651" t="s">
        <v>2223</v>
      </c>
      <c r="E2071" s="651" t="s">
        <v>737</v>
      </c>
      <c r="F2071" s="653">
        <v>-161405.26</v>
      </c>
      <c r="G2071" s="654"/>
      <c r="H2071" s="654"/>
      <c r="I2071" s="655"/>
      <c r="J2071" s="655"/>
      <c r="K2071" s="653">
        <v>0</v>
      </c>
      <c r="L2071" s="656">
        <v>-161405.26</v>
      </c>
    </row>
    <row r="2072" spans="1:12" ht="14.5" x14ac:dyDescent="0.25">
      <c r="A2072" s="651" t="s">
        <v>106</v>
      </c>
      <c r="B2072" s="652">
        <v>2021</v>
      </c>
      <c r="C2072" s="651" t="s">
        <v>738</v>
      </c>
      <c r="D2072" s="651" t="s">
        <v>2224</v>
      </c>
      <c r="E2072" s="651" t="s">
        <v>7</v>
      </c>
      <c r="F2072" s="653">
        <v>0</v>
      </c>
      <c r="G2072" s="654"/>
      <c r="H2072" s="651" t="s">
        <v>650</v>
      </c>
      <c r="I2072" s="655"/>
      <c r="J2072" s="655"/>
      <c r="K2072" s="653">
        <v>0</v>
      </c>
      <c r="L2072" s="656">
        <v>0</v>
      </c>
    </row>
    <row r="2073" spans="1:12" ht="21" x14ac:dyDescent="0.25">
      <c r="A2073" s="651" t="s">
        <v>107</v>
      </c>
      <c r="B2073" s="652">
        <v>2021</v>
      </c>
      <c r="C2073" s="651" t="s">
        <v>647</v>
      </c>
      <c r="D2073" s="651" t="s">
        <v>2225</v>
      </c>
      <c r="E2073" s="651" t="s">
        <v>649</v>
      </c>
      <c r="F2073" s="653">
        <v>1227662.3500000001</v>
      </c>
      <c r="G2073" s="654"/>
      <c r="H2073" s="651" t="s">
        <v>650</v>
      </c>
      <c r="I2073" s="655"/>
      <c r="J2073" s="655"/>
      <c r="K2073" s="653">
        <v>0</v>
      </c>
      <c r="L2073" s="656">
        <v>1227662.3500000001</v>
      </c>
    </row>
    <row r="2074" spans="1:12" ht="21" x14ac:dyDescent="0.25">
      <c r="A2074" s="651" t="s">
        <v>107</v>
      </c>
      <c r="B2074" s="652">
        <v>2021</v>
      </c>
      <c r="C2074" s="651" t="s">
        <v>651</v>
      </c>
      <c r="D2074" s="651" t="s">
        <v>2226</v>
      </c>
      <c r="E2074" s="651" t="s">
        <v>653</v>
      </c>
      <c r="F2074" s="653">
        <v>319416.5</v>
      </c>
      <c r="G2074" s="654"/>
      <c r="H2074" s="651" t="s">
        <v>650</v>
      </c>
      <c r="I2074" s="655"/>
      <c r="J2074" s="655"/>
      <c r="K2074" s="653">
        <v>0</v>
      </c>
      <c r="L2074" s="656">
        <v>319416.5</v>
      </c>
    </row>
    <row r="2075" spans="1:12" ht="42" x14ac:dyDescent="0.25">
      <c r="A2075" s="651" t="s">
        <v>107</v>
      </c>
      <c r="B2075" s="652">
        <v>2021</v>
      </c>
      <c r="C2075" s="651" t="s">
        <v>654</v>
      </c>
      <c r="D2075" s="651" t="s">
        <v>2227</v>
      </c>
      <c r="E2075" s="651" t="s">
        <v>445</v>
      </c>
      <c r="F2075" s="653">
        <v>0</v>
      </c>
      <c r="G2075" s="654"/>
      <c r="H2075" s="651" t="s">
        <v>650</v>
      </c>
      <c r="I2075" s="655"/>
      <c r="J2075" s="655"/>
      <c r="K2075" s="653">
        <v>0</v>
      </c>
      <c r="L2075" s="656">
        <v>0</v>
      </c>
    </row>
    <row r="2076" spans="1:12" ht="21" x14ac:dyDescent="0.25">
      <c r="A2076" s="651" t="s">
        <v>107</v>
      </c>
      <c r="B2076" s="652">
        <v>2021</v>
      </c>
      <c r="C2076" s="651" t="s">
        <v>656</v>
      </c>
      <c r="D2076" s="651" t="s">
        <v>2228</v>
      </c>
      <c r="E2076" s="651" t="s">
        <v>658</v>
      </c>
      <c r="F2076" s="653">
        <v>0</v>
      </c>
      <c r="G2076" s="654"/>
      <c r="H2076" s="651" t="s">
        <v>650</v>
      </c>
      <c r="I2076" s="655"/>
      <c r="J2076" s="655"/>
      <c r="K2076" s="653">
        <v>0</v>
      </c>
      <c r="L2076" s="656">
        <v>0</v>
      </c>
    </row>
    <row r="2077" spans="1:12" ht="31.5" x14ac:dyDescent="0.25">
      <c r="A2077" s="651" t="s">
        <v>107</v>
      </c>
      <c r="B2077" s="652">
        <v>2021</v>
      </c>
      <c r="C2077" s="651" t="s">
        <v>659</v>
      </c>
      <c r="D2077" s="651" t="s">
        <v>2229</v>
      </c>
      <c r="E2077" s="651" t="s">
        <v>661</v>
      </c>
      <c r="F2077" s="653">
        <v>0</v>
      </c>
      <c r="G2077" s="654"/>
      <c r="H2077" s="651" t="s">
        <v>650</v>
      </c>
      <c r="I2077" s="655"/>
      <c r="J2077" s="655"/>
      <c r="K2077" s="653">
        <v>0</v>
      </c>
      <c r="L2077" s="656">
        <v>0</v>
      </c>
    </row>
    <row r="2078" spans="1:12" ht="21" x14ac:dyDescent="0.25">
      <c r="A2078" s="651" t="s">
        <v>107</v>
      </c>
      <c r="B2078" s="652">
        <v>2021</v>
      </c>
      <c r="C2078" s="651" t="s">
        <v>662</v>
      </c>
      <c r="D2078" s="651" t="s">
        <v>2230</v>
      </c>
      <c r="E2078" s="651" t="s">
        <v>664</v>
      </c>
      <c r="F2078" s="653">
        <v>0</v>
      </c>
      <c r="G2078" s="654"/>
      <c r="H2078" s="651" t="s">
        <v>650</v>
      </c>
      <c r="I2078" s="655"/>
      <c r="J2078" s="655"/>
      <c r="K2078" s="653">
        <v>0</v>
      </c>
      <c r="L2078" s="656">
        <v>0</v>
      </c>
    </row>
    <row r="2079" spans="1:12" ht="31.5" x14ac:dyDescent="0.25">
      <c r="A2079" s="651" t="s">
        <v>107</v>
      </c>
      <c r="B2079" s="652">
        <v>2021</v>
      </c>
      <c r="C2079" s="651" t="s">
        <v>665</v>
      </c>
      <c r="D2079" s="651" t="s">
        <v>2231</v>
      </c>
      <c r="E2079" s="651" t="s">
        <v>667</v>
      </c>
      <c r="F2079" s="653">
        <v>0</v>
      </c>
      <c r="G2079" s="654"/>
      <c r="H2079" s="651" t="s">
        <v>650</v>
      </c>
      <c r="I2079" s="655"/>
      <c r="J2079" s="655"/>
      <c r="K2079" s="653">
        <v>0</v>
      </c>
      <c r="L2079" s="656">
        <v>0</v>
      </c>
    </row>
    <row r="2080" spans="1:12" ht="21" x14ac:dyDescent="0.25">
      <c r="A2080" s="651" t="s">
        <v>107</v>
      </c>
      <c r="B2080" s="652">
        <v>2021</v>
      </c>
      <c r="C2080" s="651" t="s">
        <v>668</v>
      </c>
      <c r="D2080" s="651" t="s">
        <v>2232</v>
      </c>
      <c r="E2080" s="651" t="s">
        <v>12</v>
      </c>
      <c r="F2080" s="653">
        <v>0</v>
      </c>
      <c r="G2080" s="654"/>
      <c r="H2080" s="651" t="s">
        <v>650</v>
      </c>
      <c r="I2080" s="655"/>
      <c r="J2080" s="655"/>
      <c r="K2080" s="653">
        <v>0</v>
      </c>
      <c r="L2080" s="656">
        <v>0</v>
      </c>
    </row>
    <row r="2081" spans="1:12" ht="21" x14ac:dyDescent="0.25">
      <c r="A2081" s="651" t="s">
        <v>107</v>
      </c>
      <c r="B2081" s="652">
        <v>2021</v>
      </c>
      <c r="C2081" s="651" t="s">
        <v>670</v>
      </c>
      <c r="D2081" s="651" t="s">
        <v>2233</v>
      </c>
      <c r="E2081" s="651" t="s">
        <v>13</v>
      </c>
      <c r="F2081" s="653">
        <v>33331.96</v>
      </c>
      <c r="G2081" s="654"/>
      <c r="H2081" s="651" t="s">
        <v>650</v>
      </c>
      <c r="I2081" s="655"/>
      <c r="J2081" s="655"/>
      <c r="K2081" s="653">
        <v>0</v>
      </c>
      <c r="L2081" s="656">
        <v>33331.96</v>
      </c>
    </row>
    <row r="2082" spans="1:12" ht="21" x14ac:dyDescent="0.25">
      <c r="A2082" s="651" t="s">
        <v>107</v>
      </c>
      <c r="B2082" s="652">
        <v>2021</v>
      </c>
      <c r="C2082" s="651" t="s">
        <v>672</v>
      </c>
      <c r="D2082" s="651" t="s">
        <v>2234</v>
      </c>
      <c r="E2082" s="651" t="s">
        <v>15</v>
      </c>
      <c r="F2082" s="653">
        <v>0</v>
      </c>
      <c r="G2082" s="654"/>
      <c r="H2082" s="651" t="s">
        <v>650</v>
      </c>
      <c r="I2082" s="655"/>
      <c r="J2082" s="655"/>
      <c r="K2082" s="653">
        <v>0</v>
      </c>
      <c r="L2082" s="656">
        <v>0</v>
      </c>
    </row>
    <row r="2083" spans="1:12" ht="21" x14ac:dyDescent="0.25">
      <c r="A2083" s="651" t="s">
        <v>107</v>
      </c>
      <c r="B2083" s="652">
        <v>2021</v>
      </c>
      <c r="C2083" s="651" t="s">
        <v>674</v>
      </c>
      <c r="D2083" s="651" t="s">
        <v>2235</v>
      </c>
      <c r="E2083" s="651" t="s">
        <v>676</v>
      </c>
      <c r="F2083" s="653">
        <v>-2496.37</v>
      </c>
      <c r="G2083" s="654"/>
      <c r="H2083" s="651" t="s">
        <v>650</v>
      </c>
      <c r="I2083" s="655"/>
      <c r="J2083" s="655"/>
      <c r="K2083" s="653">
        <v>0</v>
      </c>
      <c r="L2083" s="656">
        <v>-2496.37</v>
      </c>
    </row>
    <row r="2084" spans="1:12" ht="21" x14ac:dyDescent="0.25">
      <c r="A2084" s="651" t="s">
        <v>107</v>
      </c>
      <c r="B2084" s="652">
        <v>2021</v>
      </c>
      <c r="C2084" s="651" t="s">
        <v>677</v>
      </c>
      <c r="D2084" s="651" t="s">
        <v>2236</v>
      </c>
      <c r="E2084" s="651" t="s">
        <v>23</v>
      </c>
      <c r="F2084" s="653">
        <v>1831783.55</v>
      </c>
      <c r="G2084" s="651" t="s">
        <v>650</v>
      </c>
      <c r="H2084" s="654"/>
      <c r="I2084" s="653">
        <v>1799719.75</v>
      </c>
      <c r="J2084" s="653">
        <v>32063.76953125</v>
      </c>
      <c r="K2084" s="653">
        <v>1831783.5</v>
      </c>
      <c r="L2084" s="656">
        <v>1831783.55</v>
      </c>
    </row>
    <row r="2085" spans="1:12" ht="31.5" x14ac:dyDescent="0.25">
      <c r="A2085" s="651" t="s">
        <v>107</v>
      </c>
      <c r="B2085" s="652">
        <v>2021</v>
      </c>
      <c r="C2085" s="651" t="s">
        <v>679</v>
      </c>
      <c r="D2085" s="651" t="s">
        <v>2237</v>
      </c>
      <c r="E2085" s="651" t="s">
        <v>131</v>
      </c>
      <c r="F2085" s="653">
        <v>-52691.44</v>
      </c>
      <c r="G2085" s="651" t="s">
        <v>650</v>
      </c>
      <c r="H2085" s="654"/>
      <c r="I2085" s="653">
        <v>-49452.859375</v>
      </c>
      <c r="J2085" s="653">
        <v>-3238.580078125</v>
      </c>
      <c r="K2085" s="653">
        <v>-52691.44140625</v>
      </c>
      <c r="L2085" s="656">
        <v>-52691.44</v>
      </c>
    </row>
    <row r="2086" spans="1:12" ht="31.5" x14ac:dyDescent="0.25">
      <c r="A2086" s="651" t="s">
        <v>107</v>
      </c>
      <c r="B2086" s="652">
        <v>2021</v>
      </c>
      <c r="C2086" s="651" t="s">
        <v>681</v>
      </c>
      <c r="D2086" s="651" t="s">
        <v>2238</v>
      </c>
      <c r="E2086" s="651" t="s">
        <v>683</v>
      </c>
      <c r="F2086" s="653">
        <v>-209711.2</v>
      </c>
      <c r="G2086" s="654"/>
      <c r="H2086" s="651" t="s">
        <v>650</v>
      </c>
      <c r="I2086" s="655"/>
      <c r="J2086" s="655"/>
      <c r="K2086" s="653">
        <v>0</v>
      </c>
      <c r="L2086" s="656">
        <v>-209711.2</v>
      </c>
    </row>
    <row r="2087" spans="1:12" ht="21" x14ac:dyDescent="0.25">
      <c r="A2087" s="651" t="s">
        <v>107</v>
      </c>
      <c r="B2087" s="652">
        <v>2021</v>
      </c>
      <c r="C2087" s="651" t="s">
        <v>681</v>
      </c>
      <c r="D2087" s="651" t="s">
        <v>2238</v>
      </c>
      <c r="E2087" s="651" t="s">
        <v>684</v>
      </c>
      <c r="F2087" s="653">
        <v>-209711.2</v>
      </c>
      <c r="G2087" s="654"/>
      <c r="H2087" s="651" t="s">
        <v>650</v>
      </c>
      <c r="I2087" s="655"/>
      <c r="J2087" s="655"/>
      <c r="K2087" s="653">
        <v>0</v>
      </c>
      <c r="L2087" s="656">
        <v>-209711.2</v>
      </c>
    </row>
    <row r="2088" spans="1:12" ht="21" x14ac:dyDescent="0.25">
      <c r="A2088" s="651" t="s">
        <v>107</v>
      </c>
      <c r="B2088" s="652">
        <v>2021</v>
      </c>
      <c r="C2088" s="651" t="s">
        <v>685</v>
      </c>
      <c r="D2088" s="651" t="s">
        <v>2239</v>
      </c>
      <c r="E2088" s="651" t="s">
        <v>687</v>
      </c>
      <c r="F2088" s="653">
        <v>908291.84</v>
      </c>
      <c r="G2088" s="654"/>
      <c r="H2088" s="651" t="s">
        <v>650</v>
      </c>
      <c r="I2088" s="655"/>
      <c r="J2088" s="655"/>
      <c r="K2088" s="653">
        <v>0</v>
      </c>
      <c r="L2088" s="656">
        <v>908291.84</v>
      </c>
    </row>
    <row r="2089" spans="1:12" ht="21" x14ac:dyDescent="0.25">
      <c r="A2089" s="651" t="s">
        <v>107</v>
      </c>
      <c r="B2089" s="652">
        <v>2021</v>
      </c>
      <c r="C2089" s="651" t="s">
        <v>688</v>
      </c>
      <c r="D2089" s="651" t="s">
        <v>2240</v>
      </c>
      <c r="E2089" s="651" t="s">
        <v>50</v>
      </c>
      <c r="F2089" s="653">
        <v>304268.26</v>
      </c>
      <c r="G2089" s="654"/>
      <c r="H2089" s="651" t="s">
        <v>650</v>
      </c>
      <c r="I2089" s="655"/>
      <c r="J2089" s="655"/>
      <c r="K2089" s="653">
        <v>0</v>
      </c>
      <c r="L2089" s="656">
        <v>304268.26</v>
      </c>
    </row>
    <row r="2090" spans="1:12" ht="21" x14ac:dyDescent="0.25">
      <c r="A2090" s="651" t="s">
        <v>107</v>
      </c>
      <c r="B2090" s="652">
        <v>2021</v>
      </c>
      <c r="C2090" s="651" t="s">
        <v>690</v>
      </c>
      <c r="D2090" s="651" t="s">
        <v>2241</v>
      </c>
      <c r="E2090" s="651" t="s">
        <v>692</v>
      </c>
      <c r="F2090" s="653">
        <v>0</v>
      </c>
      <c r="G2090" s="654"/>
      <c r="H2090" s="651" t="s">
        <v>650</v>
      </c>
      <c r="I2090" s="655"/>
      <c r="J2090" s="655"/>
      <c r="K2090" s="653">
        <v>0</v>
      </c>
      <c r="L2090" s="656">
        <v>0</v>
      </c>
    </row>
    <row r="2091" spans="1:12" ht="21" x14ac:dyDescent="0.25">
      <c r="A2091" s="651" t="s">
        <v>107</v>
      </c>
      <c r="B2091" s="652">
        <v>2021</v>
      </c>
      <c r="C2091" s="651" t="s">
        <v>693</v>
      </c>
      <c r="D2091" s="651" t="s">
        <v>2242</v>
      </c>
      <c r="E2091" s="651" t="s">
        <v>6</v>
      </c>
      <c r="F2091" s="653">
        <v>0</v>
      </c>
      <c r="G2091" s="654"/>
      <c r="H2091" s="651" t="s">
        <v>650</v>
      </c>
      <c r="I2091" s="655"/>
      <c r="J2091" s="655"/>
      <c r="K2091" s="653">
        <v>0</v>
      </c>
      <c r="L2091" s="656">
        <v>0</v>
      </c>
    </row>
    <row r="2092" spans="1:12" ht="31.5" x14ac:dyDescent="0.25">
      <c r="A2092" s="651" t="s">
        <v>107</v>
      </c>
      <c r="B2092" s="652">
        <v>2021</v>
      </c>
      <c r="C2092" s="651" t="s">
        <v>695</v>
      </c>
      <c r="D2092" s="651" t="s">
        <v>2243</v>
      </c>
      <c r="E2092" s="651" t="s">
        <v>697</v>
      </c>
      <c r="F2092" s="653">
        <v>0</v>
      </c>
      <c r="G2092" s="654"/>
      <c r="H2092" s="651" t="s">
        <v>650</v>
      </c>
      <c r="I2092" s="655"/>
      <c r="J2092" s="655"/>
      <c r="K2092" s="653">
        <v>0</v>
      </c>
      <c r="L2092" s="656">
        <v>0</v>
      </c>
    </row>
    <row r="2093" spans="1:12" ht="21" x14ac:dyDescent="0.25">
      <c r="A2093" s="651" t="s">
        <v>107</v>
      </c>
      <c r="B2093" s="652">
        <v>2021</v>
      </c>
      <c r="C2093" s="651" t="s">
        <v>698</v>
      </c>
      <c r="D2093" s="651" t="s">
        <v>2244</v>
      </c>
      <c r="E2093" s="651" t="s">
        <v>700</v>
      </c>
      <c r="F2093" s="653">
        <v>8653.5400000000009</v>
      </c>
      <c r="G2093" s="654"/>
      <c r="H2093" s="651" t="s">
        <v>650</v>
      </c>
      <c r="I2093" s="655"/>
      <c r="J2093" s="655"/>
      <c r="K2093" s="653">
        <v>0</v>
      </c>
      <c r="L2093" s="656">
        <v>8653.5400000000009</v>
      </c>
    </row>
    <row r="2094" spans="1:12" ht="21" x14ac:dyDescent="0.25">
      <c r="A2094" s="651" t="s">
        <v>107</v>
      </c>
      <c r="B2094" s="652">
        <v>2021</v>
      </c>
      <c r="C2094" s="651" t="s">
        <v>701</v>
      </c>
      <c r="D2094" s="651" t="s">
        <v>2245</v>
      </c>
      <c r="E2094" s="651" t="s">
        <v>1</v>
      </c>
      <c r="F2094" s="653">
        <v>-1451863.09</v>
      </c>
      <c r="G2094" s="651" t="s">
        <v>650</v>
      </c>
      <c r="H2094" s="654"/>
      <c r="I2094" s="653">
        <v>-1429334.875</v>
      </c>
      <c r="J2094" s="653">
        <v>-22528.189453125</v>
      </c>
      <c r="K2094" s="653">
        <v>-1451863.125</v>
      </c>
      <c r="L2094" s="656">
        <v>-1451863.09</v>
      </c>
    </row>
    <row r="2095" spans="1:12" ht="21" x14ac:dyDescent="0.25">
      <c r="A2095" s="651" t="s">
        <v>107</v>
      </c>
      <c r="B2095" s="652">
        <v>2021</v>
      </c>
      <c r="C2095" s="651" t="s">
        <v>701</v>
      </c>
      <c r="D2095" s="651" t="s">
        <v>2245</v>
      </c>
      <c r="E2095" s="651" t="s">
        <v>703</v>
      </c>
      <c r="F2095" s="653">
        <v>-60.02</v>
      </c>
      <c r="G2095" s="654"/>
      <c r="H2095" s="654"/>
      <c r="I2095" s="655"/>
      <c r="J2095" s="655"/>
      <c r="K2095" s="653">
        <v>0</v>
      </c>
      <c r="L2095" s="656">
        <v>-60.02</v>
      </c>
    </row>
    <row r="2096" spans="1:12" ht="21" x14ac:dyDescent="0.25">
      <c r="A2096" s="651" t="s">
        <v>107</v>
      </c>
      <c r="B2096" s="652">
        <v>2021</v>
      </c>
      <c r="C2096" s="651" t="s">
        <v>701</v>
      </c>
      <c r="D2096" s="651" t="s">
        <v>2245</v>
      </c>
      <c r="E2096" s="651" t="s">
        <v>704</v>
      </c>
      <c r="F2096" s="653">
        <v>1856.4</v>
      </c>
      <c r="G2096" s="654"/>
      <c r="H2096" s="654"/>
      <c r="I2096" s="655"/>
      <c r="J2096" s="655"/>
      <c r="K2096" s="653">
        <v>0</v>
      </c>
      <c r="L2096" s="656">
        <v>1856.4</v>
      </c>
    </row>
    <row r="2097" spans="1:12" ht="21" x14ac:dyDescent="0.25">
      <c r="A2097" s="651" t="s">
        <v>107</v>
      </c>
      <c r="B2097" s="652">
        <v>2021</v>
      </c>
      <c r="C2097" s="651" t="s">
        <v>701</v>
      </c>
      <c r="D2097" s="651" t="s">
        <v>2245</v>
      </c>
      <c r="E2097" s="651" t="s">
        <v>705</v>
      </c>
      <c r="F2097" s="653">
        <v>-4843.2</v>
      </c>
      <c r="G2097" s="654"/>
      <c r="H2097" s="654"/>
      <c r="I2097" s="655"/>
      <c r="J2097" s="655"/>
      <c r="K2097" s="653">
        <v>0</v>
      </c>
      <c r="L2097" s="656">
        <v>-4843.2</v>
      </c>
    </row>
    <row r="2098" spans="1:12" ht="21" x14ac:dyDescent="0.25">
      <c r="A2098" s="651" t="s">
        <v>107</v>
      </c>
      <c r="B2098" s="652">
        <v>2021</v>
      </c>
      <c r="C2098" s="651" t="s">
        <v>701</v>
      </c>
      <c r="D2098" s="651" t="s">
        <v>2245</v>
      </c>
      <c r="E2098" s="651" t="s">
        <v>706</v>
      </c>
      <c r="F2098" s="653">
        <v>-203984.46</v>
      </c>
      <c r="G2098" s="654"/>
      <c r="H2098" s="654"/>
      <c r="I2098" s="655"/>
      <c r="J2098" s="655"/>
      <c r="K2098" s="653">
        <v>0</v>
      </c>
      <c r="L2098" s="656">
        <v>-203984.46</v>
      </c>
    </row>
    <row r="2099" spans="1:12" ht="21" x14ac:dyDescent="0.25">
      <c r="A2099" s="651" t="s">
        <v>107</v>
      </c>
      <c r="B2099" s="652">
        <v>2021</v>
      </c>
      <c r="C2099" s="651" t="s">
        <v>707</v>
      </c>
      <c r="D2099" s="651" t="s">
        <v>2246</v>
      </c>
      <c r="E2099" s="651" t="s">
        <v>709</v>
      </c>
      <c r="F2099" s="653">
        <v>0</v>
      </c>
      <c r="G2099" s="654"/>
      <c r="H2099" s="651" t="s">
        <v>650</v>
      </c>
      <c r="I2099" s="655"/>
      <c r="J2099" s="655"/>
      <c r="K2099" s="653">
        <v>0</v>
      </c>
      <c r="L2099" s="656">
        <v>0</v>
      </c>
    </row>
    <row r="2100" spans="1:12" ht="31.5" x14ac:dyDescent="0.25">
      <c r="A2100" s="651" t="s">
        <v>107</v>
      </c>
      <c r="B2100" s="652">
        <v>2021</v>
      </c>
      <c r="C2100" s="651" t="s">
        <v>710</v>
      </c>
      <c r="D2100" s="651" t="s">
        <v>2247</v>
      </c>
      <c r="E2100" s="651" t="s">
        <v>2</v>
      </c>
      <c r="F2100" s="653">
        <v>-253799.64</v>
      </c>
      <c r="G2100" s="651" t="s">
        <v>650</v>
      </c>
      <c r="H2100" s="654"/>
      <c r="I2100" s="653">
        <v>-232523.59375</v>
      </c>
      <c r="J2100" s="653">
        <v>-21276.0390625</v>
      </c>
      <c r="K2100" s="653">
        <v>-253799.640625</v>
      </c>
      <c r="L2100" s="656">
        <v>-253799.64</v>
      </c>
    </row>
    <row r="2101" spans="1:12" ht="31.5" x14ac:dyDescent="0.25">
      <c r="A2101" s="651" t="s">
        <v>107</v>
      </c>
      <c r="B2101" s="652">
        <v>2021</v>
      </c>
      <c r="C2101" s="651" t="s">
        <v>712</v>
      </c>
      <c r="D2101" s="651" t="s">
        <v>2248</v>
      </c>
      <c r="E2101" s="651" t="s">
        <v>3</v>
      </c>
      <c r="F2101" s="653">
        <v>71499.45</v>
      </c>
      <c r="G2101" s="651" t="s">
        <v>650</v>
      </c>
      <c r="H2101" s="654"/>
      <c r="I2101" s="653">
        <v>71366.8515625</v>
      </c>
      <c r="J2101" s="653">
        <v>132.60000610351599</v>
      </c>
      <c r="K2101" s="653">
        <v>71499.453125</v>
      </c>
      <c r="L2101" s="656">
        <v>71499.45</v>
      </c>
    </row>
    <row r="2102" spans="1:12" ht="31.5" x14ac:dyDescent="0.25">
      <c r="A2102" s="651" t="s">
        <v>107</v>
      </c>
      <c r="B2102" s="652">
        <v>2021</v>
      </c>
      <c r="C2102" s="651" t="s">
        <v>714</v>
      </c>
      <c r="D2102" s="651" t="s">
        <v>2249</v>
      </c>
      <c r="E2102" s="651" t="s">
        <v>38</v>
      </c>
      <c r="F2102" s="653">
        <v>-847615.9</v>
      </c>
      <c r="G2102" s="651" t="s">
        <v>650</v>
      </c>
      <c r="H2102" s="654"/>
      <c r="I2102" s="653">
        <v>-935477.75</v>
      </c>
      <c r="J2102" s="653">
        <v>87861.84375</v>
      </c>
      <c r="K2102" s="653">
        <v>-847615.875</v>
      </c>
      <c r="L2102" s="656">
        <v>-847615.9</v>
      </c>
    </row>
    <row r="2103" spans="1:12" ht="21" x14ac:dyDescent="0.25">
      <c r="A2103" s="651" t="s">
        <v>107</v>
      </c>
      <c r="B2103" s="652">
        <v>2021</v>
      </c>
      <c r="C2103" s="651" t="s">
        <v>716</v>
      </c>
      <c r="D2103" s="651" t="s">
        <v>2250</v>
      </c>
      <c r="E2103" s="651" t="s">
        <v>66</v>
      </c>
      <c r="F2103" s="653">
        <v>1979070.82</v>
      </c>
      <c r="G2103" s="651" t="s">
        <v>650</v>
      </c>
      <c r="H2103" s="654"/>
      <c r="I2103" s="653">
        <v>1973975.5</v>
      </c>
      <c r="J2103" s="653">
        <v>5095.2900390625</v>
      </c>
      <c r="K2103" s="653">
        <v>1979070.875</v>
      </c>
      <c r="L2103" s="656">
        <v>1979070.82</v>
      </c>
    </row>
    <row r="2104" spans="1:12" ht="31.5" x14ac:dyDescent="0.25">
      <c r="A2104" s="651" t="s">
        <v>107</v>
      </c>
      <c r="B2104" s="652">
        <v>2021</v>
      </c>
      <c r="C2104" s="651" t="s">
        <v>718</v>
      </c>
      <c r="D2104" s="651" t="s">
        <v>2251</v>
      </c>
      <c r="E2104" s="651" t="s">
        <v>720</v>
      </c>
      <c r="F2104" s="653">
        <v>-1657.55</v>
      </c>
      <c r="G2104" s="654"/>
      <c r="H2104" s="651" t="s">
        <v>650</v>
      </c>
      <c r="I2104" s="655"/>
      <c r="J2104" s="655"/>
      <c r="K2104" s="653">
        <v>0</v>
      </c>
      <c r="L2104" s="656">
        <v>-1657.55</v>
      </c>
    </row>
    <row r="2105" spans="1:12" ht="42" x14ac:dyDescent="0.25">
      <c r="A2105" s="651" t="s">
        <v>107</v>
      </c>
      <c r="B2105" s="652">
        <v>2021</v>
      </c>
      <c r="C2105" s="651" t="s">
        <v>721</v>
      </c>
      <c r="D2105" s="651" t="s">
        <v>2252</v>
      </c>
      <c r="E2105" s="651" t="s">
        <v>3016</v>
      </c>
      <c r="F2105" s="653">
        <v>0</v>
      </c>
      <c r="G2105" s="651" t="s">
        <v>650</v>
      </c>
      <c r="H2105" s="654"/>
      <c r="I2105" s="653">
        <v>-13803.7001953125</v>
      </c>
      <c r="J2105" s="653">
        <v>7957.22021484375</v>
      </c>
      <c r="K2105" s="653">
        <v>-5846.47998046875</v>
      </c>
      <c r="L2105" s="656">
        <v>-5846.48</v>
      </c>
    </row>
    <row r="2106" spans="1:12" ht="42" x14ac:dyDescent="0.25">
      <c r="A2106" s="651" t="s">
        <v>107</v>
      </c>
      <c r="B2106" s="652">
        <v>2021</v>
      </c>
      <c r="C2106" s="651" t="s">
        <v>721</v>
      </c>
      <c r="D2106" s="651" t="s">
        <v>2252</v>
      </c>
      <c r="E2106" s="651" t="s">
        <v>3058</v>
      </c>
      <c r="F2106" s="653">
        <v>0</v>
      </c>
      <c r="G2106" s="651" t="s">
        <v>650</v>
      </c>
      <c r="H2106" s="654"/>
      <c r="I2106" s="653">
        <v>14603</v>
      </c>
      <c r="J2106" s="653">
        <v>602.40002441406295</v>
      </c>
      <c r="K2106" s="653">
        <v>15205.400390625</v>
      </c>
      <c r="L2106" s="656">
        <v>15205.4</v>
      </c>
    </row>
    <row r="2107" spans="1:12" ht="42" x14ac:dyDescent="0.25">
      <c r="A2107" s="651" t="s">
        <v>107</v>
      </c>
      <c r="B2107" s="652">
        <v>2021</v>
      </c>
      <c r="C2107" s="651" t="s">
        <v>721</v>
      </c>
      <c r="D2107" s="651" t="s">
        <v>2253</v>
      </c>
      <c r="E2107" s="651" t="s">
        <v>724</v>
      </c>
      <c r="F2107" s="653">
        <v>0</v>
      </c>
      <c r="G2107" s="651" t="s">
        <v>650</v>
      </c>
      <c r="H2107" s="654"/>
      <c r="I2107" s="655"/>
      <c r="J2107" s="655"/>
      <c r="K2107" s="653">
        <v>0</v>
      </c>
      <c r="L2107" s="656">
        <v>0</v>
      </c>
    </row>
    <row r="2108" spans="1:12" ht="42" x14ac:dyDescent="0.25">
      <c r="A2108" s="651" t="s">
        <v>107</v>
      </c>
      <c r="B2108" s="652">
        <v>2021</v>
      </c>
      <c r="C2108" s="651" t="s">
        <v>721</v>
      </c>
      <c r="D2108" s="651" t="s">
        <v>2254</v>
      </c>
      <c r="E2108" s="651" t="s">
        <v>55</v>
      </c>
      <c r="F2108" s="653">
        <v>0</v>
      </c>
      <c r="G2108" s="651" t="s">
        <v>650</v>
      </c>
      <c r="H2108" s="654"/>
      <c r="I2108" s="655"/>
      <c r="J2108" s="655"/>
      <c r="K2108" s="653">
        <v>0</v>
      </c>
      <c r="L2108" s="656">
        <v>0</v>
      </c>
    </row>
    <row r="2109" spans="1:12" ht="42" x14ac:dyDescent="0.25">
      <c r="A2109" s="651" t="s">
        <v>107</v>
      </c>
      <c r="B2109" s="652">
        <v>2021</v>
      </c>
      <c r="C2109" s="651" t="s">
        <v>721</v>
      </c>
      <c r="D2109" s="651" t="s">
        <v>2255</v>
      </c>
      <c r="E2109" s="651" t="s">
        <v>56</v>
      </c>
      <c r="F2109" s="653">
        <v>0</v>
      </c>
      <c r="G2109" s="651" t="s">
        <v>650</v>
      </c>
      <c r="H2109" s="654"/>
      <c r="I2109" s="655"/>
      <c r="J2109" s="655"/>
      <c r="K2109" s="653">
        <v>0</v>
      </c>
      <c r="L2109" s="656">
        <v>0</v>
      </c>
    </row>
    <row r="2110" spans="1:12" ht="42" x14ac:dyDescent="0.25">
      <c r="A2110" s="651" t="s">
        <v>107</v>
      </c>
      <c r="B2110" s="652">
        <v>2021</v>
      </c>
      <c r="C2110" s="651" t="s">
        <v>721</v>
      </c>
      <c r="D2110" s="651" t="s">
        <v>2256</v>
      </c>
      <c r="E2110" s="651" t="s">
        <v>728</v>
      </c>
      <c r="F2110" s="653">
        <v>0</v>
      </c>
      <c r="G2110" s="651" t="s">
        <v>650</v>
      </c>
      <c r="H2110" s="654"/>
      <c r="I2110" s="655"/>
      <c r="J2110" s="655"/>
      <c r="K2110" s="653">
        <v>0</v>
      </c>
      <c r="L2110" s="656">
        <v>0</v>
      </c>
    </row>
    <row r="2111" spans="1:12" ht="42" x14ac:dyDescent="0.25">
      <c r="A2111" s="651" t="s">
        <v>107</v>
      </c>
      <c r="B2111" s="652">
        <v>2021</v>
      </c>
      <c r="C2111" s="651" t="s">
        <v>721</v>
      </c>
      <c r="D2111" s="651" t="s">
        <v>2257</v>
      </c>
      <c r="E2111" s="651" t="s">
        <v>730</v>
      </c>
      <c r="F2111" s="653">
        <v>0</v>
      </c>
      <c r="G2111" s="651" t="s">
        <v>650</v>
      </c>
      <c r="H2111" s="654"/>
      <c r="I2111" s="655"/>
      <c r="J2111" s="655"/>
      <c r="K2111" s="653">
        <v>0</v>
      </c>
      <c r="L2111" s="656">
        <v>0</v>
      </c>
    </row>
    <row r="2112" spans="1:12" ht="42" x14ac:dyDescent="0.25">
      <c r="A2112" s="651" t="s">
        <v>107</v>
      </c>
      <c r="B2112" s="652">
        <v>2021</v>
      </c>
      <c r="C2112" s="651" t="s">
        <v>721</v>
      </c>
      <c r="D2112" s="651" t="s">
        <v>2258</v>
      </c>
      <c r="E2112" s="651" t="s">
        <v>142</v>
      </c>
      <c r="F2112" s="653">
        <v>0</v>
      </c>
      <c r="G2112" s="651" t="s">
        <v>650</v>
      </c>
      <c r="H2112" s="654"/>
      <c r="I2112" s="655"/>
      <c r="J2112" s="655"/>
      <c r="K2112" s="653">
        <v>0</v>
      </c>
      <c r="L2112" s="656">
        <v>0</v>
      </c>
    </row>
    <row r="2113" spans="1:12" ht="42" x14ac:dyDescent="0.25">
      <c r="A2113" s="651" t="s">
        <v>107</v>
      </c>
      <c r="B2113" s="652">
        <v>2021</v>
      </c>
      <c r="C2113" s="651" t="s">
        <v>721</v>
      </c>
      <c r="D2113" s="651" t="s">
        <v>2259</v>
      </c>
      <c r="E2113" s="651" t="s">
        <v>143</v>
      </c>
      <c r="F2113" s="653">
        <v>0</v>
      </c>
      <c r="G2113" s="651" t="s">
        <v>650</v>
      </c>
      <c r="H2113" s="654"/>
      <c r="I2113" s="655"/>
      <c r="J2113" s="655"/>
      <c r="K2113" s="653">
        <v>0</v>
      </c>
      <c r="L2113" s="656">
        <v>0</v>
      </c>
    </row>
    <row r="2114" spans="1:12" ht="42" x14ac:dyDescent="0.25">
      <c r="A2114" s="651" t="s">
        <v>107</v>
      </c>
      <c r="B2114" s="652">
        <v>2021</v>
      </c>
      <c r="C2114" s="651" t="s">
        <v>721</v>
      </c>
      <c r="D2114" s="651" t="s">
        <v>2260</v>
      </c>
      <c r="E2114" s="651" t="s">
        <v>182</v>
      </c>
      <c r="F2114" s="653">
        <v>0</v>
      </c>
      <c r="G2114" s="651" t="s">
        <v>650</v>
      </c>
      <c r="H2114" s="654"/>
      <c r="I2114" s="655"/>
      <c r="J2114" s="655"/>
      <c r="K2114" s="653">
        <v>0</v>
      </c>
      <c r="L2114" s="656">
        <v>0</v>
      </c>
    </row>
    <row r="2115" spans="1:12" ht="42" x14ac:dyDescent="0.25">
      <c r="A2115" s="651" t="s">
        <v>107</v>
      </c>
      <c r="B2115" s="652">
        <v>2021</v>
      </c>
      <c r="C2115" s="651" t="s">
        <v>721</v>
      </c>
      <c r="D2115" s="651" t="s">
        <v>2261</v>
      </c>
      <c r="E2115" s="651" t="s">
        <v>394</v>
      </c>
      <c r="F2115" s="653">
        <v>0</v>
      </c>
      <c r="G2115" s="651" t="s">
        <v>650</v>
      </c>
      <c r="H2115" s="654"/>
      <c r="I2115" s="655"/>
      <c r="J2115" s="655"/>
      <c r="K2115" s="653">
        <v>0</v>
      </c>
      <c r="L2115" s="656">
        <v>0</v>
      </c>
    </row>
    <row r="2116" spans="1:12" ht="42" x14ac:dyDescent="0.25">
      <c r="A2116" s="651" t="s">
        <v>107</v>
      </c>
      <c r="B2116" s="652">
        <v>2021</v>
      </c>
      <c r="C2116" s="651" t="s">
        <v>721</v>
      </c>
      <c r="D2116" s="651" t="s">
        <v>2262</v>
      </c>
      <c r="E2116" s="651" t="s">
        <v>423</v>
      </c>
      <c r="F2116" s="653">
        <v>0</v>
      </c>
      <c r="G2116" s="651" t="s">
        <v>650</v>
      </c>
      <c r="H2116" s="654"/>
      <c r="I2116" s="653">
        <v>-106674.3203125</v>
      </c>
      <c r="J2116" s="653">
        <v>-15579.0595703125</v>
      </c>
      <c r="K2116" s="653">
        <v>-122253.3828125</v>
      </c>
      <c r="L2116" s="656">
        <v>-122253.38</v>
      </c>
    </row>
    <row r="2117" spans="1:12" ht="42" x14ac:dyDescent="0.25">
      <c r="A2117" s="651" t="s">
        <v>107</v>
      </c>
      <c r="B2117" s="652">
        <v>2021</v>
      </c>
      <c r="C2117" s="651" t="s">
        <v>721</v>
      </c>
      <c r="D2117" s="651" t="s">
        <v>3277</v>
      </c>
      <c r="E2117" s="651" t="s">
        <v>441</v>
      </c>
      <c r="F2117" s="653">
        <v>0</v>
      </c>
      <c r="G2117" s="651" t="s">
        <v>650</v>
      </c>
      <c r="H2117" s="654"/>
      <c r="I2117" s="653">
        <v>14603</v>
      </c>
      <c r="J2117" s="653">
        <v>271.98001098632801</v>
      </c>
      <c r="K2117" s="653">
        <v>14874.98046875</v>
      </c>
      <c r="L2117" s="656">
        <v>14874.98</v>
      </c>
    </row>
    <row r="2118" spans="1:12" ht="42" x14ac:dyDescent="0.25">
      <c r="A2118" s="651" t="s">
        <v>107</v>
      </c>
      <c r="B2118" s="652">
        <v>2021</v>
      </c>
      <c r="C2118" s="651" t="s">
        <v>721</v>
      </c>
      <c r="D2118" s="651" t="s">
        <v>2263</v>
      </c>
      <c r="E2118" s="651" t="s">
        <v>737</v>
      </c>
      <c r="F2118" s="653">
        <v>-98019.48</v>
      </c>
      <c r="G2118" s="654"/>
      <c r="H2118" s="654"/>
      <c r="I2118" s="655"/>
      <c r="J2118" s="655"/>
      <c r="K2118" s="653">
        <v>0</v>
      </c>
      <c r="L2118" s="656">
        <v>-98019.48</v>
      </c>
    </row>
    <row r="2119" spans="1:12" ht="21" x14ac:dyDescent="0.25">
      <c r="A2119" s="651" t="s">
        <v>107</v>
      </c>
      <c r="B2119" s="652">
        <v>2021</v>
      </c>
      <c r="C2119" s="651" t="s">
        <v>738</v>
      </c>
      <c r="D2119" s="651" t="s">
        <v>2264</v>
      </c>
      <c r="E2119" s="651" t="s">
        <v>7</v>
      </c>
      <c r="F2119" s="653">
        <v>0</v>
      </c>
      <c r="G2119" s="654"/>
      <c r="H2119" s="651" t="s">
        <v>650</v>
      </c>
      <c r="I2119" s="655"/>
      <c r="J2119" s="655"/>
      <c r="K2119" s="653">
        <v>0</v>
      </c>
      <c r="L2119" s="656">
        <v>0</v>
      </c>
    </row>
    <row r="2120" spans="1:12" ht="21" x14ac:dyDescent="0.25">
      <c r="A2120" s="651" t="s">
        <v>108</v>
      </c>
      <c r="B2120" s="652">
        <v>2021</v>
      </c>
      <c r="C2120" s="651" t="s">
        <v>647</v>
      </c>
      <c r="D2120" s="651" t="s">
        <v>2265</v>
      </c>
      <c r="E2120" s="651" t="s">
        <v>649</v>
      </c>
      <c r="F2120" s="653">
        <v>-19320.77</v>
      </c>
      <c r="G2120" s="654"/>
      <c r="H2120" s="651" t="s">
        <v>650</v>
      </c>
      <c r="I2120" s="655"/>
      <c r="J2120" s="655"/>
      <c r="K2120" s="653">
        <v>0</v>
      </c>
      <c r="L2120" s="656">
        <v>-19320.77</v>
      </c>
    </row>
    <row r="2121" spans="1:12" ht="14.5" x14ac:dyDescent="0.25">
      <c r="A2121" s="651" t="s">
        <v>108</v>
      </c>
      <c r="B2121" s="652">
        <v>2021</v>
      </c>
      <c r="C2121" s="651" t="s">
        <v>651</v>
      </c>
      <c r="D2121" s="651" t="s">
        <v>2266</v>
      </c>
      <c r="E2121" s="651" t="s">
        <v>653</v>
      </c>
      <c r="F2121" s="653">
        <v>197612.85</v>
      </c>
      <c r="G2121" s="654"/>
      <c r="H2121" s="651" t="s">
        <v>650</v>
      </c>
      <c r="I2121" s="655"/>
      <c r="J2121" s="655"/>
      <c r="K2121" s="653">
        <v>0</v>
      </c>
      <c r="L2121" s="656">
        <v>197612.85</v>
      </c>
    </row>
    <row r="2122" spans="1:12" ht="42" x14ac:dyDescent="0.25">
      <c r="A2122" s="651" t="s">
        <v>108</v>
      </c>
      <c r="B2122" s="652">
        <v>2021</v>
      </c>
      <c r="C2122" s="651" t="s">
        <v>654</v>
      </c>
      <c r="D2122" s="651" t="s">
        <v>2267</v>
      </c>
      <c r="E2122" s="651" t="s">
        <v>445</v>
      </c>
      <c r="F2122" s="653">
        <v>0</v>
      </c>
      <c r="G2122" s="654"/>
      <c r="H2122" s="651" t="s">
        <v>650</v>
      </c>
      <c r="I2122" s="655"/>
      <c r="J2122" s="655"/>
      <c r="K2122" s="653">
        <v>0</v>
      </c>
      <c r="L2122" s="656">
        <v>0</v>
      </c>
    </row>
    <row r="2123" spans="1:12" ht="21" x14ac:dyDescent="0.25">
      <c r="A2123" s="651" t="s">
        <v>108</v>
      </c>
      <c r="B2123" s="652">
        <v>2021</v>
      </c>
      <c r="C2123" s="651" t="s">
        <v>656</v>
      </c>
      <c r="D2123" s="651" t="s">
        <v>2268</v>
      </c>
      <c r="E2123" s="651" t="s">
        <v>658</v>
      </c>
      <c r="F2123" s="653">
        <v>0</v>
      </c>
      <c r="G2123" s="654"/>
      <c r="H2123" s="651" t="s">
        <v>650</v>
      </c>
      <c r="I2123" s="655"/>
      <c r="J2123" s="655"/>
      <c r="K2123" s="653">
        <v>0</v>
      </c>
      <c r="L2123" s="656">
        <v>0</v>
      </c>
    </row>
    <row r="2124" spans="1:12" ht="31.5" x14ac:dyDescent="0.25">
      <c r="A2124" s="651" t="s">
        <v>108</v>
      </c>
      <c r="B2124" s="652">
        <v>2021</v>
      </c>
      <c r="C2124" s="651" t="s">
        <v>659</v>
      </c>
      <c r="D2124" s="651" t="s">
        <v>2269</v>
      </c>
      <c r="E2124" s="651" t="s">
        <v>661</v>
      </c>
      <c r="F2124" s="653">
        <v>0</v>
      </c>
      <c r="G2124" s="654"/>
      <c r="H2124" s="651" t="s">
        <v>650</v>
      </c>
      <c r="I2124" s="655"/>
      <c r="J2124" s="655"/>
      <c r="K2124" s="653">
        <v>0</v>
      </c>
      <c r="L2124" s="656">
        <v>0</v>
      </c>
    </row>
    <row r="2125" spans="1:12" ht="21" x14ac:dyDescent="0.25">
      <c r="A2125" s="651" t="s">
        <v>108</v>
      </c>
      <c r="B2125" s="652">
        <v>2021</v>
      </c>
      <c r="C2125" s="651" t="s">
        <v>662</v>
      </c>
      <c r="D2125" s="651" t="s">
        <v>2270</v>
      </c>
      <c r="E2125" s="651" t="s">
        <v>664</v>
      </c>
      <c r="F2125" s="653">
        <v>0</v>
      </c>
      <c r="G2125" s="654"/>
      <c r="H2125" s="651" t="s">
        <v>650</v>
      </c>
      <c r="I2125" s="655"/>
      <c r="J2125" s="655"/>
      <c r="K2125" s="653">
        <v>0</v>
      </c>
      <c r="L2125" s="656">
        <v>0</v>
      </c>
    </row>
    <row r="2126" spans="1:12" ht="31.5" x14ac:dyDescent="0.25">
      <c r="A2126" s="651" t="s">
        <v>108</v>
      </c>
      <c r="B2126" s="652">
        <v>2021</v>
      </c>
      <c r="C2126" s="651" t="s">
        <v>665</v>
      </c>
      <c r="D2126" s="651" t="s">
        <v>2271</v>
      </c>
      <c r="E2126" s="651" t="s">
        <v>667</v>
      </c>
      <c r="F2126" s="653">
        <v>0</v>
      </c>
      <c r="G2126" s="654"/>
      <c r="H2126" s="651" t="s">
        <v>650</v>
      </c>
      <c r="I2126" s="655"/>
      <c r="J2126" s="655"/>
      <c r="K2126" s="653">
        <v>0</v>
      </c>
      <c r="L2126" s="656">
        <v>0</v>
      </c>
    </row>
    <row r="2127" spans="1:12" ht="21" x14ac:dyDescent="0.25">
      <c r="A2127" s="651" t="s">
        <v>108</v>
      </c>
      <c r="B2127" s="652">
        <v>2021</v>
      </c>
      <c r="C2127" s="651" t="s">
        <v>668</v>
      </c>
      <c r="D2127" s="651" t="s">
        <v>2272</v>
      </c>
      <c r="E2127" s="651" t="s">
        <v>12</v>
      </c>
      <c r="F2127" s="653">
        <v>0</v>
      </c>
      <c r="G2127" s="654"/>
      <c r="H2127" s="651" t="s">
        <v>650</v>
      </c>
      <c r="I2127" s="655"/>
      <c r="J2127" s="655"/>
      <c r="K2127" s="653">
        <v>0</v>
      </c>
      <c r="L2127" s="656">
        <v>0</v>
      </c>
    </row>
    <row r="2128" spans="1:12" ht="21" x14ac:dyDescent="0.25">
      <c r="A2128" s="651" t="s">
        <v>108</v>
      </c>
      <c r="B2128" s="652">
        <v>2021</v>
      </c>
      <c r="C2128" s="651" t="s">
        <v>670</v>
      </c>
      <c r="D2128" s="651" t="s">
        <v>2273</v>
      </c>
      <c r="E2128" s="651" t="s">
        <v>13</v>
      </c>
      <c r="F2128" s="653">
        <v>0</v>
      </c>
      <c r="G2128" s="654"/>
      <c r="H2128" s="651" t="s">
        <v>650</v>
      </c>
      <c r="I2128" s="655"/>
      <c r="J2128" s="655"/>
      <c r="K2128" s="653">
        <v>0</v>
      </c>
      <c r="L2128" s="656">
        <v>0</v>
      </c>
    </row>
    <row r="2129" spans="1:12" ht="21" x14ac:dyDescent="0.25">
      <c r="A2129" s="651" t="s">
        <v>108</v>
      </c>
      <c r="B2129" s="652">
        <v>2021</v>
      </c>
      <c r="C2129" s="651" t="s">
        <v>672</v>
      </c>
      <c r="D2129" s="651" t="s">
        <v>2274</v>
      </c>
      <c r="E2129" s="651" t="s">
        <v>15</v>
      </c>
      <c r="F2129" s="653">
        <v>0</v>
      </c>
      <c r="G2129" s="654"/>
      <c r="H2129" s="651" t="s">
        <v>650</v>
      </c>
      <c r="I2129" s="655"/>
      <c r="J2129" s="655"/>
      <c r="K2129" s="653">
        <v>0</v>
      </c>
      <c r="L2129" s="656">
        <v>0</v>
      </c>
    </row>
    <row r="2130" spans="1:12" ht="14.5" x14ac:dyDescent="0.25">
      <c r="A2130" s="651" t="s">
        <v>108</v>
      </c>
      <c r="B2130" s="652">
        <v>2021</v>
      </c>
      <c r="C2130" s="651" t="s">
        <v>674</v>
      </c>
      <c r="D2130" s="651" t="s">
        <v>2275</v>
      </c>
      <c r="E2130" s="651" t="s">
        <v>676</v>
      </c>
      <c r="F2130" s="653">
        <v>498.06</v>
      </c>
      <c r="G2130" s="654"/>
      <c r="H2130" s="651" t="s">
        <v>650</v>
      </c>
      <c r="I2130" s="655"/>
      <c r="J2130" s="655"/>
      <c r="K2130" s="653">
        <v>0</v>
      </c>
      <c r="L2130" s="656">
        <v>498.06</v>
      </c>
    </row>
    <row r="2131" spans="1:12" ht="14.5" x14ac:dyDescent="0.25">
      <c r="A2131" s="651" t="s">
        <v>108</v>
      </c>
      <c r="B2131" s="652">
        <v>2021</v>
      </c>
      <c r="C2131" s="651" t="s">
        <v>677</v>
      </c>
      <c r="D2131" s="651" t="s">
        <v>2276</v>
      </c>
      <c r="E2131" s="651" t="s">
        <v>23</v>
      </c>
      <c r="F2131" s="653">
        <v>1413504.14</v>
      </c>
      <c r="G2131" s="651" t="s">
        <v>650</v>
      </c>
      <c r="H2131" s="654"/>
      <c r="I2131" s="653">
        <v>1387683.5</v>
      </c>
      <c r="J2131" s="653">
        <v>25820.630859375</v>
      </c>
      <c r="K2131" s="653">
        <v>1413504.125</v>
      </c>
      <c r="L2131" s="656">
        <v>1413504.14</v>
      </c>
    </row>
    <row r="2132" spans="1:12" ht="31.5" x14ac:dyDescent="0.25">
      <c r="A2132" s="651" t="s">
        <v>108</v>
      </c>
      <c r="B2132" s="652">
        <v>2021</v>
      </c>
      <c r="C2132" s="651" t="s">
        <v>679</v>
      </c>
      <c r="D2132" s="651" t="s">
        <v>2277</v>
      </c>
      <c r="E2132" s="651" t="s">
        <v>131</v>
      </c>
      <c r="F2132" s="653">
        <v>-6474.55</v>
      </c>
      <c r="G2132" s="651" t="s">
        <v>650</v>
      </c>
      <c r="H2132" s="654"/>
      <c r="I2132" s="653">
        <v>-6027.5400390625</v>
      </c>
      <c r="J2132" s="653">
        <v>-447.010009765625</v>
      </c>
      <c r="K2132" s="653">
        <v>-6474.5498046875</v>
      </c>
      <c r="L2132" s="656">
        <v>-6474.55</v>
      </c>
    </row>
    <row r="2133" spans="1:12" ht="31.5" x14ac:dyDescent="0.25">
      <c r="A2133" s="651" t="s">
        <v>108</v>
      </c>
      <c r="B2133" s="652">
        <v>2021</v>
      </c>
      <c r="C2133" s="651" t="s">
        <v>681</v>
      </c>
      <c r="D2133" s="651" t="s">
        <v>2278</v>
      </c>
      <c r="E2133" s="651" t="s">
        <v>683</v>
      </c>
      <c r="F2133" s="653">
        <v>-7267.96</v>
      </c>
      <c r="G2133" s="654"/>
      <c r="H2133" s="651" t="s">
        <v>650</v>
      </c>
      <c r="I2133" s="655"/>
      <c r="J2133" s="655"/>
      <c r="K2133" s="653">
        <v>0</v>
      </c>
      <c r="L2133" s="656">
        <v>-7267.96</v>
      </c>
    </row>
    <row r="2134" spans="1:12" ht="21" x14ac:dyDescent="0.25">
      <c r="A2134" s="651" t="s">
        <v>108</v>
      </c>
      <c r="B2134" s="652">
        <v>2021</v>
      </c>
      <c r="C2134" s="651" t="s">
        <v>681</v>
      </c>
      <c r="D2134" s="651" t="s">
        <v>2278</v>
      </c>
      <c r="E2134" s="651" t="s">
        <v>684</v>
      </c>
      <c r="F2134" s="653">
        <v>-7267.96</v>
      </c>
      <c r="G2134" s="654"/>
      <c r="H2134" s="651" t="s">
        <v>650</v>
      </c>
      <c r="I2134" s="655"/>
      <c r="J2134" s="655"/>
      <c r="K2134" s="653">
        <v>0</v>
      </c>
      <c r="L2134" s="656">
        <v>-7267.96</v>
      </c>
    </row>
    <row r="2135" spans="1:12" ht="21" x14ac:dyDescent="0.25">
      <c r="A2135" s="651" t="s">
        <v>108</v>
      </c>
      <c r="B2135" s="652">
        <v>2021</v>
      </c>
      <c r="C2135" s="651" t="s">
        <v>685</v>
      </c>
      <c r="D2135" s="651" t="s">
        <v>2279</v>
      </c>
      <c r="E2135" s="651" t="s">
        <v>687</v>
      </c>
      <c r="F2135" s="653">
        <v>44453.71</v>
      </c>
      <c r="G2135" s="654"/>
      <c r="H2135" s="651" t="s">
        <v>650</v>
      </c>
      <c r="I2135" s="655"/>
      <c r="J2135" s="655"/>
      <c r="K2135" s="653">
        <v>0</v>
      </c>
      <c r="L2135" s="656">
        <v>44453.71</v>
      </c>
    </row>
    <row r="2136" spans="1:12" ht="14.5" x14ac:dyDescent="0.25">
      <c r="A2136" s="651" t="s">
        <v>108</v>
      </c>
      <c r="B2136" s="652">
        <v>2021</v>
      </c>
      <c r="C2136" s="651" t="s">
        <v>688</v>
      </c>
      <c r="D2136" s="651" t="s">
        <v>2280</v>
      </c>
      <c r="E2136" s="651" t="s">
        <v>50</v>
      </c>
      <c r="F2136" s="653">
        <v>0</v>
      </c>
      <c r="G2136" s="654"/>
      <c r="H2136" s="651" t="s">
        <v>650</v>
      </c>
      <c r="I2136" s="655"/>
      <c r="J2136" s="655"/>
      <c r="K2136" s="653">
        <v>0</v>
      </c>
      <c r="L2136" s="656">
        <v>0</v>
      </c>
    </row>
    <row r="2137" spans="1:12" ht="21" x14ac:dyDescent="0.25">
      <c r="A2137" s="651" t="s">
        <v>108</v>
      </c>
      <c r="B2137" s="652">
        <v>2021</v>
      </c>
      <c r="C2137" s="651" t="s">
        <v>690</v>
      </c>
      <c r="D2137" s="651" t="s">
        <v>2281</v>
      </c>
      <c r="E2137" s="651" t="s">
        <v>692</v>
      </c>
      <c r="F2137" s="653">
        <v>0</v>
      </c>
      <c r="G2137" s="654"/>
      <c r="H2137" s="651" t="s">
        <v>650</v>
      </c>
      <c r="I2137" s="655"/>
      <c r="J2137" s="655"/>
      <c r="K2137" s="653">
        <v>0</v>
      </c>
      <c r="L2137" s="656">
        <v>0</v>
      </c>
    </row>
    <row r="2138" spans="1:12" ht="21" x14ac:dyDescent="0.25">
      <c r="A2138" s="651" t="s">
        <v>108</v>
      </c>
      <c r="B2138" s="652">
        <v>2021</v>
      </c>
      <c r="C2138" s="651" t="s">
        <v>693</v>
      </c>
      <c r="D2138" s="651" t="s">
        <v>2282</v>
      </c>
      <c r="E2138" s="651" t="s">
        <v>6</v>
      </c>
      <c r="F2138" s="653">
        <v>0</v>
      </c>
      <c r="G2138" s="654"/>
      <c r="H2138" s="651" t="s">
        <v>650</v>
      </c>
      <c r="I2138" s="655"/>
      <c r="J2138" s="655"/>
      <c r="K2138" s="653">
        <v>0</v>
      </c>
      <c r="L2138" s="656">
        <v>0</v>
      </c>
    </row>
    <row r="2139" spans="1:12" ht="31.5" x14ac:dyDescent="0.25">
      <c r="A2139" s="651" t="s">
        <v>108</v>
      </c>
      <c r="B2139" s="652">
        <v>2021</v>
      </c>
      <c r="C2139" s="651" t="s">
        <v>695</v>
      </c>
      <c r="D2139" s="651" t="s">
        <v>2283</v>
      </c>
      <c r="E2139" s="651" t="s">
        <v>697</v>
      </c>
      <c r="F2139" s="653">
        <v>0</v>
      </c>
      <c r="G2139" s="654"/>
      <c r="H2139" s="651" t="s">
        <v>650</v>
      </c>
      <c r="I2139" s="655"/>
      <c r="J2139" s="655"/>
      <c r="K2139" s="653">
        <v>0</v>
      </c>
      <c r="L2139" s="656">
        <v>0</v>
      </c>
    </row>
    <row r="2140" spans="1:12" ht="21" x14ac:dyDescent="0.25">
      <c r="A2140" s="651" t="s">
        <v>108</v>
      </c>
      <c r="B2140" s="652">
        <v>2021</v>
      </c>
      <c r="C2140" s="651" t="s">
        <v>698</v>
      </c>
      <c r="D2140" s="651" t="s">
        <v>2284</v>
      </c>
      <c r="E2140" s="651" t="s">
        <v>700</v>
      </c>
      <c r="F2140" s="653">
        <v>-20093.07</v>
      </c>
      <c r="G2140" s="654"/>
      <c r="H2140" s="651" t="s">
        <v>650</v>
      </c>
      <c r="I2140" s="655"/>
      <c r="J2140" s="655"/>
      <c r="K2140" s="653">
        <v>0</v>
      </c>
      <c r="L2140" s="656">
        <v>-20093.07</v>
      </c>
    </row>
    <row r="2141" spans="1:12" ht="21" x14ac:dyDescent="0.25">
      <c r="A2141" s="651" t="s">
        <v>108</v>
      </c>
      <c r="B2141" s="652">
        <v>2021</v>
      </c>
      <c r="C2141" s="651" t="s">
        <v>701</v>
      </c>
      <c r="D2141" s="651" t="s">
        <v>2285</v>
      </c>
      <c r="E2141" s="651" t="s">
        <v>1</v>
      </c>
      <c r="F2141" s="653">
        <v>-202468.21</v>
      </c>
      <c r="G2141" s="651" t="s">
        <v>650</v>
      </c>
      <c r="H2141" s="654"/>
      <c r="I2141" s="653">
        <v>-197163.75</v>
      </c>
      <c r="J2141" s="653">
        <v>-5304.4599609375</v>
      </c>
      <c r="K2141" s="653">
        <v>-202468.203125</v>
      </c>
      <c r="L2141" s="656">
        <v>-202468.21</v>
      </c>
    </row>
    <row r="2142" spans="1:12" ht="21" x14ac:dyDescent="0.25">
      <c r="A2142" s="651" t="s">
        <v>108</v>
      </c>
      <c r="B2142" s="652">
        <v>2021</v>
      </c>
      <c r="C2142" s="651" t="s">
        <v>701</v>
      </c>
      <c r="D2142" s="651" t="s">
        <v>2285</v>
      </c>
      <c r="E2142" s="651" t="s">
        <v>703</v>
      </c>
      <c r="F2142" s="653">
        <v>93.95</v>
      </c>
      <c r="G2142" s="654"/>
      <c r="H2142" s="654"/>
      <c r="I2142" s="655"/>
      <c r="J2142" s="655"/>
      <c r="K2142" s="653">
        <v>0</v>
      </c>
      <c r="L2142" s="656">
        <v>93.95</v>
      </c>
    </row>
    <row r="2143" spans="1:12" ht="21" x14ac:dyDescent="0.25">
      <c r="A2143" s="651" t="s">
        <v>108</v>
      </c>
      <c r="B2143" s="652">
        <v>2021</v>
      </c>
      <c r="C2143" s="651" t="s">
        <v>701</v>
      </c>
      <c r="D2143" s="651" t="s">
        <v>2285</v>
      </c>
      <c r="E2143" s="651" t="s">
        <v>704</v>
      </c>
      <c r="F2143" s="653">
        <v>1241.99</v>
      </c>
      <c r="G2143" s="654"/>
      <c r="H2143" s="654"/>
      <c r="I2143" s="655"/>
      <c r="J2143" s="655"/>
      <c r="K2143" s="653">
        <v>0</v>
      </c>
      <c r="L2143" s="656">
        <v>1241.99</v>
      </c>
    </row>
    <row r="2144" spans="1:12" ht="21" x14ac:dyDescent="0.25">
      <c r="A2144" s="651" t="s">
        <v>108</v>
      </c>
      <c r="B2144" s="652">
        <v>2021</v>
      </c>
      <c r="C2144" s="651" t="s">
        <v>701</v>
      </c>
      <c r="D2144" s="651" t="s">
        <v>2285</v>
      </c>
      <c r="E2144" s="651" t="s">
        <v>705</v>
      </c>
      <c r="F2144" s="653">
        <v>-565.84</v>
      </c>
      <c r="G2144" s="654"/>
      <c r="H2144" s="654"/>
      <c r="I2144" s="655"/>
      <c r="J2144" s="655"/>
      <c r="K2144" s="653">
        <v>0</v>
      </c>
      <c r="L2144" s="656">
        <v>-565.84</v>
      </c>
    </row>
    <row r="2145" spans="1:12" ht="21" x14ac:dyDescent="0.25">
      <c r="A2145" s="651" t="s">
        <v>108</v>
      </c>
      <c r="B2145" s="652">
        <v>2021</v>
      </c>
      <c r="C2145" s="651" t="s">
        <v>701</v>
      </c>
      <c r="D2145" s="651" t="s">
        <v>2285</v>
      </c>
      <c r="E2145" s="651" t="s">
        <v>706</v>
      </c>
      <c r="F2145" s="653">
        <v>-25428.48</v>
      </c>
      <c r="G2145" s="654"/>
      <c r="H2145" s="654"/>
      <c r="I2145" s="655"/>
      <c r="J2145" s="655"/>
      <c r="K2145" s="653">
        <v>0</v>
      </c>
      <c r="L2145" s="656">
        <v>-25428.48</v>
      </c>
    </row>
    <row r="2146" spans="1:12" ht="14.5" x14ac:dyDescent="0.25">
      <c r="A2146" s="651" t="s">
        <v>108</v>
      </c>
      <c r="B2146" s="652">
        <v>2021</v>
      </c>
      <c r="C2146" s="651" t="s">
        <v>707</v>
      </c>
      <c r="D2146" s="651" t="s">
        <v>2286</v>
      </c>
      <c r="E2146" s="651" t="s">
        <v>709</v>
      </c>
      <c r="F2146" s="653">
        <v>0</v>
      </c>
      <c r="G2146" s="654"/>
      <c r="H2146" s="651" t="s">
        <v>650</v>
      </c>
      <c r="I2146" s="655"/>
      <c r="J2146" s="655"/>
      <c r="K2146" s="653">
        <v>0</v>
      </c>
      <c r="L2146" s="656">
        <v>0</v>
      </c>
    </row>
    <row r="2147" spans="1:12" ht="31.5" x14ac:dyDescent="0.25">
      <c r="A2147" s="651" t="s">
        <v>108</v>
      </c>
      <c r="B2147" s="652">
        <v>2021</v>
      </c>
      <c r="C2147" s="651" t="s">
        <v>710</v>
      </c>
      <c r="D2147" s="651" t="s">
        <v>2287</v>
      </c>
      <c r="E2147" s="651" t="s">
        <v>2</v>
      </c>
      <c r="F2147" s="653">
        <v>113488.85</v>
      </c>
      <c r="G2147" s="651" t="s">
        <v>650</v>
      </c>
      <c r="H2147" s="654"/>
      <c r="I2147" s="653">
        <v>115174.7890625</v>
      </c>
      <c r="J2147" s="653">
        <v>-1685.93994140625</v>
      </c>
      <c r="K2147" s="653">
        <v>113488.8515625</v>
      </c>
      <c r="L2147" s="656">
        <v>113488.85</v>
      </c>
    </row>
    <row r="2148" spans="1:12" ht="31.5" x14ac:dyDescent="0.25">
      <c r="A2148" s="651" t="s">
        <v>108</v>
      </c>
      <c r="B2148" s="652">
        <v>2021</v>
      </c>
      <c r="C2148" s="651" t="s">
        <v>712</v>
      </c>
      <c r="D2148" s="651" t="s">
        <v>2288</v>
      </c>
      <c r="E2148" s="651" t="s">
        <v>3</v>
      </c>
      <c r="F2148" s="653">
        <v>162008.75</v>
      </c>
      <c r="G2148" s="651" t="s">
        <v>650</v>
      </c>
      <c r="H2148" s="654"/>
      <c r="I2148" s="653">
        <v>161735.859375</v>
      </c>
      <c r="J2148" s="653">
        <v>272.89001464843801</v>
      </c>
      <c r="K2148" s="653">
        <v>162008.75</v>
      </c>
      <c r="L2148" s="656">
        <v>162008.75</v>
      </c>
    </row>
    <row r="2149" spans="1:12" ht="31.5" x14ac:dyDescent="0.25">
      <c r="A2149" s="651" t="s">
        <v>108</v>
      </c>
      <c r="B2149" s="652">
        <v>2021</v>
      </c>
      <c r="C2149" s="651" t="s">
        <v>714</v>
      </c>
      <c r="D2149" s="651" t="s">
        <v>2289</v>
      </c>
      <c r="E2149" s="651" t="s">
        <v>38</v>
      </c>
      <c r="F2149" s="653">
        <v>327689.87</v>
      </c>
      <c r="G2149" s="651" t="s">
        <v>650</v>
      </c>
      <c r="H2149" s="654"/>
      <c r="I2149" s="653">
        <v>310954.5625</v>
      </c>
      <c r="J2149" s="653">
        <v>16735.310546875</v>
      </c>
      <c r="K2149" s="653">
        <v>327689.875</v>
      </c>
      <c r="L2149" s="656">
        <v>327689.87</v>
      </c>
    </row>
    <row r="2150" spans="1:12" ht="21" x14ac:dyDescent="0.25">
      <c r="A2150" s="651" t="s">
        <v>108</v>
      </c>
      <c r="B2150" s="652">
        <v>2021</v>
      </c>
      <c r="C2150" s="651" t="s">
        <v>716</v>
      </c>
      <c r="D2150" s="651" t="s">
        <v>2290</v>
      </c>
      <c r="E2150" s="651" t="s">
        <v>66</v>
      </c>
      <c r="F2150" s="653">
        <v>1016786.55</v>
      </c>
      <c r="G2150" s="651" t="s">
        <v>650</v>
      </c>
      <c r="H2150" s="654"/>
      <c r="I2150" s="653">
        <v>976019.0625</v>
      </c>
      <c r="J2150" s="653">
        <v>40767.5</v>
      </c>
      <c r="K2150" s="653">
        <v>1016786.5625</v>
      </c>
      <c r="L2150" s="656">
        <v>1016786.55</v>
      </c>
    </row>
    <row r="2151" spans="1:12" ht="31.5" x14ac:dyDescent="0.25">
      <c r="A2151" s="651" t="s">
        <v>108</v>
      </c>
      <c r="B2151" s="652">
        <v>2021</v>
      </c>
      <c r="C2151" s="651" t="s">
        <v>718</v>
      </c>
      <c r="D2151" s="651" t="s">
        <v>2291</v>
      </c>
      <c r="E2151" s="651" t="s">
        <v>720</v>
      </c>
      <c r="F2151" s="653">
        <v>-66918.539999999994</v>
      </c>
      <c r="G2151" s="654"/>
      <c r="H2151" s="651" t="s">
        <v>650</v>
      </c>
      <c r="I2151" s="655"/>
      <c r="J2151" s="655"/>
      <c r="K2151" s="653">
        <v>0</v>
      </c>
      <c r="L2151" s="656">
        <v>-66918.539999999994</v>
      </c>
    </row>
    <row r="2152" spans="1:12" ht="42" x14ac:dyDescent="0.25">
      <c r="A2152" s="651" t="s">
        <v>108</v>
      </c>
      <c r="B2152" s="652">
        <v>2021</v>
      </c>
      <c r="C2152" s="651" t="s">
        <v>721</v>
      </c>
      <c r="D2152" s="651" t="s">
        <v>2292</v>
      </c>
      <c r="E2152" s="651" t="s">
        <v>3016</v>
      </c>
      <c r="F2152" s="653">
        <v>0</v>
      </c>
      <c r="G2152" s="651" t="s">
        <v>650</v>
      </c>
      <c r="H2152" s="654"/>
      <c r="I2152" s="653">
        <v>-9186.66015625</v>
      </c>
      <c r="J2152" s="653">
        <v>1956.47998046875</v>
      </c>
      <c r="K2152" s="653">
        <v>-7230.18017578125</v>
      </c>
      <c r="L2152" s="656">
        <v>-7230.18</v>
      </c>
    </row>
    <row r="2153" spans="1:12" ht="42" x14ac:dyDescent="0.25">
      <c r="A2153" s="651" t="s">
        <v>108</v>
      </c>
      <c r="B2153" s="652">
        <v>2021</v>
      </c>
      <c r="C2153" s="651" t="s">
        <v>721</v>
      </c>
      <c r="D2153" s="651" t="s">
        <v>2292</v>
      </c>
      <c r="E2153" s="651" t="s">
        <v>3058</v>
      </c>
      <c r="F2153" s="653">
        <v>0</v>
      </c>
      <c r="G2153" s="651" t="s">
        <v>650</v>
      </c>
      <c r="H2153" s="654"/>
      <c r="I2153" s="653">
        <v>265440.0625</v>
      </c>
      <c r="J2153" s="653">
        <v>1564.30004882813</v>
      </c>
      <c r="K2153" s="653">
        <v>267004.375</v>
      </c>
      <c r="L2153" s="656">
        <v>267004.36</v>
      </c>
    </row>
    <row r="2154" spans="1:12" ht="42" x14ac:dyDescent="0.25">
      <c r="A2154" s="651" t="s">
        <v>108</v>
      </c>
      <c r="B2154" s="652">
        <v>2021</v>
      </c>
      <c r="C2154" s="651" t="s">
        <v>721</v>
      </c>
      <c r="D2154" s="651" t="s">
        <v>2293</v>
      </c>
      <c r="E2154" s="651" t="s">
        <v>724</v>
      </c>
      <c r="F2154" s="653">
        <v>0</v>
      </c>
      <c r="G2154" s="651" t="s">
        <v>650</v>
      </c>
      <c r="H2154" s="654"/>
      <c r="I2154" s="655"/>
      <c r="J2154" s="655"/>
      <c r="K2154" s="653">
        <v>0</v>
      </c>
      <c r="L2154" s="656">
        <v>0</v>
      </c>
    </row>
    <row r="2155" spans="1:12" ht="42" x14ac:dyDescent="0.25">
      <c r="A2155" s="651" t="s">
        <v>108</v>
      </c>
      <c r="B2155" s="652">
        <v>2021</v>
      </c>
      <c r="C2155" s="651" t="s">
        <v>721</v>
      </c>
      <c r="D2155" s="651" t="s">
        <v>2294</v>
      </c>
      <c r="E2155" s="651" t="s">
        <v>55</v>
      </c>
      <c r="F2155" s="653">
        <v>0</v>
      </c>
      <c r="G2155" s="651" t="s">
        <v>650</v>
      </c>
      <c r="H2155" s="654"/>
      <c r="I2155" s="655"/>
      <c r="J2155" s="655"/>
      <c r="K2155" s="653">
        <v>0</v>
      </c>
      <c r="L2155" s="656">
        <v>0</v>
      </c>
    </row>
    <row r="2156" spans="1:12" ht="42" x14ac:dyDescent="0.25">
      <c r="A2156" s="651" t="s">
        <v>108</v>
      </c>
      <c r="B2156" s="652">
        <v>2021</v>
      </c>
      <c r="C2156" s="651" t="s">
        <v>721</v>
      </c>
      <c r="D2156" s="651" t="s">
        <v>2295</v>
      </c>
      <c r="E2156" s="651" t="s">
        <v>56</v>
      </c>
      <c r="F2156" s="653">
        <v>0</v>
      </c>
      <c r="G2156" s="651" t="s">
        <v>650</v>
      </c>
      <c r="H2156" s="654"/>
      <c r="I2156" s="655"/>
      <c r="J2156" s="655"/>
      <c r="K2156" s="653">
        <v>0</v>
      </c>
      <c r="L2156" s="656">
        <v>0</v>
      </c>
    </row>
    <row r="2157" spans="1:12" ht="42" x14ac:dyDescent="0.25">
      <c r="A2157" s="651" t="s">
        <v>108</v>
      </c>
      <c r="B2157" s="652">
        <v>2021</v>
      </c>
      <c r="C2157" s="651" t="s">
        <v>721</v>
      </c>
      <c r="D2157" s="651" t="s">
        <v>2296</v>
      </c>
      <c r="E2157" s="651" t="s">
        <v>728</v>
      </c>
      <c r="F2157" s="653">
        <v>0</v>
      </c>
      <c r="G2157" s="651" t="s">
        <v>650</v>
      </c>
      <c r="H2157" s="654"/>
      <c r="I2157" s="655"/>
      <c r="J2157" s="655"/>
      <c r="K2157" s="653">
        <v>0</v>
      </c>
      <c r="L2157" s="656">
        <v>0</v>
      </c>
    </row>
    <row r="2158" spans="1:12" ht="42" x14ac:dyDescent="0.25">
      <c r="A2158" s="651" t="s">
        <v>108</v>
      </c>
      <c r="B2158" s="652">
        <v>2021</v>
      </c>
      <c r="C2158" s="651" t="s">
        <v>721</v>
      </c>
      <c r="D2158" s="651" t="s">
        <v>2297</v>
      </c>
      <c r="E2158" s="651" t="s">
        <v>730</v>
      </c>
      <c r="F2158" s="653">
        <v>0</v>
      </c>
      <c r="G2158" s="651" t="s">
        <v>650</v>
      </c>
      <c r="H2158" s="654"/>
      <c r="I2158" s="655"/>
      <c r="J2158" s="655"/>
      <c r="K2158" s="653">
        <v>0</v>
      </c>
      <c r="L2158" s="656">
        <v>0</v>
      </c>
    </row>
    <row r="2159" spans="1:12" ht="42" x14ac:dyDescent="0.25">
      <c r="A2159" s="651" t="s">
        <v>108</v>
      </c>
      <c r="B2159" s="652">
        <v>2021</v>
      </c>
      <c r="C2159" s="651" t="s">
        <v>721</v>
      </c>
      <c r="D2159" s="651" t="s">
        <v>2298</v>
      </c>
      <c r="E2159" s="651" t="s">
        <v>142</v>
      </c>
      <c r="F2159" s="653">
        <v>0</v>
      </c>
      <c r="G2159" s="651" t="s">
        <v>650</v>
      </c>
      <c r="H2159" s="654"/>
      <c r="I2159" s="655"/>
      <c r="J2159" s="655"/>
      <c r="K2159" s="653">
        <v>0</v>
      </c>
      <c r="L2159" s="656">
        <v>0</v>
      </c>
    </row>
    <row r="2160" spans="1:12" ht="42" x14ac:dyDescent="0.25">
      <c r="A2160" s="651" t="s">
        <v>108</v>
      </c>
      <c r="B2160" s="652">
        <v>2021</v>
      </c>
      <c r="C2160" s="651" t="s">
        <v>721</v>
      </c>
      <c r="D2160" s="651" t="s">
        <v>2299</v>
      </c>
      <c r="E2160" s="651" t="s">
        <v>143</v>
      </c>
      <c r="F2160" s="653">
        <v>0</v>
      </c>
      <c r="G2160" s="651" t="s">
        <v>650</v>
      </c>
      <c r="H2160" s="654"/>
      <c r="I2160" s="655"/>
      <c r="J2160" s="655"/>
      <c r="K2160" s="653">
        <v>0</v>
      </c>
      <c r="L2160" s="656">
        <v>0</v>
      </c>
    </row>
    <row r="2161" spans="1:12" ht="42" x14ac:dyDescent="0.25">
      <c r="A2161" s="651" t="s">
        <v>108</v>
      </c>
      <c r="B2161" s="652">
        <v>2021</v>
      </c>
      <c r="C2161" s="651" t="s">
        <v>721</v>
      </c>
      <c r="D2161" s="651" t="s">
        <v>2300</v>
      </c>
      <c r="E2161" s="651" t="s">
        <v>182</v>
      </c>
      <c r="F2161" s="653">
        <v>0</v>
      </c>
      <c r="G2161" s="651" t="s">
        <v>650</v>
      </c>
      <c r="H2161" s="654"/>
      <c r="I2161" s="655"/>
      <c r="J2161" s="655"/>
      <c r="K2161" s="653">
        <v>0</v>
      </c>
      <c r="L2161" s="656">
        <v>0</v>
      </c>
    </row>
    <row r="2162" spans="1:12" ht="42" x14ac:dyDescent="0.25">
      <c r="A2162" s="651" t="s">
        <v>108</v>
      </c>
      <c r="B2162" s="652">
        <v>2021</v>
      </c>
      <c r="C2162" s="651" t="s">
        <v>721</v>
      </c>
      <c r="D2162" s="651" t="s">
        <v>2301</v>
      </c>
      <c r="E2162" s="651" t="s">
        <v>394</v>
      </c>
      <c r="F2162" s="653">
        <v>0</v>
      </c>
      <c r="G2162" s="651" t="s">
        <v>650</v>
      </c>
      <c r="H2162" s="654"/>
      <c r="I2162" s="655"/>
      <c r="J2162" s="655"/>
      <c r="K2162" s="653">
        <v>0</v>
      </c>
      <c r="L2162" s="656">
        <v>0</v>
      </c>
    </row>
    <row r="2163" spans="1:12" ht="42" x14ac:dyDescent="0.25">
      <c r="A2163" s="651" t="s">
        <v>108</v>
      </c>
      <c r="B2163" s="652">
        <v>2021</v>
      </c>
      <c r="C2163" s="651" t="s">
        <v>721</v>
      </c>
      <c r="D2163" s="651" t="s">
        <v>2302</v>
      </c>
      <c r="E2163" s="651" t="s">
        <v>423</v>
      </c>
      <c r="F2163" s="653">
        <v>0</v>
      </c>
      <c r="G2163" s="651" t="s">
        <v>650</v>
      </c>
      <c r="H2163" s="654"/>
      <c r="I2163" s="655"/>
      <c r="J2163" s="655"/>
      <c r="K2163" s="653">
        <v>0</v>
      </c>
      <c r="L2163" s="656">
        <v>0</v>
      </c>
    </row>
    <row r="2164" spans="1:12" ht="42" x14ac:dyDescent="0.25">
      <c r="A2164" s="651" t="s">
        <v>108</v>
      </c>
      <c r="B2164" s="652">
        <v>2021</v>
      </c>
      <c r="C2164" s="651" t="s">
        <v>721</v>
      </c>
      <c r="D2164" s="651" t="s">
        <v>3278</v>
      </c>
      <c r="E2164" s="651" t="s">
        <v>441</v>
      </c>
      <c r="F2164" s="653">
        <v>0</v>
      </c>
      <c r="G2164" s="651" t="s">
        <v>650</v>
      </c>
      <c r="H2164" s="654"/>
      <c r="I2164" s="653">
        <v>-5054.7001953125</v>
      </c>
      <c r="J2164" s="653">
        <v>2529.40991210938</v>
      </c>
      <c r="K2164" s="653">
        <v>-2525.2900390625</v>
      </c>
      <c r="L2164" s="656">
        <v>-2525.29</v>
      </c>
    </row>
    <row r="2165" spans="1:12" ht="42" x14ac:dyDescent="0.25">
      <c r="A2165" s="651" t="s">
        <v>108</v>
      </c>
      <c r="B2165" s="652">
        <v>2021</v>
      </c>
      <c r="C2165" s="651" t="s">
        <v>721</v>
      </c>
      <c r="D2165" s="651" t="s">
        <v>2303</v>
      </c>
      <c r="E2165" s="651" t="s">
        <v>737</v>
      </c>
      <c r="F2165" s="653">
        <v>257248.89</v>
      </c>
      <c r="G2165" s="654"/>
      <c r="H2165" s="654"/>
      <c r="I2165" s="655"/>
      <c r="J2165" s="655"/>
      <c r="K2165" s="653">
        <v>0</v>
      </c>
      <c r="L2165" s="656">
        <v>257248.89</v>
      </c>
    </row>
    <row r="2166" spans="1:12" ht="14.5" x14ac:dyDescent="0.25">
      <c r="A2166" s="651" t="s">
        <v>108</v>
      </c>
      <c r="B2166" s="652">
        <v>2021</v>
      </c>
      <c r="C2166" s="651" t="s">
        <v>738</v>
      </c>
      <c r="D2166" s="651" t="s">
        <v>2304</v>
      </c>
      <c r="E2166" s="651" t="s">
        <v>7</v>
      </c>
      <c r="F2166" s="653">
        <v>0</v>
      </c>
      <c r="G2166" s="654"/>
      <c r="H2166" s="651" t="s">
        <v>650</v>
      </c>
      <c r="I2166" s="655"/>
      <c r="J2166" s="655"/>
      <c r="K2166" s="653">
        <v>0</v>
      </c>
      <c r="L2166" s="656">
        <v>0</v>
      </c>
    </row>
    <row r="2167" spans="1:12" ht="21" x14ac:dyDescent="0.25">
      <c r="A2167" s="651" t="s">
        <v>109</v>
      </c>
      <c r="B2167" s="652">
        <v>2021</v>
      </c>
      <c r="C2167" s="651" t="s">
        <v>647</v>
      </c>
      <c r="D2167" s="651" t="s">
        <v>2305</v>
      </c>
      <c r="E2167" s="651" t="s">
        <v>649</v>
      </c>
      <c r="F2167" s="653">
        <v>-27592</v>
      </c>
      <c r="G2167" s="654"/>
      <c r="H2167" s="651" t="s">
        <v>650</v>
      </c>
      <c r="I2167" s="655"/>
      <c r="J2167" s="655"/>
      <c r="K2167" s="653">
        <v>0</v>
      </c>
      <c r="L2167" s="656">
        <v>-27592</v>
      </c>
    </row>
    <row r="2168" spans="1:12" ht="21" x14ac:dyDescent="0.25">
      <c r="A2168" s="651" t="s">
        <v>109</v>
      </c>
      <c r="B2168" s="652">
        <v>2021</v>
      </c>
      <c r="C2168" s="651" t="s">
        <v>651</v>
      </c>
      <c r="D2168" s="651" t="s">
        <v>2306</v>
      </c>
      <c r="E2168" s="651" t="s">
        <v>653</v>
      </c>
      <c r="F2168" s="653">
        <v>-209231</v>
      </c>
      <c r="G2168" s="654"/>
      <c r="H2168" s="651" t="s">
        <v>650</v>
      </c>
      <c r="I2168" s="655"/>
      <c r="J2168" s="655"/>
      <c r="K2168" s="653">
        <v>0</v>
      </c>
      <c r="L2168" s="656">
        <v>-209231</v>
      </c>
    </row>
    <row r="2169" spans="1:12" ht="42" x14ac:dyDescent="0.25">
      <c r="A2169" s="651" t="s">
        <v>109</v>
      </c>
      <c r="B2169" s="652">
        <v>2021</v>
      </c>
      <c r="C2169" s="651" t="s">
        <v>654</v>
      </c>
      <c r="D2169" s="651" t="s">
        <v>2307</v>
      </c>
      <c r="E2169" s="651" t="s">
        <v>445</v>
      </c>
      <c r="F2169" s="653">
        <v>0</v>
      </c>
      <c r="G2169" s="654"/>
      <c r="H2169" s="651" t="s">
        <v>650</v>
      </c>
      <c r="I2169" s="655"/>
      <c r="J2169" s="655"/>
      <c r="K2169" s="653">
        <v>0</v>
      </c>
      <c r="L2169" s="656">
        <v>0</v>
      </c>
    </row>
    <row r="2170" spans="1:12" ht="21" x14ac:dyDescent="0.25">
      <c r="A2170" s="651" t="s">
        <v>109</v>
      </c>
      <c r="B2170" s="652">
        <v>2021</v>
      </c>
      <c r="C2170" s="651" t="s">
        <v>656</v>
      </c>
      <c r="D2170" s="651" t="s">
        <v>2308</v>
      </c>
      <c r="E2170" s="651" t="s">
        <v>658</v>
      </c>
      <c r="F2170" s="653">
        <v>0</v>
      </c>
      <c r="G2170" s="654"/>
      <c r="H2170" s="651" t="s">
        <v>650</v>
      </c>
      <c r="I2170" s="655"/>
      <c r="J2170" s="655"/>
      <c r="K2170" s="653">
        <v>0</v>
      </c>
      <c r="L2170" s="656">
        <v>0</v>
      </c>
    </row>
    <row r="2171" spans="1:12" ht="31.5" x14ac:dyDescent="0.25">
      <c r="A2171" s="651" t="s">
        <v>109</v>
      </c>
      <c r="B2171" s="652">
        <v>2021</v>
      </c>
      <c r="C2171" s="651" t="s">
        <v>659</v>
      </c>
      <c r="D2171" s="651" t="s">
        <v>2309</v>
      </c>
      <c r="E2171" s="651" t="s">
        <v>661</v>
      </c>
      <c r="F2171" s="653">
        <v>0</v>
      </c>
      <c r="G2171" s="654"/>
      <c r="H2171" s="651" t="s">
        <v>650</v>
      </c>
      <c r="I2171" s="655"/>
      <c r="J2171" s="655"/>
      <c r="K2171" s="653">
        <v>0</v>
      </c>
      <c r="L2171" s="656">
        <v>0</v>
      </c>
    </row>
    <row r="2172" spans="1:12" ht="21" x14ac:dyDescent="0.25">
      <c r="A2172" s="651" t="s">
        <v>109</v>
      </c>
      <c r="B2172" s="652">
        <v>2021</v>
      </c>
      <c r="C2172" s="651" t="s">
        <v>662</v>
      </c>
      <c r="D2172" s="651" t="s">
        <v>2310</v>
      </c>
      <c r="E2172" s="651" t="s">
        <v>664</v>
      </c>
      <c r="F2172" s="653">
        <v>0</v>
      </c>
      <c r="G2172" s="654"/>
      <c r="H2172" s="651" t="s">
        <v>650</v>
      </c>
      <c r="I2172" s="655"/>
      <c r="J2172" s="655"/>
      <c r="K2172" s="653">
        <v>0</v>
      </c>
      <c r="L2172" s="656">
        <v>0</v>
      </c>
    </row>
    <row r="2173" spans="1:12" ht="31.5" x14ac:dyDescent="0.25">
      <c r="A2173" s="651" t="s">
        <v>109</v>
      </c>
      <c r="B2173" s="652">
        <v>2021</v>
      </c>
      <c r="C2173" s="651" t="s">
        <v>665</v>
      </c>
      <c r="D2173" s="651" t="s">
        <v>2311</v>
      </c>
      <c r="E2173" s="651" t="s">
        <v>667</v>
      </c>
      <c r="F2173" s="653">
        <v>0</v>
      </c>
      <c r="G2173" s="654"/>
      <c r="H2173" s="651" t="s">
        <v>650</v>
      </c>
      <c r="I2173" s="655"/>
      <c r="J2173" s="655"/>
      <c r="K2173" s="653">
        <v>0</v>
      </c>
      <c r="L2173" s="656">
        <v>0</v>
      </c>
    </row>
    <row r="2174" spans="1:12" ht="21" x14ac:dyDescent="0.25">
      <c r="A2174" s="651" t="s">
        <v>109</v>
      </c>
      <c r="B2174" s="652">
        <v>2021</v>
      </c>
      <c r="C2174" s="651" t="s">
        <v>668</v>
      </c>
      <c r="D2174" s="651" t="s">
        <v>2312</v>
      </c>
      <c r="E2174" s="651" t="s">
        <v>12</v>
      </c>
      <c r="F2174" s="653">
        <v>0</v>
      </c>
      <c r="G2174" s="654"/>
      <c r="H2174" s="651" t="s">
        <v>650</v>
      </c>
      <c r="I2174" s="655"/>
      <c r="J2174" s="655"/>
      <c r="K2174" s="653">
        <v>0</v>
      </c>
      <c r="L2174" s="656">
        <v>0</v>
      </c>
    </row>
    <row r="2175" spans="1:12" ht="21" x14ac:dyDescent="0.25">
      <c r="A2175" s="651" t="s">
        <v>109</v>
      </c>
      <c r="B2175" s="652">
        <v>2021</v>
      </c>
      <c r="C2175" s="651" t="s">
        <v>670</v>
      </c>
      <c r="D2175" s="651" t="s">
        <v>2313</v>
      </c>
      <c r="E2175" s="651" t="s">
        <v>13</v>
      </c>
      <c r="F2175" s="653">
        <v>0</v>
      </c>
      <c r="G2175" s="654"/>
      <c r="H2175" s="651" t="s">
        <v>650</v>
      </c>
      <c r="I2175" s="655"/>
      <c r="J2175" s="655"/>
      <c r="K2175" s="653">
        <v>0</v>
      </c>
      <c r="L2175" s="656">
        <v>0</v>
      </c>
    </row>
    <row r="2176" spans="1:12" ht="21" x14ac:dyDescent="0.25">
      <c r="A2176" s="651" t="s">
        <v>109</v>
      </c>
      <c r="B2176" s="652">
        <v>2021</v>
      </c>
      <c r="C2176" s="651" t="s">
        <v>672</v>
      </c>
      <c r="D2176" s="651" t="s">
        <v>2314</v>
      </c>
      <c r="E2176" s="651" t="s">
        <v>15</v>
      </c>
      <c r="F2176" s="653">
        <v>0</v>
      </c>
      <c r="G2176" s="654"/>
      <c r="H2176" s="651" t="s">
        <v>650</v>
      </c>
      <c r="I2176" s="655"/>
      <c r="J2176" s="655"/>
      <c r="K2176" s="653">
        <v>0</v>
      </c>
      <c r="L2176" s="656">
        <v>0</v>
      </c>
    </row>
    <row r="2177" spans="1:12" ht="21" x14ac:dyDescent="0.25">
      <c r="A2177" s="651" t="s">
        <v>109</v>
      </c>
      <c r="B2177" s="652">
        <v>2021</v>
      </c>
      <c r="C2177" s="651" t="s">
        <v>674</v>
      </c>
      <c r="D2177" s="651" t="s">
        <v>2315</v>
      </c>
      <c r="E2177" s="651" t="s">
        <v>676</v>
      </c>
      <c r="F2177" s="653">
        <v>124093</v>
      </c>
      <c r="G2177" s="654"/>
      <c r="H2177" s="651" t="s">
        <v>650</v>
      </c>
      <c r="I2177" s="655"/>
      <c r="J2177" s="655"/>
      <c r="K2177" s="653">
        <v>0</v>
      </c>
      <c r="L2177" s="656">
        <v>124093</v>
      </c>
    </row>
    <row r="2178" spans="1:12" ht="21" x14ac:dyDescent="0.25">
      <c r="A2178" s="651" t="s">
        <v>109</v>
      </c>
      <c r="B2178" s="652">
        <v>2021</v>
      </c>
      <c r="C2178" s="651" t="s">
        <v>677</v>
      </c>
      <c r="D2178" s="651" t="s">
        <v>2316</v>
      </c>
      <c r="E2178" s="651" t="s">
        <v>23</v>
      </c>
      <c r="F2178" s="653">
        <v>3491306</v>
      </c>
      <c r="G2178" s="651" t="s">
        <v>650</v>
      </c>
      <c r="H2178" s="654"/>
      <c r="I2178" s="653">
        <v>3394406</v>
      </c>
      <c r="J2178" s="653">
        <v>96900</v>
      </c>
      <c r="K2178" s="653">
        <v>3491306</v>
      </c>
      <c r="L2178" s="656">
        <v>3491306</v>
      </c>
    </row>
    <row r="2179" spans="1:12" ht="31.5" x14ac:dyDescent="0.25">
      <c r="A2179" s="651" t="s">
        <v>109</v>
      </c>
      <c r="B2179" s="652">
        <v>2021</v>
      </c>
      <c r="C2179" s="651" t="s">
        <v>679</v>
      </c>
      <c r="D2179" s="651" t="s">
        <v>2317</v>
      </c>
      <c r="E2179" s="651" t="s">
        <v>131</v>
      </c>
      <c r="F2179" s="653">
        <v>-24209</v>
      </c>
      <c r="G2179" s="651" t="s">
        <v>650</v>
      </c>
      <c r="H2179" s="654"/>
      <c r="I2179" s="653">
        <v>-23349</v>
      </c>
      <c r="J2179" s="653">
        <v>-860</v>
      </c>
      <c r="K2179" s="653">
        <v>-24209</v>
      </c>
      <c r="L2179" s="656">
        <v>-24209</v>
      </c>
    </row>
    <row r="2180" spans="1:12" ht="31.5" x14ac:dyDescent="0.25">
      <c r="A2180" s="651" t="s">
        <v>109</v>
      </c>
      <c r="B2180" s="652">
        <v>2021</v>
      </c>
      <c r="C2180" s="651" t="s">
        <v>681</v>
      </c>
      <c r="D2180" s="651" t="s">
        <v>2318</v>
      </c>
      <c r="E2180" s="651" t="s">
        <v>683</v>
      </c>
      <c r="F2180" s="653">
        <v>103650</v>
      </c>
      <c r="G2180" s="654"/>
      <c r="H2180" s="651" t="s">
        <v>650</v>
      </c>
      <c r="I2180" s="655"/>
      <c r="J2180" s="655"/>
      <c r="K2180" s="653">
        <v>0</v>
      </c>
      <c r="L2180" s="656">
        <v>103650</v>
      </c>
    </row>
    <row r="2181" spans="1:12" ht="21" x14ac:dyDescent="0.25">
      <c r="A2181" s="651" t="s">
        <v>109</v>
      </c>
      <c r="B2181" s="652">
        <v>2021</v>
      </c>
      <c r="C2181" s="651" t="s">
        <v>681</v>
      </c>
      <c r="D2181" s="651" t="s">
        <v>2318</v>
      </c>
      <c r="E2181" s="651" t="s">
        <v>684</v>
      </c>
      <c r="F2181" s="653">
        <v>103650</v>
      </c>
      <c r="G2181" s="654"/>
      <c r="H2181" s="651" t="s">
        <v>650</v>
      </c>
      <c r="I2181" s="655"/>
      <c r="J2181" s="655"/>
      <c r="K2181" s="653">
        <v>0</v>
      </c>
      <c r="L2181" s="656">
        <v>103650</v>
      </c>
    </row>
    <row r="2182" spans="1:12" ht="21" x14ac:dyDescent="0.25">
      <c r="A2182" s="651" t="s">
        <v>109</v>
      </c>
      <c r="B2182" s="652">
        <v>2021</v>
      </c>
      <c r="C2182" s="651" t="s">
        <v>685</v>
      </c>
      <c r="D2182" s="651" t="s">
        <v>2319</v>
      </c>
      <c r="E2182" s="651" t="s">
        <v>687</v>
      </c>
      <c r="F2182" s="653">
        <v>0</v>
      </c>
      <c r="G2182" s="654"/>
      <c r="H2182" s="651" t="s">
        <v>650</v>
      </c>
      <c r="I2182" s="655"/>
      <c r="J2182" s="655"/>
      <c r="K2182" s="653">
        <v>0</v>
      </c>
      <c r="L2182" s="656">
        <v>0</v>
      </c>
    </row>
    <row r="2183" spans="1:12" ht="21" x14ac:dyDescent="0.25">
      <c r="A2183" s="651" t="s">
        <v>109</v>
      </c>
      <c r="B2183" s="652">
        <v>2021</v>
      </c>
      <c r="C2183" s="651" t="s">
        <v>688</v>
      </c>
      <c r="D2183" s="651" t="s">
        <v>2320</v>
      </c>
      <c r="E2183" s="651" t="s">
        <v>50</v>
      </c>
      <c r="F2183" s="653">
        <v>613611</v>
      </c>
      <c r="G2183" s="654"/>
      <c r="H2183" s="651" t="s">
        <v>650</v>
      </c>
      <c r="I2183" s="655"/>
      <c r="J2183" s="655"/>
      <c r="K2183" s="653">
        <v>0</v>
      </c>
      <c r="L2183" s="656">
        <v>613611</v>
      </c>
    </row>
    <row r="2184" spans="1:12" ht="21" x14ac:dyDescent="0.25">
      <c r="A2184" s="651" t="s">
        <v>109</v>
      </c>
      <c r="B2184" s="652">
        <v>2021</v>
      </c>
      <c r="C2184" s="651" t="s">
        <v>690</v>
      </c>
      <c r="D2184" s="651" t="s">
        <v>2321</v>
      </c>
      <c r="E2184" s="651" t="s">
        <v>692</v>
      </c>
      <c r="F2184" s="653">
        <v>0</v>
      </c>
      <c r="G2184" s="654"/>
      <c r="H2184" s="651" t="s">
        <v>650</v>
      </c>
      <c r="I2184" s="655"/>
      <c r="J2184" s="655"/>
      <c r="K2184" s="653">
        <v>0</v>
      </c>
      <c r="L2184" s="656">
        <v>0</v>
      </c>
    </row>
    <row r="2185" spans="1:12" ht="21" x14ac:dyDescent="0.25">
      <c r="A2185" s="651" t="s">
        <v>109</v>
      </c>
      <c r="B2185" s="652">
        <v>2021</v>
      </c>
      <c r="C2185" s="651" t="s">
        <v>693</v>
      </c>
      <c r="D2185" s="651" t="s">
        <v>2322</v>
      </c>
      <c r="E2185" s="651" t="s">
        <v>6</v>
      </c>
      <c r="F2185" s="653">
        <v>0</v>
      </c>
      <c r="G2185" s="654"/>
      <c r="H2185" s="651" t="s">
        <v>650</v>
      </c>
      <c r="I2185" s="655"/>
      <c r="J2185" s="655"/>
      <c r="K2185" s="653">
        <v>0</v>
      </c>
      <c r="L2185" s="656">
        <v>0</v>
      </c>
    </row>
    <row r="2186" spans="1:12" ht="31.5" x14ac:dyDescent="0.25">
      <c r="A2186" s="651" t="s">
        <v>109</v>
      </c>
      <c r="B2186" s="652">
        <v>2021</v>
      </c>
      <c r="C2186" s="651" t="s">
        <v>695</v>
      </c>
      <c r="D2186" s="651" t="s">
        <v>2323</v>
      </c>
      <c r="E2186" s="651" t="s">
        <v>697</v>
      </c>
      <c r="F2186" s="653">
        <v>-13563</v>
      </c>
      <c r="G2186" s="654"/>
      <c r="H2186" s="651" t="s">
        <v>650</v>
      </c>
      <c r="I2186" s="655"/>
      <c r="J2186" s="655"/>
      <c r="K2186" s="653">
        <v>0</v>
      </c>
      <c r="L2186" s="656">
        <v>-13563</v>
      </c>
    </row>
    <row r="2187" spans="1:12" ht="21" x14ac:dyDescent="0.25">
      <c r="A2187" s="651" t="s">
        <v>109</v>
      </c>
      <c r="B2187" s="652">
        <v>2021</v>
      </c>
      <c r="C2187" s="651" t="s">
        <v>698</v>
      </c>
      <c r="D2187" s="651" t="s">
        <v>2324</v>
      </c>
      <c r="E2187" s="651" t="s">
        <v>700</v>
      </c>
      <c r="F2187" s="653">
        <v>-3593323</v>
      </c>
      <c r="G2187" s="654"/>
      <c r="H2187" s="651" t="s">
        <v>650</v>
      </c>
      <c r="I2187" s="655"/>
      <c r="J2187" s="655"/>
      <c r="K2187" s="653">
        <v>0</v>
      </c>
      <c r="L2187" s="656">
        <v>-3593323</v>
      </c>
    </row>
    <row r="2188" spans="1:12" ht="21" x14ac:dyDescent="0.25">
      <c r="A2188" s="651" t="s">
        <v>109</v>
      </c>
      <c r="B2188" s="652">
        <v>2021</v>
      </c>
      <c r="C2188" s="651" t="s">
        <v>701</v>
      </c>
      <c r="D2188" s="651" t="s">
        <v>2325</v>
      </c>
      <c r="E2188" s="651" t="s">
        <v>1</v>
      </c>
      <c r="F2188" s="653">
        <v>-1565187</v>
      </c>
      <c r="G2188" s="651" t="s">
        <v>650</v>
      </c>
      <c r="H2188" s="654"/>
      <c r="I2188" s="653">
        <v>-1505927</v>
      </c>
      <c r="J2188" s="653">
        <v>-59260</v>
      </c>
      <c r="K2188" s="653">
        <v>-1565187</v>
      </c>
      <c r="L2188" s="656">
        <v>-1565187</v>
      </c>
    </row>
    <row r="2189" spans="1:12" ht="21" x14ac:dyDescent="0.25">
      <c r="A2189" s="651" t="s">
        <v>109</v>
      </c>
      <c r="B2189" s="652">
        <v>2021</v>
      </c>
      <c r="C2189" s="651" t="s">
        <v>701</v>
      </c>
      <c r="D2189" s="651" t="s">
        <v>2325</v>
      </c>
      <c r="E2189" s="651" t="s">
        <v>703</v>
      </c>
      <c r="F2189" s="653">
        <v>0</v>
      </c>
      <c r="G2189" s="654"/>
      <c r="H2189" s="654"/>
      <c r="I2189" s="655"/>
      <c r="J2189" s="655"/>
      <c r="K2189" s="653">
        <v>0</v>
      </c>
      <c r="L2189" s="656">
        <v>0</v>
      </c>
    </row>
    <row r="2190" spans="1:12" ht="21" x14ac:dyDescent="0.25">
      <c r="A2190" s="651" t="s">
        <v>109</v>
      </c>
      <c r="B2190" s="652">
        <v>2021</v>
      </c>
      <c r="C2190" s="651" t="s">
        <v>701</v>
      </c>
      <c r="D2190" s="651" t="s">
        <v>2325</v>
      </c>
      <c r="E2190" s="651" t="s">
        <v>704</v>
      </c>
      <c r="F2190" s="653">
        <v>-43943</v>
      </c>
      <c r="G2190" s="654"/>
      <c r="H2190" s="654"/>
      <c r="I2190" s="655"/>
      <c r="J2190" s="655"/>
      <c r="K2190" s="653">
        <v>0</v>
      </c>
      <c r="L2190" s="656">
        <v>-43943</v>
      </c>
    </row>
    <row r="2191" spans="1:12" ht="21" x14ac:dyDescent="0.25">
      <c r="A2191" s="651" t="s">
        <v>109</v>
      </c>
      <c r="B2191" s="652">
        <v>2021</v>
      </c>
      <c r="C2191" s="651" t="s">
        <v>701</v>
      </c>
      <c r="D2191" s="651" t="s">
        <v>2325</v>
      </c>
      <c r="E2191" s="651" t="s">
        <v>705</v>
      </c>
      <c r="F2191" s="653">
        <v>0</v>
      </c>
      <c r="G2191" s="654"/>
      <c r="H2191" s="654"/>
      <c r="I2191" s="655"/>
      <c r="J2191" s="655"/>
      <c r="K2191" s="653">
        <v>0</v>
      </c>
      <c r="L2191" s="656">
        <v>0</v>
      </c>
    </row>
    <row r="2192" spans="1:12" ht="21" x14ac:dyDescent="0.25">
      <c r="A2192" s="651" t="s">
        <v>109</v>
      </c>
      <c r="B2192" s="652">
        <v>2021</v>
      </c>
      <c r="C2192" s="651" t="s">
        <v>701</v>
      </c>
      <c r="D2192" s="651" t="s">
        <v>2325</v>
      </c>
      <c r="E2192" s="651" t="s">
        <v>706</v>
      </c>
      <c r="F2192" s="653">
        <v>-1347</v>
      </c>
      <c r="G2192" s="654"/>
      <c r="H2192" s="654"/>
      <c r="I2192" s="655"/>
      <c r="J2192" s="655"/>
      <c r="K2192" s="653">
        <v>0</v>
      </c>
      <c r="L2192" s="656">
        <v>-1347</v>
      </c>
    </row>
    <row r="2193" spans="1:12" ht="21" x14ac:dyDescent="0.25">
      <c r="A2193" s="651" t="s">
        <v>109</v>
      </c>
      <c r="B2193" s="652">
        <v>2021</v>
      </c>
      <c r="C2193" s="651" t="s">
        <v>707</v>
      </c>
      <c r="D2193" s="651" t="s">
        <v>2326</v>
      </c>
      <c r="E2193" s="651" t="s">
        <v>709</v>
      </c>
      <c r="F2193" s="653">
        <v>0</v>
      </c>
      <c r="G2193" s="654"/>
      <c r="H2193" s="651" t="s">
        <v>650</v>
      </c>
      <c r="I2193" s="655"/>
      <c r="J2193" s="655"/>
      <c r="K2193" s="653">
        <v>0</v>
      </c>
      <c r="L2193" s="656">
        <v>0</v>
      </c>
    </row>
    <row r="2194" spans="1:12" ht="31.5" x14ac:dyDescent="0.25">
      <c r="A2194" s="651" t="s">
        <v>109</v>
      </c>
      <c r="B2194" s="652">
        <v>2021</v>
      </c>
      <c r="C2194" s="651" t="s">
        <v>710</v>
      </c>
      <c r="D2194" s="651" t="s">
        <v>2327</v>
      </c>
      <c r="E2194" s="651" t="s">
        <v>2</v>
      </c>
      <c r="F2194" s="653">
        <v>173819</v>
      </c>
      <c r="G2194" s="651" t="s">
        <v>650</v>
      </c>
      <c r="H2194" s="654"/>
      <c r="I2194" s="653">
        <v>176471</v>
      </c>
      <c r="J2194" s="653">
        <v>-2652</v>
      </c>
      <c r="K2194" s="653">
        <v>173819</v>
      </c>
      <c r="L2194" s="656">
        <v>173819</v>
      </c>
    </row>
    <row r="2195" spans="1:12" ht="31.5" x14ac:dyDescent="0.25">
      <c r="A2195" s="651" t="s">
        <v>109</v>
      </c>
      <c r="B2195" s="652">
        <v>2021</v>
      </c>
      <c r="C2195" s="651" t="s">
        <v>712</v>
      </c>
      <c r="D2195" s="651" t="s">
        <v>2328</v>
      </c>
      <c r="E2195" s="651" t="s">
        <v>3</v>
      </c>
      <c r="F2195" s="653">
        <v>181458</v>
      </c>
      <c r="G2195" s="651" t="s">
        <v>650</v>
      </c>
      <c r="H2195" s="654"/>
      <c r="I2195" s="653">
        <v>184775</v>
      </c>
      <c r="J2195" s="653">
        <v>-3317</v>
      </c>
      <c r="K2195" s="653">
        <v>181458</v>
      </c>
      <c r="L2195" s="656">
        <v>181458</v>
      </c>
    </row>
    <row r="2196" spans="1:12" ht="31.5" x14ac:dyDescent="0.25">
      <c r="A2196" s="651" t="s">
        <v>109</v>
      </c>
      <c r="B2196" s="652">
        <v>2021</v>
      </c>
      <c r="C2196" s="651" t="s">
        <v>714</v>
      </c>
      <c r="D2196" s="651" t="s">
        <v>2329</v>
      </c>
      <c r="E2196" s="651" t="s">
        <v>38</v>
      </c>
      <c r="F2196" s="653">
        <v>-557100</v>
      </c>
      <c r="G2196" s="651" t="s">
        <v>650</v>
      </c>
      <c r="H2196" s="654"/>
      <c r="I2196" s="653">
        <v>-536595</v>
      </c>
      <c r="J2196" s="653">
        <v>-20505</v>
      </c>
      <c r="K2196" s="653">
        <v>-557100</v>
      </c>
      <c r="L2196" s="656">
        <v>-557100</v>
      </c>
    </row>
    <row r="2197" spans="1:12" ht="21" x14ac:dyDescent="0.25">
      <c r="A2197" s="651" t="s">
        <v>109</v>
      </c>
      <c r="B2197" s="652">
        <v>2021</v>
      </c>
      <c r="C2197" s="651" t="s">
        <v>716</v>
      </c>
      <c r="D2197" s="651" t="s">
        <v>2330</v>
      </c>
      <c r="E2197" s="651" t="s">
        <v>66</v>
      </c>
      <c r="F2197" s="653">
        <v>135380</v>
      </c>
      <c r="G2197" s="651" t="s">
        <v>650</v>
      </c>
      <c r="H2197" s="654"/>
      <c r="I2197" s="653">
        <v>125072</v>
      </c>
      <c r="J2197" s="653">
        <v>10308</v>
      </c>
      <c r="K2197" s="653">
        <v>135380</v>
      </c>
      <c r="L2197" s="656">
        <v>135380</v>
      </c>
    </row>
    <row r="2198" spans="1:12" ht="31.5" x14ac:dyDescent="0.25">
      <c r="A2198" s="651" t="s">
        <v>109</v>
      </c>
      <c r="B2198" s="652">
        <v>2021</v>
      </c>
      <c r="C2198" s="651" t="s">
        <v>718</v>
      </c>
      <c r="D2198" s="651" t="s">
        <v>2331</v>
      </c>
      <c r="E2198" s="651" t="s">
        <v>720</v>
      </c>
      <c r="F2198" s="653">
        <v>-200567</v>
      </c>
      <c r="G2198" s="654"/>
      <c r="H2198" s="651" t="s">
        <v>650</v>
      </c>
      <c r="I2198" s="655"/>
      <c r="J2198" s="655"/>
      <c r="K2198" s="653">
        <v>0</v>
      </c>
      <c r="L2198" s="656">
        <v>-200567</v>
      </c>
    </row>
    <row r="2199" spans="1:12" ht="42" x14ac:dyDescent="0.25">
      <c r="A2199" s="651" t="s">
        <v>109</v>
      </c>
      <c r="B2199" s="652">
        <v>2021</v>
      </c>
      <c r="C2199" s="651" t="s">
        <v>721</v>
      </c>
      <c r="D2199" s="651" t="s">
        <v>2332</v>
      </c>
      <c r="E2199" s="651" t="s">
        <v>3016</v>
      </c>
      <c r="F2199" s="653">
        <v>0</v>
      </c>
      <c r="G2199" s="651" t="s">
        <v>650</v>
      </c>
      <c r="H2199" s="654"/>
      <c r="I2199" s="655"/>
      <c r="J2199" s="655"/>
      <c r="K2199" s="653">
        <v>0</v>
      </c>
      <c r="L2199" s="656">
        <v>0</v>
      </c>
    </row>
    <row r="2200" spans="1:12" ht="42" x14ac:dyDescent="0.25">
      <c r="A2200" s="651" t="s">
        <v>109</v>
      </c>
      <c r="B2200" s="652">
        <v>2021</v>
      </c>
      <c r="C2200" s="651" t="s">
        <v>721</v>
      </c>
      <c r="D2200" s="651" t="s">
        <v>2332</v>
      </c>
      <c r="E2200" s="651" t="s">
        <v>3058</v>
      </c>
      <c r="F2200" s="653">
        <v>0</v>
      </c>
      <c r="G2200" s="651" t="s">
        <v>650</v>
      </c>
      <c r="H2200" s="654"/>
      <c r="I2200" s="655"/>
      <c r="J2200" s="655"/>
      <c r="K2200" s="653">
        <v>0</v>
      </c>
      <c r="L2200" s="656">
        <v>0</v>
      </c>
    </row>
    <row r="2201" spans="1:12" ht="42" x14ac:dyDescent="0.25">
      <c r="A2201" s="651" t="s">
        <v>109</v>
      </c>
      <c r="B2201" s="652">
        <v>2021</v>
      </c>
      <c r="C2201" s="651" t="s">
        <v>721</v>
      </c>
      <c r="D2201" s="651" t="s">
        <v>2333</v>
      </c>
      <c r="E2201" s="651" t="s">
        <v>724</v>
      </c>
      <c r="F2201" s="653">
        <v>0</v>
      </c>
      <c r="G2201" s="651" t="s">
        <v>650</v>
      </c>
      <c r="H2201" s="654"/>
      <c r="I2201" s="655"/>
      <c r="J2201" s="655"/>
      <c r="K2201" s="653">
        <v>0</v>
      </c>
      <c r="L2201" s="656">
        <v>0</v>
      </c>
    </row>
    <row r="2202" spans="1:12" ht="42" x14ac:dyDescent="0.25">
      <c r="A2202" s="651" t="s">
        <v>109</v>
      </c>
      <c r="B2202" s="652">
        <v>2021</v>
      </c>
      <c r="C2202" s="651" t="s">
        <v>721</v>
      </c>
      <c r="D2202" s="651" t="s">
        <v>2334</v>
      </c>
      <c r="E2202" s="651" t="s">
        <v>55</v>
      </c>
      <c r="F2202" s="653">
        <v>0</v>
      </c>
      <c r="G2202" s="651" t="s">
        <v>650</v>
      </c>
      <c r="H2202" s="654"/>
      <c r="I2202" s="655"/>
      <c r="J2202" s="655"/>
      <c r="K2202" s="653">
        <v>0</v>
      </c>
      <c r="L2202" s="656">
        <v>0</v>
      </c>
    </row>
    <row r="2203" spans="1:12" ht="42" x14ac:dyDescent="0.25">
      <c r="A2203" s="651" t="s">
        <v>109</v>
      </c>
      <c r="B2203" s="652">
        <v>2021</v>
      </c>
      <c r="C2203" s="651" t="s">
        <v>721</v>
      </c>
      <c r="D2203" s="651" t="s">
        <v>2335</v>
      </c>
      <c r="E2203" s="651" t="s">
        <v>56</v>
      </c>
      <c r="F2203" s="653">
        <v>0</v>
      </c>
      <c r="G2203" s="651" t="s">
        <v>650</v>
      </c>
      <c r="H2203" s="654"/>
      <c r="I2203" s="655"/>
      <c r="J2203" s="655"/>
      <c r="K2203" s="653">
        <v>0</v>
      </c>
      <c r="L2203" s="656">
        <v>0</v>
      </c>
    </row>
    <row r="2204" spans="1:12" ht="42" x14ac:dyDescent="0.25">
      <c r="A2204" s="651" t="s">
        <v>109</v>
      </c>
      <c r="B2204" s="652">
        <v>2021</v>
      </c>
      <c r="C2204" s="651" t="s">
        <v>721</v>
      </c>
      <c r="D2204" s="651" t="s">
        <v>2336</v>
      </c>
      <c r="E2204" s="651" t="s">
        <v>728</v>
      </c>
      <c r="F2204" s="653">
        <v>0</v>
      </c>
      <c r="G2204" s="651" t="s">
        <v>650</v>
      </c>
      <c r="H2204" s="654"/>
      <c r="I2204" s="655"/>
      <c r="J2204" s="655"/>
      <c r="K2204" s="653">
        <v>0</v>
      </c>
      <c r="L2204" s="656">
        <v>0</v>
      </c>
    </row>
    <row r="2205" spans="1:12" ht="42" x14ac:dyDescent="0.25">
      <c r="A2205" s="651" t="s">
        <v>109</v>
      </c>
      <c r="B2205" s="652">
        <v>2021</v>
      </c>
      <c r="C2205" s="651" t="s">
        <v>721</v>
      </c>
      <c r="D2205" s="651" t="s">
        <v>2337</v>
      </c>
      <c r="E2205" s="651" t="s">
        <v>730</v>
      </c>
      <c r="F2205" s="653">
        <v>0</v>
      </c>
      <c r="G2205" s="651" t="s">
        <v>650</v>
      </c>
      <c r="H2205" s="654"/>
      <c r="I2205" s="655"/>
      <c r="J2205" s="655"/>
      <c r="K2205" s="653">
        <v>0</v>
      </c>
      <c r="L2205" s="656">
        <v>0</v>
      </c>
    </row>
    <row r="2206" spans="1:12" ht="42" x14ac:dyDescent="0.25">
      <c r="A2206" s="651" t="s">
        <v>109</v>
      </c>
      <c r="B2206" s="652">
        <v>2021</v>
      </c>
      <c r="C2206" s="651" t="s">
        <v>721</v>
      </c>
      <c r="D2206" s="651" t="s">
        <v>2338</v>
      </c>
      <c r="E2206" s="651" t="s">
        <v>142</v>
      </c>
      <c r="F2206" s="653">
        <v>0</v>
      </c>
      <c r="G2206" s="651" t="s">
        <v>650</v>
      </c>
      <c r="H2206" s="654"/>
      <c r="I2206" s="655"/>
      <c r="J2206" s="655"/>
      <c r="K2206" s="653">
        <v>0</v>
      </c>
      <c r="L2206" s="656">
        <v>0</v>
      </c>
    </row>
    <row r="2207" spans="1:12" ht="42" x14ac:dyDescent="0.25">
      <c r="A2207" s="651" t="s">
        <v>109</v>
      </c>
      <c r="B2207" s="652">
        <v>2021</v>
      </c>
      <c r="C2207" s="651" t="s">
        <v>721</v>
      </c>
      <c r="D2207" s="651" t="s">
        <v>2339</v>
      </c>
      <c r="E2207" s="651" t="s">
        <v>143</v>
      </c>
      <c r="F2207" s="653">
        <v>0</v>
      </c>
      <c r="G2207" s="651" t="s">
        <v>650</v>
      </c>
      <c r="H2207" s="654"/>
      <c r="I2207" s="655"/>
      <c r="J2207" s="655"/>
      <c r="K2207" s="653">
        <v>0</v>
      </c>
      <c r="L2207" s="656">
        <v>0</v>
      </c>
    </row>
    <row r="2208" spans="1:12" ht="42" x14ac:dyDescent="0.25">
      <c r="A2208" s="651" t="s">
        <v>109</v>
      </c>
      <c r="B2208" s="652">
        <v>2021</v>
      </c>
      <c r="C2208" s="651" t="s">
        <v>721</v>
      </c>
      <c r="D2208" s="651" t="s">
        <v>2340</v>
      </c>
      <c r="E2208" s="651" t="s">
        <v>182</v>
      </c>
      <c r="F2208" s="653">
        <v>0</v>
      </c>
      <c r="G2208" s="651" t="s">
        <v>650</v>
      </c>
      <c r="H2208" s="654"/>
      <c r="I2208" s="655"/>
      <c r="J2208" s="655"/>
      <c r="K2208" s="653">
        <v>0</v>
      </c>
      <c r="L2208" s="656">
        <v>0</v>
      </c>
    </row>
    <row r="2209" spans="1:12" ht="42" x14ac:dyDescent="0.25">
      <c r="A2209" s="651" t="s">
        <v>109</v>
      </c>
      <c r="B2209" s="652">
        <v>2021</v>
      </c>
      <c r="C2209" s="651" t="s">
        <v>721</v>
      </c>
      <c r="D2209" s="651" t="s">
        <v>2341</v>
      </c>
      <c r="E2209" s="651" t="s">
        <v>394</v>
      </c>
      <c r="F2209" s="653">
        <v>0</v>
      </c>
      <c r="G2209" s="651" t="s">
        <v>650</v>
      </c>
      <c r="H2209" s="654"/>
      <c r="I2209" s="653">
        <v>0</v>
      </c>
      <c r="J2209" s="653">
        <v>-6175</v>
      </c>
      <c r="K2209" s="653">
        <v>-6175</v>
      </c>
      <c r="L2209" s="656">
        <v>-6175</v>
      </c>
    </row>
    <row r="2210" spans="1:12" ht="42" x14ac:dyDescent="0.25">
      <c r="A2210" s="651" t="s">
        <v>109</v>
      </c>
      <c r="B2210" s="652">
        <v>2021</v>
      </c>
      <c r="C2210" s="651" t="s">
        <v>721</v>
      </c>
      <c r="D2210" s="651" t="s">
        <v>2342</v>
      </c>
      <c r="E2210" s="651" t="s">
        <v>423</v>
      </c>
      <c r="F2210" s="653">
        <v>0</v>
      </c>
      <c r="G2210" s="651" t="s">
        <v>650</v>
      </c>
      <c r="H2210" s="654"/>
      <c r="I2210" s="653">
        <v>-10400</v>
      </c>
      <c r="J2210" s="653">
        <v>30266</v>
      </c>
      <c r="K2210" s="653">
        <v>19866</v>
      </c>
      <c r="L2210" s="656">
        <v>19866</v>
      </c>
    </row>
    <row r="2211" spans="1:12" ht="42" x14ac:dyDescent="0.25">
      <c r="A2211" s="651" t="s">
        <v>109</v>
      </c>
      <c r="B2211" s="652">
        <v>2021</v>
      </c>
      <c r="C2211" s="651" t="s">
        <v>721</v>
      </c>
      <c r="D2211" s="651" t="s">
        <v>3279</v>
      </c>
      <c r="E2211" s="651" t="s">
        <v>441</v>
      </c>
      <c r="F2211" s="653">
        <v>0</v>
      </c>
      <c r="G2211" s="651" t="s">
        <v>650</v>
      </c>
      <c r="H2211" s="654"/>
      <c r="I2211" s="653">
        <v>-53765</v>
      </c>
      <c r="J2211" s="653">
        <v>7758</v>
      </c>
      <c r="K2211" s="653">
        <v>-46007</v>
      </c>
      <c r="L2211" s="656">
        <v>-46007</v>
      </c>
    </row>
    <row r="2212" spans="1:12" ht="42" x14ac:dyDescent="0.25">
      <c r="A2212" s="651" t="s">
        <v>109</v>
      </c>
      <c r="B2212" s="652">
        <v>2021</v>
      </c>
      <c r="C2212" s="651" t="s">
        <v>721</v>
      </c>
      <c r="D2212" s="651" t="s">
        <v>2343</v>
      </c>
      <c r="E2212" s="651" t="s">
        <v>737</v>
      </c>
      <c r="F2212" s="653">
        <v>-32316</v>
      </c>
      <c r="G2212" s="654"/>
      <c r="H2212" s="654"/>
      <c r="I2212" s="655"/>
      <c r="J2212" s="655"/>
      <c r="K2212" s="653">
        <v>0</v>
      </c>
      <c r="L2212" s="656">
        <v>-32316</v>
      </c>
    </row>
    <row r="2213" spans="1:12" ht="21" x14ac:dyDescent="0.25">
      <c r="A2213" s="651" t="s">
        <v>109</v>
      </c>
      <c r="B2213" s="652">
        <v>2021</v>
      </c>
      <c r="C2213" s="651" t="s">
        <v>738</v>
      </c>
      <c r="D2213" s="651" t="s">
        <v>2344</v>
      </c>
      <c r="E2213" s="651" t="s">
        <v>7</v>
      </c>
      <c r="F2213" s="653">
        <v>0</v>
      </c>
      <c r="G2213" s="654"/>
      <c r="H2213" s="651" t="s">
        <v>650</v>
      </c>
      <c r="I2213" s="655"/>
      <c r="J2213" s="655"/>
      <c r="K2213" s="653">
        <v>0</v>
      </c>
      <c r="L2213" s="656">
        <v>0</v>
      </c>
    </row>
    <row r="2214" spans="1:12" ht="21" x14ac:dyDescent="0.25">
      <c r="A2214" s="651" t="s">
        <v>110</v>
      </c>
      <c r="B2214" s="652">
        <v>2021</v>
      </c>
      <c r="C2214" s="651" t="s">
        <v>647</v>
      </c>
      <c r="D2214" s="651" t="s">
        <v>2345</v>
      </c>
      <c r="E2214" s="651" t="s">
        <v>649</v>
      </c>
      <c r="F2214" s="653">
        <v>3543813.52</v>
      </c>
      <c r="G2214" s="654"/>
      <c r="H2214" s="651" t="s">
        <v>650</v>
      </c>
      <c r="I2214" s="655"/>
      <c r="J2214" s="655"/>
      <c r="K2214" s="653">
        <v>0</v>
      </c>
      <c r="L2214" s="656">
        <v>3543813.52</v>
      </c>
    </row>
    <row r="2215" spans="1:12" ht="14.5" x14ac:dyDescent="0.25">
      <c r="A2215" s="651" t="s">
        <v>110</v>
      </c>
      <c r="B2215" s="652">
        <v>2021</v>
      </c>
      <c r="C2215" s="651" t="s">
        <v>651</v>
      </c>
      <c r="D2215" s="651" t="s">
        <v>2346</v>
      </c>
      <c r="E2215" s="651" t="s">
        <v>653</v>
      </c>
      <c r="F2215" s="653">
        <v>0</v>
      </c>
      <c r="G2215" s="654"/>
      <c r="H2215" s="651" t="s">
        <v>650</v>
      </c>
      <c r="I2215" s="655"/>
      <c r="J2215" s="655"/>
      <c r="K2215" s="653">
        <v>0</v>
      </c>
      <c r="L2215" s="656">
        <v>0</v>
      </c>
    </row>
    <row r="2216" spans="1:12" ht="42" x14ac:dyDescent="0.25">
      <c r="A2216" s="651" t="s">
        <v>110</v>
      </c>
      <c r="B2216" s="652">
        <v>2021</v>
      </c>
      <c r="C2216" s="651" t="s">
        <v>654</v>
      </c>
      <c r="D2216" s="651" t="s">
        <v>2347</v>
      </c>
      <c r="E2216" s="651" t="s">
        <v>445</v>
      </c>
      <c r="F2216" s="653">
        <v>0</v>
      </c>
      <c r="G2216" s="654"/>
      <c r="H2216" s="651" t="s">
        <v>650</v>
      </c>
      <c r="I2216" s="655"/>
      <c r="J2216" s="655"/>
      <c r="K2216" s="653">
        <v>0</v>
      </c>
      <c r="L2216" s="656">
        <v>0</v>
      </c>
    </row>
    <row r="2217" spans="1:12" ht="21" x14ac:dyDescent="0.25">
      <c r="A2217" s="651" t="s">
        <v>110</v>
      </c>
      <c r="B2217" s="652">
        <v>2021</v>
      </c>
      <c r="C2217" s="651" t="s">
        <v>656</v>
      </c>
      <c r="D2217" s="651" t="s">
        <v>2348</v>
      </c>
      <c r="E2217" s="651" t="s">
        <v>658</v>
      </c>
      <c r="F2217" s="653">
        <v>0</v>
      </c>
      <c r="G2217" s="654"/>
      <c r="H2217" s="651" t="s">
        <v>650</v>
      </c>
      <c r="I2217" s="655"/>
      <c r="J2217" s="655"/>
      <c r="K2217" s="653">
        <v>0</v>
      </c>
      <c r="L2217" s="656">
        <v>0</v>
      </c>
    </row>
    <row r="2218" spans="1:12" ht="31.5" x14ac:dyDescent="0.25">
      <c r="A2218" s="651" t="s">
        <v>110</v>
      </c>
      <c r="B2218" s="652">
        <v>2021</v>
      </c>
      <c r="C2218" s="651" t="s">
        <v>659</v>
      </c>
      <c r="D2218" s="651" t="s">
        <v>2349</v>
      </c>
      <c r="E2218" s="651" t="s">
        <v>661</v>
      </c>
      <c r="F2218" s="653">
        <v>0</v>
      </c>
      <c r="G2218" s="654"/>
      <c r="H2218" s="651" t="s">
        <v>650</v>
      </c>
      <c r="I2218" s="655"/>
      <c r="J2218" s="655"/>
      <c r="K2218" s="653">
        <v>0</v>
      </c>
      <c r="L2218" s="656">
        <v>0</v>
      </c>
    </row>
    <row r="2219" spans="1:12" ht="21" x14ac:dyDescent="0.25">
      <c r="A2219" s="651" t="s">
        <v>110</v>
      </c>
      <c r="B2219" s="652">
        <v>2021</v>
      </c>
      <c r="C2219" s="651" t="s">
        <v>662</v>
      </c>
      <c r="D2219" s="651" t="s">
        <v>2350</v>
      </c>
      <c r="E2219" s="651" t="s">
        <v>664</v>
      </c>
      <c r="F2219" s="653">
        <v>0</v>
      </c>
      <c r="G2219" s="654"/>
      <c r="H2219" s="651" t="s">
        <v>650</v>
      </c>
      <c r="I2219" s="655"/>
      <c r="J2219" s="655"/>
      <c r="K2219" s="653">
        <v>0</v>
      </c>
      <c r="L2219" s="656">
        <v>0</v>
      </c>
    </row>
    <row r="2220" spans="1:12" ht="31.5" x14ac:dyDescent="0.25">
      <c r="A2220" s="651" t="s">
        <v>110</v>
      </c>
      <c r="B2220" s="652">
        <v>2021</v>
      </c>
      <c r="C2220" s="651" t="s">
        <v>665</v>
      </c>
      <c r="D2220" s="651" t="s">
        <v>2351</v>
      </c>
      <c r="E2220" s="651" t="s">
        <v>667</v>
      </c>
      <c r="F2220" s="653">
        <v>0</v>
      </c>
      <c r="G2220" s="654"/>
      <c r="H2220" s="651" t="s">
        <v>650</v>
      </c>
      <c r="I2220" s="655"/>
      <c r="J2220" s="655"/>
      <c r="K2220" s="653">
        <v>0</v>
      </c>
      <c r="L2220" s="656">
        <v>0</v>
      </c>
    </row>
    <row r="2221" spans="1:12" ht="21" x14ac:dyDescent="0.25">
      <c r="A2221" s="651" t="s">
        <v>110</v>
      </c>
      <c r="B2221" s="652">
        <v>2021</v>
      </c>
      <c r="C2221" s="651" t="s">
        <v>668</v>
      </c>
      <c r="D2221" s="651" t="s">
        <v>2352</v>
      </c>
      <c r="E2221" s="651" t="s">
        <v>12</v>
      </c>
      <c r="F2221" s="653">
        <v>0</v>
      </c>
      <c r="G2221" s="654"/>
      <c r="H2221" s="651" t="s">
        <v>650</v>
      </c>
      <c r="I2221" s="655"/>
      <c r="J2221" s="655"/>
      <c r="K2221" s="653">
        <v>0</v>
      </c>
      <c r="L2221" s="656">
        <v>0</v>
      </c>
    </row>
    <row r="2222" spans="1:12" ht="21" x14ac:dyDescent="0.25">
      <c r="A2222" s="651" t="s">
        <v>110</v>
      </c>
      <c r="B2222" s="652">
        <v>2021</v>
      </c>
      <c r="C2222" s="651" t="s">
        <v>670</v>
      </c>
      <c r="D2222" s="651" t="s">
        <v>2353</v>
      </c>
      <c r="E2222" s="651" t="s">
        <v>13</v>
      </c>
      <c r="F2222" s="653">
        <v>0</v>
      </c>
      <c r="G2222" s="654"/>
      <c r="H2222" s="651" t="s">
        <v>650</v>
      </c>
      <c r="I2222" s="655"/>
      <c r="J2222" s="655"/>
      <c r="K2222" s="653">
        <v>0</v>
      </c>
      <c r="L2222" s="656">
        <v>0</v>
      </c>
    </row>
    <row r="2223" spans="1:12" ht="21" x14ac:dyDescent="0.25">
      <c r="A2223" s="651" t="s">
        <v>110</v>
      </c>
      <c r="B2223" s="652">
        <v>2021</v>
      </c>
      <c r="C2223" s="651" t="s">
        <v>672</v>
      </c>
      <c r="D2223" s="651" t="s">
        <v>2354</v>
      </c>
      <c r="E2223" s="651" t="s">
        <v>15</v>
      </c>
      <c r="F2223" s="653">
        <v>0</v>
      </c>
      <c r="G2223" s="654"/>
      <c r="H2223" s="651" t="s">
        <v>650</v>
      </c>
      <c r="I2223" s="655"/>
      <c r="J2223" s="655"/>
      <c r="K2223" s="653">
        <v>0</v>
      </c>
      <c r="L2223" s="656">
        <v>0</v>
      </c>
    </row>
    <row r="2224" spans="1:12" ht="14.5" x14ac:dyDescent="0.25">
      <c r="A2224" s="651" t="s">
        <v>110</v>
      </c>
      <c r="B2224" s="652">
        <v>2021</v>
      </c>
      <c r="C2224" s="651" t="s">
        <v>674</v>
      </c>
      <c r="D2224" s="651" t="s">
        <v>2355</v>
      </c>
      <c r="E2224" s="651" t="s">
        <v>676</v>
      </c>
      <c r="F2224" s="653">
        <v>0</v>
      </c>
      <c r="G2224" s="654"/>
      <c r="H2224" s="651" t="s">
        <v>650</v>
      </c>
      <c r="I2224" s="655"/>
      <c r="J2224" s="655"/>
      <c r="K2224" s="653">
        <v>0</v>
      </c>
      <c r="L2224" s="656">
        <v>0</v>
      </c>
    </row>
    <row r="2225" spans="1:12" ht="14.5" x14ac:dyDescent="0.25">
      <c r="A2225" s="651" t="s">
        <v>110</v>
      </c>
      <c r="B2225" s="652">
        <v>2021</v>
      </c>
      <c r="C2225" s="651" t="s">
        <v>677</v>
      </c>
      <c r="D2225" s="651" t="s">
        <v>2356</v>
      </c>
      <c r="E2225" s="651" t="s">
        <v>23</v>
      </c>
      <c r="F2225" s="653">
        <v>0</v>
      </c>
      <c r="G2225" s="651" t="s">
        <v>650</v>
      </c>
      <c r="H2225" s="654"/>
      <c r="I2225" s="655"/>
      <c r="J2225" s="655"/>
      <c r="K2225" s="653">
        <v>0</v>
      </c>
      <c r="L2225" s="656">
        <v>0</v>
      </c>
    </row>
    <row r="2226" spans="1:12" ht="31.5" x14ac:dyDescent="0.25">
      <c r="A2226" s="651" t="s">
        <v>110</v>
      </c>
      <c r="B2226" s="652">
        <v>2021</v>
      </c>
      <c r="C2226" s="651" t="s">
        <v>679</v>
      </c>
      <c r="D2226" s="651" t="s">
        <v>2357</v>
      </c>
      <c r="E2226" s="651" t="s">
        <v>131</v>
      </c>
      <c r="F2226" s="653">
        <v>-125846.66</v>
      </c>
      <c r="G2226" s="651" t="s">
        <v>650</v>
      </c>
      <c r="H2226" s="654"/>
      <c r="I2226" s="653">
        <v>-120398.6328125</v>
      </c>
      <c r="J2226" s="653">
        <v>-5448.02978515625</v>
      </c>
      <c r="K2226" s="653">
        <v>-125846.65625</v>
      </c>
      <c r="L2226" s="656">
        <v>-125846.66</v>
      </c>
    </row>
    <row r="2227" spans="1:12" ht="31.5" x14ac:dyDescent="0.25">
      <c r="A2227" s="651" t="s">
        <v>110</v>
      </c>
      <c r="B2227" s="652">
        <v>2021</v>
      </c>
      <c r="C2227" s="651" t="s">
        <v>681</v>
      </c>
      <c r="D2227" s="651" t="s">
        <v>2358</v>
      </c>
      <c r="E2227" s="651" t="s">
        <v>683</v>
      </c>
      <c r="F2227" s="653">
        <v>-54642.73</v>
      </c>
      <c r="G2227" s="654"/>
      <c r="H2227" s="651" t="s">
        <v>650</v>
      </c>
      <c r="I2227" s="655"/>
      <c r="J2227" s="655"/>
      <c r="K2227" s="653">
        <v>0</v>
      </c>
      <c r="L2227" s="656">
        <v>-54642.73</v>
      </c>
    </row>
    <row r="2228" spans="1:12" ht="21" x14ac:dyDescent="0.25">
      <c r="A2228" s="651" t="s">
        <v>110</v>
      </c>
      <c r="B2228" s="652">
        <v>2021</v>
      </c>
      <c r="C2228" s="651" t="s">
        <v>681</v>
      </c>
      <c r="D2228" s="651" t="s">
        <v>2358</v>
      </c>
      <c r="E2228" s="651" t="s">
        <v>684</v>
      </c>
      <c r="F2228" s="653">
        <v>-54642.73</v>
      </c>
      <c r="G2228" s="654"/>
      <c r="H2228" s="651" t="s">
        <v>650</v>
      </c>
      <c r="I2228" s="655"/>
      <c r="J2228" s="655"/>
      <c r="K2228" s="653">
        <v>0</v>
      </c>
      <c r="L2228" s="656">
        <v>-54642.73</v>
      </c>
    </row>
    <row r="2229" spans="1:12" ht="21" x14ac:dyDescent="0.25">
      <c r="A2229" s="651" t="s">
        <v>110</v>
      </c>
      <c r="B2229" s="652">
        <v>2021</v>
      </c>
      <c r="C2229" s="651" t="s">
        <v>685</v>
      </c>
      <c r="D2229" s="651" t="s">
        <v>2359</v>
      </c>
      <c r="E2229" s="651" t="s">
        <v>687</v>
      </c>
      <c r="F2229" s="653">
        <v>0</v>
      </c>
      <c r="G2229" s="654"/>
      <c r="H2229" s="651" t="s">
        <v>650</v>
      </c>
      <c r="I2229" s="655"/>
      <c r="J2229" s="655"/>
      <c r="K2229" s="653">
        <v>0</v>
      </c>
      <c r="L2229" s="656">
        <v>0</v>
      </c>
    </row>
    <row r="2230" spans="1:12" ht="14.5" x14ac:dyDescent="0.25">
      <c r="A2230" s="651" t="s">
        <v>110</v>
      </c>
      <c r="B2230" s="652">
        <v>2021</v>
      </c>
      <c r="C2230" s="651" t="s">
        <v>688</v>
      </c>
      <c r="D2230" s="651" t="s">
        <v>2360</v>
      </c>
      <c r="E2230" s="651" t="s">
        <v>50</v>
      </c>
      <c r="F2230" s="653">
        <v>147464</v>
      </c>
      <c r="G2230" s="654"/>
      <c r="H2230" s="651" t="s">
        <v>650</v>
      </c>
      <c r="I2230" s="655"/>
      <c r="J2230" s="655"/>
      <c r="K2230" s="653">
        <v>0</v>
      </c>
      <c r="L2230" s="656">
        <v>147464</v>
      </c>
    </row>
    <row r="2231" spans="1:12" ht="21" x14ac:dyDescent="0.25">
      <c r="A2231" s="651" t="s">
        <v>110</v>
      </c>
      <c r="B2231" s="652">
        <v>2021</v>
      </c>
      <c r="C2231" s="651" t="s">
        <v>690</v>
      </c>
      <c r="D2231" s="651" t="s">
        <v>2361</v>
      </c>
      <c r="E2231" s="651" t="s">
        <v>692</v>
      </c>
      <c r="F2231" s="653">
        <v>0</v>
      </c>
      <c r="G2231" s="654"/>
      <c r="H2231" s="651" t="s">
        <v>650</v>
      </c>
      <c r="I2231" s="655"/>
      <c r="J2231" s="655"/>
      <c r="K2231" s="653">
        <v>0</v>
      </c>
      <c r="L2231" s="656">
        <v>0</v>
      </c>
    </row>
    <row r="2232" spans="1:12" ht="21" x14ac:dyDescent="0.25">
      <c r="A2232" s="651" t="s">
        <v>110</v>
      </c>
      <c r="B2232" s="652">
        <v>2021</v>
      </c>
      <c r="C2232" s="651" t="s">
        <v>693</v>
      </c>
      <c r="D2232" s="651" t="s">
        <v>2362</v>
      </c>
      <c r="E2232" s="651" t="s">
        <v>6</v>
      </c>
      <c r="F2232" s="653">
        <v>0</v>
      </c>
      <c r="G2232" s="654"/>
      <c r="H2232" s="651" t="s">
        <v>650</v>
      </c>
      <c r="I2232" s="655"/>
      <c r="J2232" s="655"/>
      <c r="K2232" s="653">
        <v>0</v>
      </c>
      <c r="L2232" s="656">
        <v>0</v>
      </c>
    </row>
    <row r="2233" spans="1:12" ht="31.5" x14ac:dyDescent="0.25">
      <c r="A2233" s="651" t="s">
        <v>110</v>
      </c>
      <c r="B2233" s="652">
        <v>2021</v>
      </c>
      <c r="C2233" s="651" t="s">
        <v>695</v>
      </c>
      <c r="D2233" s="651" t="s">
        <v>2363</v>
      </c>
      <c r="E2233" s="651" t="s">
        <v>697</v>
      </c>
      <c r="F2233" s="653">
        <v>0</v>
      </c>
      <c r="G2233" s="654"/>
      <c r="H2233" s="651" t="s">
        <v>650</v>
      </c>
      <c r="I2233" s="655"/>
      <c r="J2233" s="655"/>
      <c r="K2233" s="653">
        <v>0</v>
      </c>
      <c r="L2233" s="656">
        <v>0</v>
      </c>
    </row>
    <row r="2234" spans="1:12" ht="21" x14ac:dyDescent="0.25">
      <c r="A2234" s="651" t="s">
        <v>110</v>
      </c>
      <c r="B2234" s="652">
        <v>2021</v>
      </c>
      <c r="C2234" s="651" t="s">
        <v>698</v>
      </c>
      <c r="D2234" s="651" t="s">
        <v>2364</v>
      </c>
      <c r="E2234" s="651" t="s">
        <v>700</v>
      </c>
      <c r="F2234" s="653">
        <v>0</v>
      </c>
      <c r="G2234" s="654"/>
      <c r="H2234" s="651" t="s">
        <v>650</v>
      </c>
      <c r="I2234" s="655"/>
      <c r="J2234" s="655"/>
      <c r="K2234" s="653">
        <v>0</v>
      </c>
      <c r="L2234" s="656">
        <v>0</v>
      </c>
    </row>
    <row r="2235" spans="1:12" ht="21" x14ac:dyDescent="0.25">
      <c r="A2235" s="651" t="s">
        <v>110</v>
      </c>
      <c r="B2235" s="652">
        <v>2021</v>
      </c>
      <c r="C2235" s="651" t="s">
        <v>701</v>
      </c>
      <c r="D2235" s="651" t="s">
        <v>2365</v>
      </c>
      <c r="E2235" s="651" t="s">
        <v>1</v>
      </c>
      <c r="F2235" s="653">
        <v>-2345507.37</v>
      </c>
      <c r="G2235" s="651" t="s">
        <v>650</v>
      </c>
      <c r="H2235" s="654"/>
      <c r="I2235" s="653">
        <v>-2266159.5</v>
      </c>
      <c r="J2235" s="653">
        <v>-79347.8125</v>
      </c>
      <c r="K2235" s="653">
        <v>-2345507.25</v>
      </c>
      <c r="L2235" s="656">
        <v>-2345507.37</v>
      </c>
    </row>
    <row r="2236" spans="1:12" ht="21" x14ac:dyDescent="0.25">
      <c r="A2236" s="651" t="s">
        <v>110</v>
      </c>
      <c r="B2236" s="652">
        <v>2021</v>
      </c>
      <c r="C2236" s="651" t="s">
        <v>701</v>
      </c>
      <c r="D2236" s="651" t="s">
        <v>2365</v>
      </c>
      <c r="E2236" s="651" t="s">
        <v>703</v>
      </c>
      <c r="F2236" s="653">
        <v>0</v>
      </c>
      <c r="G2236" s="654"/>
      <c r="H2236" s="654"/>
      <c r="I2236" s="655"/>
      <c r="J2236" s="655"/>
      <c r="K2236" s="653">
        <v>0</v>
      </c>
      <c r="L2236" s="656">
        <v>0</v>
      </c>
    </row>
    <row r="2237" spans="1:12" ht="21" x14ac:dyDescent="0.25">
      <c r="A2237" s="651" t="s">
        <v>110</v>
      </c>
      <c r="B2237" s="652">
        <v>2021</v>
      </c>
      <c r="C2237" s="651" t="s">
        <v>701</v>
      </c>
      <c r="D2237" s="651" t="s">
        <v>2365</v>
      </c>
      <c r="E2237" s="651" t="s">
        <v>704</v>
      </c>
      <c r="F2237" s="653">
        <v>0</v>
      </c>
      <c r="G2237" s="654"/>
      <c r="H2237" s="654"/>
      <c r="I2237" s="655"/>
      <c r="J2237" s="655"/>
      <c r="K2237" s="653">
        <v>0</v>
      </c>
      <c r="L2237" s="656">
        <v>0</v>
      </c>
    </row>
    <row r="2238" spans="1:12" ht="21" x14ac:dyDescent="0.25">
      <c r="A2238" s="651" t="s">
        <v>110</v>
      </c>
      <c r="B2238" s="652">
        <v>2021</v>
      </c>
      <c r="C2238" s="651" t="s">
        <v>701</v>
      </c>
      <c r="D2238" s="651" t="s">
        <v>2365</v>
      </c>
      <c r="E2238" s="651" t="s">
        <v>705</v>
      </c>
      <c r="F2238" s="653">
        <v>-3758.69</v>
      </c>
      <c r="G2238" s="654"/>
      <c r="H2238" s="654"/>
      <c r="I2238" s="655"/>
      <c r="J2238" s="655"/>
      <c r="K2238" s="653">
        <v>0</v>
      </c>
      <c r="L2238" s="656">
        <v>-3758.69</v>
      </c>
    </row>
    <row r="2239" spans="1:12" ht="21" x14ac:dyDescent="0.25">
      <c r="A2239" s="651" t="s">
        <v>110</v>
      </c>
      <c r="B2239" s="652">
        <v>2021</v>
      </c>
      <c r="C2239" s="651" t="s">
        <v>701</v>
      </c>
      <c r="D2239" s="651" t="s">
        <v>2365</v>
      </c>
      <c r="E2239" s="651" t="s">
        <v>706</v>
      </c>
      <c r="F2239" s="653">
        <v>-77029.33</v>
      </c>
      <c r="G2239" s="654"/>
      <c r="H2239" s="654"/>
      <c r="I2239" s="655"/>
      <c r="J2239" s="655"/>
      <c r="K2239" s="653">
        <v>0</v>
      </c>
      <c r="L2239" s="656">
        <v>-77029.33</v>
      </c>
    </row>
    <row r="2240" spans="1:12" ht="14.5" x14ac:dyDescent="0.25">
      <c r="A2240" s="651" t="s">
        <v>110</v>
      </c>
      <c r="B2240" s="652">
        <v>2021</v>
      </c>
      <c r="C2240" s="651" t="s">
        <v>707</v>
      </c>
      <c r="D2240" s="651" t="s">
        <v>2366</v>
      </c>
      <c r="E2240" s="651" t="s">
        <v>709</v>
      </c>
      <c r="F2240" s="653">
        <v>-1</v>
      </c>
      <c r="G2240" s="654"/>
      <c r="H2240" s="651" t="s">
        <v>650</v>
      </c>
      <c r="I2240" s="655"/>
      <c r="J2240" s="655"/>
      <c r="K2240" s="653">
        <v>0</v>
      </c>
      <c r="L2240" s="656">
        <v>-1</v>
      </c>
    </row>
    <row r="2241" spans="1:12" ht="31.5" x14ac:dyDescent="0.25">
      <c r="A2241" s="651" t="s">
        <v>110</v>
      </c>
      <c r="B2241" s="652">
        <v>2021</v>
      </c>
      <c r="C2241" s="651" t="s">
        <v>710</v>
      </c>
      <c r="D2241" s="651" t="s">
        <v>2367</v>
      </c>
      <c r="E2241" s="651" t="s">
        <v>2</v>
      </c>
      <c r="F2241" s="653">
        <v>5595382.3499999996</v>
      </c>
      <c r="G2241" s="651" t="s">
        <v>650</v>
      </c>
      <c r="H2241" s="654"/>
      <c r="I2241" s="653">
        <v>5446141.5</v>
      </c>
      <c r="J2241" s="653">
        <v>149240.921875</v>
      </c>
      <c r="K2241" s="653">
        <v>5595382.5</v>
      </c>
      <c r="L2241" s="656">
        <v>5595382.3499999996</v>
      </c>
    </row>
    <row r="2242" spans="1:12" ht="31.5" x14ac:dyDescent="0.25">
      <c r="A2242" s="651" t="s">
        <v>110</v>
      </c>
      <c r="B2242" s="652">
        <v>2021</v>
      </c>
      <c r="C2242" s="651" t="s">
        <v>712</v>
      </c>
      <c r="D2242" s="651" t="s">
        <v>2368</v>
      </c>
      <c r="E2242" s="651" t="s">
        <v>3</v>
      </c>
      <c r="F2242" s="653">
        <v>-3799739.15</v>
      </c>
      <c r="G2242" s="651" t="s">
        <v>650</v>
      </c>
      <c r="H2242" s="654"/>
      <c r="I2242" s="653">
        <v>-3639520</v>
      </c>
      <c r="J2242" s="653">
        <v>-160219.03125</v>
      </c>
      <c r="K2242" s="653">
        <v>-3799739.25</v>
      </c>
      <c r="L2242" s="656">
        <v>-3799739.15</v>
      </c>
    </row>
    <row r="2243" spans="1:12" ht="31.5" x14ac:dyDescent="0.25">
      <c r="A2243" s="651" t="s">
        <v>110</v>
      </c>
      <c r="B2243" s="652">
        <v>2021</v>
      </c>
      <c r="C2243" s="651" t="s">
        <v>714</v>
      </c>
      <c r="D2243" s="651" t="s">
        <v>2369</v>
      </c>
      <c r="E2243" s="651" t="s">
        <v>38</v>
      </c>
      <c r="F2243" s="653">
        <v>-2724703.55</v>
      </c>
      <c r="G2243" s="651" t="s">
        <v>650</v>
      </c>
      <c r="H2243" s="654"/>
      <c r="I2243" s="653">
        <v>-2684054</v>
      </c>
      <c r="J2243" s="653">
        <v>-40649.66015625</v>
      </c>
      <c r="K2243" s="653">
        <v>-2724703.5</v>
      </c>
      <c r="L2243" s="656">
        <v>-2724703.55</v>
      </c>
    </row>
    <row r="2244" spans="1:12" ht="21" x14ac:dyDescent="0.25">
      <c r="A2244" s="651" t="s">
        <v>110</v>
      </c>
      <c r="B2244" s="652">
        <v>2021</v>
      </c>
      <c r="C2244" s="651" t="s">
        <v>716</v>
      </c>
      <c r="D2244" s="651" t="s">
        <v>2370</v>
      </c>
      <c r="E2244" s="651" t="s">
        <v>66</v>
      </c>
      <c r="F2244" s="653">
        <v>-1361390.78</v>
      </c>
      <c r="G2244" s="651" t="s">
        <v>650</v>
      </c>
      <c r="H2244" s="654"/>
      <c r="I2244" s="653">
        <v>-1229781.375</v>
      </c>
      <c r="J2244" s="653">
        <v>-131609.34375</v>
      </c>
      <c r="K2244" s="653">
        <v>-1361390.75</v>
      </c>
      <c r="L2244" s="656">
        <v>-1361390.78</v>
      </c>
    </row>
    <row r="2245" spans="1:12" ht="31.5" x14ac:dyDescent="0.25">
      <c r="A2245" s="651" t="s">
        <v>110</v>
      </c>
      <c r="B2245" s="652">
        <v>2021</v>
      </c>
      <c r="C2245" s="651" t="s">
        <v>718</v>
      </c>
      <c r="D2245" s="651" t="s">
        <v>2371</v>
      </c>
      <c r="E2245" s="651" t="s">
        <v>720</v>
      </c>
      <c r="F2245" s="653">
        <v>-576157.61</v>
      </c>
      <c r="G2245" s="654"/>
      <c r="H2245" s="651" t="s">
        <v>650</v>
      </c>
      <c r="I2245" s="655"/>
      <c r="J2245" s="655"/>
      <c r="K2245" s="653">
        <v>0</v>
      </c>
      <c r="L2245" s="656">
        <v>-576157.61</v>
      </c>
    </row>
    <row r="2246" spans="1:12" ht="42" x14ac:dyDescent="0.25">
      <c r="A2246" s="651" t="s">
        <v>110</v>
      </c>
      <c r="B2246" s="652">
        <v>2021</v>
      </c>
      <c r="C2246" s="651" t="s">
        <v>721</v>
      </c>
      <c r="D2246" s="651" t="s">
        <v>2372</v>
      </c>
      <c r="E2246" s="651" t="s">
        <v>3016</v>
      </c>
      <c r="F2246" s="653">
        <v>0</v>
      </c>
      <c r="G2246" s="651" t="s">
        <v>650</v>
      </c>
      <c r="H2246" s="654"/>
      <c r="I2246" s="655"/>
      <c r="J2246" s="655"/>
      <c r="K2246" s="653">
        <v>0</v>
      </c>
      <c r="L2246" s="656">
        <v>0</v>
      </c>
    </row>
    <row r="2247" spans="1:12" ht="42" x14ac:dyDescent="0.25">
      <c r="A2247" s="651" t="s">
        <v>110</v>
      </c>
      <c r="B2247" s="652">
        <v>2021</v>
      </c>
      <c r="C2247" s="651" t="s">
        <v>721</v>
      </c>
      <c r="D2247" s="651" t="s">
        <v>2372</v>
      </c>
      <c r="E2247" s="651" t="s">
        <v>3058</v>
      </c>
      <c r="F2247" s="653">
        <v>0</v>
      </c>
      <c r="G2247" s="651" t="s">
        <v>650</v>
      </c>
      <c r="H2247" s="654"/>
      <c r="I2247" s="655"/>
      <c r="J2247" s="655"/>
      <c r="K2247" s="653">
        <v>0</v>
      </c>
      <c r="L2247" s="656">
        <v>0</v>
      </c>
    </row>
    <row r="2248" spans="1:12" ht="42" x14ac:dyDescent="0.25">
      <c r="A2248" s="651" t="s">
        <v>110</v>
      </c>
      <c r="B2248" s="652">
        <v>2021</v>
      </c>
      <c r="C2248" s="651" t="s">
        <v>721</v>
      </c>
      <c r="D2248" s="651" t="s">
        <v>2373</v>
      </c>
      <c r="E2248" s="651" t="s">
        <v>724</v>
      </c>
      <c r="F2248" s="653">
        <v>0</v>
      </c>
      <c r="G2248" s="651" t="s">
        <v>650</v>
      </c>
      <c r="H2248" s="654"/>
      <c r="I2248" s="655"/>
      <c r="J2248" s="655"/>
      <c r="K2248" s="653">
        <v>0</v>
      </c>
      <c r="L2248" s="656">
        <v>0</v>
      </c>
    </row>
    <row r="2249" spans="1:12" ht="42" x14ac:dyDescent="0.25">
      <c r="A2249" s="651" t="s">
        <v>110</v>
      </c>
      <c r="B2249" s="652">
        <v>2021</v>
      </c>
      <c r="C2249" s="651" t="s">
        <v>721</v>
      </c>
      <c r="D2249" s="651" t="s">
        <v>2374</v>
      </c>
      <c r="E2249" s="651" t="s">
        <v>55</v>
      </c>
      <c r="F2249" s="653">
        <v>0</v>
      </c>
      <c r="G2249" s="651" t="s">
        <v>650</v>
      </c>
      <c r="H2249" s="654"/>
      <c r="I2249" s="655"/>
      <c r="J2249" s="655"/>
      <c r="K2249" s="653">
        <v>0</v>
      </c>
      <c r="L2249" s="656">
        <v>0</v>
      </c>
    </row>
    <row r="2250" spans="1:12" ht="42" x14ac:dyDescent="0.25">
      <c r="A2250" s="651" t="s">
        <v>110</v>
      </c>
      <c r="B2250" s="652">
        <v>2021</v>
      </c>
      <c r="C2250" s="651" t="s">
        <v>721</v>
      </c>
      <c r="D2250" s="651" t="s">
        <v>2375</v>
      </c>
      <c r="E2250" s="651" t="s">
        <v>56</v>
      </c>
      <c r="F2250" s="653">
        <v>0</v>
      </c>
      <c r="G2250" s="651" t="s">
        <v>650</v>
      </c>
      <c r="H2250" s="654"/>
      <c r="I2250" s="655"/>
      <c r="J2250" s="655"/>
      <c r="K2250" s="653">
        <v>0</v>
      </c>
      <c r="L2250" s="656">
        <v>0</v>
      </c>
    </row>
    <row r="2251" spans="1:12" ht="42" x14ac:dyDescent="0.25">
      <c r="A2251" s="651" t="s">
        <v>110</v>
      </c>
      <c r="B2251" s="652">
        <v>2021</v>
      </c>
      <c r="C2251" s="651" t="s">
        <v>721</v>
      </c>
      <c r="D2251" s="651" t="s">
        <v>2376</v>
      </c>
      <c r="E2251" s="651" t="s">
        <v>728</v>
      </c>
      <c r="F2251" s="653">
        <v>0</v>
      </c>
      <c r="G2251" s="651" t="s">
        <v>650</v>
      </c>
      <c r="H2251" s="654"/>
      <c r="I2251" s="655"/>
      <c r="J2251" s="655"/>
      <c r="K2251" s="653">
        <v>0</v>
      </c>
      <c r="L2251" s="656">
        <v>0</v>
      </c>
    </row>
    <row r="2252" spans="1:12" ht="42" x14ac:dyDescent="0.25">
      <c r="A2252" s="651" t="s">
        <v>110</v>
      </c>
      <c r="B2252" s="652">
        <v>2021</v>
      </c>
      <c r="C2252" s="651" t="s">
        <v>721</v>
      </c>
      <c r="D2252" s="651" t="s">
        <v>2377</v>
      </c>
      <c r="E2252" s="651" t="s">
        <v>730</v>
      </c>
      <c r="F2252" s="653">
        <v>0</v>
      </c>
      <c r="G2252" s="651" t="s">
        <v>650</v>
      </c>
      <c r="H2252" s="654"/>
      <c r="I2252" s="655"/>
      <c r="J2252" s="655"/>
      <c r="K2252" s="653">
        <v>0</v>
      </c>
      <c r="L2252" s="656">
        <v>0</v>
      </c>
    </row>
    <row r="2253" spans="1:12" ht="42" x14ac:dyDescent="0.25">
      <c r="A2253" s="651" t="s">
        <v>110</v>
      </c>
      <c r="B2253" s="652">
        <v>2021</v>
      </c>
      <c r="C2253" s="651" t="s">
        <v>721</v>
      </c>
      <c r="D2253" s="651" t="s">
        <v>2378</v>
      </c>
      <c r="E2253" s="651" t="s">
        <v>142</v>
      </c>
      <c r="F2253" s="653">
        <v>0</v>
      </c>
      <c r="G2253" s="651" t="s">
        <v>650</v>
      </c>
      <c r="H2253" s="654"/>
      <c r="I2253" s="655"/>
      <c r="J2253" s="655"/>
      <c r="K2253" s="653">
        <v>0</v>
      </c>
      <c r="L2253" s="656">
        <v>0</v>
      </c>
    </row>
    <row r="2254" spans="1:12" ht="42" x14ac:dyDescent="0.25">
      <c r="A2254" s="651" t="s">
        <v>110</v>
      </c>
      <c r="B2254" s="652">
        <v>2021</v>
      </c>
      <c r="C2254" s="651" t="s">
        <v>721</v>
      </c>
      <c r="D2254" s="651" t="s">
        <v>2379</v>
      </c>
      <c r="E2254" s="651" t="s">
        <v>143</v>
      </c>
      <c r="F2254" s="653">
        <v>0</v>
      </c>
      <c r="G2254" s="651" t="s">
        <v>650</v>
      </c>
      <c r="H2254" s="654"/>
      <c r="I2254" s="655"/>
      <c r="J2254" s="655"/>
      <c r="K2254" s="653">
        <v>0</v>
      </c>
      <c r="L2254" s="656">
        <v>0</v>
      </c>
    </row>
    <row r="2255" spans="1:12" ht="42" x14ac:dyDescent="0.25">
      <c r="A2255" s="651" t="s">
        <v>110</v>
      </c>
      <c r="B2255" s="652">
        <v>2021</v>
      </c>
      <c r="C2255" s="651" t="s">
        <v>721</v>
      </c>
      <c r="D2255" s="651" t="s">
        <v>2380</v>
      </c>
      <c r="E2255" s="651" t="s">
        <v>182</v>
      </c>
      <c r="F2255" s="653">
        <v>0</v>
      </c>
      <c r="G2255" s="651" t="s">
        <v>650</v>
      </c>
      <c r="H2255" s="654"/>
      <c r="I2255" s="653">
        <v>-45927.859375</v>
      </c>
      <c r="J2255" s="653">
        <v>181450.71875</v>
      </c>
      <c r="K2255" s="653">
        <v>135522.859375</v>
      </c>
      <c r="L2255" s="656">
        <v>135522.85999999999</v>
      </c>
    </row>
    <row r="2256" spans="1:12" ht="42" x14ac:dyDescent="0.25">
      <c r="A2256" s="651" t="s">
        <v>110</v>
      </c>
      <c r="B2256" s="652">
        <v>2021</v>
      </c>
      <c r="C2256" s="651" t="s">
        <v>721</v>
      </c>
      <c r="D2256" s="651" t="s">
        <v>2381</v>
      </c>
      <c r="E2256" s="651" t="s">
        <v>394</v>
      </c>
      <c r="F2256" s="653">
        <v>0</v>
      </c>
      <c r="G2256" s="651" t="s">
        <v>650</v>
      </c>
      <c r="H2256" s="654"/>
      <c r="I2256" s="655"/>
      <c r="J2256" s="655"/>
      <c r="K2256" s="653">
        <v>0</v>
      </c>
      <c r="L2256" s="656">
        <v>0</v>
      </c>
    </row>
    <row r="2257" spans="1:12" ht="42" x14ac:dyDescent="0.25">
      <c r="A2257" s="651" t="s">
        <v>110</v>
      </c>
      <c r="B2257" s="652">
        <v>2021</v>
      </c>
      <c r="C2257" s="651" t="s">
        <v>721</v>
      </c>
      <c r="D2257" s="651" t="s">
        <v>2382</v>
      </c>
      <c r="E2257" s="651" t="s">
        <v>423</v>
      </c>
      <c r="F2257" s="653">
        <v>0</v>
      </c>
      <c r="G2257" s="651" t="s">
        <v>650</v>
      </c>
      <c r="H2257" s="654"/>
      <c r="I2257" s="655"/>
      <c r="J2257" s="655"/>
      <c r="K2257" s="653">
        <v>0</v>
      </c>
      <c r="L2257" s="656">
        <v>0</v>
      </c>
    </row>
    <row r="2258" spans="1:12" ht="42" x14ac:dyDescent="0.25">
      <c r="A2258" s="651" t="s">
        <v>110</v>
      </c>
      <c r="B2258" s="652">
        <v>2021</v>
      </c>
      <c r="C2258" s="651" t="s">
        <v>721</v>
      </c>
      <c r="D2258" s="651" t="s">
        <v>3280</v>
      </c>
      <c r="E2258" s="651" t="s">
        <v>441</v>
      </c>
      <c r="F2258" s="653">
        <v>0</v>
      </c>
      <c r="G2258" s="651" t="s">
        <v>650</v>
      </c>
      <c r="H2258" s="654"/>
      <c r="I2258" s="653">
        <v>-577160.25</v>
      </c>
      <c r="J2258" s="653">
        <v>-62646.6484375</v>
      </c>
      <c r="K2258" s="653">
        <v>-639806.875</v>
      </c>
      <c r="L2258" s="656">
        <v>-639806.9</v>
      </c>
    </row>
    <row r="2259" spans="1:12" ht="42" x14ac:dyDescent="0.25">
      <c r="A2259" s="651" t="s">
        <v>110</v>
      </c>
      <c r="B2259" s="652">
        <v>2021</v>
      </c>
      <c r="C2259" s="651" t="s">
        <v>721</v>
      </c>
      <c r="D2259" s="651" t="s">
        <v>2383</v>
      </c>
      <c r="E2259" s="651" t="s">
        <v>737</v>
      </c>
      <c r="F2259" s="653">
        <v>-504284.04</v>
      </c>
      <c r="G2259" s="654"/>
      <c r="H2259" s="654"/>
      <c r="I2259" s="655"/>
      <c r="J2259" s="655"/>
      <c r="K2259" s="653">
        <v>0</v>
      </c>
      <c r="L2259" s="656">
        <v>-504284.04</v>
      </c>
    </row>
    <row r="2260" spans="1:12" ht="14.5" x14ac:dyDescent="0.25">
      <c r="A2260" s="651" t="s">
        <v>110</v>
      </c>
      <c r="B2260" s="652">
        <v>2021</v>
      </c>
      <c r="C2260" s="651" t="s">
        <v>738</v>
      </c>
      <c r="D2260" s="651" t="s">
        <v>2384</v>
      </c>
      <c r="E2260" s="651" t="s">
        <v>7</v>
      </c>
      <c r="F2260" s="653">
        <v>0</v>
      </c>
      <c r="G2260" s="654"/>
      <c r="H2260" s="651" t="s">
        <v>650</v>
      </c>
      <c r="I2260" s="655"/>
      <c r="J2260" s="655"/>
      <c r="K2260" s="653">
        <v>0</v>
      </c>
      <c r="L2260" s="656">
        <v>0</v>
      </c>
    </row>
    <row r="2261" spans="1:12" ht="21" x14ac:dyDescent="0.25">
      <c r="A2261" s="651" t="s">
        <v>111</v>
      </c>
      <c r="B2261" s="652">
        <v>2021</v>
      </c>
      <c r="C2261" s="651" t="s">
        <v>647</v>
      </c>
      <c r="D2261" s="651" t="s">
        <v>2385</v>
      </c>
      <c r="E2261" s="651" t="s">
        <v>649</v>
      </c>
      <c r="F2261" s="653">
        <v>1723760.4</v>
      </c>
      <c r="G2261" s="654"/>
      <c r="H2261" s="651" t="s">
        <v>650</v>
      </c>
      <c r="I2261" s="655"/>
      <c r="J2261" s="655"/>
      <c r="K2261" s="653">
        <v>0</v>
      </c>
      <c r="L2261" s="656">
        <v>1723760.4</v>
      </c>
    </row>
    <row r="2262" spans="1:12" ht="14.5" x14ac:dyDescent="0.25">
      <c r="A2262" s="651" t="s">
        <v>111</v>
      </c>
      <c r="B2262" s="652">
        <v>2021</v>
      </c>
      <c r="C2262" s="651" t="s">
        <v>651</v>
      </c>
      <c r="D2262" s="651" t="s">
        <v>2386</v>
      </c>
      <c r="E2262" s="651" t="s">
        <v>653</v>
      </c>
      <c r="F2262" s="653">
        <v>0</v>
      </c>
      <c r="G2262" s="654"/>
      <c r="H2262" s="651" t="s">
        <v>650</v>
      </c>
      <c r="I2262" s="655"/>
      <c r="J2262" s="655"/>
      <c r="K2262" s="653">
        <v>0</v>
      </c>
      <c r="L2262" s="656">
        <v>0</v>
      </c>
    </row>
    <row r="2263" spans="1:12" ht="42" x14ac:dyDescent="0.25">
      <c r="A2263" s="651" t="s">
        <v>111</v>
      </c>
      <c r="B2263" s="652">
        <v>2021</v>
      </c>
      <c r="C2263" s="651" t="s">
        <v>654</v>
      </c>
      <c r="D2263" s="651" t="s">
        <v>2387</v>
      </c>
      <c r="E2263" s="651" t="s">
        <v>445</v>
      </c>
      <c r="F2263" s="653">
        <v>0</v>
      </c>
      <c r="G2263" s="654"/>
      <c r="H2263" s="651" t="s">
        <v>650</v>
      </c>
      <c r="I2263" s="655"/>
      <c r="J2263" s="655"/>
      <c r="K2263" s="653">
        <v>0</v>
      </c>
      <c r="L2263" s="656">
        <v>0</v>
      </c>
    </row>
    <row r="2264" spans="1:12" ht="21" x14ac:dyDescent="0.25">
      <c r="A2264" s="651" t="s">
        <v>111</v>
      </c>
      <c r="B2264" s="652">
        <v>2021</v>
      </c>
      <c r="C2264" s="651" t="s">
        <v>656</v>
      </c>
      <c r="D2264" s="651" t="s">
        <v>2388</v>
      </c>
      <c r="E2264" s="651" t="s">
        <v>658</v>
      </c>
      <c r="F2264" s="653">
        <v>0</v>
      </c>
      <c r="G2264" s="654"/>
      <c r="H2264" s="651" t="s">
        <v>650</v>
      </c>
      <c r="I2264" s="655"/>
      <c r="J2264" s="655"/>
      <c r="K2264" s="653">
        <v>0</v>
      </c>
      <c r="L2264" s="656">
        <v>0</v>
      </c>
    </row>
    <row r="2265" spans="1:12" ht="31.5" x14ac:dyDescent="0.25">
      <c r="A2265" s="651" t="s">
        <v>111</v>
      </c>
      <c r="B2265" s="652">
        <v>2021</v>
      </c>
      <c r="C2265" s="651" t="s">
        <v>659</v>
      </c>
      <c r="D2265" s="651" t="s">
        <v>2389</v>
      </c>
      <c r="E2265" s="651" t="s">
        <v>661</v>
      </c>
      <c r="F2265" s="653">
        <v>0</v>
      </c>
      <c r="G2265" s="654"/>
      <c r="H2265" s="651" t="s">
        <v>650</v>
      </c>
      <c r="I2265" s="655"/>
      <c r="J2265" s="655"/>
      <c r="K2265" s="653">
        <v>0</v>
      </c>
      <c r="L2265" s="656">
        <v>0</v>
      </c>
    </row>
    <row r="2266" spans="1:12" ht="21" x14ac:dyDescent="0.25">
      <c r="A2266" s="651" t="s">
        <v>111</v>
      </c>
      <c r="B2266" s="652">
        <v>2021</v>
      </c>
      <c r="C2266" s="651" t="s">
        <v>662</v>
      </c>
      <c r="D2266" s="651" t="s">
        <v>2390</v>
      </c>
      <c r="E2266" s="651" t="s">
        <v>664</v>
      </c>
      <c r="F2266" s="653">
        <v>0</v>
      </c>
      <c r="G2266" s="654"/>
      <c r="H2266" s="651" t="s">
        <v>650</v>
      </c>
      <c r="I2266" s="655"/>
      <c r="J2266" s="655"/>
      <c r="K2266" s="653">
        <v>0</v>
      </c>
      <c r="L2266" s="656">
        <v>0</v>
      </c>
    </row>
    <row r="2267" spans="1:12" ht="31.5" x14ac:dyDescent="0.25">
      <c r="A2267" s="651" t="s">
        <v>111</v>
      </c>
      <c r="B2267" s="652">
        <v>2021</v>
      </c>
      <c r="C2267" s="651" t="s">
        <v>665</v>
      </c>
      <c r="D2267" s="651" t="s">
        <v>2391</v>
      </c>
      <c r="E2267" s="651" t="s">
        <v>667</v>
      </c>
      <c r="F2267" s="653">
        <v>0</v>
      </c>
      <c r="G2267" s="654"/>
      <c r="H2267" s="651" t="s">
        <v>650</v>
      </c>
      <c r="I2267" s="655"/>
      <c r="J2267" s="655"/>
      <c r="K2267" s="653">
        <v>0</v>
      </c>
      <c r="L2267" s="656">
        <v>0</v>
      </c>
    </row>
    <row r="2268" spans="1:12" ht="21" x14ac:dyDescent="0.25">
      <c r="A2268" s="651" t="s">
        <v>111</v>
      </c>
      <c r="B2268" s="652">
        <v>2021</v>
      </c>
      <c r="C2268" s="651" t="s">
        <v>668</v>
      </c>
      <c r="D2268" s="651" t="s">
        <v>2392</v>
      </c>
      <c r="E2268" s="651" t="s">
        <v>12</v>
      </c>
      <c r="F2268" s="653">
        <v>0</v>
      </c>
      <c r="G2268" s="654"/>
      <c r="H2268" s="651" t="s">
        <v>650</v>
      </c>
      <c r="I2268" s="655"/>
      <c r="J2268" s="655"/>
      <c r="K2268" s="653">
        <v>0</v>
      </c>
      <c r="L2268" s="656">
        <v>0</v>
      </c>
    </row>
    <row r="2269" spans="1:12" ht="21" x14ac:dyDescent="0.25">
      <c r="A2269" s="651" t="s">
        <v>111</v>
      </c>
      <c r="B2269" s="652">
        <v>2021</v>
      </c>
      <c r="C2269" s="651" t="s">
        <v>670</v>
      </c>
      <c r="D2269" s="651" t="s">
        <v>2393</v>
      </c>
      <c r="E2269" s="651" t="s">
        <v>13</v>
      </c>
      <c r="F2269" s="653">
        <v>0</v>
      </c>
      <c r="G2269" s="654"/>
      <c r="H2269" s="651" t="s">
        <v>650</v>
      </c>
      <c r="I2269" s="655"/>
      <c r="J2269" s="655"/>
      <c r="K2269" s="653">
        <v>0</v>
      </c>
      <c r="L2269" s="656">
        <v>0</v>
      </c>
    </row>
    <row r="2270" spans="1:12" ht="21" x14ac:dyDescent="0.25">
      <c r="A2270" s="651" t="s">
        <v>111</v>
      </c>
      <c r="B2270" s="652">
        <v>2021</v>
      </c>
      <c r="C2270" s="651" t="s">
        <v>672</v>
      </c>
      <c r="D2270" s="651" t="s">
        <v>2394</v>
      </c>
      <c r="E2270" s="651" t="s">
        <v>15</v>
      </c>
      <c r="F2270" s="653">
        <v>0</v>
      </c>
      <c r="G2270" s="654"/>
      <c r="H2270" s="651" t="s">
        <v>650</v>
      </c>
      <c r="I2270" s="655"/>
      <c r="J2270" s="655"/>
      <c r="K2270" s="653">
        <v>0</v>
      </c>
      <c r="L2270" s="656">
        <v>0</v>
      </c>
    </row>
    <row r="2271" spans="1:12" ht="14.5" x14ac:dyDescent="0.25">
      <c r="A2271" s="651" t="s">
        <v>111</v>
      </c>
      <c r="B2271" s="652">
        <v>2021</v>
      </c>
      <c r="C2271" s="651" t="s">
        <v>674</v>
      </c>
      <c r="D2271" s="651" t="s">
        <v>2395</v>
      </c>
      <c r="E2271" s="651" t="s">
        <v>676</v>
      </c>
      <c r="F2271" s="653">
        <v>0</v>
      </c>
      <c r="G2271" s="654"/>
      <c r="H2271" s="651" t="s">
        <v>650</v>
      </c>
      <c r="I2271" s="655"/>
      <c r="J2271" s="655"/>
      <c r="K2271" s="653">
        <v>0</v>
      </c>
      <c r="L2271" s="656">
        <v>0</v>
      </c>
    </row>
    <row r="2272" spans="1:12" ht="14.5" x14ac:dyDescent="0.25">
      <c r="A2272" s="651" t="s">
        <v>111</v>
      </c>
      <c r="B2272" s="652">
        <v>2021</v>
      </c>
      <c r="C2272" s="651" t="s">
        <v>677</v>
      </c>
      <c r="D2272" s="651" t="s">
        <v>2396</v>
      </c>
      <c r="E2272" s="651" t="s">
        <v>23</v>
      </c>
      <c r="F2272" s="653">
        <v>1129849.6000000001</v>
      </c>
      <c r="G2272" s="651" t="s">
        <v>650</v>
      </c>
      <c r="H2272" s="654"/>
      <c r="I2272" s="653">
        <v>1089278.25</v>
      </c>
      <c r="J2272" s="653">
        <v>40571.2890625</v>
      </c>
      <c r="K2272" s="653">
        <v>1129849.625</v>
      </c>
      <c r="L2272" s="656">
        <v>1129849.6000000001</v>
      </c>
    </row>
    <row r="2273" spans="1:12" ht="31.5" x14ac:dyDescent="0.25">
      <c r="A2273" s="651" t="s">
        <v>111</v>
      </c>
      <c r="B2273" s="652">
        <v>2021</v>
      </c>
      <c r="C2273" s="651" t="s">
        <v>679</v>
      </c>
      <c r="D2273" s="651" t="s">
        <v>2397</v>
      </c>
      <c r="E2273" s="651" t="s">
        <v>131</v>
      </c>
      <c r="F2273" s="653">
        <v>-6453.65</v>
      </c>
      <c r="G2273" s="651" t="s">
        <v>650</v>
      </c>
      <c r="H2273" s="654"/>
      <c r="I2273" s="653">
        <v>-5922.4599609375</v>
      </c>
      <c r="J2273" s="653">
        <v>-531.19000244140602</v>
      </c>
      <c r="K2273" s="653">
        <v>-6453.64990234375</v>
      </c>
      <c r="L2273" s="656">
        <v>-6453.65</v>
      </c>
    </row>
    <row r="2274" spans="1:12" ht="31.5" x14ac:dyDescent="0.25">
      <c r="A2274" s="651" t="s">
        <v>111</v>
      </c>
      <c r="B2274" s="652">
        <v>2021</v>
      </c>
      <c r="C2274" s="651" t="s">
        <v>681</v>
      </c>
      <c r="D2274" s="651" t="s">
        <v>2398</v>
      </c>
      <c r="E2274" s="651" t="s">
        <v>683</v>
      </c>
      <c r="F2274" s="653">
        <v>0</v>
      </c>
      <c r="G2274" s="654"/>
      <c r="H2274" s="651" t="s">
        <v>650</v>
      </c>
      <c r="I2274" s="655"/>
      <c r="J2274" s="655"/>
      <c r="K2274" s="653">
        <v>0</v>
      </c>
      <c r="L2274" s="656">
        <v>0</v>
      </c>
    </row>
    <row r="2275" spans="1:12" ht="21" x14ac:dyDescent="0.25">
      <c r="A2275" s="651" t="s">
        <v>111</v>
      </c>
      <c r="B2275" s="652">
        <v>2021</v>
      </c>
      <c r="C2275" s="651" t="s">
        <v>681</v>
      </c>
      <c r="D2275" s="651" t="s">
        <v>2398</v>
      </c>
      <c r="E2275" s="651" t="s">
        <v>684</v>
      </c>
      <c r="F2275" s="653">
        <v>0</v>
      </c>
      <c r="G2275" s="654"/>
      <c r="H2275" s="651" t="s">
        <v>650</v>
      </c>
      <c r="I2275" s="655"/>
      <c r="J2275" s="655"/>
      <c r="K2275" s="653">
        <v>0</v>
      </c>
      <c r="L2275" s="656">
        <v>0</v>
      </c>
    </row>
    <row r="2276" spans="1:12" ht="21" x14ac:dyDescent="0.25">
      <c r="A2276" s="651" t="s">
        <v>111</v>
      </c>
      <c r="B2276" s="652">
        <v>2021</v>
      </c>
      <c r="C2276" s="651" t="s">
        <v>685</v>
      </c>
      <c r="D2276" s="651" t="s">
        <v>2399</v>
      </c>
      <c r="E2276" s="651" t="s">
        <v>687</v>
      </c>
      <c r="F2276" s="653">
        <v>0</v>
      </c>
      <c r="G2276" s="654"/>
      <c r="H2276" s="651" t="s">
        <v>650</v>
      </c>
      <c r="I2276" s="655"/>
      <c r="J2276" s="655"/>
      <c r="K2276" s="653">
        <v>0</v>
      </c>
      <c r="L2276" s="656">
        <v>0</v>
      </c>
    </row>
    <row r="2277" spans="1:12" ht="14.5" x14ac:dyDescent="0.25">
      <c r="A2277" s="651" t="s">
        <v>111</v>
      </c>
      <c r="B2277" s="652">
        <v>2021</v>
      </c>
      <c r="C2277" s="651" t="s">
        <v>688</v>
      </c>
      <c r="D2277" s="651" t="s">
        <v>2400</v>
      </c>
      <c r="E2277" s="651" t="s">
        <v>50</v>
      </c>
      <c r="F2277" s="653">
        <v>0</v>
      </c>
      <c r="G2277" s="654"/>
      <c r="H2277" s="651" t="s">
        <v>650</v>
      </c>
      <c r="I2277" s="655"/>
      <c r="J2277" s="655"/>
      <c r="K2277" s="653">
        <v>0</v>
      </c>
      <c r="L2277" s="656">
        <v>0</v>
      </c>
    </row>
    <row r="2278" spans="1:12" ht="21" x14ac:dyDescent="0.25">
      <c r="A2278" s="651" t="s">
        <v>111</v>
      </c>
      <c r="B2278" s="652">
        <v>2021</v>
      </c>
      <c r="C2278" s="651" t="s">
        <v>690</v>
      </c>
      <c r="D2278" s="651" t="s">
        <v>2401</v>
      </c>
      <c r="E2278" s="651" t="s">
        <v>692</v>
      </c>
      <c r="F2278" s="653">
        <v>0</v>
      </c>
      <c r="G2278" s="654"/>
      <c r="H2278" s="651" t="s">
        <v>650</v>
      </c>
      <c r="I2278" s="655"/>
      <c r="J2278" s="655"/>
      <c r="K2278" s="653">
        <v>0</v>
      </c>
      <c r="L2278" s="656">
        <v>0</v>
      </c>
    </row>
    <row r="2279" spans="1:12" ht="21" x14ac:dyDescent="0.25">
      <c r="A2279" s="651" t="s">
        <v>111</v>
      </c>
      <c r="B2279" s="652">
        <v>2021</v>
      </c>
      <c r="C2279" s="651" t="s">
        <v>693</v>
      </c>
      <c r="D2279" s="651" t="s">
        <v>2402</v>
      </c>
      <c r="E2279" s="651" t="s">
        <v>6</v>
      </c>
      <c r="F2279" s="653">
        <v>0</v>
      </c>
      <c r="G2279" s="654"/>
      <c r="H2279" s="651" t="s">
        <v>650</v>
      </c>
      <c r="I2279" s="655"/>
      <c r="J2279" s="655"/>
      <c r="K2279" s="653">
        <v>0</v>
      </c>
      <c r="L2279" s="656">
        <v>0</v>
      </c>
    </row>
    <row r="2280" spans="1:12" ht="31.5" x14ac:dyDescent="0.25">
      <c r="A2280" s="651" t="s">
        <v>111</v>
      </c>
      <c r="B2280" s="652">
        <v>2021</v>
      </c>
      <c r="C2280" s="651" t="s">
        <v>695</v>
      </c>
      <c r="D2280" s="651" t="s">
        <v>2403</v>
      </c>
      <c r="E2280" s="651" t="s">
        <v>697</v>
      </c>
      <c r="F2280" s="653">
        <v>0</v>
      </c>
      <c r="G2280" s="654"/>
      <c r="H2280" s="651" t="s">
        <v>650</v>
      </c>
      <c r="I2280" s="655"/>
      <c r="J2280" s="655"/>
      <c r="K2280" s="653">
        <v>0</v>
      </c>
      <c r="L2280" s="656">
        <v>0</v>
      </c>
    </row>
    <row r="2281" spans="1:12" ht="21" x14ac:dyDescent="0.25">
      <c r="A2281" s="651" t="s">
        <v>111</v>
      </c>
      <c r="B2281" s="652">
        <v>2021</v>
      </c>
      <c r="C2281" s="651" t="s">
        <v>698</v>
      </c>
      <c r="D2281" s="651" t="s">
        <v>2404</v>
      </c>
      <c r="E2281" s="651" t="s">
        <v>700</v>
      </c>
      <c r="F2281" s="653">
        <v>0</v>
      </c>
      <c r="G2281" s="654"/>
      <c r="H2281" s="651" t="s">
        <v>650</v>
      </c>
      <c r="I2281" s="655"/>
      <c r="J2281" s="655"/>
      <c r="K2281" s="653">
        <v>0</v>
      </c>
      <c r="L2281" s="656">
        <v>0</v>
      </c>
    </row>
    <row r="2282" spans="1:12" ht="21" x14ac:dyDescent="0.25">
      <c r="A2282" s="651" t="s">
        <v>111</v>
      </c>
      <c r="B2282" s="652">
        <v>2021</v>
      </c>
      <c r="C2282" s="651" t="s">
        <v>701</v>
      </c>
      <c r="D2282" s="651" t="s">
        <v>2405</v>
      </c>
      <c r="E2282" s="651" t="s">
        <v>1</v>
      </c>
      <c r="F2282" s="653">
        <v>-316722.59000000003</v>
      </c>
      <c r="G2282" s="651" t="s">
        <v>650</v>
      </c>
      <c r="H2282" s="654"/>
      <c r="I2282" s="653">
        <v>-305212.6875</v>
      </c>
      <c r="J2282" s="653">
        <v>-11509.91015625</v>
      </c>
      <c r="K2282" s="653">
        <v>-316722.59375</v>
      </c>
      <c r="L2282" s="656">
        <v>-316722.59000000003</v>
      </c>
    </row>
    <row r="2283" spans="1:12" ht="21" x14ac:dyDescent="0.25">
      <c r="A2283" s="651" t="s">
        <v>111</v>
      </c>
      <c r="B2283" s="652">
        <v>2021</v>
      </c>
      <c r="C2283" s="651" t="s">
        <v>701</v>
      </c>
      <c r="D2283" s="651" t="s">
        <v>2405</v>
      </c>
      <c r="E2283" s="651" t="s">
        <v>703</v>
      </c>
      <c r="F2283" s="653">
        <v>1.29</v>
      </c>
      <c r="G2283" s="654"/>
      <c r="H2283" s="654"/>
      <c r="I2283" s="655"/>
      <c r="J2283" s="655"/>
      <c r="K2283" s="653">
        <v>0</v>
      </c>
      <c r="L2283" s="656">
        <v>1.29</v>
      </c>
    </row>
    <row r="2284" spans="1:12" ht="21" x14ac:dyDescent="0.25">
      <c r="A2284" s="651" t="s">
        <v>111</v>
      </c>
      <c r="B2284" s="652">
        <v>2021</v>
      </c>
      <c r="C2284" s="651" t="s">
        <v>701</v>
      </c>
      <c r="D2284" s="651" t="s">
        <v>2405</v>
      </c>
      <c r="E2284" s="651" t="s">
        <v>704</v>
      </c>
      <c r="F2284" s="653">
        <v>93.69</v>
      </c>
      <c r="G2284" s="654"/>
      <c r="H2284" s="654"/>
      <c r="I2284" s="655"/>
      <c r="J2284" s="655"/>
      <c r="K2284" s="653">
        <v>0</v>
      </c>
      <c r="L2284" s="656">
        <v>93.69</v>
      </c>
    </row>
    <row r="2285" spans="1:12" ht="21" x14ac:dyDescent="0.25">
      <c r="A2285" s="651" t="s">
        <v>111</v>
      </c>
      <c r="B2285" s="652">
        <v>2021</v>
      </c>
      <c r="C2285" s="651" t="s">
        <v>701</v>
      </c>
      <c r="D2285" s="651" t="s">
        <v>2405</v>
      </c>
      <c r="E2285" s="651" t="s">
        <v>705</v>
      </c>
      <c r="F2285" s="653">
        <v>0</v>
      </c>
      <c r="G2285" s="654"/>
      <c r="H2285" s="654"/>
      <c r="I2285" s="655"/>
      <c r="J2285" s="655"/>
      <c r="K2285" s="653">
        <v>0</v>
      </c>
      <c r="L2285" s="656">
        <v>0</v>
      </c>
    </row>
    <row r="2286" spans="1:12" ht="21" x14ac:dyDescent="0.25">
      <c r="A2286" s="651" t="s">
        <v>111</v>
      </c>
      <c r="B2286" s="652">
        <v>2021</v>
      </c>
      <c r="C2286" s="651" t="s">
        <v>701</v>
      </c>
      <c r="D2286" s="651" t="s">
        <v>2405</v>
      </c>
      <c r="E2286" s="651" t="s">
        <v>706</v>
      </c>
      <c r="F2286" s="653">
        <v>0</v>
      </c>
      <c r="G2286" s="654"/>
      <c r="H2286" s="654"/>
      <c r="I2286" s="655"/>
      <c r="J2286" s="655"/>
      <c r="K2286" s="653">
        <v>0</v>
      </c>
      <c r="L2286" s="656">
        <v>0</v>
      </c>
    </row>
    <row r="2287" spans="1:12" ht="14.5" x14ac:dyDescent="0.25">
      <c r="A2287" s="651" t="s">
        <v>111</v>
      </c>
      <c r="B2287" s="652">
        <v>2021</v>
      </c>
      <c r="C2287" s="651" t="s">
        <v>707</v>
      </c>
      <c r="D2287" s="651" t="s">
        <v>2406</v>
      </c>
      <c r="E2287" s="651" t="s">
        <v>709</v>
      </c>
      <c r="F2287" s="653">
        <v>0</v>
      </c>
      <c r="G2287" s="654"/>
      <c r="H2287" s="651" t="s">
        <v>650</v>
      </c>
      <c r="I2287" s="655"/>
      <c r="J2287" s="655"/>
      <c r="K2287" s="653">
        <v>0</v>
      </c>
      <c r="L2287" s="656">
        <v>0</v>
      </c>
    </row>
    <row r="2288" spans="1:12" ht="31.5" x14ac:dyDescent="0.25">
      <c r="A2288" s="651" t="s">
        <v>111</v>
      </c>
      <c r="B2288" s="652">
        <v>2021</v>
      </c>
      <c r="C2288" s="651" t="s">
        <v>710</v>
      </c>
      <c r="D2288" s="651" t="s">
        <v>2407</v>
      </c>
      <c r="E2288" s="651" t="s">
        <v>2</v>
      </c>
      <c r="F2288" s="653">
        <v>-196618.71</v>
      </c>
      <c r="G2288" s="651" t="s">
        <v>650</v>
      </c>
      <c r="H2288" s="654"/>
      <c r="I2288" s="653">
        <v>-193465.59375</v>
      </c>
      <c r="J2288" s="653">
        <v>-3153.1201171875</v>
      </c>
      <c r="K2288" s="653">
        <v>-196618.703125</v>
      </c>
      <c r="L2288" s="656">
        <v>-196618.71</v>
      </c>
    </row>
    <row r="2289" spans="1:12" ht="31.5" x14ac:dyDescent="0.25">
      <c r="A2289" s="651" t="s">
        <v>111</v>
      </c>
      <c r="B2289" s="652">
        <v>2021</v>
      </c>
      <c r="C2289" s="651" t="s">
        <v>712</v>
      </c>
      <c r="D2289" s="651" t="s">
        <v>2408</v>
      </c>
      <c r="E2289" s="651" t="s">
        <v>3</v>
      </c>
      <c r="F2289" s="653">
        <v>-48287.6</v>
      </c>
      <c r="G2289" s="651" t="s">
        <v>650</v>
      </c>
      <c r="H2289" s="654"/>
      <c r="I2289" s="653">
        <v>-49640.12109375</v>
      </c>
      <c r="J2289" s="653">
        <v>1352.52001953125</v>
      </c>
      <c r="K2289" s="653">
        <v>-48287.6015625</v>
      </c>
      <c r="L2289" s="656">
        <v>-48287.6</v>
      </c>
    </row>
    <row r="2290" spans="1:12" ht="31.5" x14ac:dyDescent="0.25">
      <c r="A2290" s="651" t="s">
        <v>111</v>
      </c>
      <c r="B2290" s="652">
        <v>2021</v>
      </c>
      <c r="C2290" s="651" t="s">
        <v>714</v>
      </c>
      <c r="D2290" s="651" t="s">
        <v>2409</v>
      </c>
      <c r="E2290" s="651" t="s">
        <v>38</v>
      </c>
      <c r="F2290" s="653">
        <v>-1377216.3</v>
      </c>
      <c r="G2290" s="651" t="s">
        <v>650</v>
      </c>
      <c r="H2290" s="654"/>
      <c r="I2290" s="653">
        <v>-1372896.25</v>
      </c>
      <c r="J2290" s="653">
        <v>-4320.009765625</v>
      </c>
      <c r="K2290" s="653">
        <v>-1377216.25</v>
      </c>
      <c r="L2290" s="656">
        <v>-1377216.3</v>
      </c>
    </row>
    <row r="2291" spans="1:12" ht="21" x14ac:dyDescent="0.25">
      <c r="A2291" s="651" t="s">
        <v>111</v>
      </c>
      <c r="B2291" s="652">
        <v>2021</v>
      </c>
      <c r="C2291" s="651" t="s">
        <v>716</v>
      </c>
      <c r="D2291" s="651" t="s">
        <v>2410</v>
      </c>
      <c r="E2291" s="651" t="s">
        <v>66</v>
      </c>
      <c r="F2291" s="653">
        <v>781847.43</v>
      </c>
      <c r="G2291" s="651" t="s">
        <v>650</v>
      </c>
      <c r="H2291" s="654"/>
      <c r="I2291" s="653">
        <v>794368.25</v>
      </c>
      <c r="J2291" s="653">
        <v>-12520.8095703125</v>
      </c>
      <c r="K2291" s="653">
        <v>781847.4375</v>
      </c>
      <c r="L2291" s="656">
        <v>781847.43</v>
      </c>
    </row>
    <row r="2292" spans="1:12" ht="31.5" x14ac:dyDescent="0.25">
      <c r="A2292" s="651" t="s">
        <v>111</v>
      </c>
      <c r="B2292" s="652">
        <v>2021</v>
      </c>
      <c r="C2292" s="651" t="s">
        <v>718</v>
      </c>
      <c r="D2292" s="651" t="s">
        <v>2411</v>
      </c>
      <c r="E2292" s="651" t="s">
        <v>720</v>
      </c>
      <c r="F2292" s="653">
        <v>-11097.52</v>
      </c>
      <c r="G2292" s="654"/>
      <c r="H2292" s="651" t="s">
        <v>650</v>
      </c>
      <c r="I2292" s="655"/>
      <c r="J2292" s="655"/>
      <c r="K2292" s="653">
        <v>0</v>
      </c>
      <c r="L2292" s="656">
        <v>-11097.52</v>
      </c>
    </row>
    <row r="2293" spans="1:12" ht="42" x14ac:dyDescent="0.25">
      <c r="A2293" s="651" t="s">
        <v>111</v>
      </c>
      <c r="B2293" s="652">
        <v>2021</v>
      </c>
      <c r="C2293" s="651" t="s">
        <v>721</v>
      </c>
      <c r="D2293" s="651" t="s">
        <v>2412</v>
      </c>
      <c r="E2293" s="651" t="s">
        <v>3016</v>
      </c>
      <c r="F2293" s="653">
        <v>0</v>
      </c>
      <c r="G2293" s="651" t="s">
        <v>650</v>
      </c>
      <c r="H2293" s="654"/>
      <c r="I2293" s="653">
        <v>71042.140625</v>
      </c>
      <c r="J2293" s="653">
        <v>7293.0400390625</v>
      </c>
      <c r="K2293" s="653">
        <v>78335.1796875</v>
      </c>
      <c r="L2293" s="656">
        <v>78335.179999999993</v>
      </c>
    </row>
    <row r="2294" spans="1:12" ht="42" x14ac:dyDescent="0.25">
      <c r="A2294" s="651" t="s">
        <v>111</v>
      </c>
      <c r="B2294" s="652">
        <v>2021</v>
      </c>
      <c r="C2294" s="651" t="s">
        <v>721</v>
      </c>
      <c r="D2294" s="651" t="s">
        <v>2412</v>
      </c>
      <c r="E2294" s="651" t="s">
        <v>3058</v>
      </c>
      <c r="F2294" s="653">
        <v>0</v>
      </c>
      <c r="G2294" s="651" t="s">
        <v>650</v>
      </c>
      <c r="H2294" s="654"/>
      <c r="I2294" s="655"/>
      <c r="J2294" s="655"/>
      <c r="K2294" s="653">
        <v>0</v>
      </c>
      <c r="L2294" s="656">
        <v>0</v>
      </c>
    </row>
    <row r="2295" spans="1:12" ht="42" x14ac:dyDescent="0.25">
      <c r="A2295" s="651" t="s">
        <v>111</v>
      </c>
      <c r="B2295" s="652">
        <v>2021</v>
      </c>
      <c r="C2295" s="651" t="s">
        <v>721</v>
      </c>
      <c r="D2295" s="651" t="s">
        <v>2413</v>
      </c>
      <c r="E2295" s="651" t="s">
        <v>724</v>
      </c>
      <c r="F2295" s="653">
        <v>0</v>
      </c>
      <c r="G2295" s="651" t="s">
        <v>650</v>
      </c>
      <c r="H2295" s="654"/>
      <c r="I2295" s="655"/>
      <c r="J2295" s="655"/>
      <c r="K2295" s="653">
        <v>0</v>
      </c>
      <c r="L2295" s="656">
        <v>0</v>
      </c>
    </row>
    <row r="2296" spans="1:12" ht="42" x14ac:dyDescent="0.25">
      <c r="A2296" s="651" t="s">
        <v>111</v>
      </c>
      <c r="B2296" s="652">
        <v>2021</v>
      </c>
      <c r="C2296" s="651" t="s">
        <v>721</v>
      </c>
      <c r="D2296" s="651" t="s">
        <v>2414</v>
      </c>
      <c r="E2296" s="651" t="s">
        <v>55</v>
      </c>
      <c r="F2296" s="653">
        <v>0</v>
      </c>
      <c r="G2296" s="651" t="s">
        <v>650</v>
      </c>
      <c r="H2296" s="654"/>
      <c r="I2296" s="655"/>
      <c r="J2296" s="655"/>
      <c r="K2296" s="653">
        <v>0</v>
      </c>
      <c r="L2296" s="656">
        <v>0</v>
      </c>
    </row>
    <row r="2297" spans="1:12" ht="42" x14ac:dyDescent="0.25">
      <c r="A2297" s="651" t="s">
        <v>111</v>
      </c>
      <c r="B2297" s="652">
        <v>2021</v>
      </c>
      <c r="C2297" s="651" t="s">
        <v>721</v>
      </c>
      <c r="D2297" s="651" t="s">
        <v>2415</v>
      </c>
      <c r="E2297" s="651" t="s">
        <v>56</v>
      </c>
      <c r="F2297" s="653">
        <v>0</v>
      </c>
      <c r="G2297" s="651" t="s">
        <v>650</v>
      </c>
      <c r="H2297" s="654"/>
      <c r="I2297" s="655"/>
      <c r="J2297" s="655"/>
      <c r="K2297" s="653">
        <v>0</v>
      </c>
      <c r="L2297" s="656">
        <v>0</v>
      </c>
    </row>
    <row r="2298" spans="1:12" ht="42" x14ac:dyDescent="0.25">
      <c r="A2298" s="651" t="s">
        <v>111</v>
      </c>
      <c r="B2298" s="652">
        <v>2021</v>
      </c>
      <c r="C2298" s="651" t="s">
        <v>721</v>
      </c>
      <c r="D2298" s="651" t="s">
        <v>2416</v>
      </c>
      <c r="E2298" s="651" t="s">
        <v>728</v>
      </c>
      <c r="F2298" s="653">
        <v>0</v>
      </c>
      <c r="G2298" s="651" t="s">
        <v>650</v>
      </c>
      <c r="H2298" s="654"/>
      <c r="I2298" s="655"/>
      <c r="J2298" s="655"/>
      <c r="K2298" s="653">
        <v>0</v>
      </c>
      <c r="L2298" s="656">
        <v>0</v>
      </c>
    </row>
    <row r="2299" spans="1:12" ht="42" x14ac:dyDescent="0.25">
      <c r="A2299" s="651" t="s">
        <v>111</v>
      </c>
      <c r="B2299" s="652">
        <v>2021</v>
      </c>
      <c r="C2299" s="651" t="s">
        <v>721</v>
      </c>
      <c r="D2299" s="651" t="s">
        <v>2417</v>
      </c>
      <c r="E2299" s="651" t="s">
        <v>730</v>
      </c>
      <c r="F2299" s="653">
        <v>0</v>
      </c>
      <c r="G2299" s="651" t="s">
        <v>650</v>
      </c>
      <c r="H2299" s="654"/>
      <c r="I2299" s="655"/>
      <c r="J2299" s="655"/>
      <c r="K2299" s="653">
        <v>0</v>
      </c>
      <c r="L2299" s="656">
        <v>0</v>
      </c>
    </row>
    <row r="2300" spans="1:12" ht="42" x14ac:dyDescent="0.25">
      <c r="A2300" s="651" t="s">
        <v>111</v>
      </c>
      <c r="B2300" s="652">
        <v>2021</v>
      </c>
      <c r="C2300" s="651" t="s">
        <v>721</v>
      </c>
      <c r="D2300" s="651" t="s">
        <v>2418</v>
      </c>
      <c r="E2300" s="651" t="s">
        <v>142</v>
      </c>
      <c r="F2300" s="653">
        <v>0</v>
      </c>
      <c r="G2300" s="651" t="s">
        <v>650</v>
      </c>
      <c r="H2300" s="654"/>
      <c r="I2300" s="655"/>
      <c r="J2300" s="655"/>
      <c r="K2300" s="653">
        <v>0</v>
      </c>
      <c r="L2300" s="656">
        <v>0</v>
      </c>
    </row>
    <row r="2301" spans="1:12" ht="42" x14ac:dyDescent="0.25">
      <c r="A2301" s="651" t="s">
        <v>111</v>
      </c>
      <c r="B2301" s="652">
        <v>2021</v>
      </c>
      <c r="C2301" s="651" t="s">
        <v>721</v>
      </c>
      <c r="D2301" s="651" t="s">
        <v>2419</v>
      </c>
      <c r="E2301" s="651" t="s">
        <v>143</v>
      </c>
      <c r="F2301" s="653">
        <v>0</v>
      </c>
      <c r="G2301" s="651" t="s">
        <v>650</v>
      </c>
      <c r="H2301" s="654"/>
      <c r="I2301" s="655"/>
      <c r="J2301" s="655"/>
      <c r="K2301" s="653">
        <v>0</v>
      </c>
      <c r="L2301" s="656">
        <v>0</v>
      </c>
    </row>
    <row r="2302" spans="1:12" ht="42" x14ac:dyDescent="0.25">
      <c r="A2302" s="651" t="s">
        <v>111</v>
      </c>
      <c r="B2302" s="652">
        <v>2021</v>
      </c>
      <c r="C2302" s="651" t="s">
        <v>721</v>
      </c>
      <c r="D2302" s="651" t="s">
        <v>2420</v>
      </c>
      <c r="E2302" s="651" t="s">
        <v>182</v>
      </c>
      <c r="F2302" s="653">
        <v>0</v>
      </c>
      <c r="G2302" s="651" t="s">
        <v>650</v>
      </c>
      <c r="H2302" s="654"/>
      <c r="I2302" s="655"/>
      <c r="J2302" s="655"/>
      <c r="K2302" s="653">
        <v>0</v>
      </c>
      <c r="L2302" s="656">
        <v>0</v>
      </c>
    </row>
    <row r="2303" spans="1:12" ht="42" x14ac:dyDescent="0.25">
      <c r="A2303" s="651" t="s">
        <v>111</v>
      </c>
      <c r="B2303" s="652">
        <v>2021</v>
      </c>
      <c r="C2303" s="651" t="s">
        <v>721</v>
      </c>
      <c r="D2303" s="651" t="s">
        <v>2421</v>
      </c>
      <c r="E2303" s="651" t="s">
        <v>394</v>
      </c>
      <c r="F2303" s="653">
        <v>0</v>
      </c>
      <c r="G2303" s="651" t="s">
        <v>650</v>
      </c>
      <c r="H2303" s="654"/>
      <c r="I2303" s="653">
        <v>-25099.44921875</v>
      </c>
      <c r="J2303" s="653">
        <v>-17617.140625</v>
      </c>
      <c r="K2303" s="653">
        <v>-42716.58984375</v>
      </c>
      <c r="L2303" s="656">
        <v>-42716.59</v>
      </c>
    </row>
    <row r="2304" spans="1:12" ht="42" x14ac:dyDescent="0.25">
      <c r="A2304" s="651" t="s">
        <v>111</v>
      </c>
      <c r="B2304" s="652">
        <v>2021</v>
      </c>
      <c r="C2304" s="651" t="s">
        <v>721</v>
      </c>
      <c r="D2304" s="651" t="s">
        <v>2422</v>
      </c>
      <c r="E2304" s="651" t="s">
        <v>423</v>
      </c>
      <c r="F2304" s="653">
        <v>0</v>
      </c>
      <c r="G2304" s="651" t="s">
        <v>650</v>
      </c>
      <c r="H2304" s="654"/>
      <c r="I2304" s="655"/>
      <c r="J2304" s="655"/>
      <c r="K2304" s="653">
        <v>0</v>
      </c>
      <c r="L2304" s="656">
        <v>0</v>
      </c>
    </row>
    <row r="2305" spans="1:12" ht="42" x14ac:dyDescent="0.25">
      <c r="A2305" s="651" t="s">
        <v>111</v>
      </c>
      <c r="B2305" s="652">
        <v>2021</v>
      </c>
      <c r="C2305" s="651" t="s">
        <v>721</v>
      </c>
      <c r="D2305" s="651" t="s">
        <v>3281</v>
      </c>
      <c r="E2305" s="651" t="s">
        <v>441</v>
      </c>
      <c r="F2305" s="653">
        <v>0</v>
      </c>
      <c r="G2305" s="651" t="s">
        <v>650</v>
      </c>
      <c r="H2305" s="654"/>
      <c r="I2305" s="655"/>
      <c r="J2305" s="655"/>
      <c r="K2305" s="653">
        <v>0</v>
      </c>
      <c r="L2305" s="656">
        <v>0</v>
      </c>
    </row>
    <row r="2306" spans="1:12" ht="42" x14ac:dyDescent="0.25">
      <c r="A2306" s="651" t="s">
        <v>111</v>
      </c>
      <c r="B2306" s="652">
        <v>2021</v>
      </c>
      <c r="C2306" s="651" t="s">
        <v>721</v>
      </c>
      <c r="D2306" s="651" t="s">
        <v>2423</v>
      </c>
      <c r="E2306" s="651" t="s">
        <v>737</v>
      </c>
      <c r="F2306" s="653">
        <v>35618.589999999997</v>
      </c>
      <c r="G2306" s="654"/>
      <c r="H2306" s="654"/>
      <c r="I2306" s="655"/>
      <c r="J2306" s="655"/>
      <c r="K2306" s="653">
        <v>0</v>
      </c>
      <c r="L2306" s="656">
        <v>35618.589999999997</v>
      </c>
    </row>
    <row r="2307" spans="1:12" ht="14.5" x14ac:dyDescent="0.25">
      <c r="A2307" s="651" t="s">
        <v>111</v>
      </c>
      <c r="B2307" s="652">
        <v>2021</v>
      </c>
      <c r="C2307" s="651" t="s">
        <v>738</v>
      </c>
      <c r="D2307" s="651" t="s">
        <v>2424</v>
      </c>
      <c r="E2307" s="651" t="s">
        <v>7</v>
      </c>
      <c r="F2307" s="653">
        <v>0</v>
      </c>
      <c r="G2307" s="654"/>
      <c r="H2307" s="651" t="s">
        <v>650</v>
      </c>
      <c r="I2307" s="655"/>
      <c r="J2307" s="655"/>
      <c r="K2307" s="653">
        <v>0</v>
      </c>
      <c r="L2307" s="656">
        <v>0</v>
      </c>
    </row>
    <row r="2308" spans="1:12" ht="21" x14ac:dyDescent="0.25">
      <c r="A2308" s="651" t="s">
        <v>113</v>
      </c>
      <c r="B2308" s="652">
        <v>2021</v>
      </c>
      <c r="C2308" s="651" t="s">
        <v>647</v>
      </c>
      <c r="D2308" s="651" t="s">
        <v>2425</v>
      </c>
      <c r="E2308" s="651" t="s">
        <v>649</v>
      </c>
      <c r="F2308" s="653">
        <v>-38003.11</v>
      </c>
      <c r="G2308" s="654"/>
      <c r="H2308" s="651" t="s">
        <v>650</v>
      </c>
      <c r="I2308" s="655"/>
      <c r="J2308" s="655"/>
      <c r="K2308" s="653">
        <v>0</v>
      </c>
      <c r="L2308" s="656">
        <v>-38003.11</v>
      </c>
    </row>
    <row r="2309" spans="1:12" ht="14.5" x14ac:dyDescent="0.25">
      <c r="A2309" s="651" t="s">
        <v>113</v>
      </c>
      <c r="B2309" s="652">
        <v>2021</v>
      </c>
      <c r="C2309" s="651" t="s">
        <v>651</v>
      </c>
      <c r="D2309" s="651" t="s">
        <v>2426</v>
      </c>
      <c r="E2309" s="651" t="s">
        <v>653</v>
      </c>
      <c r="F2309" s="653">
        <v>-38507.39</v>
      </c>
      <c r="G2309" s="654"/>
      <c r="H2309" s="651" t="s">
        <v>650</v>
      </c>
      <c r="I2309" s="655"/>
      <c r="J2309" s="655"/>
      <c r="K2309" s="653">
        <v>0</v>
      </c>
      <c r="L2309" s="656">
        <v>-38507.39</v>
      </c>
    </row>
    <row r="2310" spans="1:12" ht="42" x14ac:dyDescent="0.25">
      <c r="A2310" s="651" t="s">
        <v>113</v>
      </c>
      <c r="B2310" s="652">
        <v>2021</v>
      </c>
      <c r="C2310" s="651" t="s">
        <v>654</v>
      </c>
      <c r="D2310" s="651" t="s">
        <v>2427</v>
      </c>
      <c r="E2310" s="651" t="s">
        <v>445</v>
      </c>
      <c r="F2310" s="653">
        <v>0</v>
      </c>
      <c r="G2310" s="654"/>
      <c r="H2310" s="651" t="s">
        <v>650</v>
      </c>
      <c r="I2310" s="655"/>
      <c r="J2310" s="655"/>
      <c r="K2310" s="653">
        <v>0</v>
      </c>
      <c r="L2310" s="656">
        <v>0</v>
      </c>
    </row>
    <row r="2311" spans="1:12" ht="21" x14ac:dyDescent="0.25">
      <c r="A2311" s="651" t="s">
        <v>113</v>
      </c>
      <c r="B2311" s="652">
        <v>2021</v>
      </c>
      <c r="C2311" s="651" t="s">
        <v>656</v>
      </c>
      <c r="D2311" s="651" t="s">
        <v>2428</v>
      </c>
      <c r="E2311" s="651" t="s">
        <v>658</v>
      </c>
      <c r="F2311" s="653">
        <v>0</v>
      </c>
      <c r="G2311" s="654"/>
      <c r="H2311" s="651" t="s">
        <v>650</v>
      </c>
      <c r="I2311" s="655"/>
      <c r="J2311" s="655"/>
      <c r="K2311" s="653">
        <v>0</v>
      </c>
      <c r="L2311" s="656">
        <v>0</v>
      </c>
    </row>
    <row r="2312" spans="1:12" ht="31.5" x14ac:dyDescent="0.25">
      <c r="A2312" s="651" t="s">
        <v>113</v>
      </c>
      <c r="B2312" s="652">
        <v>2021</v>
      </c>
      <c r="C2312" s="651" t="s">
        <v>659</v>
      </c>
      <c r="D2312" s="651" t="s">
        <v>2429</v>
      </c>
      <c r="E2312" s="651" t="s">
        <v>661</v>
      </c>
      <c r="F2312" s="653">
        <v>0</v>
      </c>
      <c r="G2312" s="654"/>
      <c r="H2312" s="651" t="s">
        <v>650</v>
      </c>
      <c r="I2312" s="655"/>
      <c r="J2312" s="655"/>
      <c r="K2312" s="653">
        <v>0</v>
      </c>
      <c r="L2312" s="656">
        <v>0</v>
      </c>
    </row>
    <row r="2313" spans="1:12" ht="21" x14ac:dyDescent="0.25">
      <c r="A2313" s="651" t="s">
        <v>113</v>
      </c>
      <c r="B2313" s="652">
        <v>2021</v>
      </c>
      <c r="C2313" s="651" t="s">
        <v>662</v>
      </c>
      <c r="D2313" s="651" t="s">
        <v>2430</v>
      </c>
      <c r="E2313" s="651" t="s">
        <v>664</v>
      </c>
      <c r="F2313" s="653">
        <v>0</v>
      </c>
      <c r="G2313" s="654"/>
      <c r="H2313" s="651" t="s">
        <v>650</v>
      </c>
      <c r="I2313" s="655"/>
      <c r="J2313" s="655"/>
      <c r="K2313" s="653">
        <v>0</v>
      </c>
      <c r="L2313" s="656">
        <v>0</v>
      </c>
    </row>
    <row r="2314" spans="1:12" ht="31.5" x14ac:dyDescent="0.25">
      <c r="A2314" s="651" t="s">
        <v>113</v>
      </c>
      <c r="B2314" s="652">
        <v>2021</v>
      </c>
      <c r="C2314" s="651" t="s">
        <v>665</v>
      </c>
      <c r="D2314" s="651" t="s">
        <v>2431</v>
      </c>
      <c r="E2314" s="651" t="s">
        <v>667</v>
      </c>
      <c r="F2314" s="653">
        <v>0</v>
      </c>
      <c r="G2314" s="654"/>
      <c r="H2314" s="651" t="s">
        <v>650</v>
      </c>
      <c r="I2314" s="655"/>
      <c r="J2314" s="655"/>
      <c r="K2314" s="653">
        <v>0</v>
      </c>
      <c r="L2314" s="656">
        <v>0</v>
      </c>
    </row>
    <row r="2315" spans="1:12" ht="21" x14ac:dyDescent="0.25">
      <c r="A2315" s="651" t="s">
        <v>113</v>
      </c>
      <c r="B2315" s="652">
        <v>2021</v>
      </c>
      <c r="C2315" s="651" t="s">
        <v>668</v>
      </c>
      <c r="D2315" s="651" t="s">
        <v>2432</v>
      </c>
      <c r="E2315" s="651" t="s">
        <v>12</v>
      </c>
      <c r="F2315" s="653">
        <v>0</v>
      </c>
      <c r="G2315" s="654"/>
      <c r="H2315" s="651" t="s">
        <v>650</v>
      </c>
      <c r="I2315" s="655"/>
      <c r="J2315" s="655"/>
      <c r="K2315" s="653">
        <v>0</v>
      </c>
      <c r="L2315" s="656">
        <v>0</v>
      </c>
    </row>
    <row r="2316" spans="1:12" ht="21" x14ac:dyDescent="0.25">
      <c r="A2316" s="651" t="s">
        <v>113</v>
      </c>
      <c r="B2316" s="652">
        <v>2021</v>
      </c>
      <c r="C2316" s="651" t="s">
        <v>670</v>
      </c>
      <c r="D2316" s="651" t="s">
        <v>2433</v>
      </c>
      <c r="E2316" s="651" t="s">
        <v>13</v>
      </c>
      <c r="F2316" s="653">
        <v>0</v>
      </c>
      <c r="G2316" s="654"/>
      <c r="H2316" s="651" t="s">
        <v>650</v>
      </c>
      <c r="I2316" s="655"/>
      <c r="J2316" s="655"/>
      <c r="K2316" s="653">
        <v>0</v>
      </c>
      <c r="L2316" s="656">
        <v>0</v>
      </c>
    </row>
    <row r="2317" spans="1:12" ht="21" x14ac:dyDescent="0.25">
      <c r="A2317" s="651" t="s">
        <v>113</v>
      </c>
      <c r="B2317" s="652">
        <v>2021</v>
      </c>
      <c r="C2317" s="651" t="s">
        <v>672</v>
      </c>
      <c r="D2317" s="651" t="s">
        <v>2434</v>
      </c>
      <c r="E2317" s="651" t="s">
        <v>15</v>
      </c>
      <c r="F2317" s="653">
        <v>0</v>
      </c>
      <c r="G2317" s="654"/>
      <c r="H2317" s="651" t="s">
        <v>650</v>
      </c>
      <c r="I2317" s="655"/>
      <c r="J2317" s="655"/>
      <c r="K2317" s="653">
        <v>0</v>
      </c>
      <c r="L2317" s="656">
        <v>0</v>
      </c>
    </row>
    <row r="2318" spans="1:12" ht="14.5" x14ac:dyDescent="0.25">
      <c r="A2318" s="651" t="s">
        <v>113</v>
      </c>
      <c r="B2318" s="652">
        <v>2021</v>
      </c>
      <c r="C2318" s="651" t="s">
        <v>674</v>
      </c>
      <c r="D2318" s="651" t="s">
        <v>2435</v>
      </c>
      <c r="E2318" s="651" t="s">
        <v>676</v>
      </c>
      <c r="F2318" s="653">
        <v>43280.959999999999</v>
      </c>
      <c r="G2318" s="654"/>
      <c r="H2318" s="651" t="s">
        <v>650</v>
      </c>
      <c r="I2318" s="655"/>
      <c r="J2318" s="655"/>
      <c r="K2318" s="653">
        <v>0</v>
      </c>
      <c r="L2318" s="656">
        <v>43280.959999999999</v>
      </c>
    </row>
    <row r="2319" spans="1:12" ht="14.5" x14ac:dyDescent="0.25">
      <c r="A2319" s="651" t="s">
        <v>113</v>
      </c>
      <c r="B2319" s="652">
        <v>2021</v>
      </c>
      <c r="C2319" s="651" t="s">
        <v>677</v>
      </c>
      <c r="D2319" s="651" t="s">
        <v>2436</v>
      </c>
      <c r="E2319" s="651" t="s">
        <v>23</v>
      </c>
      <c r="F2319" s="653">
        <v>0</v>
      </c>
      <c r="G2319" s="654"/>
      <c r="H2319" s="654"/>
      <c r="I2319" s="655"/>
      <c r="J2319" s="655"/>
      <c r="K2319" s="653">
        <v>0</v>
      </c>
      <c r="L2319" s="656">
        <v>0</v>
      </c>
    </row>
    <row r="2320" spans="1:12" ht="31.5" x14ac:dyDescent="0.25">
      <c r="A2320" s="651" t="s">
        <v>113</v>
      </c>
      <c r="B2320" s="652">
        <v>2021</v>
      </c>
      <c r="C2320" s="651" t="s">
        <v>679</v>
      </c>
      <c r="D2320" s="651" t="s">
        <v>2437</v>
      </c>
      <c r="E2320" s="651" t="s">
        <v>131</v>
      </c>
      <c r="F2320" s="653">
        <v>-24158.11</v>
      </c>
      <c r="G2320" s="654"/>
      <c r="H2320" s="654"/>
      <c r="I2320" s="653">
        <v>-24680.44921875</v>
      </c>
      <c r="J2320" s="653">
        <v>522.34002685546898</v>
      </c>
      <c r="K2320" s="653">
        <v>-24158.109375</v>
      </c>
      <c r="L2320" s="656">
        <v>-24158.11</v>
      </c>
    </row>
    <row r="2321" spans="1:12" ht="31.5" x14ac:dyDescent="0.25">
      <c r="A2321" s="651" t="s">
        <v>113</v>
      </c>
      <c r="B2321" s="652">
        <v>2021</v>
      </c>
      <c r="C2321" s="651" t="s">
        <v>681</v>
      </c>
      <c r="D2321" s="651" t="s">
        <v>2438</v>
      </c>
      <c r="E2321" s="651" t="s">
        <v>683</v>
      </c>
      <c r="F2321" s="653">
        <v>0</v>
      </c>
      <c r="G2321" s="654"/>
      <c r="H2321" s="651" t="s">
        <v>650</v>
      </c>
      <c r="I2321" s="655"/>
      <c r="J2321" s="655"/>
      <c r="K2321" s="653">
        <v>0</v>
      </c>
      <c r="L2321" s="656">
        <v>0</v>
      </c>
    </row>
    <row r="2322" spans="1:12" ht="21" x14ac:dyDescent="0.25">
      <c r="A2322" s="651" t="s">
        <v>113</v>
      </c>
      <c r="B2322" s="652">
        <v>2021</v>
      </c>
      <c r="C2322" s="651" t="s">
        <v>681</v>
      </c>
      <c r="D2322" s="651" t="s">
        <v>2438</v>
      </c>
      <c r="E2322" s="651" t="s">
        <v>684</v>
      </c>
      <c r="F2322" s="653">
        <v>0</v>
      </c>
      <c r="G2322" s="654"/>
      <c r="H2322" s="651" t="s">
        <v>650</v>
      </c>
      <c r="I2322" s="655"/>
      <c r="J2322" s="655"/>
      <c r="K2322" s="653">
        <v>0</v>
      </c>
      <c r="L2322" s="656">
        <v>0</v>
      </c>
    </row>
    <row r="2323" spans="1:12" ht="21" x14ac:dyDescent="0.25">
      <c r="A2323" s="651" t="s">
        <v>113</v>
      </c>
      <c r="B2323" s="652">
        <v>2021</v>
      </c>
      <c r="C2323" s="651" t="s">
        <v>685</v>
      </c>
      <c r="D2323" s="651" t="s">
        <v>2439</v>
      </c>
      <c r="E2323" s="651" t="s">
        <v>687</v>
      </c>
      <c r="F2323" s="653">
        <v>0</v>
      </c>
      <c r="G2323" s="654"/>
      <c r="H2323" s="651" t="s">
        <v>650</v>
      </c>
      <c r="I2323" s="655"/>
      <c r="J2323" s="655"/>
      <c r="K2323" s="653">
        <v>0</v>
      </c>
      <c r="L2323" s="656">
        <v>0</v>
      </c>
    </row>
    <row r="2324" spans="1:12" ht="14.5" x14ac:dyDescent="0.25">
      <c r="A2324" s="651" t="s">
        <v>113</v>
      </c>
      <c r="B2324" s="652">
        <v>2021</v>
      </c>
      <c r="C2324" s="651" t="s">
        <v>688</v>
      </c>
      <c r="D2324" s="651" t="s">
        <v>2440</v>
      </c>
      <c r="E2324" s="651" t="s">
        <v>50</v>
      </c>
      <c r="F2324" s="653">
        <v>55151.5</v>
      </c>
      <c r="G2324" s="654"/>
      <c r="H2324" s="651" t="s">
        <v>650</v>
      </c>
      <c r="I2324" s="655"/>
      <c r="J2324" s="655"/>
      <c r="K2324" s="653">
        <v>0</v>
      </c>
      <c r="L2324" s="656">
        <v>55151.5</v>
      </c>
    </row>
    <row r="2325" spans="1:12" ht="21" x14ac:dyDescent="0.25">
      <c r="A2325" s="651" t="s">
        <v>113</v>
      </c>
      <c r="B2325" s="652">
        <v>2021</v>
      </c>
      <c r="C2325" s="651" t="s">
        <v>690</v>
      </c>
      <c r="D2325" s="651" t="s">
        <v>2441</v>
      </c>
      <c r="E2325" s="651" t="s">
        <v>692</v>
      </c>
      <c r="F2325" s="653">
        <v>0</v>
      </c>
      <c r="G2325" s="654"/>
      <c r="H2325" s="651" t="s">
        <v>650</v>
      </c>
      <c r="I2325" s="655"/>
      <c r="J2325" s="655"/>
      <c r="K2325" s="653">
        <v>0</v>
      </c>
      <c r="L2325" s="656">
        <v>0</v>
      </c>
    </row>
    <row r="2326" spans="1:12" ht="21" x14ac:dyDescent="0.25">
      <c r="A2326" s="651" t="s">
        <v>113</v>
      </c>
      <c r="B2326" s="652">
        <v>2021</v>
      </c>
      <c r="C2326" s="651" t="s">
        <v>693</v>
      </c>
      <c r="D2326" s="651" t="s">
        <v>2442</v>
      </c>
      <c r="E2326" s="651" t="s">
        <v>6</v>
      </c>
      <c r="F2326" s="653">
        <v>0</v>
      </c>
      <c r="G2326" s="654"/>
      <c r="H2326" s="651" t="s">
        <v>650</v>
      </c>
      <c r="I2326" s="655"/>
      <c r="J2326" s="655"/>
      <c r="K2326" s="653">
        <v>0</v>
      </c>
      <c r="L2326" s="656">
        <v>0</v>
      </c>
    </row>
    <row r="2327" spans="1:12" ht="31.5" x14ac:dyDescent="0.25">
      <c r="A2327" s="651" t="s">
        <v>113</v>
      </c>
      <c r="B2327" s="652">
        <v>2021</v>
      </c>
      <c r="C2327" s="651" t="s">
        <v>695</v>
      </c>
      <c r="D2327" s="651" t="s">
        <v>2443</v>
      </c>
      <c r="E2327" s="651" t="s">
        <v>697</v>
      </c>
      <c r="F2327" s="653">
        <v>0</v>
      </c>
      <c r="G2327" s="654"/>
      <c r="H2327" s="651" t="s">
        <v>650</v>
      </c>
      <c r="I2327" s="655"/>
      <c r="J2327" s="655"/>
      <c r="K2327" s="653">
        <v>0</v>
      </c>
      <c r="L2327" s="656">
        <v>0</v>
      </c>
    </row>
    <row r="2328" spans="1:12" ht="21" x14ac:dyDescent="0.25">
      <c r="A2328" s="651" t="s">
        <v>113</v>
      </c>
      <c r="B2328" s="652">
        <v>2021</v>
      </c>
      <c r="C2328" s="651" t="s">
        <v>698</v>
      </c>
      <c r="D2328" s="651" t="s">
        <v>2444</v>
      </c>
      <c r="E2328" s="651" t="s">
        <v>700</v>
      </c>
      <c r="F2328" s="653">
        <v>0</v>
      </c>
      <c r="G2328" s="654"/>
      <c r="H2328" s="651" t="s">
        <v>650</v>
      </c>
      <c r="I2328" s="655"/>
      <c r="J2328" s="655"/>
      <c r="K2328" s="653">
        <v>0</v>
      </c>
      <c r="L2328" s="656">
        <v>0</v>
      </c>
    </row>
    <row r="2329" spans="1:12" ht="21" x14ac:dyDescent="0.25">
      <c r="A2329" s="651" t="s">
        <v>113</v>
      </c>
      <c r="B2329" s="652">
        <v>2021</v>
      </c>
      <c r="C2329" s="651" t="s">
        <v>701</v>
      </c>
      <c r="D2329" s="651" t="s">
        <v>2445</v>
      </c>
      <c r="E2329" s="651" t="s">
        <v>1</v>
      </c>
      <c r="F2329" s="653">
        <v>-669847.86</v>
      </c>
      <c r="G2329" s="654"/>
      <c r="H2329" s="654"/>
      <c r="I2329" s="653">
        <v>-613673.25</v>
      </c>
      <c r="J2329" s="653">
        <v>-56174.609375</v>
      </c>
      <c r="K2329" s="653">
        <v>-669847.875</v>
      </c>
      <c r="L2329" s="656">
        <v>-669847.86</v>
      </c>
    </row>
    <row r="2330" spans="1:12" ht="21" x14ac:dyDescent="0.25">
      <c r="A2330" s="651" t="s">
        <v>113</v>
      </c>
      <c r="B2330" s="652">
        <v>2021</v>
      </c>
      <c r="C2330" s="651" t="s">
        <v>701</v>
      </c>
      <c r="D2330" s="651" t="s">
        <v>2445</v>
      </c>
      <c r="E2330" s="651" t="s">
        <v>703</v>
      </c>
      <c r="F2330" s="653">
        <v>0</v>
      </c>
      <c r="G2330" s="654"/>
      <c r="H2330" s="654"/>
      <c r="I2330" s="655"/>
      <c r="J2330" s="655"/>
      <c r="K2330" s="653">
        <v>0</v>
      </c>
      <c r="L2330" s="656">
        <v>0</v>
      </c>
    </row>
    <row r="2331" spans="1:12" ht="21" x14ac:dyDescent="0.25">
      <c r="A2331" s="651" t="s">
        <v>113</v>
      </c>
      <c r="B2331" s="652">
        <v>2021</v>
      </c>
      <c r="C2331" s="651" t="s">
        <v>701</v>
      </c>
      <c r="D2331" s="651" t="s">
        <v>2445</v>
      </c>
      <c r="E2331" s="651" t="s">
        <v>704</v>
      </c>
      <c r="F2331" s="653">
        <v>0</v>
      </c>
      <c r="G2331" s="654"/>
      <c r="H2331" s="654"/>
      <c r="I2331" s="655"/>
      <c r="J2331" s="655"/>
      <c r="K2331" s="653">
        <v>0</v>
      </c>
      <c r="L2331" s="656">
        <v>0</v>
      </c>
    </row>
    <row r="2332" spans="1:12" ht="21" x14ac:dyDescent="0.25">
      <c r="A2332" s="651" t="s">
        <v>113</v>
      </c>
      <c r="B2332" s="652">
        <v>2021</v>
      </c>
      <c r="C2332" s="651" t="s">
        <v>701</v>
      </c>
      <c r="D2332" s="651" t="s">
        <v>2445</v>
      </c>
      <c r="E2332" s="651" t="s">
        <v>705</v>
      </c>
      <c r="F2332" s="653">
        <v>0</v>
      </c>
      <c r="G2332" s="654"/>
      <c r="H2332" s="654"/>
      <c r="I2332" s="655"/>
      <c r="J2332" s="655"/>
      <c r="K2332" s="653">
        <v>0</v>
      </c>
      <c r="L2332" s="656">
        <v>0</v>
      </c>
    </row>
    <row r="2333" spans="1:12" ht="21" x14ac:dyDescent="0.25">
      <c r="A2333" s="651" t="s">
        <v>113</v>
      </c>
      <c r="B2333" s="652">
        <v>2021</v>
      </c>
      <c r="C2333" s="651" t="s">
        <v>701</v>
      </c>
      <c r="D2333" s="651" t="s">
        <v>2445</v>
      </c>
      <c r="E2333" s="651" t="s">
        <v>706</v>
      </c>
      <c r="F2333" s="653">
        <v>0</v>
      </c>
      <c r="G2333" s="654"/>
      <c r="H2333" s="654"/>
      <c r="I2333" s="655"/>
      <c r="J2333" s="655"/>
      <c r="K2333" s="653">
        <v>0</v>
      </c>
      <c r="L2333" s="656">
        <v>0</v>
      </c>
    </row>
    <row r="2334" spans="1:12" ht="14.5" x14ac:dyDescent="0.25">
      <c r="A2334" s="651" t="s">
        <v>113</v>
      </c>
      <c r="B2334" s="652">
        <v>2021</v>
      </c>
      <c r="C2334" s="651" t="s">
        <v>707</v>
      </c>
      <c r="D2334" s="651" t="s">
        <v>2446</v>
      </c>
      <c r="E2334" s="651" t="s">
        <v>709</v>
      </c>
      <c r="F2334" s="653">
        <v>0</v>
      </c>
      <c r="G2334" s="654"/>
      <c r="H2334" s="651" t="s">
        <v>650</v>
      </c>
      <c r="I2334" s="655"/>
      <c r="J2334" s="655"/>
      <c r="K2334" s="653">
        <v>0</v>
      </c>
      <c r="L2334" s="656">
        <v>0</v>
      </c>
    </row>
    <row r="2335" spans="1:12" ht="31.5" x14ac:dyDescent="0.25">
      <c r="A2335" s="651" t="s">
        <v>113</v>
      </c>
      <c r="B2335" s="652">
        <v>2021</v>
      </c>
      <c r="C2335" s="651" t="s">
        <v>710</v>
      </c>
      <c r="D2335" s="651" t="s">
        <v>2447</v>
      </c>
      <c r="E2335" s="651" t="s">
        <v>2</v>
      </c>
      <c r="F2335" s="653">
        <v>399404.16</v>
      </c>
      <c r="G2335" s="654"/>
      <c r="H2335" s="654"/>
      <c r="I2335" s="653">
        <v>404881.65625</v>
      </c>
      <c r="J2335" s="653">
        <v>-5477.490234375</v>
      </c>
      <c r="K2335" s="653">
        <v>399404.15625</v>
      </c>
      <c r="L2335" s="656">
        <v>399404.16</v>
      </c>
    </row>
    <row r="2336" spans="1:12" ht="31.5" x14ac:dyDescent="0.25">
      <c r="A2336" s="651" t="s">
        <v>113</v>
      </c>
      <c r="B2336" s="652">
        <v>2021</v>
      </c>
      <c r="C2336" s="651" t="s">
        <v>712</v>
      </c>
      <c r="D2336" s="651" t="s">
        <v>2448</v>
      </c>
      <c r="E2336" s="651" t="s">
        <v>3</v>
      </c>
      <c r="F2336" s="653">
        <v>0</v>
      </c>
      <c r="G2336" s="654"/>
      <c r="H2336" s="654"/>
      <c r="I2336" s="655"/>
      <c r="J2336" s="655"/>
      <c r="K2336" s="653">
        <v>0</v>
      </c>
      <c r="L2336" s="656">
        <v>0</v>
      </c>
    </row>
    <row r="2337" spans="1:12" ht="31.5" x14ac:dyDescent="0.25">
      <c r="A2337" s="651" t="s">
        <v>113</v>
      </c>
      <c r="B2337" s="652">
        <v>2021</v>
      </c>
      <c r="C2337" s="651" t="s">
        <v>714</v>
      </c>
      <c r="D2337" s="651" t="s">
        <v>2449</v>
      </c>
      <c r="E2337" s="651" t="s">
        <v>38</v>
      </c>
      <c r="F2337" s="653">
        <v>-223682.88</v>
      </c>
      <c r="G2337" s="654"/>
      <c r="H2337" s="654"/>
      <c r="I2337" s="653">
        <v>-245678</v>
      </c>
      <c r="J2337" s="653">
        <v>21995.119140625</v>
      </c>
      <c r="K2337" s="653">
        <v>-223682.875</v>
      </c>
      <c r="L2337" s="656">
        <v>-223682.88</v>
      </c>
    </row>
    <row r="2338" spans="1:12" ht="21" x14ac:dyDescent="0.25">
      <c r="A2338" s="651" t="s">
        <v>113</v>
      </c>
      <c r="B2338" s="652">
        <v>2021</v>
      </c>
      <c r="C2338" s="651" t="s">
        <v>716</v>
      </c>
      <c r="D2338" s="651" t="s">
        <v>2450</v>
      </c>
      <c r="E2338" s="651" t="s">
        <v>66</v>
      </c>
      <c r="F2338" s="653">
        <v>1862044.98</v>
      </c>
      <c r="G2338" s="654"/>
      <c r="H2338" s="654"/>
      <c r="I2338" s="653">
        <v>1764188.5</v>
      </c>
      <c r="J2338" s="653">
        <v>97856.4609375</v>
      </c>
      <c r="K2338" s="653">
        <v>1862045</v>
      </c>
      <c r="L2338" s="656">
        <v>1862044.98</v>
      </c>
    </row>
    <row r="2339" spans="1:12" ht="31.5" x14ac:dyDescent="0.25">
      <c r="A2339" s="651" t="s">
        <v>113</v>
      </c>
      <c r="B2339" s="652">
        <v>2021</v>
      </c>
      <c r="C2339" s="651" t="s">
        <v>718</v>
      </c>
      <c r="D2339" s="651" t="s">
        <v>2451</v>
      </c>
      <c r="E2339" s="651" t="s">
        <v>720</v>
      </c>
      <c r="F2339" s="653">
        <v>-284105</v>
      </c>
      <c r="G2339" s="654"/>
      <c r="H2339" s="651" t="s">
        <v>650</v>
      </c>
      <c r="I2339" s="655"/>
      <c r="J2339" s="655"/>
      <c r="K2339" s="653">
        <v>0</v>
      </c>
      <c r="L2339" s="656">
        <v>-284105</v>
      </c>
    </row>
    <row r="2340" spans="1:12" ht="42" x14ac:dyDescent="0.25">
      <c r="A2340" s="651" t="s">
        <v>113</v>
      </c>
      <c r="B2340" s="652">
        <v>2021</v>
      </c>
      <c r="C2340" s="651" t="s">
        <v>721</v>
      </c>
      <c r="D2340" s="651" t="s">
        <v>2452</v>
      </c>
      <c r="E2340" s="651" t="s">
        <v>3016</v>
      </c>
      <c r="F2340" s="653">
        <v>0</v>
      </c>
      <c r="G2340" s="654"/>
      <c r="H2340" s="654"/>
      <c r="I2340" s="655"/>
      <c r="J2340" s="655"/>
      <c r="K2340" s="653">
        <v>0</v>
      </c>
      <c r="L2340" s="656">
        <v>0</v>
      </c>
    </row>
    <row r="2341" spans="1:12" ht="42" x14ac:dyDescent="0.25">
      <c r="A2341" s="651" t="s">
        <v>113</v>
      </c>
      <c r="B2341" s="652">
        <v>2021</v>
      </c>
      <c r="C2341" s="651" t="s">
        <v>721</v>
      </c>
      <c r="D2341" s="651" t="s">
        <v>2452</v>
      </c>
      <c r="E2341" s="651" t="s">
        <v>3058</v>
      </c>
      <c r="F2341" s="653">
        <v>0</v>
      </c>
      <c r="G2341" s="654"/>
      <c r="H2341" s="654"/>
      <c r="I2341" s="655"/>
      <c r="J2341" s="655"/>
      <c r="K2341" s="653">
        <v>0</v>
      </c>
      <c r="L2341" s="656">
        <v>0</v>
      </c>
    </row>
    <row r="2342" spans="1:12" ht="42" x14ac:dyDescent="0.25">
      <c r="A2342" s="651" t="s">
        <v>113</v>
      </c>
      <c r="B2342" s="652">
        <v>2021</v>
      </c>
      <c r="C2342" s="651" t="s">
        <v>721</v>
      </c>
      <c r="D2342" s="651" t="s">
        <v>2453</v>
      </c>
      <c r="E2342" s="651" t="s">
        <v>724</v>
      </c>
      <c r="F2342" s="653">
        <v>0</v>
      </c>
      <c r="G2342" s="654"/>
      <c r="H2342" s="654"/>
      <c r="I2342" s="655"/>
      <c r="J2342" s="655"/>
      <c r="K2342" s="653">
        <v>0</v>
      </c>
      <c r="L2342" s="656">
        <v>0</v>
      </c>
    </row>
    <row r="2343" spans="1:12" ht="42" x14ac:dyDescent="0.25">
      <c r="A2343" s="651" t="s">
        <v>113</v>
      </c>
      <c r="B2343" s="652">
        <v>2021</v>
      </c>
      <c r="C2343" s="651" t="s">
        <v>721</v>
      </c>
      <c r="D2343" s="651" t="s">
        <v>2454</v>
      </c>
      <c r="E2343" s="651" t="s">
        <v>55</v>
      </c>
      <c r="F2343" s="653">
        <v>0</v>
      </c>
      <c r="G2343" s="654"/>
      <c r="H2343" s="654"/>
      <c r="I2343" s="655"/>
      <c r="J2343" s="655"/>
      <c r="K2343" s="653">
        <v>0</v>
      </c>
      <c r="L2343" s="656">
        <v>0</v>
      </c>
    </row>
    <row r="2344" spans="1:12" ht="42" x14ac:dyDescent="0.25">
      <c r="A2344" s="651" t="s">
        <v>113</v>
      </c>
      <c r="B2344" s="652">
        <v>2021</v>
      </c>
      <c r="C2344" s="651" t="s">
        <v>721</v>
      </c>
      <c r="D2344" s="651" t="s">
        <v>2455</v>
      </c>
      <c r="E2344" s="651" t="s">
        <v>56</v>
      </c>
      <c r="F2344" s="653">
        <v>0</v>
      </c>
      <c r="G2344" s="654"/>
      <c r="H2344" s="654"/>
      <c r="I2344" s="655"/>
      <c r="J2344" s="655"/>
      <c r="K2344" s="653">
        <v>0</v>
      </c>
      <c r="L2344" s="656">
        <v>0</v>
      </c>
    </row>
    <row r="2345" spans="1:12" ht="42" x14ac:dyDescent="0.25">
      <c r="A2345" s="651" t="s">
        <v>113</v>
      </c>
      <c r="B2345" s="652">
        <v>2021</v>
      </c>
      <c r="C2345" s="651" t="s">
        <v>721</v>
      </c>
      <c r="D2345" s="651" t="s">
        <v>2456</v>
      </c>
      <c r="E2345" s="651" t="s">
        <v>728</v>
      </c>
      <c r="F2345" s="653">
        <v>0</v>
      </c>
      <c r="G2345" s="654"/>
      <c r="H2345" s="654"/>
      <c r="I2345" s="655"/>
      <c r="J2345" s="655"/>
      <c r="K2345" s="653">
        <v>0</v>
      </c>
      <c r="L2345" s="656">
        <v>0</v>
      </c>
    </row>
    <row r="2346" spans="1:12" ht="42" x14ac:dyDescent="0.25">
      <c r="A2346" s="651" t="s">
        <v>113</v>
      </c>
      <c r="B2346" s="652">
        <v>2021</v>
      </c>
      <c r="C2346" s="651" t="s">
        <v>721</v>
      </c>
      <c r="D2346" s="651" t="s">
        <v>2457</v>
      </c>
      <c r="E2346" s="651" t="s">
        <v>730</v>
      </c>
      <c r="F2346" s="653">
        <v>0</v>
      </c>
      <c r="G2346" s="654"/>
      <c r="H2346" s="654"/>
      <c r="I2346" s="655"/>
      <c r="J2346" s="655"/>
      <c r="K2346" s="653">
        <v>0</v>
      </c>
      <c r="L2346" s="656">
        <v>0</v>
      </c>
    </row>
    <row r="2347" spans="1:12" ht="42" x14ac:dyDescent="0.25">
      <c r="A2347" s="651" t="s">
        <v>113</v>
      </c>
      <c r="B2347" s="652">
        <v>2021</v>
      </c>
      <c r="C2347" s="651" t="s">
        <v>721</v>
      </c>
      <c r="D2347" s="651" t="s">
        <v>2458</v>
      </c>
      <c r="E2347" s="651" t="s">
        <v>142</v>
      </c>
      <c r="F2347" s="653">
        <v>0</v>
      </c>
      <c r="G2347" s="654"/>
      <c r="H2347" s="654"/>
      <c r="I2347" s="655"/>
      <c r="J2347" s="655"/>
      <c r="K2347" s="653">
        <v>0</v>
      </c>
      <c r="L2347" s="656">
        <v>0</v>
      </c>
    </row>
    <row r="2348" spans="1:12" ht="42" x14ac:dyDescent="0.25">
      <c r="A2348" s="651" t="s">
        <v>113</v>
      </c>
      <c r="B2348" s="652">
        <v>2021</v>
      </c>
      <c r="C2348" s="651" t="s">
        <v>721</v>
      </c>
      <c r="D2348" s="651" t="s">
        <v>2459</v>
      </c>
      <c r="E2348" s="651" t="s">
        <v>143</v>
      </c>
      <c r="F2348" s="653">
        <v>0</v>
      </c>
      <c r="G2348" s="654"/>
      <c r="H2348" s="654"/>
      <c r="I2348" s="655"/>
      <c r="J2348" s="655"/>
      <c r="K2348" s="653">
        <v>0</v>
      </c>
      <c r="L2348" s="656">
        <v>0</v>
      </c>
    </row>
    <row r="2349" spans="1:12" ht="42" x14ac:dyDescent="0.25">
      <c r="A2349" s="651" t="s">
        <v>113</v>
      </c>
      <c r="B2349" s="652">
        <v>2021</v>
      </c>
      <c r="C2349" s="651" t="s">
        <v>721</v>
      </c>
      <c r="D2349" s="651" t="s">
        <v>2460</v>
      </c>
      <c r="E2349" s="651" t="s">
        <v>182</v>
      </c>
      <c r="F2349" s="653">
        <v>0</v>
      </c>
      <c r="G2349" s="654"/>
      <c r="H2349" s="654"/>
      <c r="I2349" s="653">
        <v>189.44999694824199</v>
      </c>
      <c r="J2349" s="655"/>
      <c r="K2349" s="653">
        <v>189.44999694824199</v>
      </c>
      <c r="L2349" s="656">
        <v>189.45</v>
      </c>
    </row>
    <row r="2350" spans="1:12" ht="42" x14ac:dyDescent="0.25">
      <c r="A2350" s="651" t="s">
        <v>113</v>
      </c>
      <c r="B2350" s="652">
        <v>2021</v>
      </c>
      <c r="C2350" s="651" t="s">
        <v>721</v>
      </c>
      <c r="D2350" s="651" t="s">
        <v>2461</v>
      </c>
      <c r="E2350" s="651" t="s">
        <v>394</v>
      </c>
      <c r="F2350" s="653">
        <v>0</v>
      </c>
      <c r="G2350" s="654"/>
      <c r="H2350" s="654"/>
      <c r="I2350" s="655"/>
      <c r="J2350" s="655"/>
      <c r="K2350" s="653">
        <v>0</v>
      </c>
      <c r="L2350" s="656">
        <v>0</v>
      </c>
    </row>
    <row r="2351" spans="1:12" ht="42" x14ac:dyDescent="0.25">
      <c r="A2351" s="651" t="s">
        <v>113</v>
      </c>
      <c r="B2351" s="652">
        <v>2021</v>
      </c>
      <c r="C2351" s="651" t="s">
        <v>721</v>
      </c>
      <c r="D2351" s="651" t="s">
        <v>2462</v>
      </c>
      <c r="E2351" s="651" t="s">
        <v>423</v>
      </c>
      <c r="F2351" s="653">
        <v>0</v>
      </c>
      <c r="G2351" s="654"/>
      <c r="H2351" s="654"/>
      <c r="I2351" s="655"/>
      <c r="J2351" s="655"/>
      <c r="K2351" s="653">
        <v>0</v>
      </c>
      <c r="L2351" s="656">
        <v>0</v>
      </c>
    </row>
    <row r="2352" spans="1:12" ht="42" x14ac:dyDescent="0.25">
      <c r="A2352" s="651" t="s">
        <v>113</v>
      </c>
      <c r="B2352" s="652">
        <v>2021</v>
      </c>
      <c r="C2352" s="651" t="s">
        <v>721</v>
      </c>
      <c r="D2352" s="651" t="s">
        <v>3282</v>
      </c>
      <c r="E2352" s="651" t="s">
        <v>441</v>
      </c>
      <c r="F2352" s="653">
        <v>0</v>
      </c>
      <c r="G2352" s="654"/>
      <c r="H2352" s="654"/>
      <c r="I2352" s="653">
        <v>614960.125</v>
      </c>
      <c r="J2352" s="653">
        <v>-626580.8125</v>
      </c>
      <c r="K2352" s="653">
        <v>-11620.6796875</v>
      </c>
      <c r="L2352" s="656">
        <v>-11620.6799999999</v>
      </c>
    </row>
    <row r="2353" spans="1:12" ht="42" x14ac:dyDescent="0.25">
      <c r="A2353" s="651" t="s">
        <v>113</v>
      </c>
      <c r="B2353" s="652">
        <v>2021</v>
      </c>
      <c r="C2353" s="651" t="s">
        <v>721</v>
      </c>
      <c r="D2353" s="651" t="s">
        <v>2463</v>
      </c>
      <c r="E2353" s="651" t="s">
        <v>737</v>
      </c>
      <c r="F2353" s="653">
        <v>-11431.23</v>
      </c>
      <c r="G2353" s="654"/>
      <c r="H2353" s="654"/>
      <c r="I2353" s="655"/>
      <c r="J2353" s="655"/>
      <c r="K2353" s="653">
        <v>0</v>
      </c>
      <c r="L2353" s="656">
        <v>-11431.23</v>
      </c>
    </row>
    <row r="2354" spans="1:12" ht="14.5" x14ac:dyDescent="0.25">
      <c r="A2354" s="651" t="s">
        <v>113</v>
      </c>
      <c r="B2354" s="652">
        <v>2021</v>
      </c>
      <c r="C2354" s="651" t="s">
        <v>738</v>
      </c>
      <c r="D2354" s="651" t="s">
        <v>2464</v>
      </c>
      <c r="E2354" s="651" t="s">
        <v>7</v>
      </c>
      <c r="F2354" s="653">
        <v>-143800</v>
      </c>
      <c r="G2354" s="654"/>
      <c r="H2354" s="651" t="s">
        <v>650</v>
      </c>
      <c r="I2354" s="655"/>
      <c r="J2354" s="655"/>
      <c r="K2354" s="653">
        <v>0</v>
      </c>
      <c r="L2354" s="656">
        <v>-143800</v>
      </c>
    </row>
    <row r="2355" spans="1:12" ht="21" x14ac:dyDescent="0.25">
      <c r="A2355" s="651" t="s">
        <v>114</v>
      </c>
      <c r="B2355" s="652">
        <v>2021</v>
      </c>
      <c r="C2355" s="651" t="s">
        <v>647</v>
      </c>
      <c r="D2355" s="651" t="s">
        <v>2465</v>
      </c>
      <c r="E2355" s="651" t="s">
        <v>649</v>
      </c>
      <c r="F2355" s="653">
        <v>-81467.83</v>
      </c>
      <c r="G2355" s="654"/>
      <c r="H2355" s="651" t="s">
        <v>650</v>
      </c>
      <c r="I2355" s="655"/>
      <c r="J2355" s="655"/>
      <c r="K2355" s="653">
        <v>0</v>
      </c>
      <c r="L2355" s="656">
        <v>-81467.83</v>
      </c>
    </row>
    <row r="2356" spans="1:12" ht="14.5" x14ac:dyDescent="0.25">
      <c r="A2356" s="651" t="s">
        <v>114</v>
      </c>
      <c r="B2356" s="652">
        <v>2021</v>
      </c>
      <c r="C2356" s="651" t="s">
        <v>651</v>
      </c>
      <c r="D2356" s="651" t="s">
        <v>2466</v>
      </c>
      <c r="E2356" s="651" t="s">
        <v>653</v>
      </c>
      <c r="F2356" s="653">
        <v>-3338.36</v>
      </c>
      <c r="G2356" s="654"/>
      <c r="H2356" s="651" t="s">
        <v>650</v>
      </c>
      <c r="I2356" s="655"/>
      <c r="J2356" s="655"/>
      <c r="K2356" s="653">
        <v>0</v>
      </c>
      <c r="L2356" s="656">
        <v>-3338.36</v>
      </c>
    </row>
    <row r="2357" spans="1:12" ht="42" x14ac:dyDescent="0.25">
      <c r="A2357" s="651" t="s">
        <v>114</v>
      </c>
      <c r="B2357" s="652">
        <v>2021</v>
      </c>
      <c r="C2357" s="651" t="s">
        <v>654</v>
      </c>
      <c r="D2357" s="651" t="s">
        <v>2467</v>
      </c>
      <c r="E2357" s="651" t="s">
        <v>445</v>
      </c>
      <c r="F2357" s="653">
        <v>0</v>
      </c>
      <c r="G2357" s="654"/>
      <c r="H2357" s="651" t="s">
        <v>650</v>
      </c>
      <c r="I2357" s="655"/>
      <c r="J2357" s="655"/>
      <c r="K2357" s="653">
        <v>0</v>
      </c>
      <c r="L2357" s="656">
        <v>0</v>
      </c>
    </row>
    <row r="2358" spans="1:12" ht="21" x14ac:dyDescent="0.25">
      <c r="A2358" s="651" t="s">
        <v>114</v>
      </c>
      <c r="B2358" s="652">
        <v>2021</v>
      </c>
      <c r="C2358" s="651" t="s">
        <v>656</v>
      </c>
      <c r="D2358" s="651" t="s">
        <v>2468</v>
      </c>
      <c r="E2358" s="651" t="s">
        <v>658</v>
      </c>
      <c r="F2358" s="653">
        <v>0</v>
      </c>
      <c r="G2358" s="654"/>
      <c r="H2358" s="651" t="s">
        <v>650</v>
      </c>
      <c r="I2358" s="655"/>
      <c r="J2358" s="655"/>
      <c r="K2358" s="653">
        <v>0</v>
      </c>
      <c r="L2358" s="656">
        <v>0</v>
      </c>
    </row>
    <row r="2359" spans="1:12" ht="31.5" x14ac:dyDescent="0.25">
      <c r="A2359" s="651" t="s">
        <v>114</v>
      </c>
      <c r="B2359" s="652">
        <v>2021</v>
      </c>
      <c r="C2359" s="651" t="s">
        <v>659</v>
      </c>
      <c r="D2359" s="651" t="s">
        <v>2469</v>
      </c>
      <c r="E2359" s="651" t="s">
        <v>661</v>
      </c>
      <c r="F2359" s="653">
        <v>0</v>
      </c>
      <c r="G2359" s="654"/>
      <c r="H2359" s="651" t="s">
        <v>650</v>
      </c>
      <c r="I2359" s="655"/>
      <c r="J2359" s="655"/>
      <c r="K2359" s="653">
        <v>0</v>
      </c>
      <c r="L2359" s="656">
        <v>0</v>
      </c>
    </row>
    <row r="2360" spans="1:12" ht="21" x14ac:dyDescent="0.25">
      <c r="A2360" s="651" t="s">
        <v>114</v>
      </c>
      <c r="B2360" s="652">
        <v>2021</v>
      </c>
      <c r="C2360" s="651" t="s">
        <v>662</v>
      </c>
      <c r="D2360" s="651" t="s">
        <v>2470</v>
      </c>
      <c r="E2360" s="651" t="s">
        <v>664</v>
      </c>
      <c r="F2360" s="653">
        <v>0</v>
      </c>
      <c r="G2360" s="654"/>
      <c r="H2360" s="651" t="s">
        <v>650</v>
      </c>
      <c r="I2360" s="655"/>
      <c r="J2360" s="655"/>
      <c r="K2360" s="653">
        <v>0</v>
      </c>
      <c r="L2360" s="656">
        <v>0</v>
      </c>
    </row>
    <row r="2361" spans="1:12" ht="31.5" x14ac:dyDescent="0.25">
      <c r="A2361" s="651" t="s">
        <v>114</v>
      </c>
      <c r="B2361" s="652">
        <v>2021</v>
      </c>
      <c r="C2361" s="651" t="s">
        <v>665</v>
      </c>
      <c r="D2361" s="651" t="s">
        <v>2471</v>
      </c>
      <c r="E2361" s="651" t="s">
        <v>667</v>
      </c>
      <c r="F2361" s="653">
        <v>0</v>
      </c>
      <c r="G2361" s="654"/>
      <c r="H2361" s="651" t="s">
        <v>650</v>
      </c>
      <c r="I2361" s="655"/>
      <c r="J2361" s="655"/>
      <c r="K2361" s="653">
        <v>0</v>
      </c>
      <c r="L2361" s="656">
        <v>0</v>
      </c>
    </row>
    <row r="2362" spans="1:12" ht="21" x14ac:dyDescent="0.25">
      <c r="A2362" s="651" t="s">
        <v>114</v>
      </c>
      <c r="B2362" s="652">
        <v>2021</v>
      </c>
      <c r="C2362" s="651" t="s">
        <v>668</v>
      </c>
      <c r="D2362" s="651" t="s">
        <v>2472</v>
      </c>
      <c r="E2362" s="651" t="s">
        <v>12</v>
      </c>
      <c r="F2362" s="653">
        <v>0</v>
      </c>
      <c r="G2362" s="654"/>
      <c r="H2362" s="651" t="s">
        <v>650</v>
      </c>
      <c r="I2362" s="655"/>
      <c r="J2362" s="655"/>
      <c r="K2362" s="653">
        <v>0</v>
      </c>
      <c r="L2362" s="656">
        <v>0</v>
      </c>
    </row>
    <row r="2363" spans="1:12" ht="21" x14ac:dyDescent="0.25">
      <c r="A2363" s="651" t="s">
        <v>114</v>
      </c>
      <c r="B2363" s="652">
        <v>2021</v>
      </c>
      <c r="C2363" s="651" t="s">
        <v>670</v>
      </c>
      <c r="D2363" s="651" t="s">
        <v>2473</v>
      </c>
      <c r="E2363" s="651" t="s">
        <v>13</v>
      </c>
      <c r="F2363" s="653">
        <v>0</v>
      </c>
      <c r="G2363" s="654"/>
      <c r="H2363" s="651" t="s">
        <v>650</v>
      </c>
      <c r="I2363" s="655"/>
      <c r="J2363" s="655"/>
      <c r="K2363" s="653">
        <v>0</v>
      </c>
      <c r="L2363" s="656">
        <v>0</v>
      </c>
    </row>
    <row r="2364" spans="1:12" ht="21" x14ac:dyDescent="0.25">
      <c r="A2364" s="651" t="s">
        <v>114</v>
      </c>
      <c r="B2364" s="652">
        <v>2021</v>
      </c>
      <c r="C2364" s="651" t="s">
        <v>672</v>
      </c>
      <c r="D2364" s="651" t="s">
        <v>2474</v>
      </c>
      <c r="E2364" s="651" t="s">
        <v>15</v>
      </c>
      <c r="F2364" s="653">
        <v>0</v>
      </c>
      <c r="G2364" s="654"/>
      <c r="H2364" s="651" t="s">
        <v>650</v>
      </c>
      <c r="I2364" s="655"/>
      <c r="J2364" s="655"/>
      <c r="K2364" s="653">
        <v>0</v>
      </c>
      <c r="L2364" s="656">
        <v>0</v>
      </c>
    </row>
    <row r="2365" spans="1:12" ht="14.5" x14ac:dyDescent="0.25">
      <c r="A2365" s="651" t="s">
        <v>114</v>
      </c>
      <c r="B2365" s="652">
        <v>2021</v>
      </c>
      <c r="C2365" s="651" t="s">
        <v>674</v>
      </c>
      <c r="D2365" s="651" t="s">
        <v>2475</v>
      </c>
      <c r="E2365" s="651" t="s">
        <v>676</v>
      </c>
      <c r="F2365" s="653">
        <v>5899.55</v>
      </c>
      <c r="G2365" s="654"/>
      <c r="H2365" s="651" t="s">
        <v>650</v>
      </c>
      <c r="I2365" s="655"/>
      <c r="J2365" s="655"/>
      <c r="K2365" s="653">
        <v>0</v>
      </c>
      <c r="L2365" s="656">
        <v>5899.55</v>
      </c>
    </row>
    <row r="2366" spans="1:12" ht="14.5" x14ac:dyDescent="0.25">
      <c r="A2366" s="651" t="s">
        <v>114</v>
      </c>
      <c r="B2366" s="652">
        <v>2021</v>
      </c>
      <c r="C2366" s="651" t="s">
        <v>677</v>
      </c>
      <c r="D2366" s="651" t="s">
        <v>2476</v>
      </c>
      <c r="E2366" s="651" t="s">
        <v>23</v>
      </c>
      <c r="F2366" s="653">
        <v>174851.05</v>
      </c>
      <c r="G2366" s="651" t="s">
        <v>650</v>
      </c>
      <c r="H2366" s="654"/>
      <c r="I2366" s="653">
        <v>172787.484375</v>
      </c>
      <c r="J2366" s="653">
        <v>2063.56005859375</v>
      </c>
      <c r="K2366" s="653">
        <v>174851.046875</v>
      </c>
      <c r="L2366" s="656">
        <v>174851.05</v>
      </c>
    </row>
    <row r="2367" spans="1:12" ht="31.5" x14ac:dyDescent="0.25">
      <c r="A2367" s="651" t="s">
        <v>114</v>
      </c>
      <c r="B2367" s="652">
        <v>2021</v>
      </c>
      <c r="C2367" s="651" t="s">
        <v>679</v>
      </c>
      <c r="D2367" s="651" t="s">
        <v>2477</v>
      </c>
      <c r="E2367" s="651" t="s">
        <v>131</v>
      </c>
      <c r="F2367" s="653">
        <v>-925.42</v>
      </c>
      <c r="G2367" s="651" t="s">
        <v>650</v>
      </c>
      <c r="H2367" s="654"/>
      <c r="I2367" s="653">
        <v>-906.64001464843795</v>
      </c>
      <c r="J2367" s="653">
        <v>-18.780000686645501</v>
      </c>
      <c r="K2367" s="653">
        <v>-925.41998291015602</v>
      </c>
      <c r="L2367" s="656">
        <v>-925.42</v>
      </c>
    </row>
    <row r="2368" spans="1:12" ht="31.5" x14ac:dyDescent="0.25">
      <c r="A2368" s="651" t="s">
        <v>114</v>
      </c>
      <c r="B2368" s="652">
        <v>2021</v>
      </c>
      <c r="C2368" s="651" t="s">
        <v>681</v>
      </c>
      <c r="D2368" s="651" t="s">
        <v>2478</v>
      </c>
      <c r="E2368" s="651" t="s">
        <v>683</v>
      </c>
      <c r="F2368" s="653">
        <v>8684.06</v>
      </c>
      <c r="G2368" s="654"/>
      <c r="H2368" s="651" t="s">
        <v>650</v>
      </c>
      <c r="I2368" s="655"/>
      <c r="J2368" s="655"/>
      <c r="K2368" s="653">
        <v>0</v>
      </c>
      <c r="L2368" s="656">
        <v>8684.06</v>
      </c>
    </row>
    <row r="2369" spans="1:12" ht="21" x14ac:dyDescent="0.25">
      <c r="A2369" s="651" t="s">
        <v>114</v>
      </c>
      <c r="B2369" s="652">
        <v>2021</v>
      </c>
      <c r="C2369" s="651" t="s">
        <v>681</v>
      </c>
      <c r="D2369" s="651" t="s">
        <v>2478</v>
      </c>
      <c r="E2369" s="651" t="s">
        <v>684</v>
      </c>
      <c r="F2369" s="653">
        <v>8684.06</v>
      </c>
      <c r="G2369" s="654"/>
      <c r="H2369" s="651" t="s">
        <v>650</v>
      </c>
      <c r="I2369" s="655"/>
      <c r="J2369" s="655"/>
      <c r="K2369" s="653">
        <v>0</v>
      </c>
      <c r="L2369" s="656">
        <v>8684.06</v>
      </c>
    </row>
    <row r="2370" spans="1:12" ht="21" x14ac:dyDescent="0.25">
      <c r="A2370" s="651" t="s">
        <v>114</v>
      </c>
      <c r="B2370" s="652">
        <v>2021</v>
      </c>
      <c r="C2370" s="651" t="s">
        <v>685</v>
      </c>
      <c r="D2370" s="651" t="s">
        <v>2479</v>
      </c>
      <c r="E2370" s="651" t="s">
        <v>687</v>
      </c>
      <c r="F2370" s="653">
        <v>0</v>
      </c>
      <c r="G2370" s="654"/>
      <c r="H2370" s="651" t="s">
        <v>650</v>
      </c>
      <c r="I2370" s="655"/>
      <c r="J2370" s="655"/>
      <c r="K2370" s="653">
        <v>0</v>
      </c>
      <c r="L2370" s="656">
        <v>0</v>
      </c>
    </row>
    <row r="2371" spans="1:12" ht="14.5" x14ac:dyDescent="0.25">
      <c r="A2371" s="651" t="s">
        <v>114</v>
      </c>
      <c r="B2371" s="652">
        <v>2021</v>
      </c>
      <c r="C2371" s="651" t="s">
        <v>688</v>
      </c>
      <c r="D2371" s="651" t="s">
        <v>2480</v>
      </c>
      <c r="E2371" s="651" t="s">
        <v>50</v>
      </c>
      <c r="F2371" s="653">
        <v>0</v>
      </c>
      <c r="G2371" s="654"/>
      <c r="H2371" s="651" t="s">
        <v>650</v>
      </c>
      <c r="I2371" s="655"/>
      <c r="J2371" s="655"/>
      <c r="K2371" s="653">
        <v>0</v>
      </c>
      <c r="L2371" s="656">
        <v>0</v>
      </c>
    </row>
    <row r="2372" spans="1:12" ht="21" x14ac:dyDescent="0.25">
      <c r="A2372" s="651" t="s">
        <v>114</v>
      </c>
      <c r="B2372" s="652">
        <v>2021</v>
      </c>
      <c r="C2372" s="651" t="s">
        <v>690</v>
      </c>
      <c r="D2372" s="651" t="s">
        <v>2481</v>
      </c>
      <c r="E2372" s="651" t="s">
        <v>692</v>
      </c>
      <c r="F2372" s="653">
        <v>0</v>
      </c>
      <c r="G2372" s="654"/>
      <c r="H2372" s="651" t="s">
        <v>650</v>
      </c>
      <c r="I2372" s="655"/>
      <c r="J2372" s="655"/>
      <c r="K2372" s="653">
        <v>0</v>
      </c>
      <c r="L2372" s="656">
        <v>0</v>
      </c>
    </row>
    <row r="2373" spans="1:12" ht="21" x14ac:dyDescent="0.25">
      <c r="A2373" s="651" t="s">
        <v>114</v>
      </c>
      <c r="B2373" s="652">
        <v>2021</v>
      </c>
      <c r="C2373" s="651" t="s">
        <v>693</v>
      </c>
      <c r="D2373" s="651" t="s">
        <v>2482</v>
      </c>
      <c r="E2373" s="651" t="s">
        <v>6</v>
      </c>
      <c r="F2373" s="653">
        <v>0</v>
      </c>
      <c r="G2373" s="654"/>
      <c r="H2373" s="651" t="s">
        <v>650</v>
      </c>
      <c r="I2373" s="655"/>
      <c r="J2373" s="655"/>
      <c r="K2373" s="653">
        <v>0</v>
      </c>
      <c r="L2373" s="656">
        <v>0</v>
      </c>
    </row>
    <row r="2374" spans="1:12" ht="31.5" x14ac:dyDescent="0.25">
      <c r="A2374" s="651" t="s">
        <v>114</v>
      </c>
      <c r="B2374" s="652">
        <v>2021</v>
      </c>
      <c r="C2374" s="651" t="s">
        <v>695</v>
      </c>
      <c r="D2374" s="651" t="s">
        <v>2483</v>
      </c>
      <c r="E2374" s="651" t="s">
        <v>697</v>
      </c>
      <c r="F2374" s="653">
        <v>0</v>
      </c>
      <c r="G2374" s="654"/>
      <c r="H2374" s="651" t="s">
        <v>650</v>
      </c>
      <c r="I2374" s="655"/>
      <c r="J2374" s="655"/>
      <c r="K2374" s="653">
        <v>0</v>
      </c>
      <c r="L2374" s="656">
        <v>0</v>
      </c>
    </row>
    <row r="2375" spans="1:12" ht="21" x14ac:dyDescent="0.25">
      <c r="A2375" s="651" t="s">
        <v>114</v>
      </c>
      <c r="B2375" s="652">
        <v>2021</v>
      </c>
      <c r="C2375" s="651" t="s">
        <v>698</v>
      </c>
      <c r="D2375" s="651" t="s">
        <v>2484</v>
      </c>
      <c r="E2375" s="651" t="s">
        <v>700</v>
      </c>
      <c r="F2375" s="653">
        <v>-77771.039999999994</v>
      </c>
      <c r="G2375" s="654"/>
      <c r="H2375" s="651" t="s">
        <v>650</v>
      </c>
      <c r="I2375" s="655"/>
      <c r="J2375" s="655"/>
      <c r="K2375" s="653">
        <v>0</v>
      </c>
      <c r="L2375" s="656">
        <v>-77771.039999999994</v>
      </c>
    </row>
    <row r="2376" spans="1:12" ht="21" x14ac:dyDescent="0.25">
      <c r="A2376" s="651" t="s">
        <v>114</v>
      </c>
      <c r="B2376" s="652">
        <v>2021</v>
      </c>
      <c r="C2376" s="651" t="s">
        <v>701</v>
      </c>
      <c r="D2376" s="651" t="s">
        <v>2485</v>
      </c>
      <c r="E2376" s="651" t="s">
        <v>1</v>
      </c>
      <c r="F2376" s="653">
        <v>-124749.59</v>
      </c>
      <c r="G2376" s="651" t="s">
        <v>650</v>
      </c>
      <c r="H2376" s="654"/>
      <c r="I2376" s="653">
        <v>-123141.171875</v>
      </c>
      <c r="J2376" s="653">
        <v>-1608.42004394531</v>
      </c>
      <c r="K2376" s="653">
        <v>-124749.59375</v>
      </c>
      <c r="L2376" s="656">
        <v>-124749.59</v>
      </c>
    </row>
    <row r="2377" spans="1:12" ht="21" x14ac:dyDescent="0.25">
      <c r="A2377" s="651" t="s">
        <v>114</v>
      </c>
      <c r="B2377" s="652">
        <v>2021</v>
      </c>
      <c r="C2377" s="651" t="s">
        <v>701</v>
      </c>
      <c r="D2377" s="651" t="s">
        <v>2485</v>
      </c>
      <c r="E2377" s="651" t="s">
        <v>703</v>
      </c>
      <c r="F2377" s="653">
        <v>0</v>
      </c>
      <c r="G2377" s="654"/>
      <c r="H2377" s="654"/>
      <c r="I2377" s="655"/>
      <c r="J2377" s="655"/>
      <c r="K2377" s="653">
        <v>0</v>
      </c>
      <c r="L2377" s="656">
        <v>0</v>
      </c>
    </row>
    <row r="2378" spans="1:12" ht="21" x14ac:dyDescent="0.25">
      <c r="A2378" s="651" t="s">
        <v>114</v>
      </c>
      <c r="B2378" s="652">
        <v>2021</v>
      </c>
      <c r="C2378" s="651" t="s">
        <v>701</v>
      </c>
      <c r="D2378" s="651" t="s">
        <v>2485</v>
      </c>
      <c r="E2378" s="651" t="s">
        <v>704</v>
      </c>
      <c r="F2378" s="653">
        <v>0</v>
      </c>
      <c r="G2378" s="654"/>
      <c r="H2378" s="654"/>
      <c r="I2378" s="655"/>
      <c r="J2378" s="655"/>
      <c r="K2378" s="653">
        <v>0</v>
      </c>
      <c r="L2378" s="656">
        <v>0</v>
      </c>
    </row>
    <row r="2379" spans="1:12" ht="21" x14ac:dyDescent="0.25">
      <c r="A2379" s="651" t="s">
        <v>114</v>
      </c>
      <c r="B2379" s="652">
        <v>2021</v>
      </c>
      <c r="C2379" s="651" t="s">
        <v>701</v>
      </c>
      <c r="D2379" s="651" t="s">
        <v>2485</v>
      </c>
      <c r="E2379" s="651" t="s">
        <v>705</v>
      </c>
      <c r="F2379" s="653">
        <v>19026.2</v>
      </c>
      <c r="G2379" s="654"/>
      <c r="H2379" s="654"/>
      <c r="I2379" s="655"/>
      <c r="J2379" s="655"/>
      <c r="K2379" s="653">
        <v>0</v>
      </c>
      <c r="L2379" s="656">
        <v>19026.2</v>
      </c>
    </row>
    <row r="2380" spans="1:12" ht="21" x14ac:dyDescent="0.25">
      <c r="A2380" s="651" t="s">
        <v>114</v>
      </c>
      <c r="B2380" s="652">
        <v>2021</v>
      </c>
      <c r="C2380" s="651" t="s">
        <v>701</v>
      </c>
      <c r="D2380" s="651" t="s">
        <v>2485</v>
      </c>
      <c r="E2380" s="651" t="s">
        <v>706</v>
      </c>
      <c r="F2380" s="653">
        <v>250.5</v>
      </c>
      <c r="G2380" s="654"/>
      <c r="H2380" s="654"/>
      <c r="I2380" s="655"/>
      <c r="J2380" s="655"/>
      <c r="K2380" s="653">
        <v>0</v>
      </c>
      <c r="L2380" s="656">
        <v>250.5</v>
      </c>
    </row>
    <row r="2381" spans="1:12" ht="14.5" x14ac:dyDescent="0.25">
      <c r="A2381" s="651" t="s">
        <v>114</v>
      </c>
      <c r="B2381" s="652">
        <v>2021</v>
      </c>
      <c r="C2381" s="651" t="s">
        <v>707</v>
      </c>
      <c r="D2381" s="651" t="s">
        <v>2486</v>
      </c>
      <c r="E2381" s="651" t="s">
        <v>709</v>
      </c>
      <c r="F2381" s="653">
        <v>0</v>
      </c>
      <c r="G2381" s="654"/>
      <c r="H2381" s="651" t="s">
        <v>650</v>
      </c>
      <c r="I2381" s="655"/>
      <c r="J2381" s="655"/>
      <c r="K2381" s="653">
        <v>0</v>
      </c>
      <c r="L2381" s="656">
        <v>0</v>
      </c>
    </row>
    <row r="2382" spans="1:12" ht="31.5" x14ac:dyDescent="0.25">
      <c r="A2382" s="651" t="s">
        <v>114</v>
      </c>
      <c r="B2382" s="652">
        <v>2021</v>
      </c>
      <c r="C2382" s="651" t="s">
        <v>710</v>
      </c>
      <c r="D2382" s="651" t="s">
        <v>2487</v>
      </c>
      <c r="E2382" s="651" t="s">
        <v>2</v>
      </c>
      <c r="F2382" s="653">
        <v>37754.44</v>
      </c>
      <c r="G2382" s="651" t="s">
        <v>650</v>
      </c>
      <c r="H2382" s="654"/>
      <c r="I2382" s="653">
        <v>36614.578125</v>
      </c>
      <c r="J2382" s="653">
        <v>1139.85998535156</v>
      </c>
      <c r="K2382" s="653">
        <v>37754.44140625</v>
      </c>
      <c r="L2382" s="656">
        <v>37754.44</v>
      </c>
    </row>
    <row r="2383" spans="1:12" ht="31.5" x14ac:dyDescent="0.25">
      <c r="A2383" s="651" t="s">
        <v>114</v>
      </c>
      <c r="B2383" s="652">
        <v>2021</v>
      </c>
      <c r="C2383" s="651" t="s">
        <v>712</v>
      </c>
      <c r="D2383" s="651" t="s">
        <v>2488</v>
      </c>
      <c r="E2383" s="651" t="s">
        <v>3</v>
      </c>
      <c r="F2383" s="653">
        <v>38493.14</v>
      </c>
      <c r="G2383" s="651" t="s">
        <v>650</v>
      </c>
      <c r="H2383" s="654"/>
      <c r="I2383" s="653">
        <v>37986.5703125</v>
      </c>
      <c r="J2383" s="653">
        <v>506.57000732421898</v>
      </c>
      <c r="K2383" s="653">
        <v>38493.140625</v>
      </c>
      <c r="L2383" s="656">
        <v>38493.14</v>
      </c>
    </row>
    <row r="2384" spans="1:12" ht="31.5" x14ac:dyDescent="0.25">
      <c r="A2384" s="651" t="s">
        <v>114</v>
      </c>
      <c r="B2384" s="652">
        <v>2021</v>
      </c>
      <c r="C2384" s="651" t="s">
        <v>714</v>
      </c>
      <c r="D2384" s="651" t="s">
        <v>2489</v>
      </c>
      <c r="E2384" s="651" t="s">
        <v>38</v>
      </c>
      <c r="F2384" s="653">
        <v>-112987.23</v>
      </c>
      <c r="G2384" s="651" t="s">
        <v>650</v>
      </c>
      <c r="H2384" s="654"/>
      <c r="I2384" s="653">
        <v>-112114.1484375</v>
      </c>
      <c r="J2384" s="653">
        <v>-873.08001708984398</v>
      </c>
      <c r="K2384" s="653">
        <v>-112987.2265625</v>
      </c>
      <c r="L2384" s="656">
        <v>-112987.23</v>
      </c>
    </row>
    <row r="2385" spans="1:12" ht="21" x14ac:dyDescent="0.25">
      <c r="A2385" s="651" t="s">
        <v>114</v>
      </c>
      <c r="B2385" s="652">
        <v>2021</v>
      </c>
      <c r="C2385" s="651" t="s">
        <v>716</v>
      </c>
      <c r="D2385" s="651" t="s">
        <v>2490</v>
      </c>
      <c r="E2385" s="651" t="s">
        <v>66</v>
      </c>
      <c r="F2385" s="653">
        <v>12942.53</v>
      </c>
      <c r="G2385" s="651" t="s">
        <v>650</v>
      </c>
      <c r="H2385" s="654"/>
      <c r="I2385" s="653">
        <v>10470.83984375</v>
      </c>
      <c r="J2385" s="653">
        <v>2471.68994140625</v>
      </c>
      <c r="K2385" s="653">
        <v>12942.5302734375</v>
      </c>
      <c r="L2385" s="656">
        <v>12942.53</v>
      </c>
    </row>
    <row r="2386" spans="1:12" ht="31.5" x14ac:dyDescent="0.25">
      <c r="A2386" s="651" t="s">
        <v>114</v>
      </c>
      <c r="B2386" s="652">
        <v>2021</v>
      </c>
      <c r="C2386" s="651" t="s">
        <v>718</v>
      </c>
      <c r="D2386" s="651" t="s">
        <v>2491</v>
      </c>
      <c r="E2386" s="651" t="s">
        <v>720</v>
      </c>
      <c r="F2386" s="653">
        <v>-29050.12</v>
      </c>
      <c r="G2386" s="654"/>
      <c r="H2386" s="651" t="s">
        <v>650</v>
      </c>
      <c r="I2386" s="655"/>
      <c r="J2386" s="655"/>
      <c r="K2386" s="653">
        <v>0</v>
      </c>
      <c r="L2386" s="656">
        <v>-29050.12</v>
      </c>
    </row>
    <row r="2387" spans="1:12" ht="42" x14ac:dyDescent="0.25">
      <c r="A2387" s="651" t="s">
        <v>114</v>
      </c>
      <c r="B2387" s="652">
        <v>2021</v>
      </c>
      <c r="C2387" s="651" t="s">
        <v>721</v>
      </c>
      <c r="D2387" s="651" t="s">
        <v>2492</v>
      </c>
      <c r="E2387" s="651" t="s">
        <v>3016</v>
      </c>
      <c r="F2387" s="653">
        <v>0</v>
      </c>
      <c r="G2387" s="651" t="s">
        <v>650</v>
      </c>
      <c r="H2387" s="654"/>
      <c r="I2387" s="653">
        <v>-2026</v>
      </c>
      <c r="J2387" s="653">
        <v>-61.049999237060497</v>
      </c>
      <c r="K2387" s="653">
        <v>-2087.05004882813</v>
      </c>
      <c r="L2387" s="656">
        <v>-2087.0500000000002</v>
      </c>
    </row>
    <row r="2388" spans="1:12" ht="42" x14ac:dyDescent="0.25">
      <c r="A2388" s="651" t="s">
        <v>114</v>
      </c>
      <c r="B2388" s="652">
        <v>2021</v>
      </c>
      <c r="C2388" s="651" t="s">
        <v>721</v>
      </c>
      <c r="D2388" s="651" t="s">
        <v>2492</v>
      </c>
      <c r="E2388" s="651" t="s">
        <v>3058</v>
      </c>
      <c r="F2388" s="653">
        <v>0</v>
      </c>
      <c r="G2388" s="651" t="s">
        <v>650</v>
      </c>
      <c r="H2388" s="654"/>
      <c r="I2388" s="653">
        <v>-4039.18994140625</v>
      </c>
      <c r="J2388" s="653">
        <v>-5779.009765625</v>
      </c>
      <c r="K2388" s="653">
        <v>-9818.2001953125</v>
      </c>
      <c r="L2388" s="656">
        <v>-9818.2000000000007</v>
      </c>
    </row>
    <row r="2389" spans="1:12" ht="42" x14ac:dyDescent="0.25">
      <c r="A2389" s="651" t="s">
        <v>114</v>
      </c>
      <c r="B2389" s="652">
        <v>2021</v>
      </c>
      <c r="C2389" s="651" t="s">
        <v>721</v>
      </c>
      <c r="D2389" s="651" t="s">
        <v>2493</v>
      </c>
      <c r="E2389" s="651" t="s">
        <v>724</v>
      </c>
      <c r="F2389" s="653">
        <v>0</v>
      </c>
      <c r="G2389" s="651" t="s">
        <v>650</v>
      </c>
      <c r="H2389" s="654"/>
      <c r="I2389" s="655"/>
      <c r="J2389" s="655"/>
      <c r="K2389" s="653">
        <v>0</v>
      </c>
      <c r="L2389" s="656">
        <v>0</v>
      </c>
    </row>
    <row r="2390" spans="1:12" ht="42" x14ac:dyDescent="0.25">
      <c r="A2390" s="651" t="s">
        <v>114</v>
      </c>
      <c r="B2390" s="652">
        <v>2021</v>
      </c>
      <c r="C2390" s="651" t="s">
        <v>721</v>
      </c>
      <c r="D2390" s="651" t="s">
        <v>2494</v>
      </c>
      <c r="E2390" s="651" t="s">
        <v>55</v>
      </c>
      <c r="F2390" s="653">
        <v>0</v>
      </c>
      <c r="G2390" s="651" t="s">
        <v>650</v>
      </c>
      <c r="H2390" s="654"/>
      <c r="I2390" s="655"/>
      <c r="J2390" s="655"/>
      <c r="K2390" s="653">
        <v>0</v>
      </c>
      <c r="L2390" s="656">
        <v>0</v>
      </c>
    </row>
    <row r="2391" spans="1:12" ht="42" x14ac:dyDescent="0.25">
      <c r="A2391" s="651" t="s">
        <v>114</v>
      </c>
      <c r="B2391" s="652">
        <v>2021</v>
      </c>
      <c r="C2391" s="651" t="s">
        <v>721</v>
      </c>
      <c r="D2391" s="651" t="s">
        <v>2495</v>
      </c>
      <c r="E2391" s="651" t="s">
        <v>56</v>
      </c>
      <c r="F2391" s="653">
        <v>0</v>
      </c>
      <c r="G2391" s="651" t="s">
        <v>650</v>
      </c>
      <c r="H2391" s="654"/>
      <c r="I2391" s="655"/>
      <c r="J2391" s="655"/>
      <c r="K2391" s="653">
        <v>0</v>
      </c>
      <c r="L2391" s="656">
        <v>0</v>
      </c>
    </row>
    <row r="2392" spans="1:12" ht="42" x14ac:dyDescent="0.25">
      <c r="A2392" s="651" t="s">
        <v>114</v>
      </c>
      <c r="B2392" s="652">
        <v>2021</v>
      </c>
      <c r="C2392" s="651" t="s">
        <v>721</v>
      </c>
      <c r="D2392" s="651" t="s">
        <v>2496</v>
      </c>
      <c r="E2392" s="651" t="s">
        <v>728</v>
      </c>
      <c r="F2392" s="653">
        <v>0</v>
      </c>
      <c r="G2392" s="651" t="s">
        <v>650</v>
      </c>
      <c r="H2392" s="654"/>
      <c r="I2392" s="655"/>
      <c r="J2392" s="655"/>
      <c r="K2392" s="653">
        <v>0</v>
      </c>
      <c r="L2392" s="656">
        <v>0</v>
      </c>
    </row>
    <row r="2393" spans="1:12" ht="42" x14ac:dyDescent="0.25">
      <c r="A2393" s="651" t="s">
        <v>114</v>
      </c>
      <c r="B2393" s="652">
        <v>2021</v>
      </c>
      <c r="C2393" s="651" t="s">
        <v>721</v>
      </c>
      <c r="D2393" s="651" t="s">
        <v>2497</v>
      </c>
      <c r="E2393" s="651" t="s">
        <v>730</v>
      </c>
      <c r="F2393" s="653">
        <v>0</v>
      </c>
      <c r="G2393" s="651" t="s">
        <v>650</v>
      </c>
      <c r="H2393" s="654"/>
      <c r="I2393" s="655"/>
      <c r="J2393" s="655"/>
      <c r="K2393" s="653">
        <v>0</v>
      </c>
      <c r="L2393" s="656">
        <v>0</v>
      </c>
    </row>
    <row r="2394" spans="1:12" ht="42" x14ac:dyDescent="0.25">
      <c r="A2394" s="651" t="s">
        <v>114</v>
      </c>
      <c r="B2394" s="652">
        <v>2021</v>
      </c>
      <c r="C2394" s="651" t="s">
        <v>721</v>
      </c>
      <c r="D2394" s="651" t="s">
        <v>2498</v>
      </c>
      <c r="E2394" s="651" t="s">
        <v>142</v>
      </c>
      <c r="F2394" s="653">
        <v>0</v>
      </c>
      <c r="G2394" s="651" t="s">
        <v>650</v>
      </c>
      <c r="H2394" s="654"/>
      <c r="I2394" s="655"/>
      <c r="J2394" s="655"/>
      <c r="K2394" s="653">
        <v>0</v>
      </c>
      <c r="L2394" s="656">
        <v>0</v>
      </c>
    </row>
    <row r="2395" spans="1:12" ht="42" x14ac:dyDescent="0.25">
      <c r="A2395" s="651" t="s">
        <v>114</v>
      </c>
      <c r="B2395" s="652">
        <v>2021</v>
      </c>
      <c r="C2395" s="651" t="s">
        <v>721</v>
      </c>
      <c r="D2395" s="651" t="s">
        <v>2499</v>
      </c>
      <c r="E2395" s="651" t="s">
        <v>143</v>
      </c>
      <c r="F2395" s="653">
        <v>0</v>
      </c>
      <c r="G2395" s="651" t="s">
        <v>650</v>
      </c>
      <c r="H2395" s="654"/>
      <c r="I2395" s="655"/>
      <c r="J2395" s="655"/>
      <c r="K2395" s="653">
        <v>0</v>
      </c>
      <c r="L2395" s="656">
        <v>0</v>
      </c>
    </row>
    <row r="2396" spans="1:12" ht="42" x14ac:dyDescent="0.25">
      <c r="A2396" s="651" t="s">
        <v>114</v>
      </c>
      <c r="B2396" s="652">
        <v>2021</v>
      </c>
      <c r="C2396" s="651" t="s">
        <v>721</v>
      </c>
      <c r="D2396" s="651" t="s">
        <v>2500</v>
      </c>
      <c r="E2396" s="651" t="s">
        <v>182</v>
      </c>
      <c r="F2396" s="653">
        <v>0</v>
      </c>
      <c r="G2396" s="651" t="s">
        <v>650</v>
      </c>
      <c r="H2396" s="654"/>
      <c r="I2396" s="655"/>
      <c r="J2396" s="655"/>
      <c r="K2396" s="653">
        <v>0</v>
      </c>
      <c r="L2396" s="656">
        <v>0</v>
      </c>
    </row>
    <row r="2397" spans="1:12" ht="42" x14ac:dyDescent="0.25">
      <c r="A2397" s="651" t="s">
        <v>114</v>
      </c>
      <c r="B2397" s="652">
        <v>2021</v>
      </c>
      <c r="C2397" s="651" t="s">
        <v>721</v>
      </c>
      <c r="D2397" s="651" t="s">
        <v>2501</v>
      </c>
      <c r="E2397" s="651" t="s">
        <v>394</v>
      </c>
      <c r="F2397" s="653">
        <v>0</v>
      </c>
      <c r="G2397" s="651" t="s">
        <v>650</v>
      </c>
      <c r="H2397" s="654"/>
      <c r="I2397" s="655"/>
      <c r="J2397" s="655"/>
      <c r="K2397" s="653">
        <v>0</v>
      </c>
      <c r="L2397" s="656">
        <v>0</v>
      </c>
    </row>
    <row r="2398" spans="1:12" ht="42" x14ac:dyDescent="0.25">
      <c r="A2398" s="651" t="s">
        <v>114</v>
      </c>
      <c r="B2398" s="652">
        <v>2021</v>
      </c>
      <c r="C2398" s="651" t="s">
        <v>721</v>
      </c>
      <c r="D2398" s="651" t="s">
        <v>2502</v>
      </c>
      <c r="E2398" s="651" t="s">
        <v>423</v>
      </c>
      <c r="F2398" s="653">
        <v>0</v>
      </c>
      <c r="G2398" s="651" t="s">
        <v>650</v>
      </c>
      <c r="H2398" s="654"/>
      <c r="I2398" s="655"/>
      <c r="J2398" s="655"/>
      <c r="K2398" s="653">
        <v>0</v>
      </c>
      <c r="L2398" s="656">
        <v>0</v>
      </c>
    </row>
    <row r="2399" spans="1:12" ht="42" x14ac:dyDescent="0.25">
      <c r="A2399" s="651" t="s">
        <v>114</v>
      </c>
      <c r="B2399" s="652">
        <v>2021</v>
      </c>
      <c r="C2399" s="651" t="s">
        <v>721</v>
      </c>
      <c r="D2399" s="651" t="s">
        <v>3283</v>
      </c>
      <c r="E2399" s="651" t="s">
        <v>441</v>
      </c>
      <c r="F2399" s="653">
        <v>0</v>
      </c>
      <c r="G2399" s="651" t="s">
        <v>650</v>
      </c>
      <c r="H2399" s="654"/>
      <c r="I2399" s="655"/>
      <c r="J2399" s="655"/>
      <c r="K2399" s="653">
        <v>0</v>
      </c>
      <c r="L2399" s="656">
        <v>0</v>
      </c>
    </row>
    <row r="2400" spans="1:12" ht="42" x14ac:dyDescent="0.25">
      <c r="A2400" s="651" t="s">
        <v>114</v>
      </c>
      <c r="B2400" s="652">
        <v>2021</v>
      </c>
      <c r="C2400" s="651" t="s">
        <v>721</v>
      </c>
      <c r="D2400" s="651" t="s">
        <v>2503</v>
      </c>
      <c r="E2400" s="651" t="s">
        <v>737</v>
      </c>
      <c r="F2400" s="653">
        <v>-11905.25</v>
      </c>
      <c r="G2400" s="654"/>
      <c r="H2400" s="654"/>
      <c r="I2400" s="655"/>
      <c r="J2400" s="655"/>
      <c r="K2400" s="653">
        <v>0</v>
      </c>
      <c r="L2400" s="656">
        <v>-11905.25</v>
      </c>
    </row>
    <row r="2401" spans="1:12" ht="14.5" x14ac:dyDescent="0.25">
      <c r="A2401" s="651" t="s">
        <v>114</v>
      </c>
      <c r="B2401" s="652">
        <v>2021</v>
      </c>
      <c r="C2401" s="651" t="s">
        <v>738</v>
      </c>
      <c r="D2401" s="651" t="s">
        <v>2504</v>
      </c>
      <c r="E2401" s="651" t="s">
        <v>7</v>
      </c>
      <c r="F2401" s="653">
        <v>0</v>
      </c>
      <c r="G2401" s="654"/>
      <c r="H2401" s="651" t="s">
        <v>650</v>
      </c>
      <c r="I2401" s="655"/>
      <c r="J2401" s="655"/>
      <c r="K2401" s="653">
        <v>0</v>
      </c>
      <c r="L2401" s="656">
        <v>0</v>
      </c>
    </row>
    <row r="2402" spans="1:12" ht="21" x14ac:dyDescent="0.25">
      <c r="A2402" s="651" t="s">
        <v>438</v>
      </c>
      <c r="B2402" s="652">
        <v>2021</v>
      </c>
      <c r="C2402" s="651" t="s">
        <v>647</v>
      </c>
      <c r="D2402" s="651" t="s">
        <v>2505</v>
      </c>
      <c r="E2402" s="651" t="s">
        <v>649</v>
      </c>
      <c r="F2402" s="653">
        <v>119669.73</v>
      </c>
      <c r="G2402" s="654"/>
      <c r="H2402" s="651" t="s">
        <v>650</v>
      </c>
      <c r="I2402" s="655"/>
      <c r="J2402" s="655"/>
      <c r="K2402" s="653">
        <v>0</v>
      </c>
      <c r="L2402" s="656">
        <v>119669.73</v>
      </c>
    </row>
    <row r="2403" spans="1:12" ht="21" x14ac:dyDescent="0.25">
      <c r="A2403" s="651" t="s">
        <v>438</v>
      </c>
      <c r="B2403" s="652">
        <v>2021</v>
      </c>
      <c r="C2403" s="651" t="s">
        <v>651</v>
      </c>
      <c r="D2403" s="651" t="s">
        <v>2506</v>
      </c>
      <c r="E2403" s="651" t="s">
        <v>653</v>
      </c>
      <c r="F2403" s="653">
        <v>-3522.64</v>
      </c>
      <c r="G2403" s="654"/>
      <c r="H2403" s="651" t="s">
        <v>650</v>
      </c>
      <c r="I2403" s="655"/>
      <c r="J2403" s="655"/>
      <c r="K2403" s="653">
        <v>0</v>
      </c>
      <c r="L2403" s="656">
        <v>-3522.64</v>
      </c>
    </row>
    <row r="2404" spans="1:12" ht="42" x14ac:dyDescent="0.25">
      <c r="A2404" s="651" t="s">
        <v>438</v>
      </c>
      <c r="B2404" s="652">
        <v>2021</v>
      </c>
      <c r="C2404" s="651" t="s">
        <v>654</v>
      </c>
      <c r="D2404" s="651" t="s">
        <v>2507</v>
      </c>
      <c r="E2404" s="651" t="s">
        <v>445</v>
      </c>
      <c r="F2404" s="653">
        <v>-61.39</v>
      </c>
      <c r="G2404" s="654"/>
      <c r="H2404" s="651" t="s">
        <v>650</v>
      </c>
      <c r="I2404" s="655"/>
      <c r="J2404" s="655"/>
      <c r="K2404" s="653">
        <v>0</v>
      </c>
      <c r="L2404" s="656">
        <v>-61.39</v>
      </c>
    </row>
    <row r="2405" spans="1:12" ht="21" x14ac:dyDescent="0.25">
      <c r="A2405" s="651" t="s">
        <v>438</v>
      </c>
      <c r="B2405" s="652">
        <v>2021</v>
      </c>
      <c r="C2405" s="651" t="s">
        <v>656</v>
      </c>
      <c r="D2405" s="651" t="s">
        <v>2508</v>
      </c>
      <c r="E2405" s="651" t="s">
        <v>658</v>
      </c>
      <c r="F2405" s="653">
        <v>0</v>
      </c>
      <c r="G2405" s="654"/>
      <c r="H2405" s="651" t="s">
        <v>650</v>
      </c>
      <c r="I2405" s="655"/>
      <c r="J2405" s="655"/>
      <c r="K2405" s="653">
        <v>0</v>
      </c>
      <c r="L2405" s="656">
        <v>0</v>
      </c>
    </row>
    <row r="2406" spans="1:12" ht="31.5" x14ac:dyDescent="0.25">
      <c r="A2406" s="651" t="s">
        <v>438</v>
      </c>
      <c r="B2406" s="652">
        <v>2021</v>
      </c>
      <c r="C2406" s="651" t="s">
        <v>659</v>
      </c>
      <c r="D2406" s="651" t="s">
        <v>2509</v>
      </c>
      <c r="E2406" s="651" t="s">
        <v>661</v>
      </c>
      <c r="F2406" s="653">
        <v>0</v>
      </c>
      <c r="G2406" s="654"/>
      <c r="H2406" s="651" t="s">
        <v>650</v>
      </c>
      <c r="I2406" s="655"/>
      <c r="J2406" s="655"/>
      <c r="K2406" s="653">
        <v>0</v>
      </c>
      <c r="L2406" s="656">
        <v>0</v>
      </c>
    </row>
    <row r="2407" spans="1:12" ht="21" x14ac:dyDescent="0.25">
      <c r="A2407" s="651" t="s">
        <v>438</v>
      </c>
      <c r="B2407" s="652">
        <v>2021</v>
      </c>
      <c r="C2407" s="651" t="s">
        <v>662</v>
      </c>
      <c r="D2407" s="651" t="s">
        <v>2510</v>
      </c>
      <c r="E2407" s="651" t="s">
        <v>664</v>
      </c>
      <c r="F2407" s="653">
        <v>0</v>
      </c>
      <c r="G2407" s="654"/>
      <c r="H2407" s="651" t="s">
        <v>650</v>
      </c>
      <c r="I2407" s="655"/>
      <c r="J2407" s="655"/>
      <c r="K2407" s="653">
        <v>0</v>
      </c>
      <c r="L2407" s="656">
        <v>0</v>
      </c>
    </row>
    <row r="2408" spans="1:12" ht="31.5" x14ac:dyDescent="0.25">
      <c r="A2408" s="651" t="s">
        <v>438</v>
      </c>
      <c r="B2408" s="652">
        <v>2021</v>
      </c>
      <c r="C2408" s="651" t="s">
        <v>665</v>
      </c>
      <c r="D2408" s="651" t="s">
        <v>2511</v>
      </c>
      <c r="E2408" s="651" t="s">
        <v>667</v>
      </c>
      <c r="F2408" s="653">
        <v>0</v>
      </c>
      <c r="G2408" s="654"/>
      <c r="H2408" s="651" t="s">
        <v>650</v>
      </c>
      <c r="I2408" s="655"/>
      <c r="J2408" s="655"/>
      <c r="K2408" s="653">
        <v>0</v>
      </c>
      <c r="L2408" s="656">
        <v>0</v>
      </c>
    </row>
    <row r="2409" spans="1:12" ht="21" x14ac:dyDescent="0.25">
      <c r="A2409" s="651" t="s">
        <v>438</v>
      </c>
      <c r="B2409" s="652">
        <v>2021</v>
      </c>
      <c r="C2409" s="651" t="s">
        <v>668</v>
      </c>
      <c r="D2409" s="651" t="s">
        <v>2512</v>
      </c>
      <c r="E2409" s="651" t="s">
        <v>12</v>
      </c>
      <c r="F2409" s="653">
        <v>0</v>
      </c>
      <c r="G2409" s="654"/>
      <c r="H2409" s="651" t="s">
        <v>650</v>
      </c>
      <c r="I2409" s="655"/>
      <c r="J2409" s="655"/>
      <c r="K2409" s="653">
        <v>0</v>
      </c>
      <c r="L2409" s="656">
        <v>0</v>
      </c>
    </row>
    <row r="2410" spans="1:12" ht="21" x14ac:dyDescent="0.25">
      <c r="A2410" s="651" t="s">
        <v>438</v>
      </c>
      <c r="B2410" s="652">
        <v>2021</v>
      </c>
      <c r="C2410" s="651" t="s">
        <v>670</v>
      </c>
      <c r="D2410" s="651" t="s">
        <v>2513</v>
      </c>
      <c r="E2410" s="651" t="s">
        <v>13</v>
      </c>
      <c r="F2410" s="653">
        <v>0</v>
      </c>
      <c r="G2410" s="654"/>
      <c r="H2410" s="651" t="s">
        <v>650</v>
      </c>
      <c r="I2410" s="655"/>
      <c r="J2410" s="655"/>
      <c r="K2410" s="653">
        <v>0</v>
      </c>
      <c r="L2410" s="656">
        <v>0</v>
      </c>
    </row>
    <row r="2411" spans="1:12" ht="21" x14ac:dyDescent="0.25">
      <c r="A2411" s="651" t="s">
        <v>438</v>
      </c>
      <c r="B2411" s="652">
        <v>2021</v>
      </c>
      <c r="C2411" s="651" t="s">
        <v>672</v>
      </c>
      <c r="D2411" s="651" t="s">
        <v>2514</v>
      </c>
      <c r="E2411" s="651" t="s">
        <v>15</v>
      </c>
      <c r="F2411" s="653">
        <v>0</v>
      </c>
      <c r="G2411" s="654"/>
      <c r="H2411" s="651" t="s">
        <v>650</v>
      </c>
      <c r="I2411" s="655"/>
      <c r="J2411" s="655"/>
      <c r="K2411" s="653">
        <v>0</v>
      </c>
      <c r="L2411" s="656">
        <v>0</v>
      </c>
    </row>
    <row r="2412" spans="1:12" ht="21" x14ac:dyDescent="0.25">
      <c r="A2412" s="651" t="s">
        <v>438</v>
      </c>
      <c r="B2412" s="652">
        <v>2021</v>
      </c>
      <c r="C2412" s="651" t="s">
        <v>674</v>
      </c>
      <c r="D2412" s="651" t="s">
        <v>2515</v>
      </c>
      <c r="E2412" s="651" t="s">
        <v>676</v>
      </c>
      <c r="F2412" s="653">
        <v>1889.17</v>
      </c>
      <c r="G2412" s="654"/>
      <c r="H2412" s="651" t="s">
        <v>650</v>
      </c>
      <c r="I2412" s="655"/>
      <c r="J2412" s="655"/>
      <c r="K2412" s="653">
        <v>0</v>
      </c>
      <c r="L2412" s="656">
        <v>1889.17</v>
      </c>
    </row>
    <row r="2413" spans="1:12" ht="21" x14ac:dyDescent="0.25">
      <c r="A2413" s="651" t="s">
        <v>438</v>
      </c>
      <c r="B2413" s="652">
        <v>2021</v>
      </c>
      <c r="C2413" s="651" t="s">
        <v>677</v>
      </c>
      <c r="D2413" s="651" t="s">
        <v>2516</v>
      </c>
      <c r="E2413" s="651" t="s">
        <v>23</v>
      </c>
      <c r="F2413" s="653">
        <v>72080.240000000005</v>
      </c>
      <c r="G2413" s="651" t="s">
        <v>650</v>
      </c>
      <c r="H2413" s="654"/>
      <c r="I2413" s="653">
        <v>72553.9765625</v>
      </c>
      <c r="J2413" s="653">
        <v>-473.739990234375</v>
      </c>
      <c r="K2413" s="653">
        <v>72080.2421875</v>
      </c>
      <c r="L2413" s="656">
        <v>72080.240000000005</v>
      </c>
    </row>
    <row r="2414" spans="1:12" ht="31.5" x14ac:dyDescent="0.25">
      <c r="A2414" s="651" t="s">
        <v>438</v>
      </c>
      <c r="B2414" s="652">
        <v>2021</v>
      </c>
      <c r="C2414" s="651" t="s">
        <v>679</v>
      </c>
      <c r="D2414" s="651" t="s">
        <v>2517</v>
      </c>
      <c r="E2414" s="651" t="s">
        <v>131</v>
      </c>
      <c r="F2414" s="653">
        <v>-817.91</v>
      </c>
      <c r="G2414" s="651" t="s">
        <v>650</v>
      </c>
      <c r="H2414" s="654"/>
      <c r="I2414" s="653">
        <v>-799.530029296875</v>
      </c>
      <c r="J2414" s="653">
        <v>-18.379999160766602</v>
      </c>
      <c r="K2414" s="653">
        <v>-817.90997314453102</v>
      </c>
      <c r="L2414" s="656">
        <v>-817.91</v>
      </c>
    </row>
    <row r="2415" spans="1:12" ht="31.5" x14ac:dyDescent="0.25">
      <c r="A2415" s="651" t="s">
        <v>438</v>
      </c>
      <c r="B2415" s="652">
        <v>2021</v>
      </c>
      <c r="C2415" s="651" t="s">
        <v>681</v>
      </c>
      <c r="D2415" s="651" t="s">
        <v>2518</v>
      </c>
      <c r="E2415" s="651" t="s">
        <v>683</v>
      </c>
      <c r="F2415" s="653">
        <v>0</v>
      </c>
      <c r="G2415" s="654"/>
      <c r="H2415" s="651" t="s">
        <v>650</v>
      </c>
      <c r="I2415" s="655"/>
      <c r="J2415" s="655"/>
      <c r="K2415" s="653">
        <v>0</v>
      </c>
      <c r="L2415" s="656">
        <v>0</v>
      </c>
    </row>
    <row r="2416" spans="1:12" ht="21" x14ac:dyDescent="0.25">
      <c r="A2416" s="651" t="s">
        <v>438</v>
      </c>
      <c r="B2416" s="652">
        <v>2021</v>
      </c>
      <c r="C2416" s="651" t="s">
        <v>681</v>
      </c>
      <c r="D2416" s="651" t="s">
        <v>2518</v>
      </c>
      <c r="E2416" s="651" t="s">
        <v>684</v>
      </c>
      <c r="F2416" s="653">
        <v>0</v>
      </c>
      <c r="G2416" s="654"/>
      <c r="H2416" s="651" t="s">
        <v>650</v>
      </c>
      <c r="I2416" s="655"/>
      <c r="J2416" s="655"/>
      <c r="K2416" s="653">
        <v>0</v>
      </c>
      <c r="L2416" s="656">
        <v>0</v>
      </c>
    </row>
    <row r="2417" spans="1:12" ht="21" x14ac:dyDescent="0.25">
      <c r="A2417" s="651" t="s">
        <v>438</v>
      </c>
      <c r="B2417" s="652">
        <v>2021</v>
      </c>
      <c r="C2417" s="651" t="s">
        <v>685</v>
      </c>
      <c r="D2417" s="651" t="s">
        <v>2519</v>
      </c>
      <c r="E2417" s="651" t="s">
        <v>687</v>
      </c>
      <c r="F2417" s="653">
        <v>0</v>
      </c>
      <c r="G2417" s="654"/>
      <c r="H2417" s="651" t="s">
        <v>650</v>
      </c>
      <c r="I2417" s="655"/>
      <c r="J2417" s="655"/>
      <c r="K2417" s="653">
        <v>0</v>
      </c>
      <c r="L2417" s="656">
        <v>0</v>
      </c>
    </row>
    <row r="2418" spans="1:12" ht="21" x14ac:dyDescent="0.25">
      <c r="A2418" s="651" t="s">
        <v>438</v>
      </c>
      <c r="B2418" s="652">
        <v>2021</v>
      </c>
      <c r="C2418" s="651" t="s">
        <v>688</v>
      </c>
      <c r="D2418" s="651" t="s">
        <v>2520</v>
      </c>
      <c r="E2418" s="651" t="s">
        <v>50</v>
      </c>
      <c r="F2418" s="653">
        <v>41077.919999999998</v>
      </c>
      <c r="G2418" s="654"/>
      <c r="H2418" s="651" t="s">
        <v>650</v>
      </c>
      <c r="I2418" s="655"/>
      <c r="J2418" s="655"/>
      <c r="K2418" s="653">
        <v>0</v>
      </c>
      <c r="L2418" s="656">
        <v>41077.919999999998</v>
      </c>
    </row>
    <row r="2419" spans="1:12" ht="21" x14ac:dyDescent="0.25">
      <c r="A2419" s="651" t="s">
        <v>438</v>
      </c>
      <c r="B2419" s="652">
        <v>2021</v>
      </c>
      <c r="C2419" s="651" t="s">
        <v>690</v>
      </c>
      <c r="D2419" s="651" t="s">
        <v>2521</v>
      </c>
      <c r="E2419" s="651" t="s">
        <v>692</v>
      </c>
      <c r="F2419" s="653">
        <v>0</v>
      </c>
      <c r="G2419" s="654"/>
      <c r="H2419" s="651" t="s">
        <v>650</v>
      </c>
      <c r="I2419" s="655"/>
      <c r="J2419" s="655"/>
      <c r="K2419" s="653">
        <v>0</v>
      </c>
      <c r="L2419" s="656">
        <v>0</v>
      </c>
    </row>
    <row r="2420" spans="1:12" ht="21" x14ac:dyDescent="0.25">
      <c r="A2420" s="651" t="s">
        <v>438</v>
      </c>
      <c r="B2420" s="652">
        <v>2021</v>
      </c>
      <c r="C2420" s="651" t="s">
        <v>693</v>
      </c>
      <c r="D2420" s="651" t="s">
        <v>2522</v>
      </c>
      <c r="E2420" s="651" t="s">
        <v>6</v>
      </c>
      <c r="F2420" s="653">
        <v>0</v>
      </c>
      <c r="G2420" s="654"/>
      <c r="H2420" s="651" t="s">
        <v>650</v>
      </c>
      <c r="I2420" s="655"/>
      <c r="J2420" s="655"/>
      <c r="K2420" s="653">
        <v>0</v>
      </c>
      <c r="L2420" s="656">
        <v>0</v>
      </c>
    </row>
    <row r="2421" spans="1:12" ht="31.5" x14ac:dyDescent="0.25">
      <c r="A2421" s="651" t="s">
        <v>438</v>
      </c>
      <c r="B2421" s="652">
        <v>2021</v>
      </c>
      <c r="C2421" s="651" t="s">
        <v>695</v>
      </c>
      <c r="D2421" s="651" t="s">
        <v>2523</v>
      </c>
      <c r="E2421" s="651" t="s">
        <v>697</v>
      </c>
      <c r="F2421" s="653">
        <v>0</v>
      </c>
      <c r="G2421" s="654"/>
      <c r="H2421" s="651" t="s">
        <v>650</v>
      </c>
      <c r="I2421" s="655"/>
      <c r="J2421" s="655"/>
      <c r="K2421" s="653">
        <v>0</v>
      </c>
      <c r="L2421" s="656">
        <v>0</v>
      </c>
    </row>
    <row r="2422" spans="1:12" ht="21" x14ac:dyDescent="0.25">
      <c r="A2422" s="651" t="s">
        <v>438</v>
      </c>
      <c r="B2422" s="652">
        <v>2021</v>
      </c>
      <c r="C2422" s="651" t="s">
        <v>698</v>
      </c>
      <c r="D2422" s="651" t="s">
        <v>2524</v>
      </c>
      <c r="E2422" s="651" t="s">
        <v>700</v>
      </c>
      <c r="F2422" s="653">
        <v>0</v>
      </c>
      <c r="G2422" s="654"/>
      <c r="H2422" s="651" t="s">
        <v>650</v>
      </c>
      <c r="I2422" s="655"/>
      <c r="J2422" s="655"/>
      <c r="K2422" s="653">
        <v>0</v>
      </c>
      <c r="L2422" s="656">
        <v>0</v>
      </c>
    </row>
    <row r="2423" spans="1:12" ht="21" x14ac:dyDescent="0.25">
      <c r="A2423" s="651" t="s">
        <v>438</v>
      </c>
      <c r="B2423" s="652">
        <v>2021</v>
      </c>
      <c r="C2423" s="651" t="s">
        <v>701</v>
      </c>
      <c r="D2423" s="651" t="s">
        <v>2525</v>
      </c>
      <c r="E2423" s="651" t="s">
        <v>1</v>
      </c>
      <c r="F2423" s="653">
        <v>-84162.87</v>
      </c>
      <c r="G2423" s="651" t="s">
        <v>650</v>
      </c>
      <c r="H2423" s="654"/>
      <c r="I2423" s="653">
        <v>-82853.8125</v>
      </c>
      <c r="J2423" s="653">
        <v>-1309.06005859375</v>
      </c>
      <c r="K2423" s="653">
        <v>-84162.8671875</v>
      </c>
      <c r="L2423" s="656">
        <v>-84162.87</v>
      </c>
    </row>
    <row r="2424" spans="1:12" ht="21" x14ac:dyDescent="0.25">
      <c r="A2424" s="651" t="s">
        <v>438</v>
      </c>
      <c r="B2424" s="652">
        <v>2021</v>
      </c>
      <c r="C2424" s="651" t="s">
        <v>701</v>
      </c>
      <c r="D2424" s="651" t="s">
        <v>2525</v>
      </c>
      <c r="E2424" s="651" t="s">
        <v>703</v>
      </c>
      <c r="F2424" s="653">
        <v>0</v>
      </c>
      <c r="G2424" s="654"/>
      <c r="H2424" s="654"/>
      <c r="I2424" s="655"/>
      <c r="J2424" s="655"/>
      <c r="K2424" s="653">
        <v>0</v>
      </c>
      <c r="L2424" s="656">
        <v>0</v>
      </c>
    </row>
    <row r="2425" spans="1:12" ht="21" x14ac:dyDescent="0.25">
      <c r="A2425" s="651" t="s">
        <v>438</v>
      </c>
      <c r="B2425" s="652">
        <v>2021</v>
      </c>
      <c r="C2425" s="651" t="s">
        <v>701</v>
      </c>
      <c r="D2425" s="651" t="s">
        <v>2525</v>
      </c>
      <c r="E2425" s="651" t="s">
        <v>704</v>
      </c>
      <c r="F2425" s="653">
        <v>0</v>
      </c>
      <c r="G2425" s="654"/>
      <c r="H2425" s="654"/>
      <c r="I2425" s="655"/>
      <c r="J2425" s="655"/>
      <c r="K2425" s="653">
        <v>0</v>
      </c>
      <c r="L2425" s="656">
        <v>0</v>
      </c>
    </row>
    <row r="2426" spans="1:12" ht="21" x14ac:dyDescent="0.25">
      <c r="A2426" s="651" t="s">
        <v>438</v>
      </c>
      <c r="B2426" s="652">
        <v>2021</v>
      </c>
      <c r="C2426" s="651" t="s">
        <v>701</v>
      </c>
      <c r="D2426" s="651" t="s">
        <v>2525</v>
      </c>
      <c r="E2426" s="651" t="s">
        <v>705</v>
      </c>
      <c r="F2426" s="653">
        <v>-248.95</v>
      </c>
      <c r="G2426" s="654"/>
      <c r="H2426" s="654"/>
      <c r="I2426" s="655"/>
      <c r="J2426" s="655"/>
      <c r="K2426" s="653">
        <v>0</v>
      </c>
      <c r="L2426" s="656">
        <v>-248.95</v>
      </c>
    </row>
    <row r="2427" spans="1:12" ht="21" x14ac:dyDescent="0.25">
      <c r="A2427" s="651" t="s">
        <v>438</v>
      </c>
      <c r="B2427" s="652">
        <v>2021</v>
      </c>
      <c r="C2427" s="651" t="s">
        <v>701</v>
      </c>
      <c r="D2427" s="651" t="s">
        <v>2525</v>
      </c>
      <c r="E2427" s="651" t="s">
        <v>706</v>
      </c>
      <c r="F2427" s="653">
        <v>-11809.17</v>
      </c>
      <c r="G2427" s="654"/>
      <c r="H2427" s="654"/>
      <c r="I2427" s="655"/>
      <c r="J2427" s="655"/>
      <c r="K2427" s="653">
        <v>0</v>
      </c>
      <c r="L2427" s="656">
        <v>-11809.17</v>
      </c>
    </row>
    <row r="2428" spans="1:12" ht="21" x14ac:dyDescent="0.25">
      <c r="A2428" s="651" t="s">
        <v>438</v>
      </c>
      <c r="B2428" s="652">
        <v>2021</v>
      </c>
      <c r="C2428" s="651" t="s">
        <v>707</v>
      </c>
      <c r="D2428" s="651" t="s">
        <v>2526</v>
      </c>
      <c r="E2428" s="651" t="s">
        <v>709</v>
      </c>
      <c r="F2428" s="653">
        <v>0</v>
      </c>
      <c r="G2428" s="654"/>
      <c r="H2428" s="651" t="s">
        <v>650</v>
      </c>
      <c r="I2428" s="655"/>
      <c r="J2428" s="655"/>
      <c r="K2428" s="653">
        <v>0</v>
      </c>
      <c r="L2428" s="656">
        <v>0</v>
      </c>
    </row>
    <row r="2429" spans="1:12" ht="31.5" x14ac:dyDescent="0.25">
      <c r="A2429" s="651" t="s">
        <v>438</v>
      </c>
      <c r="B2429" s="652">
        <v>2021</v>
      </c>
      <c r="C2429" s="651" t="s">
        <v>710</v>
      </c>
      <c r="D2429" s="651" t="s">
        <v>2527</v>
      </c>
      <c r="E2429" s="651" t="s">
        <v>2</v>
      </c>
      <c r="F2429" s="653">
        <v>-37117.449999999997</v>
      </c>
      <c r="G2429" s="651" t="s">
        <v>650</v>
      </c>
      <c r="H2429" s="654"/>
      <c r="I2429" s="653">
        <v>-34956.91015625</v>
      </c>
      <c r="J2429" s="653">
        <v>-2160.5400390625</v>
      </c>
      <c r="K2429" s="653">
        <v>-37117.44921875</v>
      </c>
      <c r="L2429" s="656">
        <v>-37117.449999999997</v>
      </c>
    </row>
    <row r="2430" spans="1:12" ht="31.5" x14ac:dyDescent="0.25">
      <c r="A2430" s="651" t="s">
        <v>438</v>
      </c>
      <c r="B2430" s="652">
        <v>2021</v>
      </c>
      <c r="C2430" s="651" t="s">
        <v>712</v>
      </c>
      <c r="D2430" s="651" t="s">
        <v>2528</v>
      </c>
      <c r="E2430" s="651" t="s">
        <v>3</v>
      </c>
      <c r="F2430" s="653">
        <v>33453.519999999997</v>
      </c>
      <c r="G2430" s="651" t="s">
        <v>650</v>
      </c>
      <c r="H2430" s="654"/>
      <c r="I2430" s="653">
        <v>34252.140625</v>
      </c>
      <c r="J2430" s="653">
        <v>-798.61999511718795</v>
      </c>
      <c r="K2430" s="653">
        <v>33453.51953125</v>
      </c>
      <c r="L2430" s="656">
        <v>33453.519999999997</v>
      </c>
    </row>
    <row r="2431" spans="1:12" ht="31.5" x14ac:dyDescent="0.25">
      <c r="A2431" s="651" t="s">
        <v>438</v>
      </c>
      <c r="B2431" s="652">
        <v>2021</v>
      </c>
      <c r="C2431" s="651" t="s">
        <v>714</v>
      </c>
      <c r="D2431" s="651" t="s">
        <v>2529</v>
      </c>
      <c r="E2431" s="651" t="s">
        <v>38</v>
      </c>
      <c r="F2431" s="653">
        <v>105952.13</v>
      </c>
      <c r="G2431" s="651" t="s">
        <v>650</v>
      </c>
      <c r="H2431" s="654"/>
      <c r="I2431" s="653">
        <v>102257.1015625</v>
      </c>
      <c r="J2431" s="653">
        <v>3695.03002929688</v>
      </c>
      <c r="K2431" s="653">
        <v>105952.1328125</v>
      </c>
      <c r="L2431" s="656">
        <v>105952.13</v>
      </c>
    </row>
    <row r="2432" spans="1:12" ht="21" x14ac:dyDescent="0.25">
      <c r="A2432" s="651" t="s">
        <v>438</v>
      </c>
      <c r="B2432" s="652">
        <v>2021</v>
      </c>
      <c r="C2432" s="651" t="s">
        <v>716</v>
      </c>
      <c r="D2432" s="651" t="s">
        <v>2530</v>
      </c>
      <c r="E2432" s="651" t="s">
        <v>66</v>
      </c>
      <c r="F2432" s="653">
        <v>128619.75</v>
      </c>
      <c r="G2432" s="651" t="s">
        <v>650</v>
      </c>
      <c r="H2432" s="654"/>
      <c r="I2432" s="653">
        <v>123976.2734375</v>
      </c>
      <c r="J2432" s="653">
        <v>4643.47998046875</v>
      </c>
      <c r="K2432" s="653">
        <v>128619.75</v>
      </c>
      <c r="L2432" s="656">
        <v>128619.75</v>
      </c>
    </row>
    <row r="2433" spans="1:12" ht="31.5" x14ac:dyDescent="0.25">
      <c r="A2433" s="651" t="s">
        <v>438</v>
      </c>
      <c r="B2433" s="652">
        <v>2021</v>
      </c>
      <c r="C2433" s="651" t="s">
        <v>718</v>
      </c>
      <c r="D2433" s="651" t="s">
        <v>2531</v>
      </c>
      <c r="E2433" s="651" t="s">
        <v>720</v>
      </c>
      <c r="F2433" s="653">
        <v>560.77</v>
      </c>
      <c r="G2433" s="654"/>
      <c r="H2433" s="651" t="s">
        <v>650</v>
      </c>
      <c r="I2433" s="655"/>
      <c r="J2433" s="655"/>
      <c r="K2433" s="653">
        <v>0</v>
      </c>
      <c r="L2433" s="656">
        <v>560.77</v>
      </c>
    </row>
    <row r="2434" spans="1:12" ht="42" x14ac:dyDescent="0.25">
      <c r="A2434" s="651" t="s">
        <v>438</v>
      </c>
      <c r="B2434" s="652">
        <v>2021</v>
      </c>
      <c r="C2434" s="651" t="s">
        <v>721</v>
      </c>
      <c r="D2434" s="651" t="s">
        <v>2532</v>
      </c>
      <c r="E2434" s="651" t="s">
        <v>3016</v>
      </c>
      <c r="F2434" s="653">
        <v>0</v>
      </c>
      <c r="G2434" s="651" t="s">
        <v>650</v>
      </c>
      <c r="H2434" s="654"/>
      <c r="I2434" s="653">
        <v>-9466.48046875</v>
      </c>
      <c r="J2434" s="653">
        <v>12919.919921875</v>
      </c>
      <c r="K2434" s="653">
        <v>3453.43994140625</v>
      </c>
      <c r="L2434" s="656">
        <v>3453.44</v>
      </c>
    </row>
    <row r="2435" spans="1:12" ht="42" x14ac:dyDescent="0.25">
      <c r="A2435" s="651" t="s">
        <v>438</v>
      </c>
      <c r="B2435" s="652">
        <v>2021</v>
      </c>
      <c r="C2435" s="651" t="s">
        <v>721</v>
      </c>
      <c r="D2435" s="651" t="s">
        <v>2532</v>
      </c>
      <c r="E2435" s="651" t="s">
        <v>3058</v>
      </c>
      <c r="F2435" s="653">
        <v>0</v>
      </c>
      <c r="G2435" s="651" t="s">
        <v>650</v>
      </c>
      <c r="H2435" s="654"/>
      <c r="I2435" s="653">
        <v>-268944.09375</v>
      </c>
      <c r="J2435" s="653">
        <v>-14662.6396484375</v>
      </c>
      <c r="K2435" s="653">
        <v>-283606.71875</v>
      </c>
      <c r="L2435" s="656">
        <v>-283606.71999999997</v>
      </c>
    </row>
    <row r="2436" spans="1:12" ht="42" x14ac:dyDescent="0.25">
      <c r="A2436" s="651" t="s">
        <v>438</v>
      </c>
      <c r="B2436" s="652">
        <v>2021</v>
      </c>
      <c r="C2436" s="651" t="s">
        <v>721</v>
      </c>
      <c r="D2436" s="651" t="s">
        <v>2533</v>
      </c>
      <c r="E2436" s="651" t="s">
        <v>724</v>
      </c>
      <c r="F2436" s="653">
        <v>0</v>
      </c>
      <c r="G2436" s="651" t="s">
        <v>650</v>
      </c>
      <c r="H2436" s="654"/>
      <c r="I2436" s="655"/>
      <c r="J2436" s="655"/>
      <c r="K2436" s="653">
        <v>0</v>
      </c>
      <c r="L2436" s="656">
        <v>0</v>
      </c>
    </row>
    <row r="2437" spans="1:12" ht="42" x14ac:dyDescent="0.25">
      <c r="A2437" s="651" t="s">
        <v>438</v>
      </c>
      <c r="B2437" s="652">
        <v>2021</v>
      </c>
      <c r="C2437" s="651" t="s">
        <v>721</v>
      </c>
      <c r="D2437" s="651" t="s">
        <v>2534</v>
      </c>
      <c r="E2437" s="651" t="s">
        <v>55</v>
      </c>
      <c r="F2437" s="653">
        <v>0</v>
      </c>
      <c r="G2437" s="651" t="s">
        <v>650</v>
      </c>
      <c r="H2437" s="654"/>
      <c r="I2437" s="655"/>
      <c r="J2437" s="655"/>
      <c r="K2437" s="653">
        <v>0</v>
      </c>
      <c r="L2437" s="656">
        <v>0</v>
      </c>
    </row>
    <row r="2438" spans="1:12" ht="42" x14ac:dyDescent="0.25">
      <c r="A2438" s="651" t="s">
        <v>438</v>
      </c>
      <c r="B2438" s="652">
        <v>2021</v>
      </c>
      <c r="C2438" s="651" t="s">
        <v>721</v>
      </c>
      <c r="D2438" s="651" t="s">
        <v>2535</v>
      </c>
      <c r="E2438" s="651" t="s">
        <v>56</v>
      </c>
      <c r="F2438" s="653">
        <v>0</v>
      </c>
      <c r="G2438" s="651" t="s">
        <v>650</v>
      </c>
      <c r="H2438" s="654"/>
      <c r="I2438" s="655"/>
      <c r="J2438" s="655"/>
      <c r="K2438" s="653">
        <v>0</v>
      </c>
      <c r="L2438" s="656">
        <v>0</v>
      </c>
    </row>
    <row r="2439" spans="1:12" ht="42" x14ac:dyDescent="0.25">
      <c r="A2439" s="651" t="s">
        <v>438</v>
      </c>
      <c r="B2439" s="652">
        <v>2021</v>
      </c>
      <c r="C2439" s="651" t="s">
        <v>721</v>
      </c>
      <c r="D2439" s="651" t="s">
        <v>2536</v>
      </c>
      <c r="E2439" s="651" t="s">
        <v>728</v>
      </c>
      <c r="F2439" s="653">
        <v>0</v>
      </c>
      <c r="G2439" s="651" t="s">
        <v>650</v>
      </c>
      <c r="H2439" s="654"/>
      <c r="I2439" s="655"/>
      <c r="J2439" s="655"/>
      <c r="K2439" s="653">
        <v>0</v>
      </c>
      <c r="L2439" s="656">
        <v>0</v>
      </c>
    </row>
    <row r="2440" spans="1:12" ht="42" x14ac:dyDescent="0.25">
      <c r="A2440" s="651" t="s">
        <v>438</v>
      </c>
      <c r="B2440" s="652">
        <v>2021</v>
      </c>
      <c r="C2440" s="651" t="s">
        <v>721</v>
      </c>
      <c r="D2440" s="651" t="s">
        <v>2537</v>
      </c>
      <c r="E2440" s="651" t="s">
        <v>730</v>
      </c>
      <c r="F2440" s="653">
        <v>0</v>
      </c>
      <c r="G2440" s="651" t="s">
        <v>650</v>
      </c>
      <c r="H2440" s="654"/>
      <c r="I2440" s="655"/>
      <c r="J2440" s="655"/>
      <c r="K2440" s="653">
        <v>0</v>
      </c>
      <c r="L2440" s="656">
        <v>0</v>
      </c>
    </row>
    <row r="2441" spans="1:12" ht="42" x14ac:dyDescent="0.25">
      <c r="A2441" s="651" t="s">
        <v>438</v>
      </c>
      <c r="B2441" s="652">
        <v>2021</v>
      </c>
      <c r="C2441" s="651" t="s">
        <v>721</v>
      </c>
      <c r="D2441" s="651" t="s">
        <v>2538</v>
      </c>
      <c r="E2441" s="651" t="s">
        <v>142</v>
      </c>
      <c r="F2441" s="653">
        <v>0</v>
      </c>
      <c r="G2441" s="651" t="s">
        <v>650</v>
      </c>
      <c r="H2441" s="654"/>
      <c r="I2441" s="655"/>
      <c r="J2441" s="655"/>
      <c r="K2441" s="653">
        <v>0</v>
      </c>
      <c r="L2441" s="656">
        <v>0</v>
      </c>
    </row>
    <row r="2442" spans="1:12" ht="42" x14ac:dyDescent="0.25">
      <c r="A2442" s="651" t="s">
        <v>438</v>
      </c>
      <c r="B2442" s="652">
        <v>2021</v>
      </c>
      <c r="C2442" s="651" t="s">
        <v>721</v>
      </c>
      <c r="D2442" s="651" t="s">
        <v>2539</v>
      </c>
      <c r="E2442" s="651" t="s">
        <v>143</v>
      </c>
      <c r="F2442" s="653">
        <v>0</v>
      </c>
      <c r="G2442" s="651" t="s">
        <v>650</v>
      </c>
      <c r="H2442" s="654"/>
      <c r="I2442" s="655"/>
      <c r="J2442" s="655"/>
      <c r="K2442" s="653">
        <v>0</v>
      </c>
      <c r="L2442" s="656">
        <v>0</v>
      </c>
    </row>
    <row r="2443" spans="1:12" ht="42" x14ac:dyDescent="0.25">
      <c r="A2443" s="651" t="s">
        <v>438</v>
      </c>
      <c r="B2443" s="652">
        <v>2021</v>
      </c>
      <c r="C2443" s="651" t="s">
        <v>721</v>
      </c>
      <c r="D2443" s="651" t="s">
        <v>2540</v>
      </c>
      <c r="E2443" s="651" t="s">
        <v>182</v>
      </c>
      <c r="F2443" s="653">
        <v>0</v>
      </c>
      <c r="G2443" s="651" t="s">
        <v>650</v>
      </c>
      <c r="H2443" s="654"/>
      <c r="I2443" s="655"/>
      <c r="J2443" s="655"/>
      <c r="K2443" s="653">
        <v>0</v>
      </c>
      <c r="L2443" s="656">
        <v>0</v>
      </c>
    </row>
    <row r="2444" spans="1:12" ht="42" x14ac:dyDescent="0.25">
      <c r="A2444" s="651" t="s">
        <v>438</v>
      </c>
      <c r="B2444" s="652">
        <v>2021</v>
      </c>
      <c r="C2444" s="651" t="s">
        <v>721</v>
      </c>
      <c r="D2444" s="651" t="s">
        <v>2541</v>
      </c>
      <c r="E2444" s="651" t="s">
        <v>394</v>
      </c>
      <c r="F2444" s="653">
        <v>0</v>
      </c>
      <c r="G2444" s="651" t="s">
        <v>650</v>
      </c>
      <c r="H2444" s="654"/>
      <c r="I2444" s="655"/>
      <c r="J2444" s="655"/>
      <c r="K2444" s="653">
        <v>0</v>
      </c>
      <c r="L2444" s="656">
        <v>0</v>
      </c>
    </row>
    <row r="2445" spans="1:12" ht="42" x14ac:dyDescent="0.25">
      <c r="A2445" s="651" t="s">
        <v>438</v>
      </c>
      <c r="B2445" s="652">
        <v>2021</v>
      </c>
      <c r="C2445" s="651" t="s">
        <v>721</v>
      </c>
      <c r="D2445" s="651" t="s">
        <v>2542</v>
      </c>
      <c r="E2445" s="651" t="s">
        <v>423</v>
      </c>
      <c r="F2445" s="653">
        <v>0</v>
      </c>
      <c r="G2445" s="651" t="s">
        <v>650</v>
      </c>
      <c r="H2445" s="654"/>
      <c r="I2445" s="653">
        <v>9096.9501953125</v>
      </c>
      <c r="J2445" s="653">
        <v>-4992.39990234375</v>
      </c>
      <c r="K2445" s="653">
        <v>4104.5498046875</v>
      </c>
      <c r="L2445" s="656">
        <v>4104.55</v>
      </c>
    </row>
    <row r="2446" spans="1:12" ht="42" x14ac:dyDescent="0.25">
      <c r="A2446" s="651" t="s">
        <v>438</v>
      </c>
      <c r="B2446" s="652">
        <v>2021</v>
      </c>
      <c r="C2446" s="651" t="s">
        <v>721</v>
      </c>
      <c r="D2446" s="651" t="s">
        <v>3284</v>
      </c>
      <c r="E2446" s="651" t="s">
        <v>441</v>
      </c>
      <c r="F2446" s="653">
        <v>0</v>
      </c>
      <c r="G2446" s="651" t="s">
        <v>650</v>
      </c>
      <c r="H2446" s="654"/>
      <c r="I2446" s="653">
        <v>2111.6201171875</v>
      </c>
      <c r="J2446" s="653">
        <v>2339.98999023438</v>
      </c>
      <c r="K2446" s="653">
        <v>4451.60986328125</v>
      </c>
      <c r="L2446" s="656">
        <v>4451.6099999999997</v>
      </c>
    </row>
    <row r="2447" spans="1:12" ht="42" x14ac:dyDescent="0.25">
      <c r="A2447" s="651" t="s">
        <v>438</v>
      </c>
      <c r="B2447" s="652">
        <v>2021</v>
      </c>
      <c r="C2447" s="651" t="s">
        <v>721</v>
      </c>
      <c r="D2447" s="651" t="s">
        <v>2543</v>
      </c>
      <c r="E2447" s="651" t="s">
        <v>737</v>
      </c>
      <c r="F2447" s="653">
        <v>-271597.12</v>
      </c>
      <c r="G2447" s="654"/>
      <c r="H2447" s="654"/>
      <c r="I2447" s="655"/>
      <c r="J2447" s="655"/>
      <c r="K2447" s="653">
        <v>0</v>
      </c>
      <c r="L2447" s="656">
        <v>-271597.12</v>
      </c>
    </row>
    <row r="2448" spans="1:12" ht="21" x14ac:dyDescent="0.25">
      <c r="A2448" s="651" t="s">
        <v>438</v>
      </c>
      <c r="B2448" s="652">
        <v>2021</v>
      </c>
      <c r="C2448" s="651" t="s">
        <v>738</v>
      </c>
      <c r="D2448" s="651" t="s">
        <v>2544</v>
      </c>
      <c r="E2448" s="651" t="s">
        <v>7</v>
      </c>
      <c r="F2448" s="653">
        <v>0</v>
      </c>
      <c r="G2448" s="654"/>
      <c r="H2448" s="651" t="s">
        <v>650</v>
      </c>
      <c r="I2448" s="655"/>
      <c r="J2448" s="655"/>
      <c r="K2448" s="653">
        <v>0</v>
      </c>
      <c r="L2448" s="656">
        <v>0</v>
      </c>
    </row>
    <row r="2449" spans="1:12" ht="21" x14ac:dyDescent="0.25">
      <c r="A2449" s="651" t="s">
        <v>115</v>
      </c>
      <c r="B2449" s="652">
        <v>2021</v>
      </c>
      <c r="C2449" s="651" t="s">
        <v>647</v>
      </c>
      <c r="D2449" s="651" t="s">
        <v>2545</v>
      </c>
      <c r="E2449" s="651" t="s">
        <v>649</v>
      </c>
      <c r="F2449" s="653">
        <v>-83765.759999999995</v>
      </c>
      <c r="G2449" s="654"/>
      <c r="H2449" s="651" t="s">
        <v>650</v>
      </c>
      <c r="I2449" s="655"/>
      <c r="J2449" s="655"/>
      <c r="K2449" s="653">
        <v>0</v>
      </c>
      <c r="L2449" s="656">
        <v>-83765.759999999995</v>
      </c>
    </row>
    <row r="2450" spans="1:12" ht="14.5" x14ac:dyDescent="0.25">
      <c r="A2450" s="651" t="s">
        <v>115</v>
      </c>
      <c r="B2450" s="652">
        <v>2021</v>
      </c>
      <c r="C2450" s="651" t="s">
        <v>651</v>
      </c>
      <c r="D2450" s="651" t="s">
        <v>2546</v>
      </c>
      <c r="E2450" s="651" t="s">
        <v>653</v>
      </c>
      <c r="F2450" s="653">
        <v>-6354.71</v>
      </c>
      <c r="G2450" s="654"/>
      <c r="H2450" s="651" t="s">
        <v>650</v>
      </c>
      <c r="I2450" s="655"/>
      <c r="J2450" s="655"/>
      <c r="K2450" s="653">
        <v>0</v>
      </c>
      <c r="L2450" s="656">
        <v>-6354.71</v>
      </c>
    </row>
    <row r="2451" spans="1:12" ht="42" x14ac:dyDescent="0.25">
      <c r="A2451" s="651" t="s">
        <v>115</v>
      </c>
      <c r="B2451" s="652">
        <v>2021</v>
      </c>
      <c r="C2451" s="651" t="s">
        <v>654</v>
      </c>
      <c r="D2451" s="651" t="s">
        <v>2547</v>
      </c>
      <c r="E2451" s="651" t="s">
        <v>445</v>
      </c>
      <c r="F2451" s="653">
        <v>0</v>
      </c>
      <c r="G2451" s="654"/>
      <c r="H2451" s="651" t="s">
        <v>650</v>
      </c>
      <c r="I2451" s="655"/>
      <c r="J2451" s="655"/>
      <c r="K2451" s="653">
        <v>0</v>
      </c>
      <c r="L2451" s="656">
        <v>0</v>
      </c>
    </row>
    <row r="2452" spans="1:12" ht="21" x14ac:dyDescent="0.25">
      <c r="A2452" s="651" t="s">
        <v>115</v>
      </c>
      <c r="B2452" s="652">
        <v>2021</v>
      </c>
      <c r="C2452" s="651" t="s">
        <v>656</v>
      </c>
      <c r="D2452" s="651" t="s">
        <v>2548</v>
      </c>
      <c r="E2452" s="651" t="s">
        <v>658</v>
      </c>
      <c r="F2452" s="653">
        <v>0</v>
      </c>
      <c r="G2452" s="654"/>
      <c r="H2452" s="651" t="s">
        <v>650</v>
      </c>
      <c r="I2452" s="655"/>
      <c r="J2452" s="655"/>
      <c r="K2452" s="653">
        <v>0</v>
      </c>
      <c r="L2452" s="656">
        <v>0</v>
      </c>
    </row>
    <row r="2453" spans="1:12" ht="31.5" x14ac:dyDescent="0.25">
      <c r="A2453" s="651" t="s">
        <v>115</v>
      </c>
      <c r="B2453" s="652">
        <v>2021</v>
      </c>
      <c r="C2453" s="651" t="s">
        <v>659</v>
      </c>
      <c r="D2453" s="651" t="s">
        <v>2549</v>
      </c>
      <c r="E2453" s="651" t="s">
        <v>661</v>
      </c>
      <c r="F2453" s="653">
        <v>0</v>
      </c>
      <c r="G2453" s="654"/>
      <c r="H2453" s="651" t="s">
        <v>650</v>
      </c>
      <c r="I2453" s="655"/>
      <c r="J2453" s="655"/>
      <c r="K2453" s="653">
        <v>0</v>
      </c>
      <c r="L2453" s="656">
        <v>0</v>
      </c>
    </row>
    <row r="2454" spans="1:12" ht="21" x14ac:dyDescent="0.25">
      <c r="A2454" s="651" t="s">
        <v>115</v>
      </c>
      <c r="B2454" s="652">
        <v>2021</v>
      </c>
      <c r="C2454" s="651" t="s">
        <v>662</v>
      </c>
      <c r="D2454" s="651" t="s">
        <v>2550</v>
      </c>
      <c r="E2454" s="651" t="s">
        <v>664</v>
      </c>
      <c r="F2454" s="653">
        <v>0</v>
      </c>
      <c r="G2454" s="654"/>
      <c r="H2454" s="651" t="s">
        <v>650</v>
      </c>
      <c r="I2454" s="655"/>
      <c r="J2454" s="655"/>
      <c r="K2454" s="653">
        <v>0</v>
      </c>
      <c r="L2454" s="656">
        <v>0</v>
      </c>
    </row>
    <row r="2455" spans="1:12" ht="31.5" x14ac:dyDescent="0.25">
      <c r="A2455" s="651" t="s">
        <v>115</v>
      </c>
      <c r="B2455" s="652">
        <v>2021</v>
      </c>
      <c r="C2455" s="651" t="s">
        <v>665</v>
      </c>
      <c r="D2455" s="651" t="s">
        <v>2551</v>
      </c>
      <c r="E2455" s="651" t="s">
        <v>667</v>
      </c>
      <c r="F2455" s="653">
        <v>0</v>
      </c>
      <c r="G2455" s="654"/>
      <c r="H2455" s="651" t="s">
        <v>650</v>
      </c>
      <c r="I2455" s="655"/>
      <c r="J2455" s="655"/>
      <c r="K2455" s="653">
        <v>0</v>
      </c>
      <c r="L2455" s="656">
        <v>0</v>
      </c>
    </row>
    <row r="2456" spans="1:12" ht="21" x14ac:dyDescent="0.25">
      <c r="A2456" s="651" t="s">
        <v>115</v>
      </c>
      <c r="B2456" s="652">
        <v>2021</v>
      </c>
      <c r="C2456" s="651" t="s">
        <v>668</v>
      </c>
      <c r="D2456" s="651" t="s">
        <v>2552</v>
      </c>
      <c r="E2456" s="651" t="s">
        <v>12</v>
      </c>
      <c r="F2456" s="653">
        <v>0</v>
      </c>
      <c r="G2456" s="654"/>
      <c r="H2456" s="651" t="s">
        <v>650</v>
      </c>
      <c r="I2456" s="655"/>
      <c r="J2456" s="655"/>
      <c r="K2456" s="653">
        <v>0</v>
      </c>
      <c r="L2456" s="656">
        <v>0</v>
      </c>
    </row>
    <row r="2457" spans="1:12" ht="21" x14ac:dyDescent="0.25">
      <c r="A2457" s="651" t="s">
        <v>115</v>
      </c>
      <c r="B2457" s="652">
        <v>2021</v>
      </c>
      <c r="C2457" s="651" t="s">
        <v>670</v>
      </c>
      <c r="D2457" s="651" t="s">
        <v>2553</v>
      </c>
      <c r="E2457" s="651" t="s">
        <v>13</v>
      </c>
      <c r="F2457" s="653">
        <v>0</v>
      </c>
      <c r="G2457" s="654"/>
      <c r="H2457" s="651" t="s">
        <v>650</v>
      </c>
      <c r="I2457" s="655"/>
      <c r="J2457" s="655"/>
      <c r="K2457" s="653">
        <v>0</v>
      </c>
      <c r="L2457" s="656">
        <v>0</v>
      </c>
    </row>
    <row r="2458" spans="1:12" ht="21" x14ac:dyDescent="0.25">
      <c r="A2458" s="651" t="s">
        <v>115</v>
      </c>
      <c r="B2458" s="652">
        <v>2021</v>
      </c>
      <c r="C2458" s="651" t="s">
        <v>672</v>
      </c>
      <c r="D2458" s="651" t="s">
        <v>2554</v>
      </c>
      <c r="E2458" s="651" t="s">
        <v>15</v>
      </c>
      <c r="F2458" s="653">
        <v>0</v>
      </c>
      <c r="G2458" s="654"/>
      <c r="H2458" s="651" t="s">
        <v>650</v>
      </c>
      <c r="I2458" s="655"/>
      <c r="J2458" s="655"/>
      <c r="K2458" s="653">
        <v>0</v>
      </c>
      <c r="L2458" s="656">
        <v>0</v>
      </c>
    </row>
    <row r="2459" spans="1:12" ht="14.5" x14ac:dyDescent="0.25">
      <c r="A2459" s="651" t="s">
        <v>115</v>
      </c>
      <c r="B2459" s="652">
        <v>2021</v>
      </c>
      <c r="C2459" s="651" t="s">
        <v>674</v>
      </c>
      <c r="D2459" s="651" t="s">
        <v>2555</v>
      </c>
      <c r="E2459" s="651" t="s">
        <v>676</v>
      </c>
      <c r="F2459" s="653">
        <v>-51.78</v>
      </c>
      <c r="G2459" s="654"/>
      <c r="H2459" s="651" t="s">
        <v>650</v>
      </c>
      <c r="I2459" s="655"/>
      <c r="J2459" s="655"/>
      <c r="K2459" s="653">
        <v>0</v>
      </c>
      <c r="L2459" s="656">
        <v>-51.78</v>
      </c>
    </row>
    <row r="2460" spans="1:12" ht="14.5" x14ac:dyDescent="0.25">
      <c r="A2460" s="651" t="s">
        <v>115</v>
      </c>
      <c r="B2460" s="652">
        <v>2021</v>
      </c>
      <c r="C2460" s="651" t="s">
        <v>677</v>
      </c>
      <c r="D2460" s="651" t="s">
        <v>2556</v>
      </c>
      <c r="E2460" s="651" t="s">
        <v>23</v>
      </c>
      <c r="F2460" s="653">
        <v>-24851.71</v>
      </c>
      <c r="G2460" s="651" t="s">
        <v>650</v>
      </c>
      <c r="H2460" s="654"/>
      <c r="I2460" s="653">
        <v>-24660.640625</v>
      </c>
      <c r="J2460" s="653">
        <v>-191.07000732421901</v>
      </c>
      <c r="K2460" s="653">
        <v>-24851.7109375</v>
      </c>
      <c r="L2460" s="656">
        <v>-24851.71</v>
      </c>
    </row>
    <row r="2461" spans="1:12" ht="31.5" x14ac:dyDescent="0.25">
      <c r="A2461" s="651" t="s">
        <v>115</v>
      </c>
      <c r="B2461" s="652">
        <v>2021</v>
      </c>
      <c r="C2461" s="651" t="s">
        <v>679</v>
      </c>
      <c r="D2461" s="651" t="s">
        <v>2557</v>
      </c>
      <c r="E2461" s="651" t="s">
        <v>131</v>
      </c>
      <c r="F2461" s="653">
        <v>-233.7</v>
      </c>
      <c r="G2461" s="651" t="s">
        <v>650</v>
      </c>
      <c r="H2461" s="654"/>
      <c r="I2461" s="653">
        <v>-222.14999389648401</v>
      </c>
      <c r="J2461" s="653">
        <v>-11.550000190734901</v>
      </c>
      <c r="K2461" s="653">
        <v>-233.69999694824199</v>
      </c>
      <c r="L2461" s="656">
        <v>-233.7</v>
      </c>
    </row>
    <row r="2462" spans="1:12" ht="31.5" x14ac:dyDescent="0.25">
      <c r="A2462" s="651" t="s">
        <v>115</v>
      </c>
      <c r="B2462" s="652">
        <v>2021</v>
      </c>
      <c r="C2462" s="651" t="s">
        <v>681</v>
      </c>
      <c r="D2462" s="651" t="s">
        <v>2558</v>
      </c>
      <c r="E2462" s="651" t="s">
        <v>683</v>
      </c>
      <c r="F2462" s="653">
        <v>0</v>
      </c>
      <c r="G2462" s="654"/>
      <c r="H2462" s="651" t="s">
        <v>650</v>
      </c>
      <c r="I2462" s="655"/>
      <c r="J2462" s="655"/>
      <c r="K2462" s="653">
        <v>0</v>
      </c>
      <c r="L2462" s="656">
        <v>0</v>
      </c>
    </row>
    <row r="2463" spans="1:12" ht="21" x14ac:dyDescent="0.25">
      <c r="A2463" s="651" t="s">
        <v>115</v>
      </c>
      <c r="B2463" s="652">
        <v>2021</v>
      </c>
      <c r="C2463" s="651" t="s">
        <v>681</v>
      </c>
      <c r="D2463" s="651" t="s">
        <v>2558</v>
      </c>
      <c r="E2463" s="651" t="s">
        <v>684</v>
      </c>
      <c r="F2463" s="653">
        <v>0</v>
      </c>
      <c r="G2463" s="654"/>
      <c r="H2463" s="651" t="s">
        <v>650</v>
      </c>
      <c r="I2463" s="655"/>
      <c r="J2463" s="655"/>
      <c r="K2463" s="653">
        <v>0</v>
      </c>
      <c r="L2463" s="656">
        <v>0</v>
      </c>
    </row>
    <row r="2464" spans="1:12" ht="21" x14ac:dyDescent="0.25">
      <c r="A2464" s="651" t="s">
        <v>115</v>
      </c>
      <c r="B2464" s="652">
        <v>2021</v>
      </c>
      <c r="C2464" s="651" t="s">
        <v>685</v>
      </c>
      <c r="D2464" s="651" t="s">
        <v>2559</v>
      </c>
      <c r="E2464" s="651" t="s">
        <v>687</v>
      </c>
      <c r="F2464" s="653">
        <v>0</v>
      </c>
      <c r="G2464" s="654"/>
      <c r="H2464" s="651" t="s">
        <v>650</v>
      </c>
      <c r="I2464" s="655"/>
      <c r="J2464" s="655"/>
      <c r="K2464" s="653">
        <v>0</v>
      </c>
      <c r="L2464" s="656">
        <v>0</v>
      </c>
    </row>
    <row r="2465" spans="1:12" ht="14.5" x14ac:dyDescent="0.25">
      <c r="A2465" s="651" t="s">
        <v>115</v>
      </c>
      <c r="B2465" s="652">
        <v>2021</v>
      </c>
      <c r="C2465" s="651" t="s">
        <v>688</v>
      </c>
      <c r="D2465" s="651" t="s">
        <v>2560</v>
      </c>
      <c r="E2465" s="651" t="s">
        <v>50</v>
      </c>
      <c r="F2465" s="653">
        <v>16603</v>
      </c>
      <c r="G2465" s="654"/>
      <c r="H2465" s="651" t="s">
        <v>650</v>
      </c>
      <c r="I2465" s="655"/>
      <c r="J2465" s="655"/>
      <c r="K2465" s="653">
        <v>0</v>
      </c>
      <c r="L2465" s="656">
        <v>16603</v>
      </c>
    </row>
    <row r="2466" spans="1:12" ht="21" x14ac:dyDescent="0.25">
      <c r="A2466" s="651" t="s">
        <v>115</v>
      </c>
      <c r="B2466" s="652">
        <v>2021</v>
      </c>
      <c r="C2466" s="651" t="s">
        <v>690</v>
      </c>
      <c r="D2466" s="651" t="s">
        <v>2561</v>
      </c>
      <c r="E2466" s="651" t="s">
        <v>692</v>
      </c>
      <c r="F2466" s="653">
        <v>0</v>
      </c>
      <c r="G2466" s="654"/>
      <c r="H2466" s="651" t="s">
        <v>650</v>
      </c>
      <c r="I2466" s="655"/>
      <c r="J2466" s="655"/>
      <c r="K2466" s="653">
        <v>0</v>
      </c>
      <c r="L2466" s="656">
        <v>0</v>
      </c>
    </row>
    <row r="2467" spans="1:12" ht="21" x14ac:dyDescent="0.25">
      <c r="A2467" s="651" t="s">
        <v>115</v>
      </c>
      <c r="B2467" s="652">
        <v>2021</v>
      </c>
      <c r="C2467" s="651" t="s">
        <v>693</v>
      </c>
      <c r="D2467" s="651" t="s">
        <v>2562</v>
      </c>
      <c r="E2467" s="651" t="s">
        <v>6</v>
      </c>
      <c r="F2467" s="653">
        <v>0</v>
      </c>
      <c r="G2467" s="654"/>
      <c r="H2467" s="651" t="s">
        <v>650</v>
      </c>
      <c r="I2467" s="655"/>
      <c r="J2467" s="655"/>
      <c r="K2467" s="653">
        <v>0</v>
      </c>
      <c r="L2467" s="656">
        <v>0</v>
      </c>
    </row>
    <row r="2468" spans="1:12" ht="31.5" x14ac:dyDescent="0.25">
      <c r="A2468" s="651" t="s">
        <v>115</v>
      </c>
      <c r="B2468" s="652">
        <v>2021</v>
      </c>
      <c r="C2468" s="651" t="s">
        <v>695</v>
      </c>
      <c r="D2468" s="651" t="s">
        <v>2563</v>
      </c>
      <c r="E2468" s="651" t="s">
        <v>697</v>
      </c>
      <c r="F2468" s="653">
        <v>29133.75</v>
      </c>
      <c r="G2468" s="654"/>
      <c r="H2468" s="651" t="s">
        <v>650</v>
      </c>
      <c r="I2468" s="655"/>
      <c r="J2468" s="655"/>
      <c r="K2468" s="653">
        <v>0</v>
      </c>
      <c r="L2468" s="656">
        <v>29133.75</v>
      </c>
    </row>
    <row r="2469" spans="1:12" ht="21" x14ac:dyDescent="0.25">
      <c r="A2469" s="651" t="s">
        <v>115</v>
      </c>
      <c r="B2469" s="652">
        <v>2021</v>
      </c>
      <c r="C2469" s="651" t="s">
        <v>698</v>
      </c>
      <c r="D2469" s="651" t="s">
        <v>2564</v>
      </c>
      <c r="E2469" s="651" t="s">
        <v>700</v>
      </c>
      <c r="F2469" s="653">
        <v>0</v>
      </c>
      <c r="G2469" s="654"/>
      <c r="H2469" s="651" t="s">
        <v>650</v>
      </c>
      <c r="I2469" s="655"/>
      <c r="J2469" s="655"/>
      <c r="K2469" s="653">
        <v>0</v>
      </c>
      <c r="L2469" s="656">
        <v>0</v>
      </c>
    </row>
    <row r="2470" spans="1:12" ht="21" x14ac:dyDescent="0.25">
      <c r="A2470" s="651" t="s">
        <v>115</v>
      </c>
      <c r="B2470" s="652">
        <v>2021</v>
      </c>
      <c r="C2470" s="651" t="s">
        <v>701</v>
      </c>
      <c r="D2470" s="651" t="s">
        <v>2565</v>
      </c>
      <c r="E2470" s="651" t="s">
        <v>1</v>
      </c>
      <c r="F2470" s="653">
        <v>-6639.83</v>
      </c>
      <c r="G2470" s="651" t="s">
        <v>650</v>
      </c>
      <c r="H2470" s="654"/>
      <c r="I2470" s="653">
        <v>-6311.93017578125</v>
      </c>
      <c r="J2470" s="653">
        <v>-327.89999389648398</v>
      </c>
      <c r="K2470" s="653">
        <v>-6639.830078125</v>
      </c>
      <c r="L2470" s="656">
        <v>-6639.83</v>
      </c>
    </row>
    <row r="2471" spans="1:12" ht="21" x14ac:dyDescent="0.25">
      <c r="A2471" s="651" t="s">
        <v>115</v>
      </c>
      <c r="B2471" s="652">
        <v>2021</v>
      </c>
      <c r="C2471" s="651" t="s">
        <v>701</v>
      </c>
      <c r="D2471" s="651" t="s">
        <v>2565</v>
      </c>
      <c r="E2471" s="651" t="s">
        <v>703</v>
      </c>
      <c r="F2471" s="653">
        <v>0</v>
      </c>
      <c r="G2471" s="654"/>
      <c r="H2471" s="654"/>
      <c r="I2471" s="655"/>
      <c r="J2471" s="655"/>
      <c r="K2471" s="653">
        <v>0</v>
      </c>
      <c r="L2471" s="656">
        <v>0</v>
      </c>
    </row>
    <row r="2472" spans="1:12" ht="21" x14ac:dyDescent="0.25">
      <c r="A2472" s="651" t="s">
        <v>115</v>
      </c>
      <c r="B2472" s="652">
        <v>2021</v>
      </c>
      <c r="C2472" s="651" t="s">
        <v>701</v>
      </c>
      <c r="D2472" s="651" t="s">
        <v>2565</v>
      </c>
      <c r="E2472" s="651" t="s">
        <v>704</v>
      </c>
      <c r="F2472" s="653">
        <v>0</v>
      </c>
      <c r="G2472" s="654"/>
      <c r="H2472" s="654"/>
      <c r="I2472" s="655"/>
      <c r="J2472" s="655"/>
      <c r="K2472" s="653">
        <v>0</v>
      </c>
      <c r="L2472" s="656">
        <v>0</v>
      </c>
    </row>
    <row r="2473" spans="1:12" ht="21" x14ac:dyDescent="0.25">
      <c r="A2473" s="651" t="s">
        <v>115</v>
      </c>
      <c r="B2473" s="652">
        <v>2021</v>
      </c>
      <c r="C2473" s="651" t="s">
        <v>701</v>
      </c>
      <c r="D2473" s="651" t="s">
        <v>2565</v>
      </c>
      <c r="E2473" s="651" t="s">
        <v>705</v>
      </c>
      <c r="F2473" s="653">
        <v>0</v>
      </c>
      <c r="G2473" s="654"/>
      <c r="H2473" s="654"/>
      <c r="I2473" s="655"/>
      <c r="J2473" s="655"/>
      <c r="K2473" s="653">
        <v>0</v>
      </c>
      <c r="L2473" s="656">
        <v>0</v>
      </c>
    </row>
    <row r="2474" spans="1:12" ht="21" x14ac:dyDescent="0.25">
      <c r="A2474" s="651" t="s">
        <v>115</v>
      </c>
      <c r="B2474" s="652">
        <v>2021</v>
      </c>
      <c r="C2474" s="651" t="s">
        <v>701</v>
      </c>
      <c r="D2474" s="651" t="s">
        <v>2565</v>
      </c>
      <c r="E2474" s="651" t="s">
        <v>706</v>
      </c>
      <c r="F2474" s="653">
        <v>0</v>
      </c>
      <c r="G2474" s="654"/>
      <c r="H2474" s="654"/>
      <c r="I2474" s="655"/>
      <c r="J2474" s="655"/>
      <c r="K2474" s="653">
        <v>0</v>
      </c>
      <c r="L2474" s="656">
        <v>0</v>
      </c>
    </row>
    <row r="2475" spans="1:12" ht="14.5" x14ac:dyDescent="0.25">
      <c r="A2475" s="651" t="s">
        <v>115</v>
      </c>
      <c r="B2475" s="652">
        <v>2021</v>
      </c>
      <c r="C2475" s="651" t="s">
        <v>707</v>
      </c>
      <c r="D2475" s="651" t="s">
        <v>2566</v>
      </c>
      <c r="E2475" s="651" t="s">
        <v>709</v>
      </c>
      <c r="F2475" s="653">
        <v>0</v>
      </c>
      <c r="G2475" s="654"/>
      <c r="H2475" s="651" t="s">
        <v>650</v>
      </c>
      <c r="I2475" s="655"/>
      <c r="J2475" s="655"/>
      <c r="K2475" s="653">
        <v>0</v>
      </c>
      <c r="L2475" s="656">
        <v>0</v>
      </c>
    </row>
    <row r="2476" spans="1:12" ht="31.5" x14ac:dyDescent="0.25">
      <c r="A2476" s="651" t="s">
        <v>115</v>
      </c>
      <c r="B2476" s="652">
        <v>2021</v>
      </c>
      <c r="C2476" s="651" t="s">
        <v>710</v>
      </c>
      <c r="D2476" s="651" t="s">
        <v>2567</v>
      </c>
      <c r="E2476" s="651" t="s">
        <v>2</v>
      </c>
      <c r="F2476" s="653">
        <v>26261.15</v>
      </c>
      <c r="G2476" s="651" t="s">
        <v>650</v>
      </c>
      <c r="H2476" s="654"/>
      <c r="I2476" s="653">
        <v>25797.9296875</v>
      </c>
      <c r="J2476" s="653">
        <v>463.22000122070301</v>
      </c>
      <c r="K2476" s="653">
        <v>26261.150390625</v>
      </c>
      <c r="L2476" s="656">
        <v>26261.15</v>
      </c>
    </row>
    <row r="2477" spans="1:12" ht="31.5" x14ac:dyDescent="0.25">
      <c r="A2477" s="651" t="s">
        <v>115</v>
      </c>
      <c r="B2477" s="652">
        <v>2021</v>
      </c>
      <c r="C2477" s="651" t="s">
        <v>712</v>
      </c>
      <c r="D2477" s="651" t="s">
        <v>2568</v>
      </c>
      <c r="E2477" s="651" t="s">
        <v>3</v>
      </c>
      <c r="F2477" s="653">
        <v>325.24</v>
      </c>
      <c r="G2477" s="651" t="s">
        <v>650</v>
      </c>
      <c r="H2477" s="654"/>
      <c r="I2477" s="653">
        <v>300.19000244140602</v>
      </c>
      <c r="J2477" s="653">
        <v>25.049999237060501</v>
      </c>
      <c r="K2477" s="653">
        <v>325.239990234375</v>
      </c>
      <c r="L2477" s="656">
        <v>325.24</v>
      </c>
    </row>
    <row r="2478" spans="1:12" ht="31.5" x14ac:dyDescent="0.25">
      <c r="A2478" s="651" t="s">
        <v>115</v>
      </c>
      <c r="B2478" s="652">
        <v>2021</v>
      </c>
      <c r="C2478" s="651" t="s">
        <v>714</v>
      </c>
      <c r="D2478" s="651" t="s">
        <v>2569</v>
      </c>
      <c r="E2478" s="651" t="s">
        <v>38</v>
      </c>
      <c r="F2478" s="653">
        <v>-217474.93</v>
      </c>
      <c r="G2478" s="651" t="s">
        <v>650</v>
      </c>
      <c r="H2478" s="654"/>
      <c r="I2478" s="653">
        <v>-204712.9375</v>
      </c>
      <c r="J2478" s="653">
        <v>-12762</v>
      </c>
      <c r="K2478" s="653">
        <v>-217474.9375</v>
      </c>
      <c r="L2478" s="656">
        <v>-217474.93</v>
      </c>
    </row>
    <row r="2479" spans="1:12" ht="21" x14ac:dyDescent="0.25">
      <c r="A2479" s="651" t="s">
        <v>115</v>
      </c>
      <c r="B2479" s="652">
        <v>2021</v>
      </c>
      <c r="C2479" s="651" t="s">
        <v>716</v>
      </c>
      <c r="D2479" s="651" t="s">
        <v>2570</v>
      </c>
      <c r="E2479" s="651" t="s">
        <v>66</v>
      </c>
      <c r="F2479" s="653">
        <v>131540.76999999999</v>
      </c>
      <c r="G2479" s="651" t="s">
        <v>650</v>
      </c>
      <c r="H2479" s="654"/>
      <c r="I2479" s="653">
        <v>133421.546875</v>
      </c>
      <c r="J2479" s="653">
        <v>-1880.77001953125</v>
      </c>
      <c r="K2479" s="653">
        <v>131540.765625</v>
      </c>
      <c r="L2479" s="656">
        <v>131540.76999999999</v>
      </c>
    </row>
    <row r="2480" spans="1:12" ht="31.5" x14ac:dyDescent="0.25">
      <c r="A2480" s="651" t="s">
        <v>115</v>
      </c>
      <c r="B2480" s="652">
        <v>2021</v>
      </c>
      <c r="C2480" s="651" t="s">
        <v>718</v>
      </c>
      <c r="D2480" s="651" t="s">
        <v>2571</v>
      </c>
      <c r="E2480" s="651" t="s">
        <v>720</v>
      </c>
      <c r="F2480" s="653">
        <v>0</v>
      </c>
      <c r="G2480" s="654"/>
      <c r="H2480" s="651" t="s">
        <v>650</v>
      </c>
      <c r="I2480" s="655"/>
      <c r="J2480" s="655"/>
      <c r="K2480" s="653">
        <v>0</v>
      </c>
      <c r="L2480" s="656">
        <v>0</v>
      </c>
    </row>
    <row r="2481" spans="1:12" ht="42" x14ac:dyDescent="0.25">
      <c r="A2481" s="651" t="s">
        <v>115</v>
      </c>
      <c r="B2481" s="652">
        <v>2021</v>
      </c>
      <c r="C2481" s="651" t="s">
        <v>721</v>
      </c>
      <c r="D2481" s="651" t="s">
        <v>2572</v>
      </c>
      <c r="E2481" s="651" t="s">
        <v>3016</v>
      </c>
      <c r="F2481" s="653">
        <v>0</v>
      </c>
      <c r="G2481" s="651" t="s">
        <v>650</v>
      </c>
      <c r="H2481" s="654"/>
      <c r="I2481" s="653">
        <v>28487.060546875</v>
      </c>
      <c r="J2481" s="653">
        <v>10959.5703125</v>
      </c>
      <c r="K2481" s="653">
        <v>39446.62890625</v>
      </c>
      <c r="L2481" s="656">
        <v>39446.629999999997</v>
      </c>
    </row>
    <row r="2482" spans="1:12" ht="42" x14ac:dyDescent="0.25">
      <c r="A2482" s="651" t="s">
        <v>115</v>
      </c>
      <c r="B2482" s="652">
        <v>2021</v>
      </c>
      <c r="C2482" s="651" t="s">
        <v>721</v>
      </c>
      <c r="D2482" s="651" t="s">
        <v>2572</v>
      </c>
      <c r="E2482" s="651" t="s">
        <v>3058</v>
      </c>
      <c r="F2482" s="653">
        <v>0</v>
      </c>
      <c r="G2482" s="651" t="s">
        <v>650</v>
      </c>
      <c r="H2482" s="654"/>
      <c r="I2482" s="653">
        <v>-235346.15625</v>
      </c>
      <c r="J2482" s="653">
        <v>-1674.69995117188</v>
      </c>
      <c r="K2482" s="653">
        <v>-237020.84375</v>
      </c>
      <c r="L2482" s="656">
        <v>-237020.85</v>
      </c>
    </row>
    <row r="2483" spans="1:12" ht="42" x14ac:dyDescent="0.25">
      <c r="A2483" s="651" t="s">
        <v>115</v>
      </c>
      <c r="B2483" s="652">
        <v>2021</v>
      </c>
      <c r="C2483" s="651" t="s">
        <v>721</v>
      </c>
      <c r="D2483" s="651" t="s">
        <v>2573</v>
      </c>
      <c r="E2483" s="651" t="s">
        <v>724</v>
      </c>
      <c r="F2483" s="653">
        <v>0</v>
      </c>
      <c r="G2483" s="651" t="s">
        <v>650</v>
      </c>
      <c r="H2483" s="654"/>
      <c r="I2483" s="655"/>
      <c r="J2483" s="655"/>
      <c r="K2483" s="653">
        <v>0</v>
      </c>
      <c r="L2483" s="656">
        <v>0</v>
      </c>
    </row>
    <row r="2484" spans="1:12" ht="42" x14ac:dyDescent="0.25">
      <c r="A2484" s="651" t="s">
        <v>115</v>
      </c>
      <c r="B2484" s="652">
        <v>2021</v>
      </c>
      <c r="C2484" s="651" t="s">
        <v>721</v>
      </c>
      <c r="D2484" s="651" t="s">
        <v>2574</v>
      </c>
      <c r="E2484" s="651" t="s">
        <v>55</v>
      </c>
      <c r="F2484" s="653">
        <v>0</v>
      </c>
      <c r="G2484" s="651" t="s">
        <v>650</v>
      </c>
      <c r="H2484" s="654"/>
      <c r="I2484" s="655"/>
      <c r="J2484" s="655"/>
      <c r="K2484" s="653">
        <v>0</v>
      </c>
      <c r="L2484" s="656">
        <v>0</v>
      </c>
    </row>
    <row r="2485" spans="1:12" ht="42" x14ac:dyDescent="0.25">
      <c r="A2485" s="651" t="s">
        <v>115</v>
      </c>
      <c r="B2485" s="652">
        <v>2021</v>
      </c>
      <c r="C2485" s="651" t="s">
        <v>721</v>
      </c>
      <c r="D2485" s="651" t="s">
        <v>2575</v>
      </c>
      <c r="E2485" s="651" t="s">
        <v>56</v>
      </c>
      <c r="F2485" s="653">
        <v>0</v>
      </c>
      <c r="G2485" s="651" t="s">
        <v>650</v>
      </c>
      <c r="H2485" s="654"/>
      <c r="I2485" s="655"/>
      <c r="J2485" s="655"/>
      <c r="K2485" s="653">
        <v>0</v>
      </c>
      <c r="L2485" s="656">
        <v>0</v>
      </c>
    </row>
    <row r="2486" spans="1:12" ht="42" x14ac:dyDescent="0.25">
      <c r="A2486" s="651" t="s">
        <v>115</v>
      </c>
      <c r="B2486" s="652">
        <v>2021</v>
      </c>
      <c r="C2486" s="651" t="s">
        <v>721</v>
      </c>
      <c r="D2486" s="651" t="s">
        <v>2576</v>
      </c>
      <c r="E2486" s="651" t="s">
        <v>728</v>
      </c>
      <c r="F2486" s="653">
        <v>0</v>
      </c>
      <c r="G2486" s="651" t="s">
        <v>650</v>
      </c>
      <c r="H2486" s="654"/>
      <c r="I2486" s="655"/>
      <c r="J2486" s="655"/>
      <c r="K2486" s="653">
        <v>0</v>
      </c>
      <c r="L2486" s="656">
        <v>0</v>
      </c>
    </row>
    <row r="2487" spans="1:12" ht="42" x14ac:dyDescent="0.25">
      <c r="A2487" s="651" t="s">
        <v>115</v>
      </c>
      <c r="B2487" s="652">
        <v>2021</v>
      </c>
      <c r="C2487" s="651" t="s">
        <v>721</v>
      </c>
      <c r="D2487" s="651" t="s">
        <v>2577</v>
      </c>
      <c r="E2487" s="651" t="s">
        <v>730</v>
      </c>
      <c r="F2487" s="653">
        <v>0</v>
      </c>
      <c r="G2487" s="651" t="s">
        <v>650</v>
      </c>
      <c r="H2487" s="654"/>
      <c r="I2487" s="655"/>
      <c r="J2487" s="655"/>
      <c r="K2487" s="653">
        <v>0</v>
      </c>
      <c r="L2487" s="656">
        <v>0</v>
      </c>
    </row>
    <row r="2488" spans="1:12" ht="42" x14ac:dyDescent="0.25">
      <c r="A2488" s="651" t="s">
        <v>115</v>
      </c>
      <c r="B2488" s="652">
        <v>2021</v>
      </c>
      <c r="C2488" s="651" t="s">
        <v>721</v>
      </c>
      <c r="D2488" s="651" t="s">
        <v>2578</v>
      </c>
      <c r="E2488" s="651" t="s">
        <v>142</v>
      </c>
      <c r="F2488" s="653">
        <v>0</v>
      </c>
      <c r="G2488" s="651" t="s">
        <v>650</v>
      </c>
      <c r="H2488" s="654"/>
      <c r="I2488" s="655"/>
      <c r="J2488" s="655"/>
      <c r="K2488" s="653">
        <v>0</v>
      </c>
      <c r="L2488" s="656">
        <v>0</v>
      </c>
    </row>
    <row r="2489" spans="1:12" ht="42" x14ac:dyDescent="0.25">
      <c r="A2489" s="651" t="s">
        <v>115</v>
      </c>
      <c r="B2489" s="652">
        <v>2021</v>
      </c>
      <c r="C2489" s="651" t="s">
        <v>721</v>
      </c>
      <c r="D2489" s="651" t="s">
        <v>2579</v>
      </c>
      <c r="E2489" s="651" t="s">
        <v>143</v>
      </c>
      <c r="F2489" s="653">
        <v>0</v>
      </c>
      <c r="G2489" s="651" t="s">
        <v>650</v>
      </c>
      <c r="H2489" s="654"/>
      <c r="I2489" s="655"/>
      <c r="J2489" s="655"/>
      <c r="K2489" s="653">
        <v>0</v>
      </c>
      <c r="L2489" s="656">
        <v>0</v>
      </c>
    </row>
    <row r="2490" spans="1:12" ht="42" x14ac:dyDescent="0.25">
      <c r="A2490" s="651" t="s">
        <v>115</v>
      </c>
      <c r="B2490" s="652">
        <v>2021</v>
      </c>
      <c r="C2490" s="651" t="s">
        <v>721</v>
      </c>
      <c r="D2490" s="651" t="s">
        <v>2580</v>
      </c>
      <c r="E2490" s="651" t="s">
        <v>182</v>
      </c>
      <c r="F2490" s="653">
        <v>0</v>
      </c>
      <c r="G2490" s="651" t="s">
        <v>650</v>
      </c>
      <c r="H2490" s="654"/>
      <c r="I2490" s="655"/>
      <c r="J2490" s="655"/>
      <c r="K2490" s="653">
        <v>0</v>
      </c>
      <c r="L2490" s="656">
        <v>0</v>
      </c>
    </row>
    <row r="2491" spans="1:12" ht="42" x14ac:dyDescent="0.25">
      <c r="A2491" s="651" t="s">
        <v>115</v>
      </c>
      <c r="B2491" s="652">
        <v>2021</v>
      </c>
      <c r="C2491" s="651" t="s">
        <v>721</v>
      </c>
      <c r="D2491" s="651" t="s">
        <v>2581</v>
      </c>
      <c r="E2491" s="651" t="s">
        <v>394</v>
      </c>
      <c r="F2491" s="653">
        <v>0</v>
      </c>
      <c r="G2491" s="651" t="s">
        <v>650</v>
      </c>
      <c r="H2491" s="654"/>
      <c r="I2491" s="655"/>
      <c r="J2491" s="655"/>
      <c r="K2491" s="653">
        <v>0</v>
      </c>
      <c r="L2491" s="656">
        <v>0</v>
      </c>
    </row>
    <row r="2492" spans="1:12" ht="42" x14ac:dyDescent="0.25">
      <c r="A2492" s="651" t="s">
        <v>115</v>
      </c>
      <c r="B2492" s="652">
        <v>2021</v>
      </c>
      <c r="C2492" s="651" t="s">
        <v>721</v>
      </c>
      <c r="D2492" s="651" t="s">
        <v>2582</v>
      </c>
      <c r="E2492" s="651" t="s">
        <v>423</v>
      </c>
      <c r="F2492" s="653">
        <v>0</v>
      </c>
      <c r="G2492" s="651" t="s">
        <v>650</v>
      </c>
      <c r="H2492" s="654"/>
      <c r="I2492" s="653">
        <v>-3705.40991210938</v>
      </c>
      <c r="J2492" s="653">
        <v>560.21002197265602</v>
      </c>
      <c r="K2492" s="653">
        <v>-3145.19995117188</v>
      </c>
      <c r="L2492" s="656">
        <v>-3145.2</v>
      </c>
    </row>
    <row r="2493" spans="1:12" ht="42" x14ac:dyDescent="0.25">
      <c r="A2493" s="651" t="s">
        <v>115</v>
      </c>
      <c r="B2493" s="652">
        <v>2021</v>
      </c>
      <c r="C2493" s="651" t="s">
        <v>721</v>
      </c>
      <c r="D2493" s="651" t="s">
        <v>3285</v>
      </c>
      <c r="E2493" s="651" t="s">
        <v>441</v>
      </c>
      <c r="F2493" s="653">
        <v>0</v>
      </c>
      <c r="G2493" s="651" t="s">
        <v>650</v>
      </c>
      <c r="H2493" s="654"/>
      <c r="I2493" s="653">
        <v>-73022.328125</v>
      </c>
      <c r="J2493" s="653">
        <v>70513.1484375</v>
      </c>
      <c r="K2493" s="653">
        <v>-2509.17993164063</v>
      </c>
      <c r="L2493" s="656">
        <v>-2509.1800000000098</v>
      </c>
    </row>
    <row r="2494" spans="1:12" ht="42" x14ac:dyDescent="0.25">
      <c r="A2494" s="651" t="s">
        <v>115</v>
      </c>
      <c r="B2494" s="652">
        <v>2021</v>
      </c>
      <c r="C2494" s="651" t="s">
        <v>721</v>
      </c>
      <c r="D2494" s="651" t="s">
        <v>2583</v>
      </c>
      <c r="E2494" s="651" t="s">
        <v>737</v>
      </c>
      <c r="F2494" s="653">
        <v>-203228.6</v>
      </c>
      <c r="G2494" s="654"/>
      <c r="H2494" s="654"/>
      <c r="I2494" s="655"/>
      <c r="J2494" s="655"/>
      <c r="K2494" s="653">
        <v>0</v>
      </c>
      <c r="L2494" s="656">
        <v>-203228.6</v>
      </c>
    </row>
    <row r="2495" spans="1:12" ht="14.5" x14ac:dyDescent="0.25">
      <c r="A2495" s="651" t="s">
        <v>115</v>
      </c>
      <c r="B2495" s="652">
        <v>2021</v>
      </c>
      <c r="C2495" s="651" t="s">
        <v>738</v>
      </c>
      <c r="D2495" s="651" t="s">
        <v>2584</v>
      </c>
      <c r="E2495" s="651" t="s">
        <v>7</v>
      </c>
      <c r="F2495" s="653">
        <v>0</v>
      </c>
      <c r="G2495" s="654"/>
      <c r="H2495" s="651" t="s">
        <v>650</v>
      </c>
      <c r="I2495" s="655"/>
      <c r="J2495" s="655"/>
      <c r="K2495" s="653">
        <v>0</v>
      </c>
      <c r="L2495" s="656">
        <v>0</v>
      </c>
    </row>
    <row r="2496" spans="1:12" ht="21" x14ac:dyDescent="0.25">
      <c r="A2496" s="651" t="s">
        <v>3286</v>
      </c>
      <c r="B2496" s="652">
        <v>2021</v>
      </c>
      <c r="C2496" s="651" t="s">
        <v>647</v>
      </c>
      <c r="D2496" s="651" t="s">
        <v>3287</v>
      </c>
      <c r="E2496" s="651" t="s">
        <v>649</v>
      </c>
      <c r="F2496" s="653">
        <v>-1194821.6299999999</v>
      </c>
      <c r="G2496" s="654"/>
      <c r="H2496" s="651" t="s">
        <v>650</v>
      </c>
      <c r="I2496" s="655"/>
      <c r="J2496" s="655"/>
      <c r="K2496" s="653">
        <v>0</v>
      </c>
      <c r="L2496" s="656">
        <v>-1194821.6299999999</v>
      </c>
    </row>
    <row r="2497" spans="1:12" ht="14.5" x14ac:dyDescent="0.25">
      <c r="A2497" s="651" t="s">
        <v>3286</v>
      </c>
      <c r="B2497" s="652">
        <v>2021</v>
      </c>
      <c r="C2497" s="651" t="s">
        <v>651</v>
      </c>
      <c r="D2497" s="651" t="s">
        <v>3288</v>
      </c>
      <c r="E2497" s="651" t="s">
        <v>653</v>
      </c>
      <c r="F2497" s="653">
        <v>177850.8</v>
      </c>
      <c r="G2497" s="654"/>
      <c r="H2497" s="651" t="s">
        <v>650</v>
      </c>
      <c r="I2497" s="655"/>
      <c r="J2497" s="655"/>
      <c r="K2497" s="653">
        <v>0</v>
      </c>
      <c r="L2497" s="656">
        <v>177850.8</v>
      </c>
    </row>
    <row r="2498" spans="1:12" ht="42" x14ac:dyDescent="0.25">
      <c r="A2498" s="651" t="s">
        <v>3286</v>
      </c>
      <c r="B2498" s="652">
        <v>2021</v>
      </c>
      <c r="C2498" s="651" t="s">
        <v>654</v>
      </c>
      <c r="D2498" s="651" t="s">
        <v>3289</v>
      </c>
      <c r="E2498" s="651" t="s">
        <v>445</v>
      </c>
      <c r="F2498" s="653">
        <v>6884.48</v>
      </c>
      <c r="G2498" s="654"/>
      <c r="H2498" s="651" t="s">
        <v>650</v>
      </c>
      <c r="I2498" s="655"/>
      <c r="J2498" s="655"/>
      <c r="K2498" s="653">
        <v>0</v>
      </c>
      <c r="L2498" s="656">
        <v>6884.48</v>
      </c>
    </row>
    <row r="2499" spans="1:12" ht="21" x14ac:dyDescent="0.25">
      <c r="A2499" s="651" t="s">
        <v>3286</v>
      </c>
      <c r="B2499" s="652">
        <v>2021</v>
      </c>
      <c r="C2499" s="651" t="s">
        <v>656</v>
      </c>
      <c r="D2499" s="651" t="s">
        <v>3290</v>
      </c>
      <c r="E2499" s="651" t="s">
        <v>658</v>
      </c>
      <c r="F2499" s="653">
        <v>0</v>
      </c>
      <c r="G2499" s="654"/>
      <c r="H2499" s="651" t="s">
        <v>650</v>
      </c>
      <c r="I2499" s="655"/>
      <c r="J2499" s="655"/>
      <c r="K2499" s="653">
        <v>0</v>
      </c>
      <c r="L2499" s="656">
        <v>0</v>
      </c>
    </row>
    <row r="2500" spans="1:12" ht="31.5" x14ac:dyDescent="0.25">
      <c r="A2500" s="651" t="s">
        <v>3286</v>
      </c>
      <c r="B2500" s="652">
        <v>2021</v>
      </c>
      <c r="C2500" s="651" t="s">
        <v>659</v>
      </c>
      <c r="D2500" s="651" t="s">
        <v>3291</v>
      </c>
      <c r="E2500" s="651" t="s">
        <v>661</v>
      </c>
      <c r="F2500" s="653">
        <v>0</v>
      </c>
      <c r="G2500" s="654"/>
      <c r="H2500" s="651" t="s">
        <v>650</v>
      </c>
      <c r="I2500" s="655"/>
      <c r="J2500" s="655"/>
      <c r="K2500" s="653">
        <v>0</v>
      </c>
      <c r="L2500" s="656">
        <v>0</v>
      </c>
    </row>
    <row r="2501" spans="1:12" ht="21" x14ac:dyDescent="0.25">
      <c r="A2501" s="651" t="s">
        <v>3286</v>
      </c>
      <c r="B2501" s="652">
        <v>2021</v>
      </c>
      <c r="C2501" s="651" t="s">
        <v>662</v>
      </c>
      <c r="D2501" s="651" t="s">
        <v>3292</v>
      </c>
      <c r="E2501" s="651" t="s">
        <v>664</v>
      </c>
      <c r="F2501" s="653">
        <v>26483.71</v>
      </c>
      <c r="G2501" s="654"/>
      <c r="H2501" s="651" t="s">
        <v>650</v>
      </c>
      <c r="I2501" s="655"/>
      <c r="J2501" s="655"/>
      <c r="K2501" s="653">
        <v>0</v>
      </c>
      <c r="L2501" s="656">
        <v>26483.71</v>
      </c>
    </row>
    <row r="2502" spans="1:12" ht="31.5" x14ac:dyDescent="0.25">
      <c r="A2502" s="651" t="s">
        <v>3286</v>
      </c>
      <c r="B2502" s="652">
        <v>2021</v>
      </c>
      <c r="C2502" s="651" t="s">
        <v>665</v>
      </c>
      <c r="D2502" s="651" t="s">
        <v>3293</v>
      </c>
      <c r="E2502" s="651" t="s">
        <v>667</v>
      </c>
      <c r="F2502" s="653">
        <v>0</v>
      </c>
      <c r="G2502" s="654"/>
      <c r="H2502" s="651" t="s">
        <v>650</v>
      </c>
      <c r="I2502" s="655"/>
      <c r="J2502" s="655"/>
      <c r="K2502" s="653">
        <v>0</v>
      </c>
      <c r="L2502" s="656">
        <v>0</v>
      </c>
    </row>
    <row r="2503" spans="1:12" ht="21" x14ac:dyDescent="0.25">
      <c r="A2503" s="651" t="s">
        <v>3286</v>
      </c>
      <c r="B2503" s="652">
        <v>2021</v>
      </c>
      <c r="C2503" s="651" t="s">
        <v>668</v>
      </c>
      <c r="D2503" s="651" t="s">
        <v>3294</v>
      </c>
      <c r="E2503" s="651" t="s">
        <v>12</v>
      </c>
      <c r="F2503" s="653">
        <v>0</v>
      </c>
      <c r="G2503" s="654"/>
      <c r="H2503" s="651" t="s">
        <v>650</v>
      </c>
      <c r="I2503" s="655"/>
      <c r="J2503" s="655"/>
      <c r="K2503" s="653">
        <v>0</v>
      </c>
      <c r="L2503" s="656">
        <v>0</v>
      </c>
    </row>
    <row r="2504" spans="1:12" ht="21" x14ac:dyDescent="0.25">
      <c r="A2504" s="651" t="s">
        <v>3286</v>
      </c>
      <c r="B2504" s="652">
        <v>2021</v>
      </c>
      <c r="C2504" s="651" t="s">
        <v>670</v>
      </c>
      <c r="D2504" s="651" t="s">
        <v>3295</v>
      </c>
      <c r="E2504" s="651" t="s">
        <v>13</v>
      </c>
      <c r="F2504" s="653">
        <v>2134.41</v>
      </c>
      <c r="G2504" s="654"/>
      <c r="H2504" s="651" t="s">
        <v>650</v>
      </c>
      <c r="I2504" s="655"/>
      <c r="J2504" s="655"/>
      <c r="K2504" s="653">
        <v>0</v>
      </c>
      <c r="L2504" s="656">
        <v>2134.41</v>
      </c>
    </row>
    <row r="2505" spans="1:12" ht="21" x14ac:dyDescent="0.25">
      <c r="A2505" s="651" t="s">
        <v>3286</v>
      </c>
      <c r="B2505" s="652">
        <v>2021</v>
      </c>
      <c r="C2505" s="651" t="s">
        <v>672</v>
      </c>
      <c r="D2505" s="651" t="s">
        <v>3296</v>
      </c>
      <c r="E2505" s="651" t="s">
        <v>15</v>
      </c>
      <c r="F2505" s="653">
        <v>0</v>
      </c>
      <c r="G2505" s="654"/>
      <c r="H2505" s="651" t="s">
        <v>650</v>
      </c>
      <c r="I2505" s="655"/>
      <c r="J2505" s="655"/>
      <c r="K2505" s="653">
        <v>0</v>
      </c>
      <c r="L2505" s="656">
        <v>0</v>
      </c>
    </row>
    <row r="2506" spans="1:12" ht="14.5" x14ac:dyDescent="0.25">
      <c r="A2506" s="651" t="s">
        <v>3286</v>
      </c>
      <c r="B2506" s="652">
        <v>2021</v>
      </c>
      <c r="C2506" s="651" t="s">
        <v>674</v>
      </c>
      <c r="D2506" s="651" t="s">
        <v>3297</v>
      </c>
      <c r="E2506" s="651" t="s">
        <v>676</v>
      </c>
      <c r="F2506" s="653">
        <v>35335.879999999997</v>
      </c>
      <c r="G2506" s="654"/>
      <c r="H2506" s="651" t="s">
        <v>650</v>
      </c>
      <c r="I2506" s="655"/>
      <c r="J2506" s="655"/>
      <c r="K2506" s="653">
        <v>0</v>
      </c>
      <c r="L2506" s="656">
        <v>35335.879999999997</v>
      </c>
    </row>
    <row r="2507" spans="1:12" ht="14.5" x14ac:dyDescent="0.25">
      <c r="A2507" s="651" t="s">
        <v>3286</v>
      </c>
      <c r="B2507" s="652">
        <v>2021</v>
      </c>
      <c r="C2507" s="651" t="s">
        <v>677</v>
      </c>
      <c r="D2507" s="651" t="s">
        <v>3298</v>
      </c>
      <c r="E2507" s="651" t="s">
        <v>23</v>
      </c>
      <c r="F2507" s="653">
        <v>0</v>
      </c>
      <c r="G2507" s="651" t="s">
        <v>650</v>
      </c>
      <c r="H2507" s="654"/>
      <c r="I2507" s="653">
        <v>0</v>
      </c>
      <c r="J2507" s="653">
        <v>0</v>
      </c>
      <c r="K2507" s="653">
        <v>0</v>
      </c>
      <c r="L2507" s="656">
        <v>0</v>
      </c>
    </row>
    <row r="2508" spans="1:12" ht="31.5" x14ac:dyDescent="0.25">
      <c r="A2508" s="651" t="s">
        <v>3286</v>
      </c>
      <c r="B2508" s="652">
        <v>2021</v>
      </c>
      <c r="C2508" s="651" t="s">
        <v>679</v>
      </c>
      <c r="D2508" s="651" t="s">
        <v>3299</v>
      </c>
      <c r="E2508" s="651" t="s">
        <v>131</v>
      </c>
      <c r="F2508" s="653">
        <v>-7451.44</v>
      </c>
      <c r="G2508" s="651" t="s">
        <v>650</v>
      </c>
      <c r="H2508" s="654"/>
      <c r="I2508" s="653">
        <v>-7235.5400390625</v>
      </c>
      <c r="J2508" s="653">
        <v>-215.89999389648401</v>
      </c>
      <c r="K2508" s="653">
        <v>-7451.43994140625</v>
      </c>
      <c r="L2508" s="656">
        <v>-7451.44</v>
      </c>
    </row>
    <row r="2509" spans="1:12" ht="31.5" x14ac:dyDescent="0.25">
      <c r="A2509" s="651" t="s">
        <v>3286</v>
      </c>
      <c r="B2509" s="652">
        <v>2021</v>
      </c>
      <c r="C2509" s="651" t="s">
        <v>681</v>
      </c>
      <c r="D2509" s="651" t="s">
        <v>3300</v>
      </c>
      <c r="E2509" s="651" t="s">
        <v>683</v>
      </c>
      <c r="F2509" s="653">
        <v>-113373.92</v>
      </c>
      <c r="G2509" s="654"/>
      <c r="H2509" s="651" t="s">
        <v>650</v>
      </c>
      <c r="I2509" s="655"/>
      <c r="J2509" s="655"/>
      <c r="K2509" s="653">
        <v>0</v>
      </c>
      <c r="L2509" s="656">
        <v>-113373.92</v>
      </c>
    </row>
    <row r="2510" spans="1:12" ht="21" x14ac:dyDescent="0.25">
      <c r="A2510" s="651" t="s">
        <v>3286</v>
      </c>
      <c r="B2510" s="652">
        <v>2021</v>
      </c>
      <c r="C2510" s="651" t="s">
        <v>681</v>
      </c>
      <c r="D2510" s="651" t="s">
        <v>3300</v>
      </c>
      <c r="E2510" s="651" t="s">
        <v>684</v>
      </c>
      <c r="F2510" s="653">
        <v>-113373.92</v>
      </c>
      <c r="G2510" s="654"/>
      <c r="H2510" s="651" t="s">
        <v>650</v>
      </c>
      <c r="I2510" s="655"/>
      <c r="J2510" s="655"/>
      <c r="K2510" s="653">
        <v>0</v>
      </c>
      <c r="L2510" s="656">
        <v>-113373.92</v>
      </c>
    </row>
    <row r="2511" spans="1:12" ht="21" x14ac:dyDescent="0.25">
      <c r="A2511" s="651" t="s">
        <v>3286</v>
      </c>
      <c r="B2511" s="652">
        <v>2021</v>
      </c>
      <c r="C2511" s="651" t="s">
        <v>685</v>
      </c>
      <c r="D2511" s="651" t="s">
        <v>3301</v>
      </c>
      <c r="E2511" s="651" t="s">
        <v>687</v>
      </c>
      <c r="F2511" s="653">
        <v>0</v>
      </c>
      <c r="G2511" s="654"/>
      <c r="H2511" s="651" t="s">
        <v>650</v>
      </c>
      <c r="I2511" s="655"/>
      <c r="J2511" s="655"/>
      <c r="K2511" s="653">
        <v>0</v>
      </c>
      <c r="L2511" s="656">
        <v>0</v>
      </c>
    </row>
    <row r="2512" spans="1:12" ht="14.5" x14ac:dyDescent="0.25">
      <c r="A2512" s="651" t="s">
        <v>3286</v>
      </c>
      <c r="B2512" s="652">
        <v>2021</v>
      </c>
      <c r="C2512" s="651" t="s">
        <v>688</v>
      </c>
      <c r="D2512" s="651" t="s">
        <v>3302</v>
      </c>
      <c r="E2512" s="651" t="s">
        <v>50</v>
      </c>
      <c r="F2512" s="653">
        <v>221553.69</v>
      </c>
      <c r="G2512" s="654"/>
      <c r="H2512" s="651" t="s">
        <v>650</v>
      </c>
      <c r="I2512" s="655"/>
      <c r="J2512" s="655"/>
      <c r="K2512" s="653">
        <v>0</v>
      </c>
      <c r="L2512" s="656">
        <v>221553.69</v>
      </c>
    </row>
    <row r="2513" spans="1:12" ht="21" x14ac:dyDescent="0.25">
      <c r="A2513" s="651" t="s">
        <v>3286</v>
      </c>
      <c r="B2513" s="652">
        <v>2021</v>
      </c>
      <c r="C2513" s="651" t="s">
        <v>690</v>
      </c>
      <c r="D2513" s="651" t="s">
        <v>3303</v>
      </c>
      <c r="E2513" s="651" t="s">
        <v>692</v>
      </c>
      <c r="F2513" s="653">
        <v>0</v>
      </c>
      <c r="G2513" s="654"/>
      <c r="H2513" s="651" t="s">
        <v>650</v>
      </c>
      <c r="I2513" s="655"/>
      <c r="J2513" s="655"/>
      <c r="K2513" s="653">
        <v>0</v>
      </c>
      <c r="L2513" s="656">
        <v>0</v>
      </c>
    </row>
    <row r="2514" spans="1:12" ht="21" x14ac:dyDescent="0.25">
      <c r="A2514" s="651" t="s">
        <v>3286</v>
      </c>
      <c r="B2514" s="652">
        <v>2021</v>
      </c>
      <c r="C2514" s="651" t="s">
        <v>693</v>
      </c>
      <c r="D2514" s="651" t="s">
        <v>3304</v>
      </c>
      <c r="E2514" s="651" t="s">
        <v>6</v>
      </c>
      <c r="F2514" s="653">
        <v>0</v>
      </c>
      <c r="G2514" s="654"/>
      <c r="H2514" s="651" t="s">
        <v>650</v>
      </c>
      <c r="I2514" s="655"/>
      <c r="J2514" s="655"/>
      <c r="K2514" s="653">
        <v>0</v>
      </c>
      <c r="L2514" s="656">
        <v>0</v>
      </c>
    </row>
    <row r="2515" spans="1:12" ht="31.5" x14ac:dyDescent="0.25">
      <c r="A2515" s="651" t="s">
        <v>3286</v>
      </c>
      <c r="B2515" s="652">
        <v>2021</v>
      </c>
      <c r="C2515" s="651" t="s">
        <v>695</v>
      </c>
      <c r="D2515" s="651" t="s">
        <v>3305</v>
      </c>
      <c r="E2515" s="651" t="s">
        <v>697</v>
      </c>
      <c r="F2515" s="653">
        <v>-9763.5300000000007</v>
      </c>
      <c r="G2515" s="654"/>
      <c r="H2515" s="651" t="s">
        <v>650</v>
      </c>
      <c r="I2515" s="655"/>
      <c r="J2515" s="655"/>
      <c r="K2515" s="653">
        <v>0</v>
      </c>
      <c r="L2515" s="656">
        <v>-9763.5300000000007</v>
      </c>
    </row>
    <row r="2516" spans="1:12" ht="21" x14ac:dyDescent="0.25">
      <c r="A2516" s="651" t="s">
        <v>3286</v>
      </c>
      <c r="B2516" s="652">
        <v>2021</v>
      </c>
      <c r="C2516" s="651" t="s">
        <v>698</v>
      </c>
      <c r="D2516" s="651" t="s">
        <v>3306</v>
      </c>
      <c r="E2516" s="651" t="s">
        <v>700</v>
      </c>
      <c r="F2516" s="653">
        <v>0</v>
      </c>
      <c r="G2516" s="654"/>
      <c r="H2516" s="651" t="s">
        <v>650</v>
      </c>
      <c r="I2516" s="655"/>
      <c r="J2516" s="655"/>
      <c r="K2516" s="653">
        <v>0</v>
      </c>
      <c r="L2516" s="656">
        <v>0</v>
      </c>
    </row>
    <row r="2517" spans="1:12" ht="21" x14ac:dyDescent="0.25">
      <c r="A2517" s="651" t="s">
        <v>3286</v>
      </c>
      <c r="B2517" s="652">
        <v>2021</v>
      </c>
      <c r="C2517" s="651" t="s">
        <v>701</v>
      </c>
      <c r="D2517" s="651" t="s">
        <v>3307</v>
      </c>
      <c r="E2517" s="651" t="s">
        <v>1</v>
      </c>
      <c r="F2517" s="653">
        <v>-1014488.67</v>
      </c>
      <c r="G2517" s="651" t="s">
        <v>650</v>
      </c>
      <c r="H2517" s="654"/>
      <c r="I2517" s="653">
        <v>-998834.625</v>
      </c>
      <c r="J2517" s="653">
        <v>-15654.01953125</v>
      </c>
      <c r="K2517" s="653">
        <v>-1014488.6875</v>
      </c>
      <c r="L2517" s="656">
        <v>-1014488.67</v>
      </c>
    </row>
    <row r="2518" spans="1:12" ht="21" x14ac:dyDescent="0.25">
      <c r="A2518" s="651" t="s">
        <v>3286</v>
      </c>
      <c r="B2518" s="652">
        <v>2021</v>
      </c>
      <c r="C2518" s="651" t="s">
        <v>701</v>
      </c>
      <c r="D2518" s="651" t="s">
        <v>3307</v>
      </c>
      <c r="E2518" s="651" t="s">
        <v>703</v>
      </c>
      <c r="F2518" s="653">
        <v>0</v>
      </c>
      <c r="G2518" s="654"/>
      <c r="H2518" s="654"/>
      <c r="I2518" s="655"/>
      <c r="J2518" s="655"/>
      <c r="K2518" s="653">
        <v>0</v>
      </c>
      <c r="L2518" s="656">
        <v>0</v>
      </c>
    </row>
    <row r="2519" spans="1:12" ht="21" x14ac:dyDescent="0.25">
      <c r="A2519" s="651" t="s">
        <v>3286</v>
      </c>
      <c r="B2519" s="652">
        <v>2021</v>
      </c>
      <c r="C2519" s="651" t="s">
        <v>701</v>
      </c>
      <c r="D2519" s="651" t="s">
        <v>3307</v>
      </c>
      <c r="E2519" s="651" t="s">
        <v>704</v>
      </c>
      <c r="F2519" s="653">
        <v>0</v>
      </c>
      <c r="G2519" s="654"/>
      <c r="H2519" s="654"/>
      <c r="I2519" s="655"/>
      <c r="J2519" s="655"/>
      <c r="K2519" s="653">
        <v>0</v>
      </c>
      <c r="L2519" s="656">
        <v>0</v>
      </c>
    </row>
    <row r="2520" spans="1:12" ht="21" x14ac:dyDescent="0.25">
      <c r="A2520" s="651" t="s">
        <v>3286</v>
      </c>
      <c r="B2520" s="652">
        <v>2021</v>
      </c>
      <c r="C2520" s="651" t="s">
        <v>701</v>
      </c>
      <c r="D2520" s="651" t="s">
        <v>3307</v>
      </c>
      <c r="E2520" s="651" t="s">
        <v>705</v>
      </c>
      <c r="F2520" s="653">
        <v>-2449.39</v>
      </c>
      <c r="G2520" s="654"/>
      <c r="H2520" s="654"/>
      <c r="I2520" s="655"/>
      <c r="J2520" s="655"/>
      <c r="K2520" s="653">
        <v>0</v>
      </c>
      <c r="L2520" s="656">
        <v>-2449.39</v>
      </c>
    </row>
    <row r="2521" spans="1:12" ht="21" x14ac:dyDescent="0.25">
      <c r="A2521" s="651" t="s">
        <v>3286</v>
      </c>
      <c r="B2521" s="652">
        <v>2021</v>
      </c>
      <c r="C2521" s="651" t="s">
        <v>701</v>
      </c>
      <c r="D2521" s="651" t="s">
        <v>3307</v>
      </c>
      <c r="E2521" s="651" t="s">
        <v>706</v>
      </c>
      <c r="F2521" s="653">
        <v>-114053.25</v>
      </c>
      <c r="G2521" s="654"/>
      <c r="H2521" s="654"/>
      <c r="I2521" s="655"/>
      <c r="J2521" s="655"/>
      <c r="K2521" s="653">
        <v>0</v>
      </c>
      <c r="L2521" s="656">
        <v>-114053.25</v>
      </c>
    </row>
    <row r="2522" spans="1:12" ht="14.5" x14ac:dyDescent="0.25">
      <c r="A2522" s="651" t="s">
        <v>3286</v>
      </c>
      <c r="B2522" s="652">
        <v>2021</v>
      </c>
      <c r="C2522" s="651" t="s">
        <v>707</v>
      </c>
      <c r="D2522" s="651" t="s">
        <v>3308</v>
      </c>
      <c r="E2522" s="651" t="s">
        <v>709</v>
      </c>
      <c r="F2522" s="653">
        <v>0</v>
      </c>
      <c r="G2522" s="654"/>
      <c r="H2522" s="651" t="s">
        <v>650</v>
      </c>
      <c r="I2522" s="655"/>
      <c r="J2522" s="655"/>
      <c r="K2522" s="653">
        <v>0</v>
      </c>
      <c r="L2522" s="656">
        <v>0</v>
      </c>
    </row>
    <row r="2523" spans="1:12" ht="31.5" x14ac:dyDescent="0.25">
      <c r="A2523" s="651" t="s">
        <v>3286</v>
      </c>
      <c r="B2523" s="652">
        <v>2021</v>
      </c>
      <c r="C2523" s="651" t="s">
        <v>710</v>
      </c>
      <c r="D2523" s="651" t="s">
        <v>3309</v>
      </c>
      <c r="E2523" s="651" t="s">
        <v>2</v>
      </c>
      <c r="F2523" s="653">
        <v>358708.28</v>
      </c>
      <c r="G2523" s="651" t="s">
        <v>650</v>
      </c>
      <c r="H2523" s="654"/>
      <c r="I2523" s="653">
        <v>352717.59375</v>
      </c>
      <c r="J2523" s="653">
        <v>5990.7001953125</v>
      </c>
      <c r="K2523" s="653">
        <v>358708.28125</v>
      </c>
      <c r="L2523" s="656">
        <v>358708.28</v>
      </c>
    </row>
    <row r="2524" spans="1:12" ht="31.5" x14ac:dyDescent="0.25">
      <c r="A2524" s="651" t="s">
        <v>3286</v>
      </c>
      <c r="B2524" s="652">
        <v>2021</v>
      </c>
      <c r="C2524" s="651" t="s">
        <v>712</v>
      </c>
      <c r="D2524" s="651" t="s">
        <v>3310</v>
      </c>
      <c r="E2524" s="651" t="s">
        <v>3</v>
      </c>
      <c r="F2524" s="653">
        <v>98496.89</v>
      </c>
      <c r="G2524" s="651" t="s">
        <v>650</v>
      </c>
      <c r="H2524" s="654"/>
      <c r="I2524" s="653">
        <v>96021.609375</v>
      </c>
      <c r="J2524" s="653">
        <v>2475.28002929688</v>
      </c>
      <c r="K2524" s="653">
        <v>98496.890625</v>
      </c>
      <c r="L2524" s="656">
        <v>98496.89</v>
      </c>
    </row>
    <row r="2525" spans="1:12" ht="31.5" x14ac:dyDescent="0.25">
      <c r="A2525" s="651" t="s">
        <v>3286</v>
      </c>
      <c r="B2525" s="652">
        <v>2021</v>
      </c>
      <c r="C2525" s="651" t="s">
        <v>714</v>
      </c>
      <c r="D2525" s="651" t="s">
        <v>3311</v>
      </c>
      <c r="E2525" s="651" t="s">
        <v>38</v>
      </c>
      <c r="F2525" s="653">
        <v>-164784.79</v>
      </c>
      <c r="G2525" s="651" t="s">
        <v>650</v>
      </c>
      <c r="H2525" s="654"/>
      <c r="I2525" s="653">
        <v>-150761.15625</v>
      </c>
      <c r="J2525" s="653">
        <v>-14023.6298828125</v>
      </c>
      <c r="K2525" s="653">
        <v>-164784.796875</v>
      </c>
      <c r="L2525" s="656">
        <v>-164784.79</v>
      </c>
    </row>
    <row r="2526" spans="1:12" ht="21" x14ac:dyDescent="0.25">
      <c r="A2526" s="651" t="s">
        <v>3286</v>
      </c>
      <c r="B2526" s="652">
        <v>2021</v>
      </c>
      <c r="C2526" s="651" t="s">
        <v>716</v>
      </c>
      <c r="D2526" s="651" t="s">
        <v>3312</v>
      </c>
      <c r="E2526" s="651" t="s">
        <v>66</v>
      </c>
      <c r="F2526" s="653">
        <v>1126692.1100000001</v>
      </c>
      <c r="G2526" s="651" t="s">
        <v>650</v>
      </c>
      <c r="H2526" s="654"/>
      <c r="I2526" s="653">
        <v>1085512.125</v>
      </c>
      <c r="J2526" s="653">
        <v>41180</v>
      </c>
      <c r="K2526" s="653">
        <v>1126692.125</v>
      </c>
      <c r="L2526" s="656">
        <v>1126692.1100000001</v>
      </c>
    </row>
    <row r="2527" spans="1:12" ht="31.5" x14ac:dyDescent="0.25">
      <c r="A2527" s="651" t="s">
        <v>3286</v>
      </c>
      <c r="B2527" s="652">
        <v>2021</v>
      </c>
      <c r="C2527" s="651" t="s">
        <v>718</v>
      </c>
      <c r="D2527" s="651" t="s">
        <v>3313</v>
      </c>
      <c r="E2527" s="651" t="s">
        <v>720</v>
      </c>
      <c r="F2527" s="653">
        <v>-6354.88</v>
      </c>
      <c r="G2527" s="654"/>
      <c r="H2527" s="651" t="s">
        <v>650</v>
      </c>
      <c r="I2527" s="655"/>
      <c r="J2527" s="655"/>
      <c r="K2527" s="653">
        <v>0</v>
      </c>
      <c r="L2527" s="656">
        <v>-6354.88</v>
      </c>
    </row>
    <row r="2528" spans="1:12" ht="42" x14ac:dyDescent="0.25">
      <c r="A2528" s="651" t="s">
        <v>3286</v>
      </c>
      <c r="B2528" s="652">
        <v>2021</v>
      </c>
      <c r="C2528" s="651" t="s">
        <v>721</v>
      </c>
      <c r="D2528" s="651" t="s">
        <v>3314</v>
      </c>
      <c r="E2528" s="651" t="s">
        <v>3016</v>
      </c>
      <c r="F2528" s="653">
        <v>0</v>
      </c>
      <c r="G2528" s="651" t="s">
        <v>650</v>
      </c>
      <c r="H2528" s="654"/>
      <c r="I2528" s="653">
        <v>382488.71875</v>
      </c>
      <c r="J2528" s="653">
        <v>-444223.03125</v>
      </c>
      <c r="K2528" s="653">
        <v>-61734.30859375</v>
      </c>
      <c r="L2528" s="656">
        <v>-61734.31</v>
      </c>
    </row>
    <row r="2529" spans="1:12" ht="42" x14ac:dyDescent="0.25">
      <c r="A2529" s="651" t="s">
        <v>3286</v>
      </c>
      <c r="B2529" s="652">
        <v>2021</v>
      </c>
      <c r="C2529" s="651" t="s">
        <v>721</v>
      </c>
      <c r="D2529" s="651" t="s">
        <v>3314</v>
      </c>
      <c r="E2529" s="651" t="s">
        <v>3058</v>
      </c>
      <c r="F2529" s="653">
        <v>0</v>
      </c>
      <c r="G2529" s="651" t="s">
        <v>650</v>
      </c>
      <c r="H2529" s="654"/>
      <c r="I2529" s="653">
        <v>88097.3515625</v>
      </c>
      <c r="J2529" s="653">
        <v>2963.93994140625</v>
      </c>
      <c r="K2529" s="653">
        <v>91061.2890625</v>
      </c>
      <c r="L2529" s="656">
        <v>91061.29</v>
      </c>
    </row>
    <row r="2530" spans="1:12" ht="42" x14ac:dyDescent="0.25">
      <c r="A2530" s="651" t="s">
        <v>3286</v>
      </c>
      <c r="B2530" s="652">
        <v>2021</v>
      </c>
      <c r="C2530" s="651" t="s">
        <v>721</v>
      </c>
      <c r="D2530" s="651" t="s">
        <v>3315</v>
      </c>
      <c r="E2530" s="651" t="s">
        <v>724</v>
      </c>
      <c r="F2530" s="653">
        <v>0</v>
      </c>
      <c r="G2530" s="651" t="s">
        <v>650</v>
      </c>
      <c r="H2530" s="654"/>
      <c r="I2530" s="655"/>
      <c r="J2530" s="655"/>
      <c r="K2530" s="653">
        <v>0</v>
      </c>
      <c r="L2530" s="656">
        <v>0</v>
      </c>
    </row>
    <row r="2531" spans="1:12" ht="42" x14ac:dyDescent="0.25">
      <c r="A2531" s="651" t="s">
        <v>3286</v>
      </c>
      <c r="B2531" s="652">
        <v>2021</v>
      </c>
      <c r="C2531" s="651" t="s">
        <v>721</v>
      </c>
      <c r="D2531" s="651" t="s">
        <v>3316</v>
      </c>
      <c r="E2531" s="651" t="s">
        <v>55</v>
      </c>
      <c r="F2531" s="653">
        <v>0</v>
      </c>
      <c r="G2531" s="651" t="s">
        <v>650</v>
      </c>
      <c r="H2531" s="654"/>
      <c r="I2531" s="655"/>
      <c r="J2531" s="655"/>
      <c r="K2531" s="653">
        <v>0</v>
      </c>
      <c r="L2531" s="656">
        <v>0</v>
      </c>
    </row>
    <row r="2532" spans="1:12" ht="42" x14ac:dyDescent="0.25">
      <c r="A2532" s="651" t="s">
        <v>3286</v>
      </c>
      <c r="B2532" s="652">
        <v>2021</v>
      </c>
      <c r="C2532" s="651" t="s">
        <v>721</v>
      </c>
      <c r="D2532" s="651" t="s">
        <v>3317</v>
      </c>
      <c r="E2532" s="651" t="s">
        <v>56</v>
      </c>
      <c r="F2532" s="653">
        <v>0</v>
      </c>
      <c r="G2532" s="651" t="s">
        <v>650</v>
      </c>
      <c r="H2532" s="654"/>
      <c r="I2532" s="655"/>
      <c r="J2532" s="655"/>
      <c r="K2532" s="653">
        <v>0</v>
      </c>
      <c r="L2532" s="656">
        <v>0</v>
      </c>
    </row>
    <row r="2533" spans="1:12" ht="42" x14ac:dyDescent="0.25">
      <c r="A2533" s="651" t="s">
        <v>3286</v>
      </c>
      <c r="B2533" s="652">
        <v>2021</v>
      </c>
      <c r="C2533" s="651" t="s">
        <v>721</v>
      </c>
      <c r="D2533" s="651" t="s">
        <v>3318</v>
      </c>
      <c r="E2533" s="651" t="s">
        <v>728</v>
      </c>
      <c r="F2533" s="653">
        <v>0</v>
      </c>
      <c r="G2533" s="651" t="s">
        <v>650</v>
      </c>
      <c r="H2533" s="654"/>
      <c r="I2533" s="655"/>
      <c r="J2533" s="655"/>
      <c r="K2533" s="653">
        <v>0</v>
      </c>
      <c r="L2533" s="656">
        <v>0</v>
      </c>
    </row>
    <row r="2534" spans="1:12" ht="42" x14ac:dyDescent="0.25">
      <c r="A2534" s="651" t="s">
        <v>3286</v>
      </c>
      <c r="B2534" s="652">
        <v>2021</v>
      </c>
      <c r="C2534" s="651" t="s">
        <v>721</v>
      </c>
      <c r="D2534" s="651" t="s">
        <v>3319</v>
      </c>
      <c r="E2534" s="651" t="s">
        <v>730</v>
      </c>
      <c r="F2534" s="653">
        <v>0</v>
      </c>
      <c r="G2534" s="651" t="s">
        <v>650</v>
      </c>
      <c r="H2534" s="654"/>
      <c r="I2534" s="655"/>
      <c r="J2534" s="655"/>
      <c r="K2534" s="653">
        <v>0</v>
      </c>
      <c r="L2534" s="656">
        <v>0</v>
      </c>
    </row>
    <row r="2535" spans="1:12" ht="42" x14ac:dyDescent="0.25">
      <c r="A2535" s="651" t="s">
        <v>3286</v>
      </c>
      <c r="B2535" s="652">
        <v>2021</v>
      </c>
      <c r="C2535" s="651" t="s">
        <v>721</v>
      </c>
      <c r="D2535" s="651" t="s">
        <v>3320</v>
      </c>
      <c r="E2535" s="651" t="s">
        <v>142</v>
      </c>
      <c r="F2535" s="653">
        <v>0</v>
      </c>
      <c r="G2535" s="651" t="s">
        <v>650</v>
      </c>
      <c r="H2535" s="654"/>
      <c r="I2535" s="655"/>
      <c r="J2535" s="655"/>
      <c r="K2535" s="653">
        <v>0</v>
      </c>
      <c r="L2535" s="656">
        <v>0</v>
      </c>
    </row>
    <row r="2536" spans="1:12" ht="42" x14ac:dyDescent="0.25">
      <c r="A2536" s="651" t="s">
        <v>3286</v>
      </c>
      <c r="B2536" s="652">
        <v>2021</v>
      </c>
      <c r="C2536" s="651" t="s">
        <v>721</v>
      </c>
      <c r="D2536" s="651" t="s">
        <v>3321</v>
      </c>
      <c r="E2536" s="651" t="s">
        <v>143</v>
      </c>
      <c r="F2536" s="653">
        <v>0</v>
      </c>
      <c r="G2536" s="651" t="s">
        <v>650</v>
      </c>
      <c r="H2536" s="654"/>
      <c r="I2536" s="655"/>
      <c r="J2536" s="655"/>
      <c r="K2536" s="653">
        <v>0</v>
      </c>
      <c r="L2536" s="656">
        <v>0</v>
      </c>
    </row>
    <row r="2537" spans="1:12" ht="42" x14ac:dyDescent="0.25">
      <c r="A2537" s="651" t="s">
        <v>3286</v>
      </c>
      <c r="B2537" s="652">
        <v>2021</v>
      </c>
      <c r="C2537" s="651" t="s">
        <v>721</v>
      </c>
      <c r="D2537" s="651" t="s">
        <v>3322</v>
      </c>
      <c r="E2537" s="651" t="s">
        <v>182</v>
      </c>
      <c r="F2537" s="653">
        <v>0</v>
      </c>
      <c r="G2537" s="651" t="s">
        <v>650</v>
      </c>
      <c r="H2537" s="654"/>
      <c r="I2537" s="655"/>
      <c r="J2537" s="653">
        <v>-1368.06994628906</v>
      </c>
      <c r="K2537" s="653">
        <v>-1368.06994628906</v>
      </c>
      <c r="L2537" s="656">
        <v>-1368.07</v>
      </c>
    </row>
    <row r="2538" spans="1:12" ht="42" x14ac:dyDescent="0.25">
      <c r="A2538" s="651" t="s">
        <v>3286</v>
      </c>
      <c r="B2538" s="652">
        <v>2021</v>
      </c>
      <c r="C2538" s="651" t="s">
        <v>721</v>
      </c>
      <c r="D2538" s="651" t="s">
        <v>3323</v>
      </c>
      <c r="E2538" s="651" t="s">
        <v>394</v>
      </c>
      <c r="F2538" s="653">
        <v>0</v>
      </c>
      <c r="G2538" s="651" t="s">
        <v>650</v>
      </c>
      <c r="H2538" s="654"/>
      <c r="I2538" s="653">
        <v>47.259998321533203</v>
      </c>
      <c r="J2538" s="653">
        <v>-2552.93994140625</v>
      </c>
      <c r="K2538" s="653">
        <v>-2505.67993164063</v>
      </c>
      <c r="L2538" s="656">
        <v>-2505.6799999999998</v>
      </c>
    </row>
    <row r="2539" spans="1:12" ht="42" x14ac:dyDescent="0.25">
      <c r="A2539" s="651" t="s">
        <v>3286</v>
      </c>
      <c r="B2539" s="652">
        <v>2021</v>
      </c>
      <c r="C2539" s="651" t="s">
        <v>721</v>
      </c>
      <c r="D2539" s="651" t="s">
        <v>3324</v>
      </c>
      <c r="E2539" s="651" t="s">
        <v>423</v>
      </c>
      <c r="F2539" s="653">
        <v>0</v>
      </c>
      <c r="G2539" s="651" t="s">
        <v>650</v>
      </c>
      <c r="H2539" s="654"/>
      <c r="I2539" s="653">
        <v>175994.0625</v>
      </c>
      <c r="J2539" s="653">
        <v>-37681.19140625</v>
      </c>
      <c r="K2539" s="653">
        <v>138312.875</v>
      </c>
      <c r="L2539" s="656">
        <v>138312.87</v>
      </c>
    </row>
    <row r="2540" spans="1:12" ht="42" x14ac:dyDescent="0.25">
      <c r="A2540" s="651" t="s">
        <v>3286</v>
      </c>
      <c r="B2540" s="652">
        <v>2021</v>
      </c>
      <c r="C2540" s="651" t="s">
        <v>721</v>
      </c>
      <c r="D2540" s="651" t="s">
        <v>3325</v>
      </c>
      <c r="E2540" s="651" t="s">
        <v>441</v>
      </c>
      <c r="F2540" s="653">
        <v>0</v>
      </c>
      <c r="G2540" s="651" t="s">
        <v>650</v>
      </c>
      <c r="H2540" s="654"/>
      <c r="I2540" s="653">
        <v>150700.03125</v>
      </c>
      <c r="J2540" s="653">
        <v>-146619.546875</v>
      </c>
      <c r="K2540" s="653">
        <v>4080.48999023438</v>
      </c>
      <c r="L2540" s="656">
        <v>4080.4899999999898</v>
      </c>
    </row>
    <row r="2541" spans="1:12" ht="42" x14ac:dyDescent="0.25">
      <c r="A2541" s="651" t="s">
        <v>3286</v>
      </c>
      <c r="B2541" s="652">
        <v>2021</v>
      </c>
      <c r="C2541" s="651" t="s">
        <v>721</v>
      </c>
      <c r="D2541" s="651" t="s">
        <v>3326</v>
      </c>
      <c r="E2541" s="651" t="s">
        <v>737</v>
      </c>
      <c r="F2541" s="653">
        <v>167846.59</v>
      </c>
      <c r="G2541" s="654"/>
      <c r="H2541" s="654"/>
      <c r="I2541" s="655"/>
      <c r="J2541" s="655"/>
      <c r="K2541" s="653">
        <v>0</v>
      </c>
      <c r="L2541" s="656">
        <v>167846.59</v>
      </c>
    </row>
    <row r="2542" spans="1:12" ht="14.5" x14ac:dyDescent="0.25">
      <c r="A2542" s="651" t="s">
        <v>3286</v>
      </c>
      <c r="B2542" s="652">
        <v>2021</v>
      </c>
      <c r="C2542" s="651" t="s">
        <v>738</v>
      </c>
      <c r="D2542" s="651" t="s">
        <v>3327</v>
      </c>
      <c r="E2542" s="651" t="s">
        <v>7</v>
      </c>
      <c r="F2542" s="653">
        <v>0</v>
      </c>
      <c r="G2542" s="654"/>
      <c r="H2542" s="651" t="s">
        <v>650</v>
      </c>
      <c r="I2542" s="655"/>
      <c r="J2542" s="655"/>
      <c r="K2542" s="653">
        <v>0</v>
      </c>
      <c r="L2542" s="656">
        <v>0</v>
      </c>
    </row>
    <row r="2543" spans="1:12" ht="21" x14ac:dyDescent="0.25">
      <c r="A2543" s="651" t="s">
        <v>116</v>
      </c>
      <c r="B2543" s="652">
        <v>2021</v>
      </c>
      <c r="C2543" s="651" t="s">
        <v>647</v>
      </c>
      <c r="D2543" s="651" t="s">
        <v>2585</v>
      </c>
      <c r="E2543" s="651" t="s">
        <v>649</v>
      </c>
      <c r="F2543" s="653">
        <v>0</v>
      </c>
      <c r="G2543" s="654"/>
      <c r="H2543" s="651" t="s">
        <v>650</v>
      </c>
      <c r="I2543" s="655"/>
      <c r="J2543" s="655"/>
      <c r="K2543" s="653">
        <v>0</v>
      </c>
      <c r="L2543" s="656">
        <v>0</v>
      </c>
    </row>
    <row r="2544" spans="1:12" ht="14.5" x14ac:dyDescent="0.25">
      <c r="A2544" s="651" t="s">
        <v>116</v>
      </c>
      <c r="B2544" s="652">
        <v>2021</v>
      </c>
      <c r="C2544" s="651" t="s">
        <v>651</v>
      </c>
      <c r="D2544" s="651" t="s">
        <v>2586</v>
      </c>
      <c r="E2544" s="651" t="s">
        <v>653</v>
      </c>
      <c r="F2544" s="653">
        <v>0</v>
      </c>
      <c r="G2544" s="654"/>
      <c r="H2544" s="651" t="s">
        <v>650</v>
      </c>
      <c r="I2544" s="655"/>
      <c r="J2544" s="655"/>
      <c r="K2544" s="653">
        <v>0</v>
      </c>
      <c r="L2544" s="656">
        <v>0</v>
      </c>
    </row>
    <row r="2545" spans="1:12" ht="42" x14ac:dyDescent="0.25">
      <c r="A2545" s="651" t="s">
        <v>116</v>
      </c>
      <c r="B2545" s="652">
        <v>2021</v>
      </c>
      <c r="C2545" s="651" t="s">
        <v>654</v>
      </c>
      <c r="D2545" s="651" t="s">
        <v>2587</v>
      </c>
      <c r="E2545" s="651" t="s">
        <v>445</v>
      </c>
      <c r="F2545" s="653">
        <v>0</v>
      </c>
      <c r="G2545" s="654"/>
      <c r="H2545" s="651" t="s">
        <v>650</v>
      </c>
      <c r="I2545" s="655"/>
      <c r="J2545" s="655"/>
      <c r="K2545" s="653">
        <v>0</v>
      </c>
      <c r="L2545" s="656">
        <v>0</v>
      </c>
    </row>
    <row r="2546" spans="1:12" ht="21" x14ac:dyDescent="0.25">
      <c r="A2546" s="651" t="s">
        <v>116</v>
      </c>
      <c r="B2546" s="652">
        <v>2021</v>
      </c>
      <c r="C2546" s="651" t="s">
        <v>656</v>
      </c>
      <c r="D2546" s="651" t="s">
        <v>2588</v>
      </c>
      <c r="E2546" s="651" t="s">
        <v>658</v>
      </c>
      <c r="F2546" s="653">
        <v>0</v>
      </c>
      <c r="G2546" s="654"/>
      <c r="H2546" s="651" t="s">
        <v>650</v>
      </c>
      <c r="I2546" s="655"/>
      <c r="J2546" s="655"/>
      <c r="K2546" s="653">
        <v>0</v>
      </c>
      <c r="L2546" s="656">
        <v>0</v>
      </c>
    </row>
    <row r="2547" spans="1:12" ht="31.5" x14ac:dyDescent="0.25">
      <c r="A2547" s="651" t="s">
        <v>116</v>
      </c>
      <c r="B2547" s="652">
        <v>2021</v>
      </c>
      <c r="C2547" s="651" t="s">
        <v>659</v>
      </c>
      <c r="D2547" s="651" t="s">
        <v>2589</v>
      </c>
      <c r="E2547" s="651" t="s">
        <v>661</v>
      </c>
      <c r="F2547" s="653">
        <v>0</v>
      </c>
      <c r="G2547" s="654"/>
      <c r="H2547" s="651" t="s">
        <v>650</v>
      </c>
      <c r="I2547" s="655"/>
      <c r="J2547" s="655"/>
      <c r="K2547" s="653">
        <v>0</v>
      </c>
      <c r="L2547" s="656">
        <v>0</v>
      </c>
    </row>
    <row r="2548" spans="1:12" ht="21" x14ac:dyDescent="0.25">
      <c r="A2548" s="651" t="s">
        <v>116</v>
      </c>
      <c r="B2548" s="652">
        <v>2021</v>
      </c>
      <c r="C2548" s="651" t="s">
        <v>662</v>
      </c>
      <c r="D2548" s="651" t="s">
        <v>2590</v>
      </c>
      <c r="E2548" s="651" t="s">
        <v>664</v>
      </c>
      <c r="F2548" s="653">
        <v>0</v>
      </c>
      <c r="G2548" s="654"/>
      <c r="H2548" s="651" t="s">
        <v>650</v>
      </c>
      <c r="I2548" s="655"/>
      <c r="J2548" s="655"/>
      <c r="K2548" s="653">
        <v>0</v>
      </c>
      <c r="L2548" s="656">
        <v>0</v>
      </c>
    </row>
    <row r="2549" spans="1:12" ht="31.5" x14ac:dyDescent="0.25">
      <c r="A2549" s="651" t="s">
        <v>116</v>
      </c>
      <c r="B2549" s="652">
        <v>2021</v>
      </c>
      <c r="C2549" s="651" t="s">
        <v>665</v>
      </c>
      <c r="D2549" s="651" t="s">
        <v>2591</v>
      </c>
      <c r="E2549" s="651" t="s">
        <v>667</v>
      </c>
      <c r="F2549" s="653">
        <v>0</v>
      </c>
      <c r="G2549" s="654"/>
      <c r="H2549" s="651" t="s">
        <v>650</v>
      </c>
      <c r="I2549" s="655"/>
      <c r="J2549" s="655"/>
      <c r="K2549" s="653">
        <v>0</v>
      </c>
      <c r="L2549" s="656">
        <v>0</v>
      </c>
    </row>
    <row r="2550" spans="1:12" ht="21" x14ac:dyDescent="0.25">
      <c r="A2550" s="651" t="s">
        <v>116</v>
      </c>
      <c r="B2550" s="652">
        <v>2021</v>
      </c>
      <c r="C2550" s="651" t="s">
        <v>668</v>
      </c>
      <c r="D2550" s="651" t="s">
        <v>2592</v>
      </c>
      <c r="E2550" s="651" t="s">
        <v>12</v>
      </c>
      <c r="F2550" s="653">
        <v>0</v>
      </c>
      <c r="G2550" s="654"/>
      <c r="H2550" s="651" t="s">
        <v>650</v>
      </c>
      <c r="I2550" s="655"/>
      <c r="J2550" s="655"/>
      <c r="K2550" s="653">
        <v>0</v>
      </c>
      <c r="L2550" s="656">
        <v>0</v>
      </c>
    </row>
    <row r="2551" spans="1:12" ht="21" x14ac:dyDescent="0.25">
      <c r="A2551" s="651" t="s">
        <v>116</v>
      </c>
      <c r="B2551" s="652">
        <v>2021</v>
      </c>
      <c r="C2551" s="651" t="s">
        <v>670</v>
      </c>
      <c r="D2551" s="651" t="s">
        <v>2593</v>
      </c>
      <c r="E2551" s="651" t="s">
        <v>13</v>
      </c>
      <c r="F2551" s="653">
        <v>0</v>
      </c>
      <c r="G2551" s="654"/>
      <c r="H2551" s="651" t="s">
        <v>650</v>
      </c>
      <c r="I2551" s="655"/>
      <c r="J2551" s="655"/>
      <c r="K2551" s="653">
        <v>0</v>
      </c>
      <c r="L2551" s="656">
        <v>0</v>
      </c>
    </row>
    <row r="2552" spans="1:12" ht="21" x14ac:dyDescent="0.25">
      <c r="A2552" s="651" t="s">
        <v>116</v>
      </c>
      <c r="B2552" s="652">
        <v>2021</v>
      </c>
      <c r="C2552" s="651" t="s">
        <v>672</v>
      </c>
      <c r="D2552" s="651" t="s">
        <v>2594</v>
      </c>
      <c r="E2552" s="651" t="s">
        <v>15</v>
      </c>
      <c r="F2552" s="653">
        <v>0</v>
      </c>
      <c r="G2552" s="654"/>
      <c r="H2552" s="651" t="s">
        <v>650</v>
      </c>
      <c r="I2552" s="655"/>
      <c r="J2552" s="655"/>
      <c r="K2552" s="653">
        <v>0</v>
      </c>
      <c r="L2552" s="656">
        <v>0</v>
      </c>
    </row>
    <row r="2553" spans="1:12" ht="14.5" x14ac:dyDescent="0.25">
      <c r="A2553" s="651" t="s">
        <v>116</v>
      </c>
      <c r="B2553" s="652">
        <v>2021</v>
      </c>
      <c r="C2553" s="651" t="s">
        <v>674</v>
      </c>
      <c r="D2553" s="651" t="s">
        <v>2595</v>
      </c>
      <c r="E2553" s="651" t="s">
        <v>676</v>
      </c>
      <c r="F2553" s="653">
        <v>0</v>
      </c>
      <c r="G2553" s="654"/>
      <c r="H2553" s="651" t="s">
        <v>650</v>
      </c>
      <c r="I2553" s="655"/>
      <c r="J2553" s="655"/>
      <c r="K2553" s="653">
        <v>0</v>
      </c>
      <c r="L2553" s="656">
        <v>0</v>
      </c>
    </row>
    <row r="2554" spans="1:12" ht="14.5" x14ac:dyDescent="0.25">
      <c r="A2554" s="651" t="s">
        <v>116</v>
      </c>
      <c r="B2554" s="652">
        <v>2021</v>
      </c>
      <c r="C2554" s="651" t="s">
        <v>677</v>
      </c>
      <c r="D2554" s="651" t="s">
        <v>2596</v>
      </c>
      <c r="E2554" s="651" t="s">
        <v>23</v>
      </c>
      <c r="F2554" s="653">
        <v>0</v>
      </c>
      <c r="G2554" s="651" t="s">
        <v>650</v>
      </c>
      <c r="H2554" s="654"/>
      <c r="I2554" s="655"/>
      <c r="J2554" s="655"/>
      <c r="K2554" s="653">
        <v>0</v>
      </c>
      <c r="L2554" s="656">
        <v>0</v>
      </c>
    </row>
    <row r="2555" spans="1:12" ht="31.5" x14ac:dyDescent="0.25">
      <c r="A2555" s="651" t="s">
        <v>116</v>
      </c>
      <c r="B2555" s="652">
        <v>2021</v>
      </c>
      <c r="C2555" s="651" t="s">
        <v>679</v>
      </c>
      <c r="D2555" s="651" t="s">
        <v>2597</v>
      </c>
      <c r="E2555" s="651" t="s">
        <v>131</v>
      </c>
      <c r="F2555" s="653">
        <v>-20699.669999999998</v>
      </c>
      <c r="G2555" s="651" t="s">
        <v>650</v>
      </c>
      <c r="H2555" s="654"/>
      <c r="I2555" s="653">
        <v>-19884.009765625</v>
      </c>
      <c r="J2555" s="653">
        <v>-815.65997314453102</v>
      </c>
      <c r="K2555" s="653">
        <v>-20699.669921875</v>
      </c>
      <c r="L2555" s="656">
        <v>-20699.669999999998</v>
      </c>
    </row>
    <row r="2556" spans="1:12" ht="31.5" x14ac:dyDescent="0.25">
      <c r="A2556" s="651" t="s">
        <v>116</v>
      </c>
      <c r="B2556" s="652">
        <v>2021</v>
      </c>
      <c r="C2556" s="651" t="s">
        <v>681</v>
      </c>
      <c r="D2556" s="651" t="s">
        <v>2598</v>
      </c>
      <c r="E2556" s="651" t="s">
        <v>683</v>
      </c>
      <c r="F2556" s="653">
        <v>-315.91000000000003</v>
      </c>
      <c r="G2556" s="654"/>
      <c r="H2556" s="651" t="s">
        <v>650</v>
      </c>
      <c r="I2556" s="655"/>
      <c r="J2556" s="655"/>
      <c r="K2556" s="653">
        <v>0</v>
      </c>
      <c r="L2556" s="656">
        <v>-315.91000000000003</v>
      </c>
    </row>
    <row r="2557" spans="1:12" ht="21" x14ac:dyDescent="0.25">
      <c r="A2557" s="651" t="s">
        <v>116</v>
      </c>
      <c r="B2557" s="652">
        <v>2021</v>
      </c>
      <c r="C2557" s="651" t="s">
        <v>681</v>
      </c>
      <c r="D2557" s="651" t="s">
        <v>2598</v>
      </c>
      <c r="E2557" s="651" t="s">
        <v>684</v>
      </c>
      <c r="F2557" s="653">
        <v>-351.91</v>
      </c>
      <c r="G2557" s="654"/>
      <c r="H2557" s="651" t="s">
        <v>650</v>
      </c>
      <c r="I2557" s="655"/>
      <c r="J2557" s="655"/>
      <c r="K2557" s="653">
        <v>0</v>
      </c>
      <c r="L2557" s="656">
        <v>-351.91</v>
      </c>
    </row>
    <row r="2558" spans="1:12" ht="21" x14ac:dyDescent="0.25">
      <c r="A2558" s="651" t="s">
        <v>116</v>
      </c>
      <c r="B2558" s="652">
        <v>2021</v>
      </c>
      <c r="C2558" s="651" t="s">
        <v>685</v>
      </c>
      <c r="D2558" s="651" t="s">
        <v>2599</v>
      </c>
      <c r="E2558" s="651" t="s">
        <v>687</v>
      </c>
      <c r="F2558" s="653">
        <v>0</v>
      </c>
      <c r="G2558" s="654"/>
      <c r="H2558" s="651" t="s">
        <v>650</v>
      </c>
      <c r="I2558" s="655"/>
      <c r="J2558" s="655"/>
      <c r="K2558" s="653">
        <v>0</v>
      </c>
      <c r="L2558" s="656">
        <v>0</v>
      </c>
    </row>
    <row r="2559" spans="1:12" ht="14.5" x14ac:dyDescent="0.25">
      <c r="A2559" s="651" t="s">
        <v>116</v>
      </c>
      <c r="B2559" s="652">
        <v>2021</v>
      </c>
      <c r="C2559" s="651" t="s">
        <v>688</v>
      </c>
      <c r="D2559" s="651" t="s">
        <v>2600</v>
      </c>
      <c r="E2559" s="651" t="s">
        <v>50</v>
      </c>
      <c r="F2559" s="653">
        <v>21762.79</v>
      </c>
      <c r="G2559" s="654"/>
      <c r="H2559" s="651" t="s">
        <v>650</v>
      </c>
      <c r="I2559" s="655"/>
      <c r="J2559" s="655"/>
      <c r="K2559" s="653">
        <v>0</v>
      </c>
      <c r="L2559" s="656">
        <v>21762.79</v>
      </c>
    </row>
    <row r="2560" spans="1:12" ht="21" x14ac:dyDescent="0.25">
      <c r="A2560" s="651" t="s">
        <v>116</v>
      </c>
      <c r="B2560" s="652">
        <v>2021</v>
      </c>
      <c r="C2560" s="651" t="s">
        <v>690</v>
      </c>
      <c r="D2560" s="651" t="s">
        <v>2601</v>
      </c>
      <c r="E2560" s="651" t="s">
        <v>692</v>
      </c>
      <c r="F2560" s="653">
        <v>0</v>
      </c>
      <c r="G2560" s="654"/>
      <c r="H2560" s="651" t="s">
        <v>650</v>
      </c>
      <c r="I2560" s="655"/>
      <c r="J2560" s="655"/>
      <c r="K2560" s="653">
        <v>0</v>
      </c>
      <c r="L2560" s="656">
        <v>0</v>
      </c>
    </row>
    <row r="2561" spans="1:12" ht="21" x14ac:dyDescent="0.25">
      <c r="A2561" s="651" t="s">
        <v>116</v>
      </c>
      <c r="B2561" s="652">
        <v>2021</v>
      </c>
      <c r="C2561" s="651" t="s">
        <v>693</v>
      </c>
      <c r="D2561" s="651" t="s">
        <v>2602</v>
      </c>
      <c r="E2561" s="651" t="s">
        <v>6</v>
      </c>
      <c r="F2561" s="653">
        <v>0</v>
      </c>
      <c r="G2561" s="654"/>
      <c r="H2561" s="651" t="s">
        <v>650</v>
      </c>
      <c r="I2561" s="655"/>
      <c r="J2561" s="655"/>
      <c r="K2561" s="653">
        <v>0</v>
      </c>
      <c r="L2561" s="656">
        <v>0</v>
      </c>
    </row>
    <row r="2562" spans="1:12" ht="31.5" x14ac:dyDescent="0.25">
      <c r="A2562" s="651" t="s">
        <v>116</v>
      </c>
      <c r="B2562" s="652">
        <v>2021</v>
      </c>
      <c r="C2562" s="651" t="s">
        <v>695</v>
      </c>
      <c r="D2562" s="651" t="s">
        <v>2603</v>
      </c>
      <c r="E2562" s="651" t="s">
        <v>697</v>
      </c>
      <c r="F2562" s="653">
        <v>0</v>
      </c>
      <c r="G2562" s="654"/>
      <c r="H2562" s="651" t="s">
        <v>650</v>
      </c>
      <c r="I2562" s="655"/>
      <c r="J2562" s="655"/>
      <c r="K2562" s="653">
        <v>0</v>
      </c>
      <c r="L2562" s="656">
        <v>0</v>
      </c>
    </row>
    <row r="2563" spans="1:12" ht="21" x14ac:dyDescent="0.25">
      <c r="A2563" s="651" t="s">
        <v>116</v>
      </c>
      <c r="B2563" s="652">
        <v>2021</v>
      </c>
      <c r="C2563" s="651" t="s">
        <v>698</v>
      </c>
      <c r="D2563" s="651" t="s">
        <v>2604</v>
      </c>
      <c r="E2563" s="651" t="s">
        <v>700</v>
      </c>
      <c r="F2563" s="653">
        <v>0</v>
      </c>
      <c r="G2563" s="654"/>
      <c r="H2563" s="651" t="s">
        <v>650</v>
      </c>
      <c r="I2563" s="655"/>
      <c r="J2563" s="655"/>
      <c r="K2563" s="653">
        <v>0</v>
      </c>
      <c r="L2563" s="656">
        <v>0</v>
      </c>
    </row>
    <row r="2564" spans="1:12" ht="21" x14ac:dyDescent="0.25">
      <c r="A2564" s="651" t="s">
        <v>116</v>
      </c>
      <c r="B2564" s="652">
        <v>2021</v>
      </c>
      <c r="C2564" s="651" t="s">
        <v>701</v>
      </c>
      <c r="D2564" s="651" t="s">
        <v>2605</v>
      </c>
      <c r="E2564" s="651" t="s">
        <v>1</v>
      </c>
      <c r="F2564" s="653">
        <v>-553532.49</v>
      </c>
      <c r="G2564" s="651" t="s">
        <v>650</v>
      </c>
      <c r="H2564" s="654"/>
      <c r="I2564" s="653">
        <v>-522151.875</v>
      </c>
      <c r="J2564" s="653">
        <v>-31380.609375</v>
      </c>
      <c r="K2564" s="653">
        <v>-553532.5</v>
      </c>
      <c r="L2564" s="656">
        <v>-553532.49</v>
      </c>
    </row>
    <row r="2565" spans="1:12" ht="21" x14ac:dyDescent="0.25">
      <c r="A2565" s="651" t="s">
        <v>116</v>
      </c>
      <c r="B2565" s="652">
        <v>2021</v>
      </c>
      <c r="C2565" s="651" t="s">
        <v>701</v>
      </c>
      <c r="D2565" s="651" t="s">
        <v>2605</v>
      </c>
      <c r="E2565" s="651" t="s">
        <v>703</v>
      </c>
      <c r="F2565" s="653">
        <v>-31380.61</v>
      </c>
      <c r="G2565" s="654"/>
      <c r="H2565" s="654"/>
      <c r="I2565" s="655"/>
      <c r="J2565" s="655"/>
      <c r="K2565" s="653">
        <v>0</v>
      </c>
      <c r="L2565" s="656">
        <v>-31380.61</v>
      </c>
    </row>
    <row r="2566" spans="1:12" ht="21" x14ac:dyDescent="0.25">
      <c r="A2566" s="651" t="s">
        <v>116</v>
      </c>
      <c r="B2566" s="652">
        <v>2021</v>
      </c>
      <c r="C2566" s="651" t="s">
        <v>701</v>
      </c>
      <c r="D2566" s="651" t="s">
        <v>2605</v>
      </c>
      <c r="E2566" s="651" t="s">
        <v>704</v>
      </c>
      <c r="F2566" s="653">
        <v>-522151.88</v>
      </c>
      <c r="G2566" s="654"/>
      <c r="H2566" s="654"/>
      <c r="I2566" s="655"/>
      <c r="J2566" s="655"/>
      <c r="K2566" s="653">
        <v>0</v>
      </c>
      <c r="L2566" s="656">
        <v>-522151.88</v>
      </c>
    </row>
    <row r="2567" spans="1:12" ht="21" x14ac:dyDescent="0.25">
      <c r="A2567" s="651" t="s">
        <v>116</v>
      </c>
      <c r="B2567" s="652">
        <v>2021</v>
      </c>
      <c r="C2567" s="651" t="s">
        <v>701</v>
      </c>
      <c r="D2567" s="651" t="s">
        <v>2605</v>
      </c>
      <c r="E2567" s="651" t="s">
        <v>705</v>
      </c>
      <c r="F2567" s="653">
        <v>0</v>
      </c>
      <c r="G2567" s="654"/>
      <c r="H2567" s="654"/>
      <c r="I2567" s="655"/>
      <c r="J2567" s="655"/>
      <c r="K2567" s="653">
        <v>0</v>
      </c>
      <c r="L2567" s="656">
        <v>0</v>
      </c>
    </row>
    <row r="2568" spans="1:12" ht="21" x14ac:dyDescent="0.25">
      <c r="A2568" s="651" t="s">
        <v>116</v>
      </c>
      <c r="B2568" s="652">
        <v>2021</v>
      </c>
      <c r="C2568" s="651" t="s">
        <v>701</v>
      </c>
      <c r="D2568" s="651" t="s">
        <v>2605</v>
      </c>
      <c r="E2568" s="651" t="s">
        <v>706</v>
      </c>
      <c r="F2568" s="653">
        <v>0</v>
      </c>
      <c r="G2568" s="654"/>
      <c r="H2568" s="654"/>
      <c r="I2568" s="655"/>
      <c r="J2568" s="655"/>
      <c r="K2568" s="653">
        <v>0</v>
      </c>
      <c r="L2568" s="656">
        <v>0</v>
      </c>
    </row>
    <row r="2569" spans="1:12" ht="14.5" x14ac:dyDescent="0.25">
      <c r="A2569" s="651" t="s">
        <v>116</v>
      </c>
      <c r="B2569" s="652">
        <v>2021</v>
      </c>
      <c r="C2569" s="651" t="s">
        <v>707</v>
      </c>
      <c r="D2569" s="651" t="s">
        <v>2606</v>
      </c>
      <c r="E2569" s="651" t="s">
        <v>709</v>
      </c>
      <c r="F2569" s="653">
        <v>0</v>
      </c>
      <c r="G2569" s="654"/>
      <c r="H2569" s="651" t="s">
        <v>650</v>
      </c>
      <c r="I2569" s="655"/>
      <c r="J2569" s="655"/>
      <c r="K2569" s="653">
        <v>0</v>
      </c>
      <c r="L2569" s="656">
        <v>0</v>
      </c>
    </row>
    <row r="2570" spans="1:12" ht="31.5" x14ac:dyDescent="0.25">
      <c r="A2570" s="651" t="s">
        <v>116</v>
      </c>
      <c r="B2570" s="652">
        <v>2021</v>
      </c>
      <c r="C2570" s="651" t="s">
        <v>710</v>
      </c>
      <c r="D2570" s="651" t="s">
        <v>2607</v>
      </c>
      <c r="E2570" s="651" t="s">
        <v>2</v>
      </c>
      <c r="F2570" s="653">
        <v>-59813.79</v>
      </c>
      <c r="G2570" s="651" t="s">
        <v>650</v>
      </c>
      <c r="H2570" s="654"/>
      <c r="I2570" s="653">
        <v>-48216.3984375</v>
      </c>
      <c r="J2570" s="653">
        <v>-11597.3896484375</v>
      </c>
      <c r="K2570" s="653">
        <v>-59813.7890625</v>
      </c>
      <c r="L2570" s="656">
        <v>-59813.79</v>
      </c>
    </row>
    <row r="2571" spans="1:12" ht="31.5" x14ac:dyDescent="0.25">
      <c r="A2571" s="651" t="s">
        <v>116</v>
      </c>
      <c r="B2571" s="652">
        <v>2021</v>
      </c>
      <c r="C2571" s="651" t="s">
        <v>712</v>
      </c>
      <c r="D2571" s="651" t="s">
        <v>2608</v>
      </c>
      <c r="E2571" s="651" t="s">
        <v>3</v>
      </c>
      <c r="F2571" s="653">
        <v>83084.59</v>
      </c>
      <c r="G2571" s="651" t="s">
        <v>650</v>
      </c>
      <c r="H2571" s="654"/>
      <c r="I2571" s="653">
        <v>83359.8515625</v>
      </c>
      <c r="J2571" s="653">
        <v>-275.260009765625</v>
      </c>
      <c r="K2571" s="653">
        <v>83084.59375</v>
      </c>
      <c r="L2571" s="656">
        <v>83084.59</v>
      </c>
    </row>
    <row r="2572" spans="1:12" ht="31.5" x14ac:dyDescent="0.25">
      <c r="A2572" s="651" t="s">
        <v>116</v>
      </c>
      <c r="B2572" s="652">
        <v>2021</v>
      </c>
      <c r="C2572" s="651" t="s">
        <v>714</v>
      </c>
      <c r="D2572" s="651" t="s">
        <v>2609</v>
      </c>
      <c r="E2572" s="651" t="s">
        <v>38</v>
      </c>
      <c r="F2572" s="653">
        <v>3979342.24</v>
      </c>
      <c r="G2572" s="651" t="s">
        <v>650</v>
      </c>
      <c r="H2572" s="654"/>
      <c r="I2572" s="653">
        <v>3799704</v>
      </c>
      <c r="J2572" s="653">
        <v>179638.203125</v>
      </c>
      <c r="K2572" s="653">
        <v>3979342.25</v>
      </c>
      <c r="L2572" s="656">
        <v>3979342.24</v>
      </c>
    </row>
    <row r="2573" spans="1:12" ht="21" x14ac:dyDescent="0.25">
      <c r="A2573" s="651" t="s">
        <v>116</v>
      </c>
      <c r="B2573" s="652">
        <v>2021</v>
      </c>
      <c r="C2573" s="651" t="s">
        <v>716</v>
      </c>
      <c r="D2573" s="651" t="s">
        <v>2610</v>
      </c>
      <c r="E2573" s="651" t="s">
        <v>66</v>
      </c>
      <c r="F2573" s="653">
        <v>-2879370.78</v>
      </c>
      <c r="G2573" s="651" t="s">
        <v>650</v>
      </c>
      <c r="H2573" s="654"/>
      <c r="I2573" s="653">
        <v>-2736173.25</v>
      </c>
      <c r="J2573" s="653">
        <v>-143197.53125</v>
      </c>
      <c r="K2573" s="653">
        <v>-2879370.75</v>
      </c>
      <c r="L2573" s="656">
        <v>-2879370.78</v>
      </c>
    </row>
    <row r="2574" spans="1:12" ht="31.5" x14ac:dyDescent="0.25">
      <c r="A2574" s="651" t="s">
        <v>116</v>
      </c>
      <c r="B2574" s="652">
        <v>2021</v>
      </c>
      <c r="C2574" s="651" t="s">
        <v>718</v>
      </c>
      <c r="D2574" s="651" t="s">
        <v>2611</v>
      </c>
      <c r="E2574" s="651" t="s">
        <v>720</v>
      </c>
      <c r="F2574" s="653">
        <v>0</v>
      </c>
      <c r="G2574" s="654"/>
      <c r="H2574" s="651" t="s">
        <v>650</v>
      </c>
      <c r="I2574" s="655"/>
      <c r="J2574" s="655"/>
      <c r="K2574" s="653">
        <v>0</v>
      </c>
      <c r="L2574" s="656">
        <v>0</v>
      </c>
    </row>
    <row r="2575" spans="1:12" ht="42" x14ac:dyDescent="0.25">
      <c r="A2575" s="651" t="s">
        <v>116</v>
      </c>
      <c r="B2575" s="652">
        <v>2021</v>
      </c>
      <c r="C2575" s="651" t="s">
        <v>721</v>
      </c>
      <c r="D2575" s="651" t="s">
        <v>2612</v>
      </c>
      <c r="E2575" s="651" t="s">
        <v>3016</v>
      </c>
      <c r="F2575" s="653">
        <v>0</v>
      </c>
      <c r="G2575" s="651" t="s">
        <v>650</v>
      </c>
      <c r="H2575" s="654"/>
      <c r="I2575" s="655"/>
      <c r="J2575" s="655"/>
      <c r="K2575" s="653">
        <v>0</v>
      </c>
      <c r="L2575" s="656">
        <v>0</v>
      </c>
    </row>
    <row r="2576" spans="1:12" ht="42" x14ac:dyDescent="0.25">
      <c r="A2576" s="651" t="s">
        <v>116</v>
      </c>
      <c r="B2576" s="652">
        <v>2021</v>
      </c>
      <c r="C2576" s="651" t="s">
        <v>721</v>
      </c>
      <c r="D2576" s="651" t="s">
        <v>2612</v>
      </c>
      <c r="E2576" s="651" t="s">
        <v>3058</v>
      </c>
      <c r="F2576" s="653">
        <v>0</v>
      </c>
      <c r="G2576" s="651" t="s">
        <v>650</v>
      </c>
      <c r="H2576" s="654"/>
      <c r="I2576" s="655"/>
      <c r="J2576" s="655"/>
      <c r="K2576" s="653">
        <v>0</v>
      </c>
      <c r="L2576" s="656">
        <v>0</v>
      </c>
    </row>
    <row r="2577" spans="1:12" ht="42" x14ac:dyDescent="0.25">
      <c r="A2577" s="651" t="s">
        <v>116</v>
      </c>
      <c r="B2577" s="652">
        <v>2021</v>
      </c>
      <c r="C2577" s="651" t="s">
        <v>721</v>
      </c>
      <c r="D2577" s="651" t="s">
        <v>2613</v>
      </c>
      <c r="E2577" s="651" t="s">
        <v>724</v>
      </c>
      <c r="F2577" s="653">
        <v>0</v>
      </c>
      <c r="G2577" s="651" t="s">
        <v>650</v>
      </c>
      <c r="H2577" s="654"/>
      <c r="I2577" s="655"/>
      <c r="J2577" s="655"/>
      <c r="K2577" s="653">
        <v>0</v>
      </c>
      <c r="L2577" s="656">
        <v>0</v>
      </c>
    </row>
    <row r="2578" spans="1:12" ht="42" x14ac:dyDescent="0.25">
      <c r="A2578" s="651" t="s">
        <v>116</v>
      </c>
      <c r="B2578" s="652">
        <v>2021</v>
      </c>
      <c r="C2578" s="651" t="s">
        <v>721</v>
      </c>
      <c r="D2578" s="651" t="s">
        <v>2614</v>
      </c>
      <c r="E2578" s="651" t="s">
        <v>55</v>
      </c>
      <c r="F2578" s="653">
        <v>0</v>
      </c>
      <c r="G2578" s="651" t="s">
        <v>650</v>
      </c>
      <c r="H2578" s="654"/>
      <c r="I2578" s="655"/>
      <c r="J2578" s="655"/>
      <c r="K2578" s="653">
        <v>0</v>
      </c>
      <c r="L2578" s="656">
        <v>0</v>
      </c>
    </row>
    <row r="2579" spans="1:12" ht="42" x14ac:dyDescent="0.25">
      <c r="A2579" s="651" t="s">
        <v>116</v>
      </c>
      <c r="B2579" s="652">
        <v>2021</v>
      </c>
      <c r="C2579" s="651" t="s">
        <v>721</v>
      </c>
      <c r="D2579" s="651" t="s">
        <v>2615</v>
      </c>
      <c r="E2579" s="651" t="s">
        <v>56</v>
      </c>
      <c r="F2579" s="653">
        <v>0</v>
      </c>
      <c r="G2579" s="651" t="s">
        <v>650</v>
      </c>
      <c r="H2579" s="654"/>
      <c r="I2579" s="655"/>
      <c r="J2579" s="655"/>
      <c r="K2579" s="653">
        <v>0</v>
      </c>
      <c r="L2579" s="656">
        <v>0</v>
      </c>
    </row>
    <row r="2580" spans="1:12" ht="42" x14ac:dyDescent="0.25">
      <c r="A2580" s="651" t="s">
        <v>116</v>
      </c>
      <c r="B2580" s="652">
        <v>2021</v>
      </c>
      <c r="C2580" s="651" t="s">
        <v>721</v>
      </c>
      <c r="D2580" s="651" t="s">
        <v>2616</v>
      </c>
      <c r="E2580" s="651" t="s">
        <v>728</v>
      </c>
      <c r="F2580" s="653">
        <v>0</v>
      </c>
      <c r="G2580" s="651" t="s">
        <v>650</v>
      </c>
      <c r="H2580" s="654"/>
      <c r="I2580" s="655"/>
      <c r="J2580" s="655"/>
      <c r="K2580" s="653">
        <v>0</v>
      </c>
      <c r="L2580" s="656">
        <v>0</v>
      </c>
    </row>
    <row r="2581" spans="1:12" ht="42" x14ac:dyDescent="0.25">
      <c r="A2581" s="651" t="s">
        <v>116</v>
      </c>
      <c r="B2581" s="652">
        <v>2021</v>
      </c>
      <c r="C2581" s="651" t="s">
        <v>721</v>
      </c>
      <c r="D2581" s="651" t="s">
        <v>2617</v>
      </c>
      <c r="E2581" s="651" t="s">
        <v>730</v>
      </c>
      <c r="F2581" s="653">
        <v>0</v>
      </c>
      <c r="G2581" s="651" t="s">
        <v>650</v>
      </c>
      <c r="H2581" s="654"/>
      <c r="I2581" s="655"/>
      <c r="J2581" s="655"/>
      <c r="K2581" s="653">
        <v>0</v>
      </c>
      <c r="L2581" s="656">
        <v>0</v>
      </c>
    </row>
    <row r="2582" spans="1:12" ht="42" x14ac:dyDescent="0.25">
      <c r="A2582" s="651" t="s">
        <v>116</v>
      </c>
      <c r="B2582" s="652">
        <v>2021</v>
      </c>
      <c r="C2582" s="651" t="s">
        <v>721</v>
      </c>
      <c r="D2582" s="651" t="s">
        <v>2618</v>
      </c>
      <c r="E2582" s="651" t="s">
        <v>142</v>
      </c>
      <c r="F2582" s="653">
        <v>0</v>
      </c>
      <c r="G2582" s="651" t="s">
        <v>650</v>
      </c>
      <c r="H2582" s="654"/>
      <c r="I2582" s="655"/>
      <c r="J2582" s="655"/>
      <c r="K2582" s="653">
        <v>0</v>
      </c>
      <c r="L2582" s="656">
        <v>0</v>
      </c>
    </row>
    <row r="2583" spans="1:12" ht="42" x14ac:dyDescent="0.25">
      <c r="A2583" s="651" t="s">
        <v>116</v>
      </c>
      <c r="B2583" s="652">
        <v>2021</v>
      </c>
      <c r="C2583" s="651" t="s">
        <v>721</v>
      </c>
      <c r="D2583" s="651" t="s">
        <v>2619</v>
      </c>
      <c r="E2583" s="651" t="s">
        <v>143</v>
      </c>
      <c r="F2583" s="653">
        <v>0</v>
      </c>
      <c r="G2583" s="651" t="s">
        <v>650</v>
      </c>
      <c r="H2583" s="654"/>
      <c r="I2583" s="655"/>
      <c r="J2583" s="655"/>
      <c r="K2583" s="653">
        <v>0</v>
      </c>
      <c r="L2583" s="656">
        <v>0</v>
      </c>
    </row>
    <row r="2584" spans="1:12" ht="42" x14ac:dyDescent="0.25">
      <c r="A2584" s="651" t="s">
        <v>116</v>
      </c>
      <c r="B2584" s="652">
        <v>2021</v>
      </c>
      <c r="C2584" s="651" t="s">
        <v>721</v>
      </c>
      <c r="D2584" s="651" t="s">
        <v>2620</v>
      </c>
      <c r="E2584" s="651" t="s">
        <v>182</v>
      </c>
      <c r="F2584" s="653">
        <v>0</v>
      </c>
      <c r="G2584" s="651" t="s">
        <v>650</v>
      </c>
      <c r="H2584" s="654"/>
      <c r="I2584" s="653">
        <v>-94631.8984375</v>
      </c>
      <c r="J2584" s="653">
        <v>-21423.669921875</v>
      </c>
      <c r="K2584" s="653">
        <v>-116055.5703125</v>
      </c>
      <c r="L2584" s="656">
        <v>-116055.57</v>
      </c>
    </row>
    <row r="2585" spans="1:12" ht="42" x14ac:dyDescent="0.25">
      <c r="A2585" s="651" t="s">
        <v>116</v>
      </c>
      <c r="B2585" s="652">
        <v>2021</v>
      </c>
      <c r="C2585" s="651" t="s">
        <v>721</v>
      </c>
      <c r="D2585" s="651" t="s">
        <v>2621</v>
      </c>
      <c r="E2585" s="651" t="s">
        <v>394</v>
      </c>
      <c r="F2585" s="653">
        <v>0</v>
      </c>
      <c r="G2585" s="651" t="s">
        <v>650</v>
      </c>
      <c r="H2585" s="654"/>
      <c r="I2585" s="653">
        <v>54541.0390625</v>
      </c>
      <c r="J2585" s="653">
        <v>-31634.880859375</v>
      </c>
      <c r="K2585" s="653">
        <v>22906.16015625</v>
      </c>
      <c r="L2585" s="656">
        <v>22906.16</v>
      </c>
    </row>
    <row r="2586" spans="1:12" ht="42" x14ac:dyDescent="0.25">
      <c r="A2586" s="651" t="s">
        <v>116</v>
      </c>
      <c r="B2586" s="652">
        <v>2021</v>
      </c>
      <c r="C2586" s="651" t="s">
        <v>721</v>
      </c>
      <c r="D2586" s="651" t="s">
        <v>2622</v>
      </c>
      <c r="E2586" s="651" t="s">
        <v>423</v>
      </c>
      <c r="F2586" s="653">
        <v>0</v>
      </c>
      <c r="G2586" s="651" t="s">
        <v>650</v>
      </c>
      <c r="H2586" s="654"/>
      <c r="I2586" s="653">
        <v>111181.03125</v>
      </c>
      <c r="J2586" s="653">
        <v>-2911.669921875</v>
      </c>
      <c r="K2586" s="653">
        <v>108269.359375</v>
      </c>
      <c r="L2586" s="656">
        <v>108269.36</v>
      </c>
    </row>
    <row r="2587" spans="1:12" ht="42" x14ac:dyDescent="0.25">
      <c r="A2587" s="651" t="s">
        <v>116</v>
      </c>
      <c r="B2587" s="652">
        <v>2021</v>
      </c>
      <c r="C2587" s="651" t="s">
        <v>721</v>
      </c>
      <c r="D2587" s="651" t="s">
        <v>3328</v>
      </c>
      <c r="E2587" s="651" t="s">
        <v>441</v>
      </c>
      <c r="F2587" s="653">
        <v>0</v>
      </c>
      <c r="G2587" s="651" t="s">
        <v>650</v>
      </c>
      <c r="H2587" s="654"/>
      <c r="I2587" s="655"/>
      <c r="J2587" s="655"/>
      <c r="K2587" s="653">
        <v>0</v>
      </c>
      <c r="L2587" s="656">
        <v>0</v>
      </c>
    </row>
    <row r="2588" spans="1:12" ht="42" x14ac:dyDescent="0.25">
      <c r="A2588" s="651" t="s">
        <v>116</v>
      </c>
      <c r="B2588" s="652">
        <v>2021</v>
      </c>
      <c r="C2588" s="651" t="s">
        <v>721</v>
      </c>
      <c r="D2588" s="651" t="s">
        <v>2623</v>
      </c>
      <c r="E2588" s="651" t="s">
        <v>737</v>
      </c>
      <c r="F2588" s="653">
        <v>15119.95</v>
      </c>
      <c r="G2588" s="654"/>
      <c r="H2588" s="654"/>
      <c r="I2588" s="655"/>
      <c r="J2588" s="655"/>
      <c r="K2588" s="653">
        <v>0</v>
      </c>
      <c r="L2588" s="656">
        <v>15119.95</v>
      </c>
    </row>
    <row r="2589" spans="1:12" ht="14.5" x14ac:dyDescent="0.25">
      <c r="A2589" s="651" t="s">
        <v>116</v>
      </c>
      <c r="B2589" s="652">
        <v>2021</v>
      </c>
      <c r="C2589" s="651" t="s">
        <v>738</v>
      </c>
      <c r="D2589" s="651" t="s">
        <v>2624</v>
      </c>
      <c r="E2589" s="651" t="s">
        <v>7</v>
      </c>
      <c r="F2589" s="653">
        <v>0</v>
      </c>
      <c r="G2589" s="654"/>
      <c r="H2589" s="651" t="s">
        <v>650</v>
      </c>
      <c r="I2589" s="655"/>
      <c r="J2589" s="655"/>
      <c r="K2589" s="653">
        <v>0</v>
      </c>
      <c r="L2589" s="656">
        <v>0</v>
      </c>
    </row>
    <row r="2590" spans="1:12" ht="21" x14ac:dyDescent="0.25">
      <c r="A2590" s="651" t="s">
        <v>117</v>
      </c>
      <c r="B2590" s="652">
        <v>2021</v>
      </c>
      <c r="C2590" s="651" t="s">
        <v>647</v>
      </c>
      <c r="D2590" s="651" t="s">
        <v>2625</v>
      </c>
      <c r="E2590" s="651" t="s">
        <v>649</v>
      </c>
      <c r="F2590" s="653">
        <v>-42838440.189999998</v>
      </c>
      <c r="G2590" s="654"/>
      <c r="H2590" s="651" t="s">
        <v>650</v>
      </c>
      <c r="I2590" s="655"/>
      <c r="J2590" s="655"/>
      <c r="K2590" s="653">
        <v>0</v>
      </c>
      <c r="L2590" s="656">
        <v>-42838440.189999998</v>
      </c>
    </row>
    <row r="2591" spans="1:12" ht="21" x14ac:dyDescent="0.25">
      <c r="A2591" s="651" t="s">
        <v>117</v>
      </c>
      <c r="B2591" s="652">
        <v>2021</v>
      </c>
      <c r="C2591" s="651" t="s">
        <v>651</v>
      </c>
      <c r="D2591" s="651" t="s">
        <v>2626</v>
      </c>
      <c r="E2591" s="651" t="s">
        <v>653</v>
      </c>
      <c r="F2591" s="653">
        <v>0</v>
      </c>
      <c r="G2591" s="654"/>
      <c r="H2591" s="651" t="s">
        <v>650</v>
      </c>
      <c r="I2591" s="655"/>
      <c r="J2591" s="655"/>
      <c r="K2591" s="653">
        <v>0</v>
      </c>
      <c r="L2591" s="656">
        <v>0</v>
      </c>
    </row>
    <row r="2592" spans="1:12" ht="42" x14ac:dyDescent="0.25">
      <c r="A2592" s="651" t="s">
        <v>117</v>
      </c>
      <c r="B2592" s="652">
        <v>2021</v>
      </c>
      <c r="C2592" s="651" t="s">
        <v>654</v>
      </c>
      <c r="D2592" s="651" t="s">
        <v>2627</v>
      </c>
      <c r="E2592" s="651" t="s">
        <v>445</v>
      </c>
      <c r="F2592" s="653">
        <v>-27266.36</v>
      </c>
      <c r="G2592" s="654"/>
      <c r="H2592" s="651" t="s">
        <v>650</v>
      </c>
      <c r="I2592" s="655"/>
      <c r="J2592" s="655"/>
      <c r="K2592" s="653">
        <v>0</v>
      </c>
      <c r="L2592" s="656">
        <v>-27266.36</v>
      </c>
    </row>
    <row r="2593" spans="1:12" ht="21" x14ac:dyDescent="0.25">
      <c r="A2593" s="651" t="s">
        <v>117</v>
      </c>
      <c r="B2593" s="652">
        <v>2021</v>
      </c>
      <c r="C2593" s="651" t="s">
        <v>656</v>
      </c>
      <c r="D2593" s="651" t="s">
        <v>2628</v>
      </c>
      <c r="E2593" s="651" t="s">
        <v>658</v>
      </c>
      <c r="F2593" s="653">
        <v>0</v>
      </c>
      <c r="G2593" s="654"/>
      <c r="H2593" s="651" t="s">
        <v>650</v>
      </c>
      <c r="I2593" s="655"/>
      <c r="J2593" s="655"/>
      <c r="K2593" s="653">
        <v>0</v>
      </c>
      <c r="L2593" s="656">
        <v>0</v>
      </c>
    </row>
    <row r="2594" spans="1:12" ht="31.5" x14ac:dyDescent="0.25">
      <c r="A2594" s="651" t="s">
        <v>117</v>
      </c>
      <c r="B2594" s="652">
        <v>2021</v>
      </c>
      <c r="C2594" s="651" t="s">
        <v>659</v>
      </c>
      <c r="D2594" s="651" t="s">
        <v>2629</v>
      </c>
      <c r="E2594" s="651" t="s">
        <v>661</v>
      </c>
      <c r="F2594" s="653">
        <v>0</v>
      </c>
      <c r="G2594" s="654"/>
      <c r="H2594" s="651" t="s">
        <v>650</v>
      </c>
      <c r="I2594" s="655"/>
      <c r="J2594" s="655"/>
      <c r="K2594" s="653">
        <v>0</v>
      </c>
      <c r="L2594" s="656">
        <v>0</v>
      </c>
    </row>
    <row r="2595" spans="1:12" ht="21" x14ac:dyDescent="0.25">
      <c r="A2595" s="651" t="s">
        <v>117</v>
      </c>
      <c r="B2595" s="652">
        <v>2021</v>
      </c>
      <c r="C2595" s="651" t="s">
        <v>662</v>
      </c>
      <c r="D2595" s="651" t="s">
        <v>2630</v>
      </c>
      <c r="E2595" s="651" t="s">
        <v>664</v>
      </c>
      <c r="F2595" s="653">
        <v>0</v>
      </c>
      <c r="G2595" s="654"/>
      <c r="H2595" s="651" t="s">
        <v>650</v>
      </c>
      <c r="I2595" s="655"/>
      <c r="J2595" s="655"/>
      <c r="K2595" s="653">
        <v>0</v>
      </c>
      <c r="L2595" s="656">
        <v>0</v>
      </c>
    </row>
    <row r="2596" spans="1:12" ht="31.5" x14ac:dyDescent="0.25">
      <c r="A2596" s="651" t="s">
        <v>117</v>
      </c>
      <c r="B2596" s="652">
        <v>2021</v>
      </c>
      <c r="C2596" s="651" t="s">
        <v>665</v>
      </c>
      <c r="D2596" s="651" t="s">
        <v>2631</v>
      </c>
      <c r="E2596" s="651" t="s">
        <v>667</v>
      </c>
      <c r="F2596" s="653">
        <v>-770714.44</v>
      </c>
      <c r="G2596" s="654"/>
      <c r="H2596" s="651" t="s">
        <v>650</v>
      </c>
      <c r="I2596" s="655"/>
      <c r="J2596" s="655"/>
      <c r="K2596" s="653">
        <v>0</v>
      </c>
      <c r="L2596" s="656">
        <v>-770714.44</v>
      </c>
    </row>
    <row r="2597" spans="1:12" ht="21" x14ac:dyDescent="0.25">
      <c r="A2597" s="651" t="s">
        <v>117</v>
      </c>
      <c r="B2597" s="652">
        <v>2021</v>
      </c>
      <c r="C2597" s="651" t="s">
        <v>668</v>
      </c>
      <c r="D2597" s="651" t="s">
        <v>2632</v>
      </c>
      <c r="E2597" s="651" t="s">
        <v>12</v>
      </c>
      <c r="F2597" s="653">
        <v>0</v>
      </c>
      <c r="G2597" s="654"/>
      <c r="H2597" s="651" t="s">
        <v>650</v>
      </c>
      <c r="I2597" s="655"/>
      <c r="J2597" s="655"/>
      <c r="K2597" s="653">
        <v>0</v>
      </c>
      <c r="L2597" s="656">
        <v>0</v>
      </c>
    </row>
    <row r="2598" spans="1:12" ht="21" x14ac:dyDescent="0.25">
      <c r="A2598" s="651" t="s">
        <v>117</v>
      </c>
      <c r="B2598" s="652">
        <v>2021</v>
      </c>
      <c r="C2598" s="651" t="s">
        <v>670</v>
      </c>
      <c r="D2598" s="651" t="s">
        <v>2633</v>
      </c>
      <c r="E2598" s="651" t="s">
        <v>13</v>
      </c>
      <c r="F2598" s="653">
        <v>0</v>
      </c>
      <c r="G2598" s="654"/>
      <c r="H2598" s="651" t="s">
        <v>650</v>
      </c>
      <c r="I2598" s="655"/>
      <c r="J2598" s="655"/>
      <c r="K2598" s="653">
        <v>0</v>
      </c>
      <c r="L2598" s="656">
        <v>0</v>
      </c>
    </row>
    <row r="2599" spans="1:12" ht="21" x14ac:dyDescent="0.25">
      <c r="A2599" s="651" t="s">
        <v>117</v>
      </c>
      <c r="B2599" s="652">
        <v>2021</v>
      </c>
      <c r="C2599" s="651" t="s">
        <v>672</v>
      </c>
      <c r="D2599" s="651" t="s">
        <v>2634</v>
      </c>
      <c r="E2599" s="651" t="s">
        <v>15</v>
      </c>
      <c r="F2599" s="653">
        <v>0</v>
      </c>
      <c r="G2599" s="654"/>
      <c r="H2599" s="651" t="s">
        <v>650</v>
      </c>
      <c r="I2599" s="655"/>
      <c r="J2599" s="655"/>
      <c r="K2599" s="653">
        <v>0</v>
      </c>
      <c r="L2599" s="656">
        <v>0</v>
      </c>
    </row>
    <row r="2600" spans="1:12" ht="21" x14ac:dyDescent="0.25">
      <c r="A2600" s="651" t="s">
        <v>117</v>
      </c>
      <c r="B2600" s="652">
        <v>2021</v>
      </c>
      <c r="C2600" s="651" t="s">
        <v>674</v>
      </c>
      <c r="D2600" s="651" t="s">
        <v>2635</v>
      </c>
      <c r="E2600" s="651" t="s">
        <v>676</v>
      </c>
      <c r="F2600" s="653">
        <v>0</v>
      </c>
      <c r="G2600" s="654"/>
      <c r="H2600" s="651" t="s">
        <v>650</v>
      </c>
      <c r="I2600" s="655"/>
      <c r="J2600" s="655"/>
      <c r="K2600" s="653">
        <v>0</v>
      </c>
      <c r="L2600" s="656">
        <v>0</v>
      </c>
    </row>
    <row r="2601" spans="1:12" ht="21" x14ac:dyDescent="0.25">
      <c r="A2601" s="651" t="s">
        <v>117</v>
      </c>
      <c r="B2601" s="652">
        <v>2021</v>
      </c>
      <c r="C2601" s="651" t="s">
        <v>677</v>
      </c>
      <c r="D2601" s="651" t="s">
        <v>2636</v>
      </c>
      <c r="E2601" s="651" t="s">
        <v>23</v>
      </c>
      <c r="F2601" s="653">
        <v>947490.65</v>
      </c>
      <c r="G2601" s="651" t="s">
        <v>650</v>
      </c>
      <c r="H2601" s="654"/>
      <c r="I2601" s="653">
        <v>935785</v>
      </c>
      <c r="J2601" s="653">
        <v>11705.66015625</v>
      </c>
      <c r="K2601" s="653">
        <v>947490.625</v>
      </c>
      <c r="L2601" s="656">
        <v>947490.65</v>
      </c>
    </row>
    <row r="2602" spans="1:12" ht="31.5" x14ac:dyDescent="0.25">
      <c r="A2602" s="651" t="s">
        <v>117</v>
      </c>
      <c r="B2602" s="652">
        <v>2021</v>
      </c>
      <c r="C2602" s="651" t="s">
        <v>679</v>
      </c>
      <c r="D2602" s="651" t="s">
        <v>2637</v>
      </c>
      <c r="E2602" s="651" t="s">
        <v>131</v>
      </c>
      <c r="F2602" s="653">
        <v>-496714.22</v>
      </c>
      <c r="G2602" s="651" t="s">
        <v>650</v>
      </c>
      <c r="H2602" s="654"/>
      <c r="I2602" s="653">
        <v>-457750.9375</v>
      </c>
      <c r="J2602" s="653">
        <v>-38963.2890625</v>
      </c>
      <c r="K2602" s="653">
        <v>-496714.21875</v>
      </c>
      <c r="L2602" s="656">
        <v>-496714.22</v>
      </c>
    </row>
    <row r="2603" spans="1:12" ht="31.5" x14ac:dyDescent="0.25">
      <c r="A2603" s="651" t="s">
        <v>117</v>
      </c>
      <c r="B2603" s="652">
        <v>2021</v>
      </c>
      <c r="C2603" s="651" t="s">
        <v>681</v>
      </c>
      <c r="D2603" s="651" t="s">
        <v>2638</v>
      </c>
      <c r="E2603" s="651" t="s">
        <v>683</v>
      </c>
      <c r="F2603" s="653">
        <v>-665316.04</v>
      </c>
      <c r="G2603" s="654"/>
      <c r="H2603" s="651" t="s">
        <v>650</v>
      </c>
      <c r="I2603" s="655"/>
      <c r="J2603" s="655"/>
      <c r="K2603" s="653">
        <v>0</v>
      </c>
      <c r="L2603" s="656">
        <v>-665316.04</v>
      </c>
    </row>
    <row r="2604" spans="1:12" ht="21" x14ac:dyDescent="0.25">
      <c r="A2604" s="651" t="s">
        <v>117</v>
      </c>
      <c r="B2604" s="652">
        <v>2021</v>
      </c>
      <c r="C2604" s="651" t="s">
        <v>681</v>
      </c>
      <c r="D2604" s="651" t="s">
        <v>2638</v>
      </c>
      <c r="E2604" s="651" t="s">
        <v>684</v>
      </c>
      <c r="F2604" s="653">
        <v>-665316.04</v>
      </c>
      <c r="G2604" s="654"/>
      <c r="H2604" s="651" t="s">
        <v>650</v>
      </c>
      <c r="I2604" s="655"/>
      <c r="J2604" s="655"/>
      <c r="K2604" s="653">
        <v>0</v>
      </c>
      <c r="L2604" s="656">
        <v>-665316.04</v>
      </c>
    </row>
    <row r="2605" spans="1:12" ht="21" x14ac:dyDescent="0.25">
      <c r="A2605" s="651" t="s">
        <v>117</v>
      </c>
      <c r="B2605" s="652">
        <v>2021</v>
      </c>
      <c r="C2605" s="651" t="s">
        <v>685</v>
      </c>
      <c r="D2605" s="651" t="s">
        <v>2639</v>
      </c>
      <c r="E2605" s="651" t="s">
        <v>687</v>
      </c>
      <c r="F2605" s="653">
        <v>0</v>
      </c>
      <c r="G2605" s="654"/>
      <c r="H2605" s="651" t="s">
        <v>650</v>
      </c>
      <c r="I2605" s="655"/>
      <c r="J2605" s="655"/>
      <c r="K2605" s="653">
        <v>0</v>
      </c>
      <c r="L2605" s="656">
        <v>0</v>
      </c>
    </row>
    <row r="2606" spans="1:12" ht="21" x14ac:dyDescent="0.25">
      <c r="A2606" s="651" t="s">
        <v>117</v>
      </c>
      <c r="B2606" s="652">
        <v>2021</v>
      </c>
      <c r="C2606" s="651" t="s">
        <v>688</v>
      </c>
      <c r="D2606" s="651" t="s">
        <v>2640</v>
      </c>
      <c r="E2606" s="651" t="s">
        <v>50</v>
      </c>
      <c r="F2606" s="653">
        <v>33114589.510000002</v>
      </c>
      <c r="G2606" s="654"/>
      <c r="H2606" s="651" t="s">
        <v>650</v>
      </c>
      <c r="I2606" s="655"/>
      <c r="J2606" s="655"/>
      <c r="K2606" s="653">
        <v>0</v>
      </c>
      <c r="L2606" s="656">
        <v>33114589.510000002</v>
      </c>
    </row>
    <row r="2607" spans="1:12" ht="21" x14ac:dyDescent="0.25">
      <c r="A2607" s="651" t="s">
        <v>117</v>
      </c>
      <c r="B2607" s="652">
        <v>2021</v>
      </c>
      <c r="C2607" s="651" t="s">
        <v>690</v>
      </c>
      <c r="D2607" s="651" t="s">
        <v>2641</v>
      </c>
      <c r="E2607" s="651" t="s">
        <v>692</v>
      </c>
      <c r="F2607" s="653">
        <v>0</v>
      </c>
      <c r="G2607" s="654"/>
      <c r="H2607" s="651" t="s">
        <v>650</v>
      </c>
      <c r="I2607" s="655"/>
      <c r="J2607" s="655"/>
      <c r="K2607" s="653">
        <v>0</v>
      </c>
      <c r="L2607" s="656">
        <v>0</v>
      </c>
    </row>
    <row r="2608" spans="1:12" ht="21" x14ac:dyDescent="0.25">
      <c r="A2608" s="651" t="s">
        <v>117</v>
      </c>
      <c r="B2608" s="652">
        <v>2021</v>
      </c>
      <c r="C2608" s="651" t="s">
        <v>693</v>
      </c>
      <c r="D2608" s="651" t="s">
        <v>2642</v>
      </c>
      <c r="E2608" s="651" t="s">
        <v>6</v>
      </c>
      <c r="F2608" s="653">
        <v>0</v>
      </c>
      <c r="G2608" s="654"/>
      <c r="H2608" s="651" t="s">
        <v>650</v>
      </c>
      <c r="I2608" s="655"/>
      <c r="J2608" s="655"/>
      <c r="K2608" s="653">
        <v>0</v>
      </c>
      <c r="L2608" s="656">
        <v>0</v>
      </c>
    </row>
    <row r="2609" spans="1:12" ht="31.5" x14ac:dyDescent="0.25">
      <c r="A2609" s="651" t="s">
        <v>117</v>
      </c>
      <c r="B2609" s="652">
        <v>2021</v>
      </c>
      <c r="C2609" s="651" t="s">
        <v>695</v>
      </c>
      <c r="D2609" s="651" t="s">
        <v>2643</v>
      </c>
      <c r="E2609" s="651" t="s">
        <v>697</v>
      </c>
      <c r="F2609" s="653">
        <v>80970.570000000007</v>
      </c>
      <c r="G2609" s="654"/>
      <c r="H2609" s="651" t="s">
        <v>650</v>
      </c>
      <c r="I2609" s="655"/>
      <c r="J2609" s="655"/>
      <c r="K2609" s="653">
        <v>0</v>
      </c>
      <c r="L2609" s="656">
        <v>80970.570000000007</v>
      </c>
    </row>
    <row r="2610" spans="1:12" ht="21" x14ac:dyDescent="0.25">
      <c r="A2610" s="651" t="s">
        <v>117</v>
      </c>
      <c r="B2610" s="652">
        <v>2021</v>
      </c>
      <c r="C2610" s="651" t="s">
        <v>698</v>
      </c>
      <c r="D2610" s="651" t="s">
        <v>2644</v>
      </c>
      <c r="E2610" s="651" t="s">
        <v>700</v>
      </c>
      <c r="F2610" s="653">
        <v>0</v>
      </c>
      <c r="G2610" s="654"/>
      <c r="H2610" s="651" t="s">
        <v>650</v>
      </c>
      <c r="I2610" s="655"/>
      <c r="J2610" s="655"/>
      <c r="K2610" s="653">
        <v>0</v>
      </c>
      <c r="L2610" s="656">
        <v>0</v>
      </c>
    </row>
    <row r="2611" spans="1:12" ht="21" x14ac:dyDescent="0.25">
      <c r="A2611" s="651" t="s">
        <v>117</v>
      </c>
      <c r="B2611" s="652">
        <v>2021</v>
      </c>
      <c r="C2611" s="651" t="s">
        <v>701</v>
      </c>
      <c r="D2611" s="651" t="s">
        <v>2645</v>
      </c>
      <c r="E2611" s="651" t="s">
        <v>1</v>
      </c>
      <c r="F2611" s="653">
        <v>-18614524.670000002</v>
      </c>
      <c r="G2611" s="651" t="s">
        <v>650</v>
      </c>
      <c r="H2611" s="654"/>
      <c r="I2611" s="653">
        <v>-18500150</v>
      </c>
      <c r="J2611" s="653">
        <v>-114375.4375</v>
      </c>
      <c r="K2611" s="653">
        <v>-18614524</v>
      </c>
      <c r="L2611" s="656">
        <v>-18614524.670000002</v>
      </c>
    </row>
    <row r="2612" spans="1:12" ht="21" x14ac:dyDescent="0.25">
      <c r="A2612" s="651" t="s">
        <v>117</v>
      </c>
      <c r="B2612" s="652">
        <v>2021</v>
      </c>
      <c r="C2612" s="651" t="s">
        <v>701</v>
      </c>
      <c r="D2612" s="651" t="s">
        <v>2645</v>
      </c>
      <c r="E2612" s="651" t="s">
        <v>703</v>
      </c>
      <c r="F2612" s="653">
        <v>0</v>
      </c>
      <c r="G2612" s="654"/>
      <c r="H2612" s="654"/>
      <c r="I2612" s="655"/>
      <c r="J2612" s="655"/>
      <c r="K2612" s="653">
        <v>0</v>
      </c>
      <c r="L2612" s="656">
        <v>0</v>
      </c>
    </row>
    <row r="2613" spans="1:12" ht="21" x14ac:dyDescent="0.25">
      <c r="A2613" s="651" t="s">
        <v>117</v>
      </c>
      <c r="B2613" s="652">
        <v>2021</v>
      </c>
      <c r="C2613" s="651" t="s">
        <v>701</v>
      </c>
      <c r="D2613" s="651" t="s">
        <v>2645</v>
      </c>
      <c r="E2613" s="651" t="s">
        <v>704</v>
      </c>
      <c r="F2613" s="653">
        <v>0</v>
      </c>
      <c r="G2613" s="654"/>
      <c r="H2613" s="654"/>
      <c r="I2613" s="655"/>
      <c r="J2613" s="655"/>
      <c r="K2613" s="653">
        <v>0</v>
      </c>
      <c r="L2613" s="656">
        <v>0</v>
      </c>
    </row>
    <row r="2614" spans="1:12" ht="21" x14ac:dyDescent="0.25">
      <c r="A2614" s="651" t="s">
        <v>117</v>
      </c>
      <c r="B2614" s="652">
        <v>2021</v>
      </c>
      <c r="C2614" s="651" t="s">
        <v>701</v>
      </c>
      <c r="D2614" s="651" t="s">
        <v>2645</v>
      </c>
      <c r="E2614" s="651" t="s">
        <v>705</v>
      </c>
      <c r="F2614" s="653">
        <v>49963.77</v>
      </c>
      <c r="G2614" s="654"/>
      <c r="H2614" s="654"/>
      <c r="I2614" s="655"/>
      <c r="J2614" s="655"/>
      <c r="K2614" s="653">
        <v>0</v>
      </c>
      <c r="L2614" s="656">
        <v>49963.77</v>
      </c>
    </row>
    <row r="2615" spans="1:12" ht="21" x14ac:dyDescent="0.25">
      <c r="A2615" s="651" t="s">
        <v>117</v>
      </c>
      <c r="B2615" s="652">
        <v>2021</v>
      </c>
      <c r="C2615" s="651" t="s">
        <v>701</v>
      </c>
      <c r="D2615" s="651" t="s">
        <v>2645</v>
      </c>
      <c r="E2615" s="651" t="s">
        <v>706</v>
      </c>
      <c r="F2615" s="653">
        <v>-2085797.53</v>
      </c>
      <c r="G2615" s="654"/>
      <c r="H2615" s="654"/>
      <c r="I2615" s="655"/>
      <c r="J2615" s="655"/>
      <c r="K2615" s="653">
        <v>0</v>
      </c>
      <c r="L2615" s="656">
        <v>-2085797.53</v>
      </c>
    </row>
    <row r="2616" spans="1:12" ht="21" x14ac:dyDescent="0.25">
      <c r="A2616" s="651" t="s">
        <v>117</v>
      </c>
      <c r="B2616" s="652">
        <v>2021</v>
      </c>
      <c r="C2616" s="651" t="s">
        <v>707</v>
      </c>
      <c r="D2616" s="651" t="s">
        <v>2646</v>
      </c>
      <c r="E2616" s="651" t="s">
        <v>709</v>
      </c>
      <c r="F2616" s="653">
        <v>0</v>
      </c>
      <c r="G2616" s="654"/>
      <c r="H2616" s="651" t="s">
        <v>650</v>
      </c>
      <c r="I2616" s="655"/>
      <c r="J2616" s="655"/>
      <c r="K2616" s="653">
        <v>0</v>
      </c>
      <c r="L2616" s="656">
        <v>0</v>
      </c>
    </row>
    <row r="2617" spans="1:12" ht="31.5" x14ac:dyDescent="0.25">
      <c r="A2617" s="651" t="s">
        <v>117</v>
      </c>
      <c r="B2617" s="652">
        <v>2021</v>
      </c>
      <c r="C2617" s="651" t="s">
        <v>710</v>
      </c>
      <c r="D2617" s="651" t="s">
        <v>2647</v>
      </c>
      <c r="E2617" s="651" t="s">
        <v>2</v>
      </c>
      <c r="F2617" s="653">
        <v>9209642.1999999993</v>
      </c>
      <c r="G2617" s="651" t="s">
        <v>650</v>
      </c>
      <c r="H2617" s="654"/>
      <c r="I2617" s="653">
        <v>9014598</v>
      </c>
      <c r="J2617" s="653">
        <v>195044.09375</v>
      </c>
      <c r="K2617" s="653">
        <v>9209642</v>
      </c>
      <c r="L2617" s="656">
        <v>9209642.1999999993</v>
      </c>
    </row>
    <row r="2618" spans="1:12" ht="31.5" x14ac:dyDescent="0.25">
      <c r="A2618" s="651" t="s">
        <v>117</v>
      </c>
      <c r="B2618" s="652">
        <v>2021</v>
      </c>
      <c r="C2618" s="651" t="s">
        <v>712</v>
      </c>
      <c r="D2618" s="651" t="s">
        <v>2648</v>
      </c>
      <c r="E2618" s="651" t="s">
        <v>3</v>
      </c>
      <c r="F2618" s="653">
        <v>-12701446</v>
      </c>
      <c r="G2618" s="651" t="s">
        <v>650</v>
      </c>
      <c r="H2618" s="654"/>
      <c r="I2618" s="653">
        <v>-12550995</v>
      </c>
      <c r="J2618" s="653">
        <v>-150451.34375</v>
      </c>
      <c r="K2618" s="653">
        <v>-12701446</v>
      </c>
      <c r="L2618" s="656">
        <v>-12701446</v>
      </c>
    </row>
    <row r="2619" spans="1:12" ht="31.5" x14ac:dyDescent="0.25">
      <c r="A2619" s="651" t="s">
        <v>117</v>
      </c>
      <c r="B2619" s="652">
        <v>2021</v>
      </c>
      <c r="C2619" s="651" t="s">
        <v>714</v>
      </c>
      <c r="D2619" s="651" t="s">
        <v>2649</v>
      </c>
      <c r="E2619" s="651" t="s">
        <v>38</v>
      </c>
      <c r="F2619" s="653">
        <v>9734669.3499999996</v>
      </c>
      <c r="G2619" s="651" t="s">
        <v>650</v>
      </c>
      <c r="H2619" s="654"/>
      <c r="I2619" s="653">
        <v>9759905</v>
      </c>
      <c r="J2619" s="653">
        <v>-25235.810546875</v>
      </c>
      <c r="K2619" s="653">
        <v>9734669</v>
      </c>
      <c r="L2619" s="656">
        <v>9734669.3499999996</v>
      </c>
    </row>
    <row r="2620" spans="1:12" ht="21" x14ac:dyDescent="0.25">
      <c r="A2620" s="651" t="s">
        <v>117</v>
      </c>
      <c r="B2620" s="652">
        <v>2021</v>
      </c>
      <c r="C2620" s="651" t="s">
        <v>716</v>
      </c>
      <c r="D2620" s="651" t="s">
        <v>2650</v>
      </c>
      <c r="E2620" s="651" t="s">
        <v>66</v>
      </c>
      <c r="F2620" s="653">
        <v>20295855.77</v>
      </c>
      <c r="G2620" s="651" t="s">
        <v>650</v>
      </c>
      <c r="H2620" s="654"/>
      <c r="I2620" s="653">
        <v>19179366</v>
      </c>
      <c r="J2620" s="653">
        <v>1116490.375</v>
      </c>
      <c r="K2620" s="653">
        <v>20295856</v>
      </c>
      <c r="L2620" s="656">
        <v>20295855.77</v>
      </c>
    </row>
    <row r="2621" spans="1:12" ht="31.5" x14ac:dyDescent="0.25">
      <c r="A2621" s="651" t="s">
        <v>117</v>
      </c>
      <c r="B2621" s="652">
        <v>2021</v>
      </c>
      <c r="C2621" s="651" t="s">
        <v>718</v>
      </c>
      <c r="D2621" s="651" t="s">
        <v>2651</v>
      </c>
      <c r="E2621" s="651" t="s">
        <v>720</v>
      </c>
      <c r="F2621" s="653">
        <v>-21933048.710000001</v>
      </c>
      <c r="G2621" s="654"/>
      <c r="H2621" s="651" t="s">
        <v>650</v>
      </c>
      <c r="I2621" s="655"/>
      <c r="J2621" s="655"/>
      <c r="K2621" s="653">
        <v>0</v>
      </c>
      <c r="L2621" s="656">
        <v>-21933048.710000001</v>
      </c>
    </row>
    <row r="2622" spans="1:12" ht="42" x14ac:dyDescent="0.25">
      <c r="A2622" s="651" t="s">
        <v>117</v>
      </c>
      <c r="B2622" s="652">
        <v>2021</v>
      </c>
      <c r="C2622" s="651" t="s">
        <v>721</v>
      </c>
      <c r="D2622" s="651" t="s">
        <v>2652</v>
      </c>
      <c r="E2622" s="651" t="s">
        <v>3016</v>
      </c>
      <c r="F2622" s="653">
        <v>0</v>
      </c>
      <c r="G2622" s="651" t="s">
        <v>650</v>
      </c>
      <c r="H2622" s="654"/>
      <c r="I2622" s="653">
        <v>-542693.875</v>
      </c>
      <c r="J2622" s="653">
        <v>-77301.4921875</v>
      </c>
      <c r="K2622" s="653">
        <v>-619995.375</v>
      </c>
      <c r="L2622" s="656">
        <v>-619995.35</v>
      </c>
    </row>
    <row r="2623" spans="1:12" ht="42" x14ac:dyDescent="0.25">
      <c r="A2623" s="651" t="s">
        <v>117</v>
      </c>
      <c r="B2623" s="652">
        <v>2021</v>
      </c>
      <c r="C2623" s="651" t="s">
        <v>721</v>
      </c>
      <c r="D2623" s="651" t="s">
        <v>2652</v>
      </c>
      <c r="E2623" s="651" t="s">
        <v>3058</v>
      </c>
      <c r="F2623" s="653">
        <v>0</v>
      </c>
      <c r="G2623" s="651" t="s">
        <v>650</v>
      </c>
      <c r="H2623" s="654"/>
      <c r="I2623" s="653">
        <v>-46495864</v>
      </c>
      <c r="J2623" s="653">
        <v>-712046.9375</v>
      </c>
      <c r="K2623" s="653">
        <v>-47207912</v>
      </c>
      <c r="L2623" s="656">
        <v>-47207912.799999997</v>
      </c>
    </row>
    <row r="2624" spans="1:12" ht="42" x14ac:dyDescent="0.25">
      <c r="A2624" s="651" t="s">
        <v>117</v>
      </c>
      <c r="B2624" s="652">
        <v>2021</v>
      </c>
      <c r="C2624" s="651" t="s">
        <v>721</v>
      </c>
      <c r="D2624" s="651" t="s">
        <v>2653</v>
      </c>
      <c r="E2624" s="651" t="s">
        <v>724</v>
      </c>
      <c r="F2624" s="653">
        <v>0</v>
      </c>
      <c r="G2624" s="651" t="s">
        <v>650</v>
      </c>
      <c r="H2624" s="654"/>
      <c r="I2624" s="655"/>
      <c r="J2624" s="655"/>
      <c r="K2624" s="653">
        <v>0</v>
      </c>
      <c r="L2624" s="656">
        <v>0</v>
      </c>
    </row>
    <row r="2625" spans="1:12" ht="42" x14ac:dyDescent="0.25">
      <c r="A2625" s="651" t="s">
        <v>117</v>
      </c>
      <c r="B2625" s="652">
        <v>2021</v>
      </c>
      <c r="C2625" s="651" t="s">
        <v>721</v>
      </c>
      <c r="D2625" s="651" t="s">
        <v>2654</v>
      </c>
      <c r="E2625" s="651" t="s">
        <v>55</v>
      </c>
      <c r="F2625" s="653">
        <v>0</v>
      </c>
      <c r="G2625" s="651" t="s">
        <v>650</v>
      </c>
      <c r="H2625" s="654"/>
      <c r="I2625" s="655"/>
      <c r="J2625" s="655"/>
      <c r="K2625" s="653">
        <v>0</v>
      </c>
      <c r="L2625" s="656">
        <v>0</v>
      </c>
    </row>
    <row r="2626" spans="1:12" ht="42" x14ac:dyDescent="0.25">
      <c r="A2626" s="651" t="s">
        <v>117</v>
      </c>
      <c r="B2626" s="652">
        <v>2021</v>
      </c>
      <c r="C2626" s="651" t="s">
        <v>721</v>
      </c>
      <c r="D2626" s="651" t="s">
        <v>2655</v>
      </c>
      <c r="E2626" s="651" t="s">
        <v>56</v>
      </c>
      <c r="F2626" s="653">
        <v>0</v>
      </c>
      <c r="G2626" s="651" t="s">
        <v>650</v>
      </c>
      <c r="H2626" s="654"/>
      <c r="I2626" s="655"/>
      <c r="J2626" s="655"/>
      <c r="K2626" s="653">
        <v>0</v>
      </c>
      <c r="L2626" s="656">
        <v>0</v>
      </c>
    </row>
    <row r="2627" spans="1:12" ht="42" x14ac:dyDescent="0.25">
      <c r="A2627" s="651" t="s">
        <v>117</v>
      </c>
      <c r="B2627" s="652">
        <v>2021</v>
      </c>
      <c r="C2627" s="651" t="s">
        <v>721</v>
      </c>
      <c r="D2627" s="651" t="s">
        <v>2656</v>
      </c>
      <c r="E2627" s="651" t="s">
        <v>728</v>
      </c>
      <c r="F2627" s="653">
        <v>0</v>
      </c>
      <c r="G2627" s="651" t="s">
        <v>650</v>
      </c>
      <c r="H2627" s="654"/>
      <c r="I2627" s="655"/>
      <c r="J2627" s="655"/>
      <c r="K2627" s="653">
        <v>0</v>
      </c>
      <c r="L2627" s="656">
        <v>0</v>
      </c>
    </row>
    <row r="2628" spans="1:12" ht="42" x14ac:dyDescent="0.25">
      <c r="A2628" s="651" t="s">
        <v>117</v>
      </c>
      <c r="B2628" s="652">
        <v>2021</v>
      </c>
      <c r="C2628" s="651" t="s">
        <v>721</v>
      </c>
      <c r="D2628" s="651" t="s">
        <v>2657</v>
      </c>
      <c r="E2628" s="651" t="s">
        <v>730</v>
      </c>
      <c r="F2628" s="653">
        <v>0</v>
      </c>
      <c r="G2628" s="651" t="s">
        <v>650</v>
      </c>
      <c r="H2628" s="654"/>
      <c r="I2628" s="655"/>
      <c r="J2628" s="655"/>
      <c r="K2628" s="653">
        <v>0</v>
      </c>
      <c r="L2628" s="656">
        <v>0</v>
      </c>
    </row>
    <row r="2629" spans="1:12" ht="42" x14ac:dyDescent="0.25">
      <c r="A2629" s="651" t="s">
        <v>117</v>
      </c>
      <c r="B2629" s="652">
        <v>2021</v>
      </c>
      <c r="C2629" s="651" t="s">
        <v>721</v>
      </c>
      <c r="D2629" s="651" t="s">
        <v>2658</v>
      </c>
      <c r="E2629" s="651" t="s">
        <v>142</v>
      </c>
      <c r="F2629" s="653">
        <v>0</v>
      </c>
      <c r="G2629" s="651" t="s">
        <v>650</v>
      </c>
      <c r="H2629" s="654"/>
      <c r="I2629" s="655"/>
      <c r="J2629" s="655"/>
      <c r="K2629" s="653">
        <v>0</v>
      </c>
      <c r="L2629" s="656">
        <v>0</v>
      </c>
    </row>
    <row r="2630" spans="1:12" ht="42" x14ac:dyDescent="0.25">
      <c r="A2630" s="651" t="s">
        <v>117</v>
      </c>
      <c r="B2630" s="652">
        <v>2021</v>
      </c>
      <c r="C2630" s="651" t="s">
        <v>721</v>
      </c>
      <c r="D2630" s="651" t="s">
        <v>2659</v>
      </c>
      <c r="E2630" s="651" t="s">
        <v>143</v>
      </c>
      <c r="F2630" s="653">
        <v>0</v>
      </c>
      <c r="G2630" s="651" t="s">
        <v>650</v>
      </c>
      <c r="H2630" s="654"/>
      <c r="I2630" s="655"/>
      <c r="J2630" s="655"/>
      <c r="K2630" s="653">
        <v>0</v>
      </c>
      <c r="L2630" s="656">
        <v>0</v>
      </c>
    </row>
    <row r="2631" spans="1:12" ht="42" x14ac:dyDescent="0.25">
      <c r="A2631" s="651" t="s">
        <v>117</v>
      </c>
      <c r="B2631" s="652">
        <v>2021</v>
      </c>
      <c r="C2631" s="651" t="s">
        <v>721</v>
      </c>
      <c r="D2631" s="651" t="s">
        <v>2660</v>
      </c>
      <c r="E2631" s="651" t="s">
        <v>182</v>
      </c>
      <c r="F2631" s="653">
        <v>0</v>
      </c>
      <c r="G2631" s="651" t="s">
        <v>650</v>
      </c>
      <c r="H2631" s="654"/>
      <c r="I2631" s="655"/>
      <c r="J2631" s="655"/>
      <c r="K2631" s="653">
        <v>0</v>
      </c>
      <c r="L2631" s="656">
        <v>0</v>
      </c>
    </row>
    <row r="2632" spans="1:12" ht="42" x14ac:dyDescent="0.25">
      <c r="A2632" s="651" t="s">
        <v>117</v>
      </c>
      <c r="B2632" s="652">
        <v>2021</v>
      </c>
      <c r="C2632" s="651" t="s">
        <v>721</v>
      </c>
      <c r="D2632" s="651" t="s">
        <v>2661</v>
      </c>
      <c r="E2632" s="651" t="s">
        <v>394</v>
      </c>
      <c r="F2632" s="653">
        <v>0</v>
      </c>
      <c r="G2632" s="651" t="s">
        <v>650</v>
      </c>
      <c r="H2632" s="654"/>
      <c r="I2632" s="653">
        <v>1318833.875</v>
      </c>
      <c r="J2632" s="653">
        <v>-467683.875</v>
      </c>
      <c r="K2632" s="653">
        <v>851150</v>
      </c>
      <c r="L2632" s="656">
        <v>851149.97</v>
      </c>
    </row>
    <row r="2633" spans="1:12" ht="42" x14ac:dyDescent="0.25">
      <c r="A2633" s="651" t="s">
        <v>117</v>
      </c>
      <c r="B2633" s="652">
        <v>2021</v>
      </c>
      <c r="C2633" s="651" t="s">
        <v>721</v>
      </c>
      <c r="D2633" s="651" t="s">
        <v>2662</v>
      </c>
      <c r="E2633" s="651" t="s">
        <v>423</v>
      </c>
      <c r="F2633" s="653">
        <v>0</v>
      </c>
      <c r="G2633" s="651" t="s">
        <v>650</v>
      </c>
      <c r="H2633" s="654"/>
      <c r="I2633" s="653">
        <v>141711.203125</v>
      </c>
      <c r="J2633" s="653">
        <v>33239.80078125</v>
      </c>
      <c r="K2633" s="653">
        <v>174951</v>
      </c>
      <c r="L2633" s="656">
        <v>174951</v>
      </c>
    </row>
    <row r="2634" spans="1:12" ht="42" x14ac:dyDescent="0.25">
      <c r="A2634" s="651" t="s">
        <v>117</v>
      </c>
      <c r="B2634" s="652">
        <v>2021</v>
      </c>
      <c r="C2634" s="651" t="s">
        <v>721</v>
      </c>
      <c r="D2634" s="651" t="s">
        <v>3329</v>
      </c>
      <c r="E2634" s="651" t="s">
        <v>441</v>
      </c>
      <c r="F2634" s="653">
        <v>0</v>
      </c>
      <c r="G2634" s="651" t="s">
        <v>650</v>
      </c>
      <c r="H2634" s="654"/>
      <c r="I2634" s="653">
        <v>-117494.84375</v>
      </c>
      <c r="J2634" s="653">
        <v>-815769</v>
      </c>
      <c r="K2634" s="653">
        <v>-933263.875</v>
      </c>
      <c r="L2634" s="656">
        <v>-933263.85</v>
      </c>
    </row>
    <row r="2635" spans="1:12" ht="42" x14ac:dyDescent="0.25">
      <c r="A2635" s="651" t="s">
        <v>117</v>
      </c>
      <c r="B2635" s="652">
        <v>2021</v>
      </c>
      <c r="C2635" s="651" t="s">
        <v>721</v>
      </c>
      <c r="D2635" s="651" t="s">
        <v>2663</v>
      </c>
      <c r="E2635" s="651" t="s">
        <v>737</v>
      </c>
      <c r="F2635" s="653">
        <v>-47735071.030000001</v>
      </c>
      <c r="G2635" s="654"/>
      <c r="H2635" s="654"/>
      <c r="I2635" s="655"/>
      <c r="J2635" s="655"/>
      <c r="K2635" s="653">
        <v>0</v>
      </c>
      <c r="L2635" s="656">
        <v>-47735071.030000001</v>
      </c>
    </row>
    <row r="2636" spans="1:12" ht="21" x14ac:dyDescent="0.25">
      <c r="A2636" s="651" t="s">
        <v>117</v>
      </c>
      <c r="B2636" s="652">
        <v>2021</v>
      </c>
      <c r="C2636" s="651" t="s">
        <v>738</v>
      </c>
      <c r="D2636" s="651" t="s">
        <v>2664</v>
      </c>
      <c r="E2636" s="651" t="s">
        <v>7</v>
      </c>
      <c r="F2636" s="653">
        <v>0</v>
      </c>
      <c r="G2636" s="654"/>
      <c r="H2636" s="651" t="s">
        <v>650</v>
      </c>
      <c r="I2636" s="655"/>
      <c r="J2636" s="655"/>
      <c r="K2636" s="653">
        <v>0</v>
      </c>
      <c r="L2636" s="656">
        <v>0</v>
      </c>
    </row>
    <row r="2637" spans="1:12" ht="21" x14ac:dyDescent="0.25">
      <c r="A2637" s="651" t="s">
        <v>118</v>
      </c>
      <c r="B2637" s="652">
        <v>2021</v>
      </c>
      <c r="C2637" s="651" t="s">
        <v>647</v>
      </c>
      <c r="D2637" s="651" t="s">
        <v>2665</v>
      </c>
      <c r="E2637" s="651" t="s">
        <v>649</v>
      </c>
      <c r="F2637" s="653">
        <v>-103322.97</v>
      </c>
      <c r="G2637" s="654"/>
      <c r="H2637" s="651" t="s">
        <v>650</v>
      </c>
      <c r="I2637" s="655"/>
      <c r="J2637" s="655"/>
      <c r="K2637" s="653">
        <v>0</v>
      </c>
      <c r="L2637" s="656">
        <v>-103322.97</v>
      </c>
    </row>
    <row r="2638" spans="1:12" ht="14.5" x14ac:dyDescent="0.25">
      <c r="A2638" s="651" t="s">
        <v>118</v>
      </c>
      <c r="B2638" s="652">
        <v>2021</v>
      </c>
      <c r="C2638" s="651" t="s">
        <v>651</v>
      </c>
      <c r="D2638" s="651" t="s">
        <v>2666</v>
      </c>
      <c r="E2638" s="651" t="s">
        <v>653</v>
      </c>
      <c r="F2638" s="653">
        <v>0</v>
      </c>
      <c r="G2638" s="654"/>
      <c r="H2638" s="651" t="s">
        <v>650</v>
      </c>
      <c r="I2638" s="655"/>
      <c r="J2638" s="655"/>
      <c r="K2638" s="653">
        <v>0</v>
      </c>
      <c r="L2638" s="656">
        <v>0</v>
      </c>
    </row>
    <row r="2639" spans="1:12" ht="42" x14ac:dyDescent="0.25">
      <c r="A2639" s="651" t="s">
        <v>118</v>
      </c>
      <c r="B2639" s="652">
        <v>2021</v>
      </c>
      <c r="C2639" s="651" t="s">
        <v>654</v>
      </c>
      <c r="D2639" s="651" t="s">
        <v>2667</v>
      </c>
      <c r="E2639" s="651" t="s">
        <v>445</v>
      </c>
      <c r="F2639" s="653">
        <v>0</v>
      </c>
      <c r="G2639" s="654"/>
      <c r="H2639" s="651" t="s">
        <v>650</v>
      </c>
      <c r="I2639" s="655"/>
      <c r="J2639" s="655"/>
      <c r="K2639" s="653">
        <v>0</v>
      </c>
      <c r="L2639" s="656">
        <v>0</v>
      </c>
    </row>
    <row r="2640" spans="1:12" ht="21" x14ac:dyDescent="0.25">
      <c r="A2640" s="651" t="s">
        <v>118</v>
      </c>
      <c r="B2640" s="652">
        <v>2021</v>
      </c>
      <c r="C2640" s="651" t="s">
        <v>656</v>
      </c>
      <c r="D2640" s="651" t="s">
        <v>2668</v>
      </c>
      <c r="E2640" s="651" t="s">
        <v>658</v>
      </c>
      <c r="F2640" s="653">
        <v>0</v>
      </c>
      <c r="G2640" s="654"/>
      <c r="H2640" s="651" t="s">
        <v>650</v>
      </c>
      <c r="I2640" s="655"/>
      <c r="J2640" s="655"/>
      <c r="K2640" s="653">
        <v>0</v>
      </c>
      <c r="L2640" s="656">
        <v>0</v>
      </c>
    </row>
    <row r="2641" spans="1:12" ht="31.5" x14ac:dyDescent="0.25">
      <c r="A2641" s="651" t="s">
        <v>118</v>
      </c>
      <c r="B2641" s="652">
        <v>2021</v>
      </c>
      <c r="C2641" s="651" t="s">
        <v>659</v>
      </c>
      <c r="D2641" s="651" t="s">
        <v>2669</v>
      </c>
      <c r="E2641" s="651" t="s">
        <v>661</v>
      </c>
      <c r="F2641" s="653">
        <v>0</v>
      </c>
      <c r="G2641" s="654"/>
      <c r="H2641" s="651" t="s">
        <v>650</v>
      </c>
      <c r="I2641" s="655"/>
      <c r="J2641" s="655"/>
      <c r="K2641" s="653">
        <v>0</v>
      </c>
      <c r="L2641" s="656">
        <v>0</v>
      </c>
    </row>
    <row r="2642" spans="1:12" ht="21" x14ac:dyDescent="0.25">
      <c r="A2642" s="651" t="s">
        <v>118</v>
      </c>
      <c r="B2642" s="652">
        <v>2021</v>
      </c>
      <c r="C2642" s="651" t="s">
        <v>662</v>
      </c>
      <c r="D2642" s="651" t="s">
        <v>2670</v>
      </c>
      <c r="E2642" s="651" t="s">
        <v>664</v>
      </c>
      <c r="F2642" s="653">
        <v>0</v>
      </c>
      <c r="G2642" s="654"/>
      <c r="H2642" s="651" t="s">
        <v>650</v>
      </c>
      <c r="I2642" s="655"/>
      <c r="J2642" s="655"/>
      <c r="K2642" s="653">
        <v>0</v>
      </c>
      <c r="L2642" s="656">
        <v>0</v>
      </c>
    </row>
    <row r="2643" spans="1:12" ht="31.5" x14ac:dyDescent="0.25">
      <c r="A2643" s="651" t="s">
        <v>118</v>
      </c>
      <c r="B2643" s="652">
        <v>2021</v>
      </c>
      <c r="C2643" s="651" t="s">
        <v>665</v>
      </c>
      <c r="D2643" s="651" t="s">
        <v>2671</v>
      </c>
      <c r="E2643" s="651" t="s">
        <v>667</v>
      </c>
      <c r="F2643" s="653">
        <v>0</v>
      </c>
      <c r="G2643" s="654"/>
      <c r="H2643" s="651" t="s">
        <v>650</v>
      </c>
      <c r="I2643" s="655"/>
      <c r="J2643" s="655"/>
      <c r="K2643" s="653">
        <v>0</v>
      </c>
      <c r="L2643" s="656">
        <v>0</v>
      </c>
    </row>
    <row r="2644" spans="1:12" ht="21" x14ac:dyDescent="0.25">
      <c r="A2644" s="651" t="s">
        <v>118</v>
      </c>
      <c r="B2644" s="652">
        <v>2021</v>
      </c>
      <c r="C2644" s="651" t="s">
        <v>668</v>
      </c>
      <c r="D2644" s="651" t="s">
        <v>2672</v>
      </c>
      <c r="E2644" s="651" t="s">
        <v>12</v>
      </c>
      <c r="F2644" s="653">
        <v>0</v>
      </c>
      <c r="G2644" s="654"/>
      <c r="H2644" s="651" t="s">
        <v>650</v>
      </c>
      <c r="I2644" s="655"/>
      <c r="J2644" s="655"/>
      <c r="K2644" s="653">
        <v>0</v>
      </c>
      <c r="L2644" s="656">
        <v>0</v>
      </c>
    </row>
    <row r="2645" spans="1:12" ht="21" x14ac:dyDescent="0.25">
      <c r="A2645" s="651" t="s">
        <v>118</v>
      </c>
      <c r="B2645" s="652">
        <v>2021</v>
      </c>
      <c r="C2645" s="651" t="s">
        <v>670</v>
      </c>
      <c r="D2645" s="651" t="s">
        <v>2673</v>
      </c>
      <c r="E2645" s="651" t="s">
        <v>13</v>
      </c>
      <c r="F2645" s="653">
        <v>0</v>
      </c>
      <c r="G2645" s="654"/>
      <c r="H2645" s="651" t="s">
        <v>650</v>
      </c>
      <c r="I2645" s="655"/>
      <c r="J2645" s="655"/>
      <c r="K2645" s="653">
        <v>0</v>
      </c>
      <c r="L2645" s="656">
        <v>0</v>
      </c>
    </row>
    <row r="2646" spans="1:12" ht="21" x14ac:dyDescent="0.25">
      <c r="A2646" s="651" t="s">
        <v>118</v>
      </c>
      <c r="B2646" s="652">
        <v>2021</v>
      </c>
      <c r="C2646" s="651" t="s">
        <v>672</v>
      </c>
      <c r="D2646" s="651" t="s">
        <v>2674</v>
      </c>
      <c r="E2646" s="651" t="s">
        <v>15</v>
      </c>
      <c r="F2646" s="653">
        <v>0</v>
      </c>
      <c r="G2646" s="654"/>
      <c r="H2646" s="651" t="s">
        <v>650</v>
      </c>
      <c r="I2646" s="655"/>
      <c r="J2646" s="655"/>
      <c r="K2646" s="653">
        <v>0</v>
      </c>
      <c r="L2646" s="656">
        <v>0</v>
      </c>
    </row>
    <row r="2647" spans="1:12" ht="14.5" x14ac:dyDescent="0.25">
      <c r="A2647" s="651" t="s">
        <v>118</v>
      </c>
      <c r="B2647" s="652">
        <v>2021</v>
      </c>
      <c r="C2647" s="651" t="s">
        <v>674</v>
      </c>
      <c r="D2647" s="651" t="s">
        <v>2675</v>
      </c>
      <c r="E2647" s="651" t="s">
        <v>676</v>
      </c>
      <c r="F2647" s="653">
        <v>0</v>
      </c>
      <c r="G2647" s="654"/>
      <c r="H2647" s="651" t="s">
        <v>650</v>
      </c>
      <c r="I2647" s="655"/>
      <c r="J2647" s="655"/>
      <c r="K2647" s="653">
        <v>0</v>
      </c>
      <c r="L2647" s="656">
        <v>0</v>
      </c>
    </row>
    <row r="2648" spans="1:12" ht="14.5" x14ac:dyDescent="0.25">
      <c r="A2648" s="651" t="s">
        <v>118</v>
      </c>
      <c r="B2648" s="652">
        <v>2021</v>
      </c>
      <c r="C2648" s="651" t="s">
        <v>677</v>
      </c>
      <c r="D2648" s="651" t="s">
        <v>2676</v>
      </c>
      <c r="E2648" s="651" t="s">
        <v>23</v>
      </c>
      <c r="F2648" s="653">
        <v>831821.03</v>
      </c>
      <c r="G2648" s="651" t="s">
        <v>650</v>
      </c>
      <c r="H2648" s="654"/>
      <c r="I2648" s="653">
        <v>817537.625</v>
      </c>
      <c r="J2648" s="653">
        <v>14283.419921875</v>
      </c>
      <c r="K2648" s="653">
        <v>831821</v>
      </c>
      <c r="L2648" s="656">
        <v>831821.03</v>
      </c>
    </row>
    <row r="2649" spans="1:12" ht="31.5" x14ac:dyDescent="0.25">
      <c r="A2649" s="651" t="s">
        <v>118</v>
      </c>
      <c r="B2649" s="652">
        <v>2021</v>
      </c>
      <c r="C2649" s="651" t="s">
        <v>679</v>
      </c>
      <c r="D2649" s="651" t="s">
        <v>2677</v>
      </c>
      <c r="E2649" s="651" t="s">
        <v>131</v>
      </c>
      <c r="F2649" s="653">
        <v>-24673.14</v>
      </c>
      <c r="G2649" s="651" t="s">
        <v>650</v>
      </c>
      <c r="H2649" s="654"/>
      <c r="I2649" s="653">
        <v>-23764.2109375</v>
      </c>
      <c r="J2649" s="653">
        <v>-908.92999267578102</v>
      </c>
      <c r="K2649" s="653">
        <v>-24673.140625</v>
      </c>
      <c r="L2649" s="656">
        <v>-24673.14</v>
      </c>
    </row>
    <row r="2650" spans="1:12" ht="31.5" x14ac:dyDescent="0.25">
      <c r="A2650" s="651" t="s">
        <v>118</v>
      </c>
      <c r="B2650" s="652">
        <v>2021</v>
      </c>
      <c r="C2650" s="651" t="s">
        <v>681</v>
      </c>
      <c r="D2650" s="651" t="s">
        <v>2678</v>
      </c>
      <c r="E2650" s="651" t="s">
        <v>683</v>
      </c>
      <c r="F2650" s="653">
        <v>0</v>
      </c>
      <c r="G2650" s="654"/>
      <c r="H2650" s="651" t="s">
        <v>650</v>
      </c>
      <c r="I2650" s="655"/>
      <c r="J2650" s="655"/>
      <c r="K2650" s="653">
        <v>0</v>
      </c>
      <c r="L2650" s="656">
        <v>0</v>
      </c>
    </row>
    <row r="2651" spans="1:12" ht="21" x14ac:dyDescent="0.25">
      <c r="A2651" s="651" t="s">
        <v>118</v>
      </c>
      <c r="B2651" s="652">
        <v>2021</v>
      </c>
      <c r="C2651" s="651" t="s">
        <v>681</v>
      </c>
      <c r="D2651" s="651" t="s">
        <v>2678</v>
      </c>
      <c r="E2651" s="651" t="s">
        <v>684</v>
      </c>
      <c r="F2651" s="653">
        <v>0</v>
      </c>
      <c r="G2651" s="654"/>
      <c r="H2651" s="651" t="s">
        <v>650</v>
      </c>
      <c r="I2651" s="655"/>
      <c r="J2651" s="655"/>
      <c r="K2651" s="653">
        <v>0</v>
      </c>
      <c r="L2651" s="656">
        <v>0</v>
      </c>
    </row>
    <row r="2652" spans="1:12" ht="21" x14ac:dyDescent="0.25">
      <c r="A2652" s="651" t="s">
        <v>118</v>
      </c>
      <c r="B2652" s="652">
        <v>2021</v>
      </c>
      <c r="C2652" s="651" t="s">
        <v>685</v>
      </c>
      <c r="D2652" s="651" t="s">
        <v>2679</v>
      </c>
      <c r="E2652" s="651" t="s">
        <v>687</v>
      </c>
      <c r="F2652" s="653">
        <v>0</v>
      </c>
      <c r="G2652" s="654"/>
      <c r="H2652" s="651" t="s">
        <v>650</v>
      </c>
      <c r="I2652" s="655"/>
      <c r="J2652" s="655"/>
      <c r="K2652" s="653">
        <v>0</v>
      </c>
      <c r="L2652" s="656">
        <v>0</v>
      </c>
    </row>
    <row r="2653" spans="1:12" ht="14.5" x14ac:dyDescent="0.25">
      <c r="A2653" s="651" t="s">
        <v>118</v>
      </c>
      <c r="B2653" s="652">
        <v>2021</v>
      </c>
      <c r="C2653" s="651" t="s">
        <v>688</v>
      </c>
      <c r="D2653" s="651" t="s">
        <v>2680</v>
      </c>
      <c r="E2653" s="651" t="s">
        <v>50</v>
      </c>
      <c r="F2653" s="653">
        <v>46177.79</v>
      </c>
      <c r="G2653" s="654"/>
      <c r="H2653" s="651" t="s">
        <v>650</v>
      </c>
      <c r="I2653" s="655"/>
      <c r="J2653" s="655"/>
      <c r="K2653" s="653">
        <v>0</v>
      </c>
      <c r="L2653" s="656">
        <v>46177.79</v>
      </c>
    </row>
    <row r="2654" spans="1:12" ht="21" x14ac:dyDescent="0.25">
      <c r="A2654" s="651" t="s">
        <v>118</v>
      </c>
      <c r="B2654" s="652">
        <v>2021</v>
      </c>
      <c r="C2654" s="651" t="s">
        <v>690</v>
      </c>
      <c r="D2654" s="651" t="s">
        <v>2681</v>
      </c>
      <c r="E2654" s="651" t="s">
        <v>692</v>
      </c>
      <c r="F2654" s="653">
        <v>0</v>
      </c>
      <c r="G2654" s="654"/>
      <c r="H2654" s="651" t="s">
        <v>650</v>
      </c>
      <c r="I2654" s="655"/>
      <c r="J2654" s="655"/>
      <c r="K2654" s="653">
        <v>0</v>
      </c>
      <c r="L2654" s="656">
        <v>0</v>
      </c>
    </row>
    <row r="2655" spans="1:12" ht="21" x14ac:dyDescent="0.25">
      <c r="A2655" s="651" t="s">
        <v>118</v>
      </c>
      <c r="B2655" s="652">
        <v>2021</v>
      </c>
      <c r="C2655" s="651" t="s">
        <v>693</v>
      </c>
      <c r="D2655" s="651" t="s">
        <v>2682</v>
      </c>
      <c r="E2655" s="651" t="s">
        <v>6</v>
      </c>
      <c r="F2655" s="653">
        <v>0</v>
      </c>
      <c r="G2655" s="654"/>
      <c r="H2655" s="651" t="s">
        <v>650</v>
      </c>
      <c r="I2655" s="655"/>
      <c r="J2655" s="655"/>
      <c r="K2655" s="653">
        <v>0</v>
      </c>
      <c r="L2655" s="656">
        <v>0</v>
      </c>
    </row>
    <row r="2656" spans="1:12" ht="31.5" x14ac:dyDescent="0.25">
      <c r="A2656" s="651" t="s">
        <v>118</v>
      </c>
      <c r="B2656" s="652">
        <v>2021</v>
      </c>
      <c r="C2656" s="651" t="s">
        <v>695</v>
      </c>
      <c r="D2656" s="651" t="s">
        <v>2683</v>
      </c>
      <c r="E2656" s="651" t="s">
        <v>697</v>
      </c>
      <c r="F2656" s="653">
        <v>0</v>
      </c>
      <c r="G2656" s="654"/>
      <c r="H2656" s="651" t="s">
        <v>650</v>
      </c>
      <c r="I2656" s="655"/>
      <c r="J2656" s="655"/>
      <c r="K2656" s="653">
        <v>0</v>
      </c>
      <c r="L2656" s="656">
        <v>0</v>
      </c>
    </row>
    <row r="2657" spans="1:12" ht="21" x14ac:dyDescent="0.25">
      <c r="A2657" s="651" t="s">
        <v>118</v>
      </c>
      <c r="B2657" s="652">
        <v>2021</v>
      </c>
      <c r="C2657" s="651" t="s">
        <v>698</v>
      </c>
      <c r="D2657" s="651" t="s">
        <v>2684</v>
      </c>
      <c r="E2657" s="651" t="s">
        <v>700</v>
      </c>
      <c r="F2657" s="653">
        <v>0</v>
      </c>
      <c r="G2657" s="654"/>
      <c r="H2657" s="651" t="s">
        <v>650</v>
      </c>
      <c r="I2657" s="655"/>
      <c r="J2657" s="655"/>
      <c r="K2657" s="653">
        <v>0</v>
      </c>
      <c r="L2657" s="656">
        <v>0</v>
      </c>
    </row>
    <row r="2658" spans="1:12" ht="21" x14ac:dyDescent="0.25">
      <c r="A2658" s="651" t="s">
        <v>118</v>
      </c>
      <c r="B2658" s="652">
        <v>2021</v>
      </c>
      <c r="C2658" s="651" t="s">
        <v>701</v>
      </c>
      <c r="D2658" s="651" t="s">
        <v>2685</v>
      </c>
      <c r="E2658" s="651" t="s">
        <v>1</v>
      </c>
      <c r="F2658" s="653">
        <v>-135511.51</v>
      </c>
      <c r="G2658" s="651" t="s">
        <v>650</v>
      </c>
      <c r="H2658" s="654"/>
      <c r="I2658" s="653">
        <v>-132779.96875</v>
      </c>
      <c r="J2658" s="653">
        <v>-2731.5400390625</v>
      </c>
      <c r="K2658" s="653">
        <v>-135511.515625</v>
      </c>
      <c r="L2658" s="656">
        <v>-135511.51</v>
      </c>
    </row>
    <row r="2659" spans="1:12" ht="21" x14ac:dyDescent="0.25">
      <c r="A2659" s="651" t="s">
        <v>118</v>
      </c>
      <c r="B2659" s="652">
        <v>2021</v>
      </c>
      <c r="C2659" s="651" t="s">
        <v>701</v>
      </c>
      <c r="D2659" s="651" t="s">
        <v>2685</v>
      </c>
      <c r="E2659" s="651" t="s">
        <v>703</v>
      </c>
      <c r="F2659" s="653">
        <v>0</v>
      </c>
      <c r="G2659" s="654"/>
      <c r="H2659" s="654"/>
      <c r="I2659" s="655"/>
      <c r="J2659" s="655"/>
      <c r="K2659" s="653">
        <v>0</v>
      </c>
      <c r="L2659" s="656">
        <v>0</v>
      </c>
    </row>
    <row r="2660" spans="1:12" ht="21" x14ac:dyDescent="0.25">
      <c r="A2660" s="651" t="s">
        <v>118</v>
      </c>
      <c r="B2660" s="652">
        <v>2021</v>
      </c>
      <c r="C2660" s="651" t="s">
        <v>701</v>
      </c>
      <c r="D2660" s="651" t="s">
        <v>2685</v>
      </c>
      <c r="E2660" s="651" t="s">
        <v>704</v>
      </c>
      <c r="F2660" s="653">
        <v>0</v>
      </c>
      <c r="G2660" s="654"/>
      <c r="H2660" s="654"/>
      <c r="I2660" s="655"/>
      <c r="J2660" s="655"/>
      <c r="K2660" s="653">
        <v>0</v>
      </c>
      <c r="L2660" s="656">
        <v>0</v>
      </c>
    </row>
    <row r="2661" spans="1:12" ht="21" x14ac:dyDescent="0.25">
      <c r="A2661" s="651" t="s">
        <v>118</v>
      </c>
      <c r="B2661" s="652">
        <v>2021</v>
      </c>
      <c r="C2661" s="651" t="s">
        <v>701</v>
      </c>
      <c r="D2661" s="651" t="s">
        <v>2685</v>
      </c>
      <c r="E2661" s="651" t="s">
        <v>705</v>
      </c>
      <c r="F2661" s="653">
        <v>-343.38</v>
      </c>
      <c r="G2661" s="654"/>
      <c r="H2661" s="654"/>
      <c r="I2661" s="655"/>
      <c r="J2661" s="655"/>
      <c r="K2661" s="653">
        <v>0</v>
      </c>
      <c r="L2661" s="656">
        <v>-343.38</v>
      </c>
    </row>
    <row r="2662" spans="1:12" ht="21" x14ac:dyDescent="0.25">
      <c r="A2662" s="651" t="s">
        <v>118</v>
      </c>
      <c r="B2662" s="652">
        <v>2021</v>
      </c>
      <c r="C2662" s="651" t="s">
        <v>701</v>
      </c>
      <c r="D2662" s="651" t="s">
        <v>2685</v>
      </c>
      <c r="E2662" s="651" t="s">
        <v>706</v>
      </c>
      <c r="F2662" s="653">
        <v>-20188.04</v>
      </c>
      <c r="G2662" s="654"/>
      <c r="H2662" s="654"/>
      <c r="I2662" s="655"/>
      <c r="J2662" s="655"/>
      <c r="K2662" s="653">
        <v>0</v>
      </c>
      <c r="L2662" s="656">
        <v>-20188.04</v>
      </c>
    </row>
    <row r="2663" spans="1:12" ht="14.5" x14ac:dyDescent="0.25">
      <c r="A2663" s="651" t="s">
        <v>118</v>
      </c>
      <c r="B2663" s="652">
        <v>2021</v>
      </c>
      <c r="C2663" s="651" t="s">
        <v>707</v>
      </c>
      <c r="D2663" s="651" t="s">
        <v>2686</v>
      </c>
      <c r="E2663" s="651" t="s">
        <v>709</v>
      </c>
      <c r="F2663" s="653">
        <v>0</v>
      </c>
      <c r="G2663" s="654"/>
      <c r="H2663" s="651" t="s">
        <v>650</v>
      </c>
      <c r="I2663" s="655"/>
      <c r="J2663" s="655"/>
      <c r="K2663" s="653">
        <v>0</v>
      </c>
      <c r="L2663" s="656">
        <v>0</v>
      </c>
    </row>
    <row r="2664" spans="1:12" ht="31.5" x14ac:dyDescent="0.25">
      <c r="A2664" s="651" t="s">
        <v>118</v>
      </c>
      <c r="B2664" s="652">
        <v>2021</v>
      </c>
      <c r="C2664" s="651" t="s">
        <v>710</v>
      </c>
      <c r="D2664" s="651" t="s">
        <v>2687</v>
      </c>
      <c r="E2664" s="651" t="s">
        <v>2</v>
      </c>
      <c r="F2664" s="653">
        <v>121121.15</v>
      </c>
      <c r="G2664" s="651" t="s">
        <v>650</v>
      </c>
      <c r="H2664" s="654"/>
      <c r="I2664" s="653">
        <v>118725.609375</v>
      </c>
      <c r="J2664" s="653">
        <v>2395.5400390625</v>
      </c>
      <c r="K2664" s="653">
        <v>121121.1484375</v>
      </c>
      <c r="L2664" s="656">
        <v>121121.15</v>
      </c>
    </row>
    <row r="2665" spans="1:12" ht="31.5" x14ac:dyDescent="0.25">
      <c r="A2665" s="651" t="s">
        <v>118</v>
      </c>
      <c r="B2665" s="652">
        <v>2021</v>
      </c>
      <c r="C2665" s="651" t="s">
        <v>712</v>
      </c>
      <c r="D2665" s="651" t="s">
        <v>2688</v>
      </c>
      <c r="E2665" s="651" t="s">
        <v>3</v>
      </c>
      <c r="F2665" s="653">
        <v>126532.56</v>
      </c>
      <c r="G2665" s="651" t="s">
        <v>650</v>
      </c>
      <c r="H2665" s="654"/>
      <c r="I2665" s="653">
        <v>126295.0625</v>
      </c>
      <c r="J2665" s="653">
        <v>237.5</v>
      </c>
      <c r="K2665" s="653">
        <v>126532.5625</v>
      </c>
      <c r="L2665" s="656">
        <v>126532.56</v>
      </c>
    </row>
    <row r="2666" spans="1:12" ht="31.5" x14ac:dyDescent="0.25">
      <c r="A2666" s="651" t="s">
        <v>118</v>
      </c>
      <c r="B2666" s="652">
        <v>2021</v>
      </c>
      <c r="C2666" s="651" t="s">
        <v>714</v>
      </c>
      <c r="D2666" s="651" t="s">
        <v>2689</v>
      </c>
      <c r="E2666" s="651" t="s">
        <v>38</v>
      </c>
      <c r="F2666" s="653">
        <v>-2074.23</v>
      </c>
      <c r="G2666" s="651" t="s">
        <v>650</v>
      </c>
      <c r="H2666" s="654"/>
      <c r="I2666" s="653">
        <v>4194.39990234375</v>
      </c>
      <c r="J2666" s="653">
        <v>-6268.6298828125</v>
      </c>
      <c r="K2666" s="653">
        <v>-2074.22998046875</v>
      </c>
      <c r="L2666" s="656">
        <v>-2074.23</v>
      </c>
    </row>
    <row r="2667" spans="1:12" ht="21" x14ac:dyDescent="0.25">
      <c r="A2667" s="651" t="s">
        <v>118</v>
      </c>
      <c r="B2667" s="652">
        <v>2021</v>
      </c>
      <c r="C2667" s="651" t="s">
        <v>716</v>
      </c>
      <c r="D2667" s="651" t="s">
        <v>2690</v>
      </c>
      <c r="E2667" s="651" t="s">
        <v>66</v>
      </c>
      <c r="F2667" s="653">
        <v>40480.17</v>
      </c>
      <c r="G2667" s="651" t="s">
        <v>650</v>
      </c>
      <c r="H2667" s="654"/>
      <c r="I2667" s="653">
        <v>39132.44140625</v>
      </c>
      <c r="J2667" s="653">
        <v>1347.72998046875</v>
      </c>
      <c r="K2667" s="653">
        <v>40480.171875</v>
      </c>
      <c r="L2667" s="656">
        <v>40480.17</v>
      </c>
    </row>
    <row r="2668" spans="1:12" ht="31.5" x14ac:dyDescent="0.25">
      <c r="A2668" s="651" t="s">
        <v>118</v>
      </c>
      <c r="B2668" s="652">
        <v>2021</v>
      </c>
      <c r="C2668" s="651" t="s">
        <v>718</v>
      </c>
      <c r="D2668" s="651" t="s">
        <v>2691</v>
      </c>
      <c r="E2668" s="651" t="s">
        <v>720</v>
      </c>
      <c r="F2668" s="653">
        <v>0</v>
      </c>
      <c r="G2668" s="654"/>
      <c r="H2668" s="651" t="s">
        <v>650</v>
      </c>
      <c r="I2668" s="655"/>
      <c r="J2668" s="655"/>
      <c r="K2668" s="653">
        <v>0</v>
      </c>
      <c r="L2668" s="656">
        <v>0</v>
      </c>
    </row>
    <row r="2669" spans="1:12" ht="42" x14ac:dyDescent="0.25">
      <c r="A2669" s="651" t="s">
        <v>118</v>
      </c>
      <c r="B2669" s="652">
        <v>2021</v>
      </c>
      <c r="C2669" s="651" t="s">
        <v>721</v>
      </c>
      <c r="D2669" s="651" t="s">
        <v>2692</v>
      </c>
      <c r="E2669" s="651" t="s">
        <v>3016</v>
      </c>
      <c r="F2669" s="653">
        <v>0</v>
      </c>
      <c r="G2669" s="651" t="s">
        <v>650</v>
      </c>
      <c r="H2669" s="654"/>
      <c r="I2669" s="653">
        <v>-99614.9765625</v>
      </c>
      <c r="J2669" s="653">
        <v>53244.2109375</v>
      </c>
      <c r="K2669" s="653">
        <v>-46370.76953125</v>
      </c>
      <c r="L2669" s="656">
        <v>-46370.77</v>
      </c>
    </row>
    <row r="2670" spans="1:12" ht="42" x14ac:dyDescent="0.25">
      <c r="A2670" s="651" t="s">
        <v>118</v>
      </c>
      <c r="B2670" s="652">
        <v>2021</v>
      </c>
      <c r="C2670" s="651" t="s">
        <v>721</v>
      </c>
      <c r="D2670" s="651" t="s">
        <v>2692</v>
      </c>
      <c r="E2670" s="651" t="s">
        <v>3058</v>
      </c>
      <c r="F2670" s="653">
        <v>0</v>
      </c>
      <c r="G2670" s="651" t="s">
        <v>650</v>
      </c>
      <c r="H2670" s="654"/>
      <c r="I2670" s="653">
        <v>-4213</v>
      </c>
      <c r="J2670" s="653">
        <v>-107.26999664306599</v>
      </c>
      <c r="K2670" s="653">
        <v>-4320.27001953125</v>
      </c>
      <c r="L2670" s="656">
        <v>-4320.2700000000004</v>
      </c>
    </row>
    <row r="2671" spans="1:12" ht="42" x14ac:dyDescent="0.25">
      <c r="A2671" s="651" t="s">
        <v>118</v>
      </c>
      <c r="B2671" s="652">
        <v>2021</v>
      </c>
      <c r="C2671" s="651" t="s">
        <v>721</v>
      </c>
      <c r="D2671" s="651" t="s">
        <v>2693</v>
      </c>
      <c r="E2671" s="651" t="s">
        <v>724</v>
      </c>
      <c r="F2671" s="653">
        <v>0</v>
      </c>
      <c r="G2671" s="651" t="s">
        <v>650</v>
      </c>
      <c r="H2671" s="654"/>
      <c r="I2671" s="655"/>
      <c r="J2671" s="655"/>
      <c r="K2671" s="653">
        <v>0</v>
      </c>
      <c r="L2671" s="656">
        <v>0</v>
      </c>
    </row>
    <row r="2672" spans="1:12" ht="42" x14ac:dyDescent="0.25">
      <c r="A2672" s="651" t="s">
        <v>118</v>
      </c>
      <c r="B2672" s="652">
        <v>2021</v>
      </c>
      <c r="C2672" s="651" t="s">
        <v>721</v>
      </c>
      <c r="D2672" s="651" t="s">
        <v>2694</v>
      </c>
      <c r="E2672" s="651" t="s">
        <v>55</v>
      </c>
      <c r="F2672" s="653">
        <v>0</v>
      </c>
      <c r="G2672" s="651" t="s">
        <v>650</v>
      </c>
      <c r="H2672" s="654"/>
      <c r="I2672" s="655"/>
      <c r="J2672" s="655"/>
      <c r="K2672" s="653">
        <v>0</v>
      </c>
      <c r="L2672" s="656">
        <v>0</v>
      </c>
    </row>
    <row r="2673" spans="1:12" ht="42" x14ac:dyDescent="0.25">
      <c r="A2673" s="651" t="s">
        <v>118</v>
      </c>
      <c r="B2673" s="652">
        <v>2021</v>
      </c>
      <c r="C2673" s="651" t="s">
        <v>721</v>
      </c>
      <c r="D2673" s="651" t="s">
        <v>2695</v>
      </c>
      <c r="E2673" s="651" t="s">
        <v>56</v>
      </c>
      <c r="F2673" s="653">
        <v>0</v>
      </c>
      <c r="G2673" s="651" t="s">
        <v>650</v>
      </c>
      <c r="H2673" s="654"/>
      <c r="I2673" s="655"/>
      <c r="J2673" s="655"/>
      <c r="K2673" s="653">
        <v>0</v>
      </c>
      <c r="L2673" s="656">
        <v>0</v>
      </c>
    </row>
    <row r="2674" spans="1:12" ht="42" x14ac:dyDescent="0.25">
      <c r="A2674" s="651" t="s">
        <v>118</v>
      </c>
      <c r="B2674" s="652">
        <v>2021</v>
      </c>
      <c r="C2674" s="651" t="s">
        <v>721</v>
      </c>
      <c r="D2674" s="651" t="s">
        <v>2696</v>
      </c>
      <c r="E2674" s="651" t="s">
        <v>728</v>
      </c>
      <c r="F2674" s="653">
        <v>0</v>
      </c>
      <c r="G2674" s="651" t="s">
        <v>650</v>
      </c>
      <c r="H2674" s="654"/>
      <c r="I2674" s="655"/>
      <c r="J2674" s="655"/>
      <c r="K2674" s="653">
        <v>0</v>
      </c>
      <c r="L2674" s="656">
        <v>0</v>
      </c>
    </row>
    <row r="2675" spans="1:12" ht="42" x14ac:dyDescent="0.25">
      <c r="A2675" s="651" t="s">
        <v>118</v>
      </c>
      <c r="B2675" s="652">
        <v>2021</v>
      </c>
      <c r="C2675" s="651" t="s">
        <v>721</v>
      </c>
      <c r="D2675" s="651" t="s">
        <v>2697</v>
      </c>
      <c r="E2675" s="651" t="s">
        <v>730</v>
      </c>
      <c r="F2675" s="653">
        <v>0</v>
      </c>
      <c r="G2675" s="651" t="s">
        <v>650</v>
      </c>
      <c r="H2675" s="654"/>
      <c r="I2675" s="655"/>
      <c r="J2675" s="655"/>
      <c r="K2675" s="653">
        <v>0</v>
      </c>
      <c r="L2675" s="656">
        <v>0</v>
      </c>
    </row>
    <row r="2676" spans="1:12" ht="42" x14ac:dyDescent="0.25">
      <c r="A2676" s="651" t="s">
        <v>118</v>
      </c>
      <c r="B2676" s="652">
        <v>2021</v>
      </c>
      <c r="C2676" s="651" t="s">
        <v>721</v>
      </c>
      <c r="D2676" s="651" t="s">
        <v>2698</v>
      </c>
      <c r="E2676" s="651" t="s">
        <v>142</v>
      </c>
      <c r="F2676" s="653">
        <v>0</v>
      </c>
      <c r="G2676" s="651" t="s">
        <v>650</v>
      </c>
      <c r="H2676" s="654"/>
      <c r="I2676" s="655"/>
      <c r="J2676" s="655"/>
      <c r="K2676" s="653">
        <v>0</v>
      </c>
      <c r="L2676" s="656">
        <v>0</v>
      </c>
    </row>
    <row r="2677" spans="1:12" ht="42" x14ac:dyDescent="0.25">
      <c r="A2677" s="651" t="s">
        <v>118</v>
      </c>
      <c r="B2677" s="652">
        <v>2021</v>
      </c>
      <c r="C2677" s="651" t="s">
        <v>721</v>
      </c>
      <c r="D2677" s="651" t="s">
        <v>2699</v>
      </c>
      <c r="E2677" s="651" t="s">
        <v>143</v>
      </c>
      <c r="F2677" s="653">
        <v>0</v>
      </c>
      <c r="G2677" s="651" t="s">
        <v>650</v>
      </c>
      <c r="H2677" s="654"/>
      <c r="I2677" s="655"/>
      <c r="J2677" s="655"/>
      <c r="K2677" s="653">
        <v>0</v>
      </c>
      <c r="L2677" s="656">
        <v>0</v>
      </c>
    </row>
    <row r="2678" spans="1:12" ht="42" x14ac:dyDescent="0.25">
      <c r="A2678" s="651" t="s">
        <v>118</v>
      </c>
      <c r="B2678" s="652">
        <v>2021</v>
      </c>
      <c r="C2678" s="651" t="s">
        <v>721</v>
      </c>
      <c r="D2678" s="651" t="s">
        <v>2700</v>
      </c>
      <c r="E2678" s="651" t="s">
        <v>182</v>
      </c>
      <c r="F2678" s="653">
        <v>0</v>
      </c>
      <c r="G2678" s="651" t="s">
        <v>650</v>
      </c>
      <c r="H2678" s="654"/>
      <c r="I2678" s="655"/>
      <c r="J2678" s="655"/>
      <c r="K2678" s="653">
        <v>0</v>
      </c>
      <c r="L2678" s="656">
        <v>0</v>
      </c>
    </row>
    <row r="2679" spans="1:12" ht="42" x14ac:dyDescent="0.25">
      <c r="A2679" s="651" t="s">
        <v>118</v>
      </c>
      <c r="B2679" s="652">
        <v>2021</v>
      </c>
      <c r="C2679" s="651" t="s">
        <v>721</v>
      </c>
      <c r="D2679" s="651" t="s">
        <v>2701</v>
      </c>
      <c r="E2679" s="651" t="s">
        <v>394</v>
      </c>
      <c r="F2679" s="653">
        <v>0</v>
      </c>
      <c r="G2679" s="651" t="s">
        <v>650</v>
      </c>
      <c r="H2679" s="654"/>
      <c r="I2679" s="655"/>
      <c r="J2679" s="655"/>
      <c r="K2679" s="653">
        <v>0</v>
      </c>
      <c r="L2679" s="656">
        <v>0</v>
      </c>
    </row>
    <row r="2680" spans="1:12" ht="42" x14ac:dyDescent="0.25">
      <c r="A2680" s="651" t="s">
        <v>118</v>
      </c>
      <c r="B2680" s="652">
        <v>2021</v>
      </c>
      <c r="C2680" s="651" t="s">
        <v>721</v>
      </c>
      <c r="D2680" s="651" t="s">
        <v>2702</v>
      </c>
      <c r="E2680" s="651" t="s">
        <v>423</v>
      </c>
      <c r="F2680" s="653">
        <v>0</v>
      </c>
      <c r="G2680" s="651" t="s">
        <v>650</v>
      </c>
      <c r="H2680" s="654"/>
      <c r="I2680" s="655"/>
      <c r="J2680" s="655"/>
      <c r="K2680" s="653">
        <v>0</v>
      </c>
      <c r="L2680" s="656">
        <v>0</v>
      </c>
    </row>
    <row r="2681" spans="1:12" ht="42" x14ac:dyDescent="0.25">
      <c r="A2681" s="651" t="s">
        <v>118</v>
      </c>
      <c r="B2681" s="652">
        <v>2021</v>
      </c>
      <c r="C2681" s="651" t="s">
        <v>721</v>
      </c>
      <c r="D2681" s="651" t="s">
        <v>3330</v>
      </c>
      <c r="E2681" s="651" t="s">
        <v>441</v>
      </c>
      <c r="F2681" s="653">
        <v>0</v>
      </c>
      <c r="G2681" s="651" t="s">
        <v>650</v>
      </c>
      <c r="H2681" s="654"/>
      <c r="I2681" s="653">
        <v>21088.380859375</v>
      </c>
      <c r="J2681" s="653">
        <v>14.3999996185303</v>
      </c>
      <c r="K2681" s="653">
        <v>21102.779296875</v>
      </c>
      <c r="L2681" s="656">
        <v>21102.78</v>
      </c>
    </row>
    <row r="2682" spans="1:12" ht="42" x14ac:dyDescent="0.25">
      <c r="A2682" s="651" t="s">
        <v>118</v>
      </c>
      <c r="B2682" s="652">
        <v>2021</v>
      </c>
      <c r="C2682" s="651" t="s">
        <v>721</v>
      </c>
      <c r="D2682" s="651" t="s">
        <v>2703</v>
      </c>
      <c r="E2682" s="651" t="s">
        <v>737</v>
      </c>
      <c r="F2682" s="653">
        <v>-29588.26</v>
      </c>
      <c r="G2682" s="654"/>
      <c r="H2682" s="654"/>
      <c r="I2682" s="655"/>
      <c r="J2682" s="655"/>
      <c r="K2682" s="653">
        <v>0</v>
      </c>
      <c r="L2682" s="656">
        <v>-29588.26</v>
      </c>
    </row>
    <row r="2683" spans="1:12" ht="14.5" x14ac:dyDescent="0.25">
      <c r="A2683" s="651" t="s">
        <v>118</v>
      </c>
      <c r="B2683" s="652">
        <v>2021</v>
      </c>
      <c r="C2683" s="651" t="s">
        <v>738</v>
      </c>
      <c r="D2683" s="651" t="s">
        <v>2704</v>
      </c>
      <c r="E2683" s="651" t="s">
        <v>7</v>
      </c>
      <c r="F2683" s="653">
        <v>0</v>
      </c>
      <c r="G2683" s="654"/>
      <c r="H2683" s="651" t="s">
        <v>650</v>
      </c>
      <c r="I2683" s="655"/>
      <c r="J2683" s="655"/>
      <c r="K2683" s="653">
        <v>0</v>
      </c>
      <c r="L2683" s="656">
        <v>0</v>
      </c>
    </row>
    <row r="2684" spans="1:12" ht="21" x14ac:dyDescent="0.25">
      <c r="A2684" s="651" t="s">
        <v>119</v>
      </c>
      <c r="B2684" s="652">
        <v>2021</v>
      </c>
      <c r="C2684" s="651" t="s">
        <v>647</v>
      </c>
      <c r="D2684" s="651" t="s">
        <v>2705</v>
      </c>
      <c r="E2684" s="651" t="s">
        <v>649</v>
      </c>
      <c r="F2684" s="653">
        <v>-128863</v>
      </c>
      <c r="G2684" s="654"/>
      <c r="H2684" s="651" t="s">
        <v>650</v>
      </c>
      <c r="I2684" s="655"/>
      <c r="J2684" s="655"/>
      <c r="K2684" s="653">
        <v>0</v>
      </c>
      <c r="L2684" s="656">
        <v>-128863</v>
      </c>
    </row>
    <row r="2685" spans="1:12" ht="14.5" x14ac:dyDescent="0.25">
      <c r="A2685" s="651" t="s">
        <v>119</v>
      </c>
      <c r="B2685" s="652">
        <v>2021</v>
      </c>
      <c r="C2685" s="651" t="s">
        <v>651</v>
      </c>
      <c r="D2685" s="651" t="s">
        <v>2706</v>
      </c>
      <c r="E2685" s="651" t="s">
        <v>653</v>
      </c>
      <c r="F2685" s="653">
        <v>-72822</v>
      </c>
      <c r="G2685" s="654"/>
      <c r="H2685" s="651" t="s">
        <v>650</v>
      </c>
      <c r="I2685" s="655"/>
      <c r="J2685" s="655"/>
      <c r="K2685" s="653">
        <v>0</v>
      </c>
      <c r="L2685" s="656">
        <v>-72822</v>
      </c>
    </row>
    <row r="2686" spans="1:12" ht="42" x14ac:dyDescent="0.25">
      <c r="A2686" s="651" t="s">
        <v>119</v>
      </c>
      <c r="B2686" s="652">
        <v>2021</v>
      </c>
      <c r="C2686" s="651" t="s">
        <v>654</v>
      </c>
      <c r="D2686" s="651" t="s">
        <v>2707</v>
      </c>
      <c r="E2686" s="651" t="s">
        <v>445</v>
      </c>
      <c r="F2686" s="653">
        <v>0</v>
      </c>
      <c r="G2686" s="654"/>
      <c r="H2686" s="651" t="s">
        <v>650</v>
      </c>
      <c r="I2686" s="655"/>
      <c r="J2686" s="655"/>
      <c r="K2686" s="653">
        <v>0</v>
      </c>
      <c r="L2686" s="656">
        <v>0</v>
      </c>
    </row>
    <row r="2687" spans="1:12" ht="21" x14ac:dyDescent="0.25">
      <c r="A2687" s="651" t="s">
        <v>119</v>
      </c>
      <c r="B2687" s="652">
        <v>2021</v>
      </c>
      <c r="C2687" s="651" t="s">
        <v>656</v>
      </c>
      <c r="D2687" s="651" t="s">
        <v>2708</v>
      </c>
      <c r="E2687" s="651" t="s">
        <v>658</v>
      </c>
      <c r="F2687" s="653">
        <v>0</v>
      </c>
      <c r="G2687" s="654"/>
      <c r="H2687" s="651" t="s">
        <v>650</v>
      </c>
      <c r="I2687" s="655"/>
      <c r="J2687" s="655"/>
      <c r="K2687" s="653">
        <v>0</v>
      </c>
      <c r="L2687" s="656">
        <v>0</v>
      </c>
    </row>
    <row r="2688" spans="1:12" ht="31.5" x14ac:dyDescent="0.25">
      <c r="A2688" s="651" t="s">
        <v>119</v>
      </c>
      <c r="B2688" s="652">
        <v>2021</v>
      </c>
      <c r="C2688" s="651" t="s">
        <v>659</v>
      </c>
      <c r="D2688" s="651" t="s">
        <v>2709</v>
      </c>
      <c r="E2688" s="651" t="s">
        <v>661</v>
      </c>
      <c r="F2688" s="653">
        <v>-8700</v>
      </c>
      <c r="G2688" s="654"/>
      <c r="H2688" s="651" t="s">
        <v>650</v>
      </c>
      <c r="I2688" s="655"/>
      <c r="J2688" s="655"/>
      <c r="K2688" s="653">
        <v>0</v>
      </c>
      <c r="L2688" s="656">
        <v>-8700</v>
      </c>
    </row>
    <row r="2689" spans="1:12" ht="21" x14ac:dyDescent="0.25">
      <c r="A2689" s="651" t="s">
        <v>119</v>
      </c>
      <c r="B2689" s="652">
        <v>2021</v>
      </c>
      <c r="C2689" s="651" t="s">
        <v>662</v>
      </c>
      <c r="D2689" s="651" t="s">
        <v>2710</v>
      </c>
      <c r="E2689" s="651" t="s">
        <v>664</v>
      </c>
      <c r="F2689" s="653">
        <v>0</v>
      </c>
      <c r="G2689" s="654"/>
      <c r="H2689" s="651" t="s">
        <v>650</v>
      </c>
      <c r="I2689" s="655"/>
      <c r="J2689" s="655"/>
      <c r="K2689" s="653">
        <v>0</v>
      </c>
      <c r="L2689" s="656">
        <v>0</v>
      </c>
    </row>
    <row r="2690" spans="1:12" ht="31.5" x14ac:dyDescent="0.25">
      <c r="A2690" s="651" t="s">
        <v>119</v>
      </c>
      <c r="B2690" s="652">
        <v>2021</v>
      </c>
      <c r="C2690" s="651" t="s">
        <v>665</v>
      </c>
      <c r="D2690" s="651" t="s">
        <v>2711</v>
      </c>
      <c r="E2690" s="651" t="s">
        <v>667</v>
      </c>
      <c r="F2690" s="653">
        <v>0</v>
      </c>
      <c r="G2690" s="654"/>
      <c r="H2690" s="651" t="s">
        <v>650</v>
      </c>
      <c r="I2690" s="655"/>
      <c r="J2690" s="655"/>
      <c r="K2690" s="653">
        <v>0</v>
      </c>
      <c r="L2690" s="656">
        <v>0</v>
      </c>
    </row>
    <row r="2691" spans="1:12" ht="21" x14ac:dyDescent="0.25">
      <c r="A2691" s="651" t="s">
        <v>119</v>
      </c>
      <c r="B2691" s="652">
        <v>2021</v>
      </c>
      <c r="C2691" s="651" t="s">
        <v>668</v>
      </c>
      <c r="D2691" s="651" t="s">
        <v>2712</v>
      </c>
      <c r="E2691" s="651" t="s">
        <v>12</v>
      </c>
      <c r="F2691" s="653">
        <v>0</v>
      </c>
      <c r="G2691" s="654"/>
      <c r="H2691" s="651" t="s">
        <v>650</v>
      </c>
      <c r="I2691" s="655"/>
      <c r="J2691" s="655"/>
      <c r="K2691" s="653">
        <v>0</v>
      </c>
      <c r="L2691" s="656">
        <v>0</v>
      </c>
    </row>
    <row r="2692" spans="1:12" ht="21" x14ac:dyDescent="0.25">
      <c r="A2692" s="651" t="s">
        <v>119</v>
      </c>
      <c r="B2692" s="652">
        <v>2021</v>
      </c>
      <c r="C2692" s="651" t="s">
        <v>670</v>
      </c>
      <c r="D2692" s="651" t="s">
        <v>2713</v>
      </c>
      <c r="E2692" s="651" t="s">
        <v>13</v>
      </c>
      <c r="F2692" s="653">
        <v>0</v>
      </c>
      <c r="G2692" s="654"/>
      <c r="H2692" s="651" t="s">
        <v>650</v>
      </c>
      <c r="I2692" s="655"/>
      <c r="J2692" s="655"/>
      <c r="K2692" s="653">
        <v>0</v>
      </c>
      <c r="L2692" s="656">
        <v>0</v>
      </c>
    </row>
    <row r="2693" spans="1:12" ht="21" x14ac:dyDescent="0.25">
      <c r="A2693" s="651" t="s">
        <v>119</v>
      </c>
      <c r="B2693" s="652">
        <v>2021</v>
      </c>
      <c r="C2693" s="651" t="s">
        <v>672</v>
      </c>
      <c r="D2693" s="651" t="s">
        <v>2714</v>
      </c>
      <c r="E2693" s="651" t="s">
        <v>15</v>
      </c>
      <c r="F2693" s="653">
        <v>0</v>
      </c>
      <c r="G2693" s="654"/>
      <c r="H2693" s="651" t="s">
        <v>650</v>
      </c>
      <c r="I2693" s="655"/>
      <c r="J2693" s="655"/>
      <c r="K2693" s="653">
        <v>0</v>
      </c>
      <c r="L2693" s="656">
        <v>0</v>
      </c>
    </row>
    <row r="2694" spans="1:12" ht="14.5" x14ac:dyDescent="0.25">
      <c r="A2694" s="651" t="s">
        <v>119</v>
      </c>
      <c r="B2694" s="652">
        <v>2021</v>
      </c>
      <c r="C2694" s="651" t="s">
        <v>674</v>
      </c>
      <c r="D2694" s="651" t="s">
        <v>2715</v>
      </c>
      <c r="E2694" s="651" t="s">
        <v>676</v>
      </c>
      <c r="F2694" s="653">
        <v>-2220</v>
      </c>
      <c r="G2694" s="654"/>
      <c r="H2694" s="651" t="s">
        <v>650</v>
      </c>
      <c r="I2694" s="655"/>
      <c r="J2694" s="655"/>
      <c r="K2694" s="653">
        <v>0</v>
      </c>
      <c r="L2694" s="656">
        <v>-2220</v>
      </c>
    </row>
    <row r="2695" spans="1:12" ht="14.5" x14ac:dyDescent="0.25">
      <c r="A2695" s="651" t="s">
        <v>119</v>
      </c>
      <c r="B2695" s="652">
        <v>2021</v>
      </c>
      <c r="C2695" s="651" t="s">
        <v>677</v>
      </c>
      <c r="D2695" s="651" t="s">
        <v>2716</v>
      </c>
      <c r="E2695" s="651" t="s">
        <v>23</v>
      </c>
      <c r="F2695" s="653">
        <v>214468</v>
      </c>
      <c r="G2695" s="651" t="s">
        <v>650</v>
      </c>
      <c r="H2695" s="654"/>
      <c r="I2695" s="653">
        <v>213348</v>
      </c>
      <c r="J2695" s="653">
        <v>1120</v>
      </c>
      <c r="K2695" s="653">
        <v>214468</v>
      </c>
      <c r="L2695" s="656">
        <v>214468</v>
      </c>
    </row>
    <row r="2696" spans="1:12" ht="31.5" x14ac:dyDescent="0.25">
      <c r="A2696" s="651" t="s">
        <v>119</v>
      </c>
      <c r="B2696" s="652">
        <v>2021</v>
      </c>
      <c r="C2696" s="651" t="s">
        <v>679</v>
      </c>
      <c r="D2696" s="651" t="s">
        <v>2717</v>
      </c>
      <c r="E2696" s="651" t="s">
        <v>131</v>
      </c>
      <c r="F2696" s="653">
        <v>1006</v>
      </c>
      <c r="G2696" s="651" t="s">
        <v>650</v>
      </c>
      <c r="H2696" s="654"/>
      <c r="I2696" s="653">
        <v>947</v>
      </c>
      <c r="J2696" s="653">
        <v>59</v>
      </c>
      <c r="K2696" s="653">
        <v>1006</v>
      </c>
      <c r="L2696" s="656">
        <v>1006</v>
      </c>
    </row>
    <row r="2697" spans="1:12" ht="31.5" x14ac:dyDescent="0.25">
      <c r="A2697" s="651" t="s">
        <v>119</v>
      </c>
      <c r="B2697" s="652">
        <v>2021</v>
      </c>
      <c r="C2697" s="651" t="s">
        <v>681</v>
      </c>
      <c r="D2697" s="651" t="s">
        <v>2718</v>
      </c>
      <c r="E2697" s="651" t="s">
        <v>683</v>
      </c>
      <c r="F2697" s="653">
        <v>-26528</v>
      </c>
      <c r="G2697" s="654"/>
      <c r="H2697" s="651" t="s">
        <v>650</v>
      </c>
      <c r="I2697" s="655"/>
      <c r="J2697" s="655"/>
      <c r="K2697" s="653">
        <v>0</v>
      </c>
      <c r="L2697" s="656">
        <v>-26528</v>
      </c>
    </row>
    <row r="2698" spans="1:12" ht="21" x14ac:dyDescent="0.25">
      <c r="A2698" s="651" t="s">
        <v>119</v>
      </c>
      <c r="B2698" s="652">
        <v>2021</v>
      </c>
      <c r="C2698" s="651" t="s">
        <v>681</v>
      </c>
      <c r="D2698" s="651" t="s">
        <v>2718</v>
      </c>
      <c r="E2698" s="651" t="s">
        <v>684</v>
      </c>
      <c r="F2698" s="653">
        <v>-26528</v>
      </c>
      <c r="G2698" s="654"/>
      <c r="H2698" s="651" t="s">
        <v>650</v>
      </c>
      <c r="I2698" s="655"/>
      <c r="J2698" s="655"/>
      <c r="K2698" s="653">
        <v>0</v>
      </c>
      <c r="L2698" s="656">
        <v>-26528</v>
      </c>
    </row>
    <row r="2699" spans="1:12" ht="21" x14ac:dyDescent="0.25">
      <c r="A2699" s="651" t="s">
        <v>119</v>
      </c>
      <c r="B2699" s="652">
        <v>2021</v>
      </c>
      <c r="C2699" s="651" t="s">
        <v>685</v>
      </c>
      <c r="D2699" s="651" t="s">
        <v>2719</v>
      </c>
      <c r="E2699" s="651" t="s">
        <v>687</v>
      </c>
      <c r="F2699" s="653">
        <v>0</v>
      </c>
      <c r="G2699" s="654"/>
      <c r="H2699" s="651" t="s">
        <v>650</v>
      </c>
      <c r="I2699" s="655"/>
      <c r="J2699" s="655"/>
      <c r="K2699" s="653">
        <v>0</v>
      </c>
      <c r="L2699" s="656">
        <v>0</v>
      </c>
    </row>
    <row r="2700" spans="1:12" ht="14.5" x14ac:dyDescent="0.25">
      <c r="A2700" s="651" t="s">
        <v>119</v>
      </c>
      <c r="B2700" s="652">
        <v>2021</v>
      </c>
      <c r="C2700" s="651" t="s">
        <v>688</v>
      </c>
      <c r="D2700" s="651" t="s">
        <v>2720</v>
      </c>
      <c r="E2700" s="651" t="s">
        <v>50</v>
      </c>
      <c r="F2700" s="653">
        <v>332283</v>
      </c>
      <c r="G2700" s="654"/>
      <c r="H2700" s="651" t="s">
        <v>650</v>
      </c>
      <c r="I2700" s="655"/>
      <c r="J2700" s="655"/>
      <c r="K2700" s="653">
        <v>0</v>
      </c>
      <c r="L2700" s="656">
        <v>332283</v>
      </c>
    </row>
    <row r="2701" spans="1:12" ht="21" x14ac:dyDescent="0.25">
      <c r="A2701" s="651" t="s">
        <v>119</v>
      </c>
      <c r="B2701" s="652">
        <v>2021</v>
      </c>
      <c r="C2701" s="651" t="s">
        <v>690</v>
      </c>
      <c r="D2701" s="651" t="s">
        <v>2721</v>
      </c>
      <c r="E2701" s="651" t="s">
        <v>692</v>
      </c>
      <c r="F2701" s="653">
        <v>0</v>
      </c>
      <c r="G2701" s="654"/>
      <c r="H2701" s="651" t="s">
        <v>650</v>
      </c>
      <c r="I2701" s="655"/>
      <c r="J2701" s="655"/>
      <c r="K2701" s="653">
        <v>0</v>
      </c>
      <c r="L2701" s="656">
        <v>0</v>
      </c>
    </row>
    <row r="2702" spans="1:12" ht="21" x14ac:dyDescent="0.25">
      <c r="A2702" s="651" t="s">
        <v>119</v>
      </c>
      <c r="B2702" s="652">
        <v>2021</v>
      </c>
      <c r="C2702" s="651" t="s">
        <v>693</v>
      </c>
      <c r="D2702" s="651" t="s">
        <v>2722</v>
      </c>
      <c r="E2702" s="651" t="s">
        <v>6</v>
      </c>
      <c r="F2702" s="653">
        <v>0</v>
      </c>
      <c r="G2702" s="654"/>
      <c r="H2702" s="651" t="s">
        <v>650</v>
      </c>
      <c r="I2702" s="655"/>
      <c r="J2702" s="655"/>
      <c r="K2702" s="653">
        <v>0</v>
      </c>
      <c r="L2702" s="656">
        <v>0</v>
      </c>
    </row>
    <row r="2703" spans="1:12" ht="31.5" x14ac:dyDescent="0.25">
      <c r="A2703" s="651" t="s">
        <v>119</v>
      </c>
      <c r="B2703" s="652">
        <v>2021</v>
      </c>
      <c r="C2703" s="651" t="s">
        <v>695</v>
      </c>
      <c r="D2703" s="651" t="s">
        <v>2723</v>
      </c>
      <c r="E2703" s="651" t="s">
        <v>697</v>
      </c>
      <c r="F2703" s="653">
        <v>0</v>
      </c>
      <c r="G2703" s="654"/>
      <c r="H2703" s="651" t="s">
        <v>650</v>
      </c>
      <c r="I2703" s="655"/>
      <c r="J2703" s="655"/>
      <c r="K2703" s="653">
        <v>0</v>
      </c>
      <c r="L2703" s="656">
        <v>0</v>
      </c>
    </row>
    <row r="2704" spans="1:12" ht="21" x14ac:dyDescent="0.25">
      <c r="A2704" s="651" t="s">
        <v>119</v>
      </c>
      <c r="B2704" s="652">
        <v>2021</v>
      </c>
      <c r="C2704" s="651" t="s">
        <v>698</v>
      </c>
      <c r="D2704" s="651" t="s">
        <v>2724</v>
      </c>
      <c r="E2704" s="651" t="s">
        <v>700</v>
      </c>
      <c r="F2704" s="653">
        <v>34187</v>
      </c>
      <c r="G2704" s="654"/>
      <c r="H2704" s="651" t="s">
        <v>650</v>
      </c>
      <c r="I2704" s="655"/>
      <c r="J2704" s="655"/>
      <c r="K2704" s="653">
        <v>0</v>
      </c>
      <c r="L2704" s="656">
        <v>34187</v>
      </c>
    </row>
    <row r="2705" spans="1:12" ht="21" x14ac:dyDescent="0.25">
      <c r="A2705" s="651" t="s">
        <v>119</v>
      </c>
      <c r="B2705" s="652">
        <v>2021</v>
      </c>
      <c r="C2705" s="651" t="s">
        <v>701</v>
      </c>
      <c r="D2705" s="651" t="s">
        <v>2725</v>
      </c>
      <c r="E2705" s="651" t="s">
        <v>1</v>
      </c>
      <c r="F2705" s="653">
        <v>-1245300</v>
      </c>
      <c r="G2705" s="651" t="s">
        <v>650</v>
      </c>
      <c r="H2705" s="654"/>
      <c r="I2705" s="653">
        <v>-1240344</v>
      </c>
      <c r="J2705" s="653">
        <v>-4956</v>
      </c>
      <c r="K2705" s="653">
        <v>-1245300</v>
      </c>
      <c r="L2705" s="656">
        <v>-1245300</v>
      </c>
    </row>
    <row r="2706" spans="1:12" ht="21" x14ac:dyDescent="0.25">
      <c r="A2706" s="651" t="s">
        <v>119</v>
      </c>
      <c r="B2706" s="652">
        <v>2021</v>
      </c>
      <c r="C2706" s="651" t="s">
        <v>701</v>
      </c>
      <c r="D2706" s="651" t="s">
        <v>2725</v>
      </c>
      <c r="E2706" s="651" t="s">
        <v>703</v>
      </c>
      <c r="F2706" s="653">
        <v>0</v>
      </c>
      <c r="G2706" s="654"/>
      <c r="H2706" s="654"/>
      <c r="I2706" s="655"/>
      <c r="J2706" s="655"/>
      <c r="K2706" s="653">
        <v>0</v>
      </c>
      <c r="L2706" s="656">
        <v>0</v>
      </c>
    </row>
    <row r="2707" spans="1:12" ht="21" x14ac:dyDescent="0.25">
      <c r="A2707" s="651" t="s">
        <v>119</v>
      </c>
      <c r="B2707" s="652">
        <v>2021</v>
      </c>
      <c r="C2707" s="651" t="s">
        <v>701</v>
      </c>
      <c r="D2707" s="651" t="s">
        <v>2725</v>
      </c>
      <c r="E2707" s="651" t="s">
        <v>704</v>
      </c>
      <c r="F2707" s="653">
        <v>0</v>
      </c>
      <c r="G2707" s="654"/>
      <c r="H2707" s="654"/>
      <c r="I2707" s="655"/>
      <c r="J2707" s="655"/>
      <c r="K2707" s="653">
        <v>0</v>
      </c>
      <c r="L2707" s="656">
        <v>0</v>
      </c>
    </row>
    <row r="2708" spans="1:12" ht="21" x14ac:dyDescent="0.25">
      <c r="A2708" s="651" t="s">
        <v>119</v>
      </c>
      <c r="B2708" s="652">
        <v>2021</v>
      </c>
      <c r="C2708" s="651" t="s">
        <v>701</v>
      </c>
      <c r="D2708" s="651" t="s">
        <v>2725</v>
      </c>
      <c r="E2708" s="651" t="s">
        <v>705</v>
      </c>
      <c r="F2708" s="653">
        <v>-1099</v>
      </c>
      <c r="G2708" s="654"/>
      <c r="H2708" s="654"/>
      <c r="I2708" s="655"/>
      <c r="J2708" s="655"/>
      <c r="K2708" s="653">
        <v>0</v>
      </c>
      <c r="L2708" s="656">
        <v>-1099</v>
      </c>
    </row>
    <row r="2709" spans="1:12" ht="21" x14ac:dyDescent="0.25">
      <c r="A2709" s="651" t="s">
        <v>119</v>
      </c>
      <c r="B2709" s="652">
        <v>2021</v>
      </c>
      <c r="C2709" s="651" t="s">
        <v>701</v>
      </c>
      <c r="D2709" s="651" t="s">
        <v>2725</v>
      </c>
      <c r="E2709" s="651" t="s">
        <v>706</v>
      </c>
      <c r="F2709" s="653">
        <v>-191739</v>
      </c>
      <c r="G2709" s="654"/>
      <c r="H2709" s="654"/>
      <c r="I2709" s="655"/>
      <c r="J2709" s="655"/>
      <c r="K2709" s="653">
        <v>0</v>
      </c>
      <c r="L2709" s="656">
        <v>-191739</v>
      </c>
    </row>
    <row r="2710" spans="1:12" ht="14.5" x14ac:dyDescent="0.25">
      <c r="A2710" s="651" t="s">
        <v>119</v>
      </c>
      <c r="B2710" s="652">
        <v>2021</v>
      </c>
      <c r="C2710" s="651" t="s">
        <v>707</v>
      </c>
      <c r="D2710" s="651" t="s">
        <v>2726</v>
      </c>
      <c r="E2710" s="651" t="s">
        <v>709</v>
      </c>
      <c r="F2710" s="653">
        <v>0</v>
      </c>
      <c r="G2710" s="654"/>
      <c r="H2710" s="651" t="s">
        <v>650</v>
      </c>
      <c r="I2710" s="655"/>
      <c r="J2710" s="655"/>
      <c r="K2710" s="653">
        <v>0</v>
      </c>
      <c r="L2710" s="656">
        <v>0</v>
      </c>
    </row>
    <row r="2711" spans="1:12" ht="31.5" x14ac:dyDescent="0.25">
      <c r="A2711" s="651" t="s">
        <v>119</v>
      </c>
      <c r="B2711" s="652">
        <v>2021</v>
      </c>
      <c r="C2711" s="651" t="s">
        <v>710</v>
      </c>
      <c r="D2711" s="651" t="s">
        <v>2727</v>
      </c>
      <c r="E2711" s="651" t="s">
        <v>2</v>
      </c>
      <c r="F2711" s="653">
        <v>229500</v>
      </c>
      <c r="G2711" s="651" t="s">
        <v>650</v>
      </c>
      <c r="H2711" s="654"/>
      <c r="I2711" s="653">
        <v>226714</v>
      </c>
      <c r="J2711" s="653">
        <v>2786</v>
      </c>
      <c r="K2711" s="653">
        <v>229500</v>
      </c>
      <c r="L2711" s="656">
        <v>229500</v>
      </c>
    </row>
    <row r="2712" spans="1:12" ht="31.5" x14ac:dyDescent="0.25">
      <c r="A2712" s="651" t="s">
        <v>119</v>
      </c>
      <c r="B2712" s="652">
        <v>2021</v>
      </c>
      <c r="C2712" s="651" t="s">
        <v>712</v>
      </c>
      <c r="D2712" s="651" t="s">
        <v>2728</v>
      </c>
      <c r="E2712" s="651" t="s">
        <v>3</v>
      </c>
      <c r="F2712" s="653">
        <v>-102838</v>
      </c>
      <c r="G2712" s="651" t="s">
        <v>650</v>
      </c>
      <c r="H2712" s="654"/>
      <c r="I2712" s="653">
        <v>-102566</v>
      </c>
      <c r="J2712" s="653">
        <v>-272</v>
      </c>
      <c r="K2712" s="653">
        <v>-102838</v>
      </c>
      <c r="L2712" s="656">
        <v>-102838</v>
      </c>
    </row>
    <row r="2713" spans="1:12" ht="31.5" x14ac:dyDescent="0.25">
      <c r="A2713" s="651" t="s">
        <v>119</v>
      </c>
      <c r="B2713" s="652">
        <v>2021</v>
      </c>
      <c r="C2713" s="651" t="s">
        <v>714</v>
      </c>
      <c r="D2713" s="651" t="s">
        <v>2729</v>
      </c>
      <c r="E2713" s="651" t="s">
        <v>38</v>
      </c>
      <c r="F2713" s="653">
        <v>-636825</v>
      </c>
      <c r="G2713" s="651" t="s">
        <v>650</v>
      </c>
      <c r="H2713" s="654"/>
      <c r="I2713" s="653">
        <v>-635007</v>
      </c>
      <c r="J2713" s="653">
        <v>-1818</v>
      </c>
      <c r="K2713" s="653">
        <v>-636825</v>
      </c>
      <c r="L2713" s="656">
        <v>-636825</v>
      </c>
    </row>
    <row r="2714" spans="1:12" ht="21" x14ac:dyDescent="0.25">
      <c r="A2714" s="651" t="s">
        <v>119</v>
      </c>
      <c r="B2714" s="652">
        <v>2021</v>
      </c>
      <c r="C2714" s="651" t="s">
        <v>716</v>
      </c>
      <c r="D2714" s="651" t="s">
        <v>2730</v>
      </c>
      <c r="E2714" s="651" t="s">
        <v>66</v>
      </c>
      <c r="F2714" s="653">
        <v>64259</v>
      </c>
      <c r="G2714" s="651" t="s">
        <v>650</v>
      </c>
      <c r="H2714" s="654"/>
      <c r="I2714" s="653">
        <v>56351</v>
      </c>
      <c r="J2714" s="653">
        <v>7908</v>
      </c>
      <c r="K2714" s="653">
        <v>64259</v>
      </c>
      <c r="L2714" s="656">
        <v>64259</v>
      </c>
    </row>
    <row r="2715" spans="1:12" ht="31.5" x14ac:dyDescent="0.25">
      <c r="A2715" s="651" t="s">
        <v>119</v>
      </c>
      <c r="B2715" s="652">
        <v>2021</v>
      </c>
      <c r="C2715" s="651" t="s">
        <v>718</v>
      </c>
      <c r="D2715" s="651" t="s">
        <v>2731</v>
      </c>
      <c r="E2715" s="651" t="s">
        <v>720</v>
      </c>
      <c r="F2715" s="653">
        <v>-1342832</v>
      </c>
      <c r="G2715" s="654"/>
      <c r="H2715" s="651" t="s">
        <v>650</v>
      </c>
      <c r="I2715" s="655"/>
      <c r="J2715" s="655"/>
      <c r="K2715" s="653">
        <v>0</v>
      </c>
      <c r="L2715" s="656">
        <v>-1342832</v>
      </c>
    </row>
    <row r="2716" spans="1:12" ht="42" x14ac:dyDescent="0.25">
      <c r="A2716" s="651" t="s">
        <v>119</v>
      </c>
      <c r="B2716" s="652">
        <v>2021</v>
      </c>
      <c r="C2716" s="651" t="s">
        <v>721</v>
      </c>
      <c r="D2716" s="651" t="s">
        <v>2732</v>
      </c>
      <c r="E2716" s="651" t="s">
        <v>3016</v>
      </c>
      <c r="F2716" s="653">
        <v>0</v>
      </c>
      <c r="G2716" s="651" t="s">
        <v>650</v>
      </c>
      <c r="H2716" s="654"/>
      <c r="I2716" s="653">
        <v>1459901</v>
      </c>
      <c r="J2716" s="653">
        <v>-1463541</v>
      </c>
      <c r="K2716" s="653">
        <v>-3640</v>
      </c>
      <c r="L2716" s="656">
        <v>-3640</v>
      </c>
    </row>
    <row r="2717" spans="1:12" ht="42" x14ac:dyDescent="0.25">
      <c r="A2717" s="651" t="s">
        <v>119</v>
      </c>
      <c r="B2717" s="652">
        <v>2021</v>
      </c>
      <c r="C2717" s="651" t="s">
        <v>721</v>
      </c>
      <c r="D2717" s="651" t="s">
        <v>2732</v>
      </c>
      <c r="E2717" s="651" t="s">
        <v>3058</v>
      </c>
      <c r="F2717" s="653">
        <v>0</v>
      </c>
      <c r="G2717" s="651" t="s">
        <v>650</v>
      </c>
      <c r="H2717" s="654"/>
      <c r="I2717" s="653">
        <v>164570</v>
      </c>
      <c r="J2717" s="653">
        <v>-118695</v>
      </c>
      <c r="K2717" s="653">
        <v>45875</v>
      </c>
      <c r="L2717" s="656">
        <v>45875</v>
      </c>
    </row>
    <row r="2718" spans="1:12" ht="42" x14ac:dyDescent="0.25">
      <c r="A2718" s="651" t="s">
        <v>119</v>
      </c>
      <c r="B2718" s="652">
        <v>2021</v>
      </c>
      <c r="C2718" s="651" t="s">
        <v>721</v>
      </c>
      <c r="D2718" s="651" t="s">
        <v>2733</v>
      </c>
      <c r="E2718" s="651" t="s">
        <v>724</v>
      </c>
      <c r="F2718" s="653">
        <v>0</v>
      </c>
      <c r="G2718" s="651" t="s">
        <v>650</v>
      </c>
      <c r="H2718" s="654"/>
      <c r="I2718" s="655"/>
      <c r="J2718" s="655"/>
      <c r="K2718" s="653">
        <v>0</v>
      </c>
      <c r="L2718" s="656">
        <v>0</v>
      </c>
    </row>
    <row r="2719" spans="1:12" ht="42" x14ac:dyDescent="0.25">
      <c r="A2719" s="651" t="s">
        <v>119</v>
      </c>
      <c r="B2719" s="652">
        <v>2021</v>
      </c>
      <c r="C2719" s="651" t="s">
        <v>721</v>
      </c>
      <c r="D2719" s="651" t="s">
        <v>2734</v>
      </c>
      <c r="E2719" s="651" t="s">
        <v>55</v>
      </c>
      <c r="F2719" s="653">
        <v>0</v>
      </c>
      <c r="G2719" s="651" t="s">
        <v>650</v>
      </c>
      <c r="H2719" s="654"/>
      <c r="I2719" s="655"/>
      <c r="J2719" s="655"/>
      <c r="K2719" s="653">
        <v>0</v>
      </c>
      <c r="L2719" s="656">
        <v>0</v>
      </c>
    </row>
    <row r="2720" spans="1:12" ht="42" x14ac:dyDescent="0.25">
      <c r="A2720" s="651" t="s">
        <v>119</v>
      </c>
      <c r="B2720" s="652">
        <v>2021</v>
      </c>
      <c r="C2720" s="651" t="s">
        <v>721</v>
      </c>
      <c r="D2720" s="651" t="s">
        <v>2735</v>
      </c>
      <c r="E2720" s="651" t="s">
        <v>56</v>
      </c>
      <c r="F2720" s="653">
        <v>0</v>
      </c>
      <c r="G2720" s="651" t="s">
        <v>650</v>
      </c>
      <c r="H2720" s="654"/>
      <c r="I2720" s="655"/>
      <c r="J2720" s="655"/>
      <c r="K2720" s="653">
        <v>0</v>
      </c>
      <c r="L2720" s="656">
        <v>0</v>
      </c>
    </row>
    <row r="2721" spans="1:12" ht="42" x14ac:dyDescent="0.25">
      <c r="A2721" s="651" t="s">
        <v>119</v>
      </c>
      <c r="B2721" s="652">
        <v>2021</v>
      </c>
      <c r="C2721" s="651" t="s">
        <v>721</v>
      </c>
      <c r="D2721" s="651" t="s">
        <v>2736</v>
      </c>
      <c r="E2721" s="651" t="s">
        <v>728</v>
      </c>
      <c r="F2721" s="653">
        <v>0</v>
      </c>
      <c r="G2721" s="651" t="s">
        <v>650</v>
      </c>
      <c r="H2721" s="654"/>
      <c r="I2721" s="655"/>
      <c r="J2721" s="655"/>
      <c r="K2721" s="653">
        <v>0</v>
      </c>
      <c r="L2721" s="656">
        <v>0</v>
      </c>
    </row>
    <row r="2722" spans="1:12" ht="42" x14ac:dyDescent="0.25">
      <c r="A2722" s="651" t="s">
        <v>119</v>
      </c>
      <c r="B2722" s="652">
        <v>2021</v>
      </c>
      <c r="C2722" s="651" t="s">
        <v>721</v>
      </c>
      <c r="D2722" s="651" t="s">
        <v>2737</v>
      </c>
      <c r="E2722" s="651" t="s">
        <v>730</v>
      </c>
      <c r="F2722" s="653">
        <v>0</v>
      </c>
      <c r="G2722" s="651" t="s">
        <v>650</v>
      </c>
      <c r="H2722" s="654"/>
      <c r="I2722" s="655"/>
      <c r="J2722" s="655"/>
      <c r="K2722" s="653">
        <v>0</v>
      </c>
      <c r="L2722" s="656">
        <v>0</v>
      </c>
    </row>
    <row r="2723" spans="1:12" ht="42" x14ac:dyDescent="0.25">
      <c r="A2723" s="651" t="s">
        <v>119</v>
      </c>
      <c r="B2723" s="652">
        <v>2021</v>
      </c>
      <c r="C2723" s="651" t="s">
        <v>721</v>
      </c>
      <c r="D2723" s="651" t="s">
        <v>2738</v>
      </c>
      <c r="E2723" s="651" t="s">
        <v>142</v>
      </c>
      <c r="F2723" s="653">
        <v>0</v>
      </c>
      <c r="G2723" s="651" t="s">
        <v>650</v>
      </c>
      <c r="H2723" s="654"/>
      <c r="I2723" s="655"/>
      <c r="J2723" s="655"/>
      <c r="K2723" s="653">
        <v>0</v>
      </c>
      <c r="L2723" s="656">
        <v>0</v>
      </c>
    </row>
    <row r="2724" spans="1:12" ht="42" x14ac:dyDescent="0.25">
      <c r="A2724" s="651" t="s">
        <v>119</v>
      </c>
      <c r="B2724" s="652">
        <v>2021</v>
      </c>
      <c r="C2724" s="651" t="s">
        <v>721</v>
      </c>
      <c r="D2724" s="651" t="s">
        <v>2739</v>
      </c>
      <c r="E2724" s="651" t="s">
        <v>143</v>
      </c>
      <c r="F2724" s="653">
        <v>0</v>
      </c>
      <c r="G2724" s="651" t="s">
        <v>650</v>
      </c>
      <c r="H2724" s="654"/>
      <c r="I2724" s="655"/>
      <c r="J2724" s="655"/>
      <c r="K2724" s="653">
        <v>0</v>
      </c>
      <c r="L2724" s="656">
        <v>0</v>
      </c>
    </row>
    <row r="2725" spans="1:12" ht="42" x14ac:dyDescent="0.25">
      <c r="A2725" s="651" t="s">
        <v>119</v>
      </c>
      <c r="B2725" s="652">
        <v>2021</v>
      </c>
      <c r="C2725" s="651" t="s">
        <v>721</v>
      </c>
      <c r="D2725" s="651" t="s">
        <v>2740</v>
      </c>
      <c r="E2725" s="651" t="s">
        <v>182</v>
      </c>
      <c r="F2725" s="653">
        <v>0</v>
      </c>
      <c r="G2725" s="651" t="s">
        <v>650</v>
      </c>
      <c r="H2725" s="654"/>
      <c r="I2725" s="655"/>
      <c r="J2725" s="655"/>
      <c r="K2725" s="653">
        <v>0</v>
      </c>
      <c r="L2725" s="656">
        <v>0</v>
      </c>
    </row>
    <row r="2726" spans="1:12" ht="42" x14ac:dyDescent="0.25">
      <c r="A2726" s="651" t="s">
        <v>119</v>
      </c>
      <c r="B2726" s="652">
        <v>2021</v>
      </c>
      <c r="C2726" s="651" t="s">
        <v>721</v>
      </c>
      <c r="D2726" s="651" t="s">
        <v>2741</v>
      </c>
      <c r="E2726" s="651" t="s">
        <v>394</v>
      </c>
      <c r="F2726" s="653">
        <v>0</v>
      </c>
      <c r="G2726" s="651" t="s">
        <v>650</v>
      </c>
      <c r="H2726" s="654"/>
      <c r="I2726" s="653">
        <v>-24273</v>
      </c>
      <c r="J2726" s="655"/>
      <c r="K2726" s="653">
        <v>-24273</v>
      </c>
      <c r="L2726" s="656">
        <v>-24273</v>
      </c>
    </row>
    <row r="2727" spans="1:12" ht="42" x14ac:dyDescent="0.25">
      <c r="A2727" s="651" t="s">
        <v>119</v>
      </c>
      <c r="B2727" s="652">
        <v>2021</v>
      </c>
      <c r="C2727" s="651" t="s">
        <v>721</v>
      </c>
      <c r="D2727" s="651" t="s">
        <v>2742</v>
      </c>
      <c r="E2727" s="651" t="s">
        <v>423</v>
      </c>
      <c r="F2727" s="653">
        <v>0</v>
      </c>
      <c r="G2727" s="651" t="s">
        <v>650</v>
      </c>
      <c r="H2727" s="654"/>
      <c r="I2727" s="655"/>
      <c r="J2727" s="655"/>
      <c r="K2727" s="653">
        <v>0</v>
      </c>
      <c r="L2727" s="656">
        <v>0</v>
      </c>
    </row>
    <row r="2728" spans="1:12" ht="42" x14ac:dyDescent="0.25">
      <c r="A2728" s="651" t="s">
        <v>119</v>
      </c>
      <c r="B2728" s="652">
        <v>2021</v>
      </c>
      <c r="C2728" s="651" t="s">
        <v>721</v>
      </c>
      <c r="D2728" s="651" t="s">
        <v>3331</v>
      </c>
      <c r="E2728" s="651" t="s">
        <v>441</v>
      </c>
      <c r="F2728" s="653">
        <v>0</v>
      </c>
      <c r="G2728" s="651" t="s">
        <v>650</v>
      </c>
      <c r="H2728" s="654"/>
      <c r="I2728" s="653">
        <v>60544</v>
      </c>
      <c r="J2728" s="653">
        <v>-62426</v>
      </c>
      <c r="K2728" s="653">
        <v>-1882</v>
      </c>
      <c r="L2728" s="656">
        <v>-1882</v>
      </c>
    </row>
    <row r="2729" spans="1:12" ht="42" x14ac:dyDescent="0.25">
      <c r="A2729" s="651" t="s">
        <v>119</v>
      </c>
      <c r="B2729" s="652">
        <v>2021</v>
      </c>
      <c r="C2729" s="651" t="s">
        <v>721</v>
      </c>
      <c r="D2729" s="651" t="s">
        <v>2743</v>
      </c>
      <c r="E2729" s="651" t="s">
        <v>737</v>
      </c>
      <c r="F2729" s="653">
        <v>16080</v>
      </c>
      <c r="G2729" s="654"/>
      <c r="H2729" s="654"/>
      <c r="I2729" s="655"/>
      <c r="J2729" s="655"/>
      <c r="K2729" s="653">
        <v>0</v>
      </c>
      <c r="L2729" s="656">
        <v>16080</v>
      </c>
    </row>
    <row r="2730" spans="1:12" ht="14.5" x14ac:dyDescent="0.25">
      <c r="A2730" s="651" t="s">
        <v>119</v>
      </c>
      <c r="B2730" s="652">
        <v>2021</v>
      </c>
      <c r="C2730" s="651" t="s">
        <v>738</v>
      </c>
      <c r="D2730" s="651" t="s">
        <v>2744</v>
      </c>
      <c r="E2730" s="651" t="s">
        <v>7</v>
      </c>
      <c r="F2730" s="653">
        <v>0</v>
      </c>
      <c r="G2730" s="654"/>
      <c r="H2730" s="651" t="s">
        <v>650</v>
      </c>
      <c r="I2730" s="655"/>
      <c r="J2730" s="655"/>
      <c r="K2730" s="653">
        <v>0</v>
      </c>
      <c r="L2730" s="656">
        <v>0</v>
      </c>
    </row>
    <row r="2731" spans="1:12" ht="21" x14ac:dyDescent="0.25">
      <c r="A2731" s="651" t="s">
        <v>201</v>
      </c>
      <c r="B2731" s="652">
        <v>2021</v>
      </c>
      <c r="C2731" s="651" t="s">
        <v>647</v>
      </c>
      <c r="D2731" s="651" t="s">
        <v>2745</v>
      </c>
      <c r="E2731" s="651" t="s">
        <v>649</v>
      </c>
      <c r="F2731" s="653">
        <v>-396883.04</v>
      </c>
      <c r="G2731" s="654"/>
      <c r="H2731" s="651" t="s">
        <v>650</v>
      </c>
      <c r="I2731" s="655"/>
      <c r="J2731" s="655"/>
      <c r="K2731" s="653">
        <v>0</v>
      </c>
      <c r="L2731" s="656">
        <v>-396883.04</v>
      </c>
    </row>
    <row r="2732" spans="1:12" ht="21" x14ac:dyDescent="0.25">
      <c r="A2732" s="651" t="s">
        <v>201</v>
      </c>
      <c r="B2732" s="652">
        <v>2021</v>
      </c>
      <c r="C2732" s="651" t="s">
        <v>651</v>
      </c>
      <c r="D2732" s="651" t="s">
        <v>2746</v>
      </c>
      <c r="E2732" s="651" t="s">
        <v>653</v>
      </c>
      <c r="F2732" s="653">
        <v>0</v>
      </c>
      <c r="G2732" s="654"/>
      <c r="H2732" s="651" t="s">
        <v>650</v>
      </c>
      <c r="I2732" s="655"/>
      <c r="J2732" s="655"/>
      <c r="K2732" s="653">
        <v>0</v>
      </c>
      <c r="L2732" s="656">
        <v>0</v>
      </c>
    </row>
    <row r="2733" spans="1:12" ht="42" x14ac:dyDescent="0.25">
      <c r="A2733" s="651" t="s">
        <v>201</v>
      </c>
      <c r="B2733" s="652">
        <v>2021</v>
      </c>
      <c r="C2733" s="651" t="s">
        <v>654</v>
      </c>
      <c r="D2733" s="651" t="s">
        <v>2747</v>
      </c>
      <c r="E2733" s="651" t="s">
        <v>445</v>
      </c>
      <c r="F2733" s="653">
        <v>0</v>
      </c>
      <c r="G2733" s="654"/>
      <c r="H2733" s="651" t="s">
        <v>650</v>
      </c>
      <c r="I2733" s="655"/>
      <c r="J2733" s="655"/>
      <c r="K2733" s="653">
        <v>0</v>
      </c>
      <c r="L2733" s="656">
        <v>0</v>
      </c>
    </row>
    <row r="2734" spans="1:12" ht="21" x14ac:dyDescent="0.25">
      <c r="A2734" s="651" t="s">
        <v>201</v>
      </c>
      <c r="B2734" s="652">
        <v>2021</v>
      </c>
      <c r="C2734" s="651" t="s">
        <v>656</v>
      </c>
      <c r="D2734" s="651" t="s">
        <v>2748</v>
      </c>
      <c r="E2734" s="651" t="s">
        <v>658</v>
      </c>
      <c r="F2734" s="653">
        <v>0</v>
      </c>
      <c r="G2734" s="654"/>
      <c r="H2734" s="651" t="s">
        <v>650</v>
      </c>
      <c r="I2734" s="655"/>
      <c r="J2734" s="655"/>
      <c r="K2734" s="653">
        <v>0</v>
      </c>
      <c r="L2734" s="656">
        <v>0</v>
      </c>
    </row>
    <row r="2735" spans="1:12" ht="31.5" x14ac:dyDescent="0.25">
      <c r="A2735" s="651" t="s">
        <v>201</v>
      </c>
      <c r="B2735" s="652">
        <v>2021</v>
      </c>
      <c r="C2735" s="651" t="s">
        <v>659</v>
      </c>
      <c r="D2735" s="651" t="s">
        <v>2749</v>
      </c>
      <c r="E2735" s="651" t="s">
        <v>661</v>
      </c>
      <c r="F2735" s="653">
        <v>0</v>
      </c>
      <c r="G2735" s="654"/>
      <c r="H2735" s="651" t="s">
        <v>650</v>
      </c>
      <c r="I2735" s="655"/>
      <c r="J2735" s="655"/>
      <c r="K2735" s="653">
        <v>0</v>
      </c>
      <c r="L2735" s="656">
        <v>0</v>
      </c>
    </row>
    <row r="2736" spans="1:12" ht="21" x14ac:dyDescent="0.25">
      <c r="A2736" s="651" t="s">
        <v>201</v>
      </c>
      <c r="B2736" s="652">
        <v>2021</v>
      </c>
      <c r="C2736" s="651" t="s">
        <v>662</v>
      </c>
      <c r="D2736" s="651" t="s">
        <v>2750</v>
      </c>
      <c r="E2736" s="651" t="s">
        <v>664</v>
      </c>
      <c r="F2736" s="653">
        <v>0</v>
      </c>
      <c r="G2736" s="654"/>
      <c r="H2736" s="651" t="s">
        <v>650</v>
      </c>
      <c r="I2736" s="655"/>
      <c r="J2736" s="655"/>
      <c r="K2736" s="653">
        <v>0</v>
      </c>
      <c r="L2736" s="656">
        <v>0</v>
      </c>
    </row>
    <row r="2737" spans="1:12" ht="31.5" x14ac:dyDescent="0.25">
      <c r="A2737" s="651" t="s">
        <v>201</v>
      </c>
      <c r="B2737" s="652">
        <v>2021</v>
      </c>
      <c r="C2737" s="651" t="s">
        <v>665</v>
      </c>
      <c r="D2737" s="651" t="s">
        <v>2751</v>
      </c>
      <c r="E2737" s="651" t="s">
        <v>667</v>
      </c>
      <c r="F2737" s="653">
        <v>0</v>
      </c>
      <c r="G2737" s="654"/>
      <c r="H2737" s="651" t="s">
        <v>650</v>
      </c>
      <c r="I2737" s="655"/>
      <c r="J2737" s="655"/>
      <c r="K2737" s="653">
        <v>0</v>
      </c>
      <c r="L2737" s="656">
        <v>0</v>
      </c>
    </row>
    <row r="2738" spans="1:12" ht="21" x14ac:dyDescent="0.25">
      <c r="A2738" s="651" t="s">
        <v>201</v>
      </c>
      <c r="B2738" s="652">
        <v>2021</v>
      </c>
      <c r="C2738" s="651" t="s">
        <v>668</v>
      </c>
      <c r="D2738" s="651" t="s">
        <v>2752</v>
      </c>
      <c r="E2738" s="651" t="s">
        <v>12</v>
      </c>
      <c r="F2738" s="653">
        <v>0</v>
      </c>
      <c r="G2738" s="654"/>
      <c r="H2738" s="651" t="s">
        <v>650</v>
      </c>
      <c r="I2738" s="655"/>
      <c r="J2738" s="655"/>
      <c r="K2738" s="653">
        <v>0</v>
      </c>
      <c r="L2738" s="656">
        <v>0</v>
      </c>
    </row>
    <row r="2739" spans="1:12" ht="21" x14ac:dyDescent="0.25">
      <c r="A2739" s="651" t="s">
        <v>201</v>
      </c>
      <c r="B2739" s="652">
        <v>2021</v>
      </c>
      <c r="C2739" s="651" t="s">
        <v>670</v>
      </c>
      <c r="D2739" s="651" t="s">
        <v>2753</v>
      </c>
      <c r="E2739" s="651" t="s">
        <v>13</v>
      </c>
      <c r="F2739" s="653">
        <v>0</v>
      </c>
      <c r="G2739" s="654"/>
      <c r="H2739" s="651" t="s">
        <v>650</v>
      </c>
      <c r="I2739" s="655"/>
      <c r="J2739" s="655"/>
      <c r="K2739" s="653">
        <v>0</v>
      </c>
      <c r="L2739" s="656">
        <v>0</v>
      </c>
    </row>
    <row r="2740" spans="1:12" ht="21" x14ac:dyDescent="0.25">
      <c r="A2740" s="651" t="s">
        <v>201</v>
      </c>
      <c r="B2740" s="652">
        <v>2021</v>
      </c>
      <c r="C2740" s="651" t="s">
        <v>672</v>
      </c>
      <c r="D2740" s="651" t="s">
        <v>2754</v>
      </c>
      <c r="E2740" s="651" t="s">
        <v>15</v>
      </c>
      <c r="F2740" s="653">
        <v>0</v>
      </c>
      <c r="G2740" s="654"/>
      <c r="H2740" s="651" t="s">
        <v>650</v>
      </c>
      <c r="I2740" s="655"/>
      <c r="J2740" s="655"/>
      <c r="K2740" s="653">
        <v>0</v>
      </c>
      <c r="L2740" s="656">
        <v>0</v>
      </c>
    </row>
    <row r="2741" spans="1:12" ht="21" x14ac:dyDescent="0.25">
      <c r="A2741" s="651" t="s">
        <v>201</v>
      </c>
      <c r="B2741" s="652">
        <v>2021</v>
      </c>
      <c r="C2741" s="651" t="s">
        <v>674</v>
      </c>
      <c r="D2741" s="651" t="s">
        <v>2755</v>
      </c>
      <c r="E2741" s="651" t="s">
        <v>676</v>
      </c>
      <c r="F2741" s="653">
        <v>0</v>
      </c>
      <c r="G2741" s="654"/>
      <c r="H2741" s="651" t="s">
        <v>650</v>
      </c>
      <c r="I2741" s="655"/>
      <c r="J2741" s="655"/>
      <c r="K2741" s="653">
        <v>0</v>
      </c>
      <c r="L2741" s="656">
        <v>0</v>
      </c>
    </row>
    <row r="2742" spans="1:12" ht="21" x14ac:dyDescent="0.25">
      <c r="A2742" s="651" t="s">
        <v>201</v>
      </c>
      <c r="B2742" s="652">
        <v>2021</v>
      </c>
      <c r="C2742" s="651" t="s">
        <v>677</v>
      </c>
      <c r="D2742" s="651" t="s">
        <v>2756</v>
      </c>
      <c r="E2742" s="651" t="s">
        <v>23</v>
      </c>
      <c r="F2742" s="653">
        <v>0</v>
      </c>
      <c r="G2742" s="651" t="s">
        <v>650</v>
      </c>
      <c r="H2742" s="654"/>
      <c r="I2742" s="655"/>
      <c r="J2742" s="655"/>
      <c r="K2742" s="653">
        <v>0</v>
      </c>
      <c r="L2742" s="656">
        <v>0</v>
      </c>
    </row>
    <row r="2743" spans="1:12" ht="31.5" x14ac:dyDescent="0.25">
      <c r="A2743" s="651" t="s">
        <v>201</v>
      </c>
      <c r="B2743" s="652">
        <v>2021</v>
      </c>
      <c r="C2743" s="651" t="s">
        <v>679</v>
      </c>
      <c r="D2743" s="651" t="s">
        <v>2757</v>
      </c>
      <c r="E2743" s="651" t="s">
        <v>131</v>
      </c>
      <c r="F2743" s="653">
        <v>-7813.73</v>
      </c>
      <c r="G2743" s="651" t="s">
        <v>650</v>
      </c>
      <c r="H2743" s="654"/>
      <c r="I2743" s="653">
        <v>-7616.169921875</v>
      </c>
      <c r="J2743" s="653">
        <v>-197.55999755859401</v>
      </c>
      <c r="K2743" s="653">
        <v>-7813.72998046875</v>
      </c>
      <c r="L2743" s="656">
        <v>-7813.73</v>
      </c>
    </row>
    <row r="2744" spans="1:12" ht="31.5" x14ac:dyDescent="0.25">
      <c r="A2744" s="651" t="s">
        <v>201</v>
      </c>
      <c r="B2744" s="652">
        <v>2021</v>
      </c>
      <c r="C2744" s="651" t="s">
        <v>681</v>
      </c>
      <c r="D2744" s="651" t="s">
        <v>2758</v>
      </c>
      <c r="E2744" s="651" t="s">
        <v>683</v>
      </c>
      <c r="F2744" s="653">
        <v>25495.18</v>
      </c>
      <c r="G2744" s="654"/>
      <c r="H2744" s="651" t="s">
        <v>650</v>
      </c>
      <c r="I2744" s="655"/>
      <c r="J2744" s="655"/>
      <c r="K2744" s="653">
        <v>0</v>
      </c>
      <c r="L2744" s="656">
        <v>25495.18</v>
      </c>
    </row>
    <row r="2745" spans="1:12" ht="21" x14ac:dyDescent="0.25">
      <c r="A2745" s="651" t="s">
        <v>201</v>
      </c>
      <c r="B2745" s="652">
        <v>2021</v>
      </c>
      <c r="C2745" s="651" t="s">
        <v>681</v>
      </c>
      <c r="D2745" s="651" t="s">
        <v>2758</v>
      </c>
      <c r="E2745" s="651" t="s">
        <v>684</v>
      </c>
      <c r="F2745" s="653">
        <v>25495.18</v>
      </c>
      <c r="G2745" s="654"/>
      <c r="H2745" s="651" t="s">
        <v>650</v>
      </c>
      <c r="I2745" s="655"/>
      <c r="J2745" s="655"/>
      <c r="K2745" s="653">
        <v>0</v>
      </c>
      <c r="L2745" s="656">
        <v>25495.18</v>
      </c>
    </row>
    <row r="2746" spans="1:12" ht="21" x14ac:dyDescent="0.25">
      <c r="A2746" s="651" t="s">
        <v>201</v>
      </c>
      <c r="B2746" s="652">
        <v>2021</v>
      </c>
      <c r="C2746" s="651" t="s">
        <v>685</v>
      </c>
      <c r="D2746" s="651" t="s">
        <v>2759</v>
      </c>
      <c r="E2746" s="651" t="s">
        <v>687</v>
      </c>
      <c r="F2746" s="653">
        <v>159323.21</v>
      </c>
      <c r="G2746" s="654"/>
      <c r="H2746" s="651" t="s">
        <v>650</v>
      </c>
      <c r="I2746" s="655"/>
      <c r="J2746" s="655"/>
      <c r="K2746" s="653">
        <v>0</v>
      </c>
      <c r="L2746" s="656">
        <v>159323.21</v>
      </c>
    </row>
    <row r="2747" spans="1:12" ht="21" x14ac:dyDescent="0.25">
      <c r="A2747" s="651" t="s">
        <v>201</v>
      </c>
      <c r="B2747" s="652">
        <v>2021</v>
      </c>
      <c r="C2747" s="651" t="s">
        <v>688</v>
      </c>
      <c r="D2747" s="651" t="s">
        <v>2760</v>
      </c>
      <c r="E2747" s="651" t="s">
        <v>50</v>
      </c>
      <c r="F2747" s="653">
        <v>0</v>
      </c>
      <c r="G2747" s="654"/>
      <c r="H2747" s="651" t="s">
        <v>650</v>
      </c>
      <c r="I2747" s="655"/>
      <c r="J2747" s="655"/>
      <c r="K2747" s="653">
        <v>0</v>
      </c>
      <c r="L2747" s="656">
        <v>0</v>
      </c>
    </row>
    <row r="2748" spans="1:12" ht="21" x14ac:dyDescent="0.25">
      <c r="A2748" s="651" t="s">
        <v>201</v>
      </c>
      <c r="B2748" s="652">
        <v>2021</v>
      </c>
      <c r="C2748" s="651" t="s">
        <v>690</v>
      </c>
      <c r="D2748" s="651" t="s">
        <v>2761</v>
      </c>
      <c r="E2748" s="651" t="s">
        <v>692</v>
      </c>
      <c r="F2748" s="653">
        <v>0</v>
      </c>
      <c r="G2748" s="654"/>
      <c r="H2748" s="651" t="s">
        <v>650</v>
      </c>
      <c r="I2748" s="655"/>
      <c r="J2748" s="655"/>
      <c r="K2748" s="653">
        <v>0</v>
      </c>
      <c r="L2748" s="656">
        <v>0</v>
      </c>
    </row>
    <row r="2749" spans="1:12" ht="21" x14ac:dyDescent="0.25">
      <c r="A2749" s="651" t="s">
        <v>201</v>
      </c>
      <c r="B2749" s="652">
        <v>2021</v>
      </c>
      <c r="C2749" s="651" t="s">
        <v>693</v>
      </c>
      <c r="D2749" s="651" t="s">
        <v>2762</v>
      </c>
      <c r="E2749" s="651" t="s">
        <v>6</v>
      </c>
      <c r="F2749" s="653">
        <v>0</v>
      </c>
      <c r="G2749" s="654"/>
      <c r="H2749" s="651" t="s">
        <v>650</v>
      </c>
      <c r="I2749" s="655"/>
      <c r="J2749" s="655"/>
      <c r="K2749" s="653">
        <v>0</v>
      </c>
      <c r="L2749" s="656">
        <v>0</v>
      </c>
    </row>
    <row r="2750" spans="1:12" ht="31.5" x14ac:dyDescent="0.25">
      <c r="A2750" s="651" t="s">
        <v>201</v>
      </c>
      <c r="B2750" s="652">
        <v>2021</v>
      </c>
      <c r="C2750" s="651" t="s">
        <v>695</v>
      </c>
      <c r="D2750" s="651" t="s">
        <v>2763</v>
      </c>
      <c r="E2750" s="651" t="s">
        <v>697</v>
      </c>
      <c r="F2750" s="653">
        <v>0</v>
      </c>
      <c r="G2750" s="654"/>
      <c r="H2750" s="651" t="s">
        <v>650</v>
      </c>
      <c r="I2750" s="655"/>
      <c r="J2750" s="655"/>
      <c r="K2750" s="653">
        <v>0</v>
      </c>
      <c r="L2750" s="656">
        <v>0</v>
      </c>
    </row>
    <row r="2751" spans="1:12" ht="21" x14ac:dyDescent="0.25">
      <c r="A2751" s="651" t="s">
        <v>201</v>
      </c>
      <c r="B2751" s="652">
        <v>2021</v>
      </c>
      <c r="C2751" s="651" t="s">
        <v>698</v>
      </c>
      <c r="D2751" s="651" t="s">
        <v>2764</v>
      </c>
      <c r="E2751" s="651" t="s">
        <v>700</v>
      </c>
      <c r="F2751" s="653">
        <v>0</v>
      </c>
      <c r="G2751" s="654"/>
      <c r="H2751" s="651" t="s">
        <v>650</v>
      </c>
      <c r="I2751" s="655"/>
      <c r="J2751" s="655"/>
      <c r="K2751" s="653">
        <v>0</v>
      </c>
      <c r="L2751" s="656">
        <v>0</v>
      </c>
    </row>
    <row r="2752" spans="1:12" ht="21" x14ac:dyDescent="0.25">
      <c r="A2752" s="651" t="s">
        <v>201</v>
      </c>
      <c r="B2752" s="652">
        <v>2021</v>
      </c>
      <c r="C2752" s="651" t="s">
        <v>701</v>
      </c>
      <c r="D2752" s="651" t="s">
        <v>2765</v>
      </c>
      <c r="E2752" s="651" t="s">
        <v>1</v>
      </c>
      <c r="F2752" s="653">
        <v>-410962.65</v>
      </c>
      <c r="G2752" s="651" t="s">
        <v>650</v>
      </c>
      <c r="H2752" s="654"/>
      <c r="I2752" s="653">
        <v>-402961.40625</v>
      </c>
      <c r="J2752" s="653">
        <v>-8001.240234375</v>
      </c>
      <c r="K2752" s="653">
        <v>-410962.65625</v>
      </c>
      <c r="L2752" s="656">
        <v>-410962.65</v>
      </c>
    </row>
    <row r="2753" spans="1:12" ht="21" x14ac:dyDescent="0.25">
      <c r="A2753" s="651" t="s">
        <v>201</v>
      </c>
      <c r="B2753" s="652">
        <v>2021</v>
      </c>
      <c r="C2753" s="651" t="s">
        <v>701</v>
      </c>
      <c r="D2753" s="651" t="s">
        <v>2765</v>
      </c>
      <c r="E2753" s="651" t="s">
        <v>703</v>
      </c>
      <c r="F2753" s="653">
        <v>0</v>
      </c>
      <c r="G2753" s="654"/>
      <c r="H2753" s="654"/>
      <c r="I2753" s="655"/>
      <c r="J2753" s="655"/>
      <c r="K2753" s="653">
        <v>0</v>
      </c>
      <c r="L2753" s="656">
        <v>0</v>
      </c>
    </row>
    <row r="2754" spans="1:12" ht="21" x14ac:dyDescent="0.25">
      <c r="A2754" s="651" t="s">
        <v>201</v>
      </c>
      <c r="B2754" s="652">
        <v>2021</v>
      </c>
      <c r="C2754" s="651" t="s">
        <v>701</v>
      </c>
      <c r="D2754" s="651" t="s">
        <v>2765</v>
      </c>
      <c r="E2754" s="651" t="s">
        <v>704</v>
      </c>
      <c r="F2754" s="653">
        <v>0</v>
      </c>
      <c r="G2754" s="654"/>
      <c r="H2754" s="654"/>
      <c r="I2754" s="655"/>
      <c r="J2754" s="655"/>
      <c r="K2754" s="653">
        <v>0</v>
      </c>
      <c r="L2754" s="656">
        <v>0</v>
      </c>
    </row>
    <row r="2755" spans="1:12" ht="21" x14ac:dyDescent="0.25">
      <c r="A2755" s="651" t="s">
        <v>201</v>
      </c>
      <c r="B2755" s="652">
        <v>2021</v>
      </c>
      <c r="C2755" s="651" t="s">
        <v>701</v>
      </c>
      <c r="D2755" s="651" t="s">
        <v>2765</v>
      </c>
      <c r="E2755" s="651" t="s">
        <v>705</v>
      </c>
      <c r="F2755" s="653">
        <v>-955.33</v>
      </c>
      <c r="G2755" s="654"/>
      <c r="H2755" s="654"/>
      <c r="I2755" s="655"/>
      <c r="J2755" s="655"/>
      <c r="K2755" s="653">
        <v>0</v>
      </c>
      <c r="L2755" s="656">
        <v>-955.33</v>
      </c>
    </row>
    <row r="2756" spans="1:12" ht="21" x14ac:dyDescent="0.25">
      <c r="A2756" s="651" t="s">
        <v>201</v>
      </c>
      <c r="B2756" s="652">
        <v>2021</v>
      </c>
      <c r="C2756" s="651" t="s">
        <v>701</v>
      </c>
      <c r="D2756" s="651" t="s">
        <v>2765</v>
      </c>
      <c r="E2756" s="651" t="s">
        <v>706</v>
      </c>
      <c r="F2756" s="653">
        <v>-42062.7</v>
      </c>
      <c r="G2756" s="654"/>
      <c r="H2756" s="654"/>
      <c r="I2756" s="655"/>
      <c r="J2756" s="655"/>
      <c r="K2756" s="653">
        <v>0</v>
      </c>
      <c r="L2756" s="656">
        <v>-42062.7</v>
      </c>
    </row>
    <row r="2757" spans="1:12" ht="21" x14ac:dyDescent="0.25">
      <c r="A2757" s="651" t="s">
        <v>201</v>
      </c>
      <c r="B2757" s="652">
        <v>2021</v>
      </c>
      <c r="C2757" s="651" t="s">
        <v>707</v>
      </c>
      <c r="D2757" s="651" t="s">
        <v>2766</v>
      </c>
      <c r="E2757" s="651" t="s">
        <v>709</v>
      </c>
      <c r="F2757" s="653">
        <v>0</v>
      </c>
      <c r="G2757" s="654"/>
      <c r="H2757" s="651" t="s">
        <v>650</v>
      </c>
      <c r="I2757" s="655"/>
      <c r="J2757" s="655"/>
      <c r="K2757" s="653">
        <v>0</v>
      </c>
      <c r="L2757" s="656">
        <v>0</v>
      </c>
    </row>
    <row r="2758" spans="1:12" ht="31.5" x14ac:dyDescent="0.25">
      <c r="A2758" s="651" t="s">
        <v>201</v>
      </c>
      <c r="B2758" s="652">
        <v>2021</v>
      </c>
      <c r="C2758" s="651" t="s">
        <v>710</v>
      </c>
      <c r="D2758" s="651" t="s">
        <v>2767</v>
      </c>
      <c r="E2758" s="651" t="s">
        <v>2</v>
      </c>
      <c r="F2758" s="653">
        <v>49954.78</v>
      </c>
      <c r="G2758" s="651" t="s">
        <v>650</v>
      </c>
      <c r="H2758" s="654"/>
      <c r="I2758" s="653">
        <v>50916.5390625</v>
      </c>
      <c r="J2758" s="653">
        <v>-961.760009765625</v>
      </c>
      <c r="K2758" s="653">
        <v>49954.78125</v>
      </c>
      <c r="L2758" s="656">
        <v>49954.78</v>
      </c>
    </row>
    <row r="2759" spans="1:12" ht="31.5" x14ac:dyDescent="0.25">
      <c r="A2759" s="651" t="s">
        <v>201</v>
      </c>
      <c r="B2759" s="652">
        <v>2021</v>
      </c>
      <c r="C2759" s="651" t="s">
        <v>712</v>
      </c>
      <c r="D2759" s="651" t="s">
        <v>2768</v>
      </c>
      <c r="E2759" s="651" t="s">
        <v>3</v>
      </c>
      <c r="F2759" s="653">
        <v>-80513.67</v>
      </c>
      <c r="G2759" s="651" t="s">
        <v>650</v>
      </c>
      <c r="H2759" s="654"/>
      <c r="I2759" s="653">
        <v>-77766.3125</v>
      </c>
      <c r="J2759" s="653">
        <v>-2747.36010742188</v>
      </c>
      <c r="K2759" s="653">
        <v>-80513.671875</v>
      </c>
      <c r="L2759" s="656">
        <v>-80513.67</v>
      </c>
    </row>
    <row r="2760" spans="1:12" ht="31.5" x14ac:dyDescent="0.25">
      <c r="A2760" s="651" t="s">
        <v>201</v>
      </c>
      <c r="B2760" s="652">
        <v>2021</v>
      </c>
      <c r="C2760" s="651" t="s">
        <v>714</v>
      </c>
      <c r="D2760" s="651" t="s">
        <v>2769</v>
      </c>
      <c r="E2760" s="651" t="s">
        <v>38</v>
      </c>
      <c r="F2760" s="653">
        <v>-302900.36</v>
      </c>
      <c r="G2760" s="651" t="s">
        <v>650</v>
      </c>
      <c r="H2760" s="654"/>
      <c r="I2760" s="653">
        <v>-294352.5</v>
      </c>
      <c r="J2760" s="653">
        <v>-8547.8701171875</v>
      </c>
      <c r="K2760" s="653">
        <v>-302900.375</v>
      </c>
      <c r="L2760" s="656">
        <v>-302900.36</v>
      </c>
    </row>
    <row r="2761" spans="1:12" ht="21" x14ac:dyDescent="0.25">
      <c r="A2761" s="651" t="s">
        <v>201</v>
      </c>
      <c r="B2761" s="652">
        <v>2021</v>
      </c>
      <c r="C2761" s="651" t="s">
        <v>716</v>
      </c>
      <c r="D2761" s="651" t="s">
        <v>2770</v>
      </c>
      <c r="E2761" s="651" t="s">
        <v>66</v>
      </c>
      <c r="F2761" s="653">
        <v>63458.82</v>
      </c>
      <c r="G2761" s="651" t="s">
        <v>650</v>
      </c>
      <c r="H2761" s="654"/>
      <c r="I2761" s="653">
        <v>55618.62109375</v>
      </c>
      <c r="J2761" s="653">
        <v>7840.2001953125</v>
      </c>
      <c r="K2761" s="653">
        <v>63458.8203125</v>
      </c>
      <c r="L2761" s="656">
        <v>63458.82</v>
      </c>
    </row>
    <row r="2762" spans="1:12" ht="31.5" x14ac:dyDescent="0.25">
      <c r="A2762" s="651" t="s">
        <v>201</v>
      </c>
      <c r="B2762" s="652">
        <v>2021</v>
      </c>
      <c r="C2762" s="651" t="s">
        <v>718</v>
      </c>
      <c r="D2762" s="651" t="s">
        <v>2771</v>
      </c>
      <c r="E2762" s="651" t="s">
        <v>720</v>
      </c>
      <c r="F2762" s="653">
        <v>-160442</v>
      </c>
      <c r="G2762" s="654"/>
      <c r="H2762" s="651" t="s">
        <v>650</v>
      </c>
      <c r="I2762" s="655"/>
      <c r="J2762" s="655"/>
      <c r="K2762" s="653">
        <v>0</v>
      </c>
      <c r="L2762" s="656">
        <v>-160442</v>
      </c>
    </row>
    <row r="2763" spans="1:12" ht="42" x14ac:dyDescent="0.25">
      <c r="A2763" s="651" t="s">
        <v>201</v>
      </c>
      <c r="B2763" s="652">
        <v>2021</v>
      </c>
      <c r="C2763" s="651" t="s">
        <v>721</v>
      </c>
      <c r="D2763" s="651" t="s">
        <v>2772</v>
      </c>
      <c r="E2763" s="651" t="s">
        <v>3016</v>
      </c>
      <c r="F2763" s="653">
        <v>0</v>
      </c>
      <c r="G2763" s="651" t="s">
        <v>650</v>
      </c>
      <c r="H2763" s="654"/>
      <c r="I2763" s="653">
        <v>22222.2890625</v>
      </c>
      <c r="J2763" s="653">
        <v>34.830001831054702</v>
      </c>
      <c r="K2763" s="653">
        <v>22257.119140625</v>
      </c>
      <c r="L2763" s="656">
        <v>22257.119999999999</v>
      </c>
    </row>
    <row r="2764" spans="1:12" ht="42" x14ac:dyDescent="0.25">
      <c r="A2764" s="651" t="s">
        <v>201</v>
      </c>
      <c r="B2764" s="652">
        <v>2021</v>
      </c>
      <c r="C2764" s="651" t="s">
        <v>721</v>
      </c>
      <c r="D2764" s="651" t="s">
        <v>2772</v>
      </c>
      <c r="E2764" s="651" t="s">
        <v>3058</v>
      </c>
      <c r="F2764" s="653">
        <v>0</v>
      </c>
      <c r="G2764" s="651" t="s">
        <v>650</v>
      </c>
      <c r="H2764" s="654"/>
      <c r="I2764" s="653">
        <v>-269039.84375</v>
      </c>
      <c r="J2764" s="653">
        <v>-62619.19921875</v>
      </c>
      <c r="K2764" s="653">
        <v>-331659.03125</v>
      </c>
      <c r="L2764" s="656">
        <v>-331659.03999999998</v>
      </c>
    </row>
    <row r="2765" spans="1:12" ht="42" x14ac:dyDescent="0.25">
      <c r="A2765" s="651" t="s">
        <v>201</v>
      </c>
      <c r="B2765" s="652">
        <v>2021</v>
      </c>
      <c r="C2765" s="651" t="s">
        <v>721</v>
      </c>
      <c r="D2765" s="651" t="s">
        <v>2773</v>
      </c>
      <c r="E2765" s="651" t="s">
        <v>724</v>
      </c>
      <c r="F2765" s="653">
        <v>0</v>
      </c>
      <c r="G2765" s="651" t="s">
        <v>650</v>
      </c>
      <c r="H2765" s="654"/>
      <c r="I2765" s="655"/>
      <c r="J2765" s="655"/>
      <c r="K2765" s="653">
        <v>0</v>
      </c>
      <c r="L2765" s="656">
        <v>0</v>
      </c>
    </row>
    <row r="2766" spans="1:12" ht="42" x14ac:dyDescent="0.25">
      <c r="A2766" s="651" t="s">
        <v>201</v>
      </c>
      <c r="B2766" s="652">
        <v>2021</v>
      </c>
      <c r="C2766" s="651" t="s">
        <v>721</v>
      </c>
      <c r="D2766" s="651" t="s">
        <v>2774</v>
      </c>
      <c r="E2766" s="651" t="s">
        <v>55</v>
      </c>
      <c r="F2766" s="653">
        <v>0</v>
      </c>
      <c r="G2766" s="651" t="s">
        <v>650</v>
      </c>
      <c r="H2766" s="654"/>
      <c r="I2766" s="655"/>
      <c r="J2766" s="655"/>
      <c r="K2766" s="653">
        <v>0</v>
      </c>
      <c r="L2766" s="656">
        <v>0</v>
      </c>
    </row>
    <row r="2767" spans="1:12" ht="42" x14ac:dyDescent="0.25">
      <c r="A2767" s="651" t="s">
        <v>201</v>
      </c>
      <c r="B2767" s="652">
        <v>2021</v>
      </c>
      <c r="C2767" s="651" t="s">
        <v>721</v>
      </c>
      <c r="D2767" s="651" t="s">
        <v>2775</v>
      </c>
      <c r="E2767" s="651" t="s">
        <v>56</v>
      </c>
      <c r="F2767" s="653">
        <v>0</v>
      </c>
      <c r="G2767" s="651" t="s">
        <v>650</v>
      </c>
      <c r="H2767" s="654"/>
      <c r="I2767" s="655"/>
      <c r="J2767" s="655"/>
      <c r="K2767" s="653">
        <v>0</v>
      </c>
      <c r="L2767" s="656">
        <v>0</v>
      </c>
    </row>
    <row r="2768" spans="1:12" ht="42" x14ac:dyDescent="0.25">
      <c r="A2768" s="651" t="s">
        <v>201</v>
      </c>
      <c r="B2768" s="652">
        <v>2021</v>
      </c>
      <c r="C2768" s="651" t="s">
        <v>721</v>
      </c>
      <c r="D2768" s="651" t="s">
        <v>2776</v>
      </c>
      <c r="E2768" s="651" t="s">
        <v>728</v>
      </c>
      <c r="F2768" s="653">
        <v>0</v>
      </c>
      <c r="G2768" s="651" t="s">
        <v>650</v>
      </c>
      <c r="H2768" s="654"/>
      <c r="I2768" s="655"/>
      <c r="J2768" s="655"/>
      <c r="K2768" s="653">
        <v>0</v>
      </c>
      <c r="L2768" s="656">
        <v>0</v>
      </c>
    </row>
    <row r="2769" spans="1:12" ht="42" x14ac:dyDescent="0.25">
      <c r="A2769" s="651" t="s">
        <v>201</v>
      </c>
      <c r="B2769" s="652">
        <v>2021</v>
      </c>
      <c r="C2769" s="651" t="s">
        <v>721</v>
      </c>
      <c r="D2769" s="651" t="s">
        <v>2777</v>
      </c>
      <c r="E2769" s="651" t="s">
        <v>730</v>
      </c>
      <c r="F2769" s="653">
        <v>0</v>
      </c>
      <c r="G2769" s="651" t="s">
        <v>650</v>
      </c>
      <c r="H2769" s="654"/>
      <c r="I2769" s="655"/>
      <c r="J2769" s="655"/>
      <c r="K2769" s="653">
        <v>0</v>
      </c>
      <c r="L2769" s="656">
        <v>0</v>
      </c>
    </row>
    <row r="2770" spans="1:12" ht="42" x14ac:dyDescent="0.25">
      <c r="A2770" s="651" t="s">
        <v>201</v>
      </c>
      <c r="B2770" s="652">
        <v>2021</v>
      </c>
      <c r="C2770" s="651" t="s">
        <v>721</v>
      </c>
      <c r="D2770" s="651" t="s">
        <v>2778</v>
      </c>
      <c r="E2770" s="651" t="s">
        <v>142</v>
      </c>
      <c r="F2770" s="653">
        <v>0</v>
      </c>
      <c r="G2770" s="651" t="s">
        <v>650</v>
      </c>
      <c r="H2770" s="654"/>
      <c r="I2770" s="655"/>
      <c r="J2770" s="655"/>
      <c r="K2770" s="653">
        <v>0</v>
      </c>
      <c r="L2770" s="656">
        <v>0</v>
      </c>
    </row>
    <row r="2771" spans="1:12" ht="42" x14ac:dyDescent="0.25">
      <c r="A2771" s="651" t="s">
        <v>201</v>
      </c>
      <c r="B2771" s="652">
        <v>2021</v>
      </c>
      <c r="C2771" s="651" t="s">
        <v>721</v>
      </c>
      <c r="D2771" s="651" t="s">
        <v>2779</v>
      </c>
      <c r="E2771" s="651" t="s">
        <v>143</v>
      </c>
      <c r="F2771" s="653">
        <v>0</v>
      </c>
      <c r="G2771" s="651" t="s">
        <v>650</v>
      </c>
      <c r="H2771" s="654"/>
      <c r="I2771" s="655"/>
      <c r="J2771" s="655"/>
      <c r="K2771" s="653">
        <v>0</v>
      </c>
      <c r="L2771" s="656">
        <v>0</v>
      </c>
    </row>
    <row r="2772" spans="1:12" ht="42" x14ac:dyDescent="0.25">
      <c r="A2772" s="651" t="s">
        <v>201</v>
      </c>
      <c r="B2772" s="652">
        <v>2021</v>
      </c>
      <c r="C2772" s="651" t="s">
        <v>721</v>
      </c>
      <c r="D2772" s="651" t="s">
        <v>2780</v>
      </c>
      <c r="E2772" s="651" t="s">
        <v>182</v>
      </c>
      <c r="F2772" s="653">
        <v>0</v>
      </c>
      <c r="G2772" s="651" t="s">
        <v>650</v>
      </c>
      <c r="H2772" s="654"/>
      <c r="I2772" s="655"/>
      <c r="J2772" s="655"/>
      <c r="K2772" s="653">
        <v>0</v>
      </c>
      <c r="L2772" s="656">
        <v>0</v>
      </c>
    </row>
    <row r="2773" spans="1:12" ht="42" x14ac:dyDescent="0.25">
      <c r="A2773" s="651" t="s">
        <v>201</v>
      </c>
      <c r="B2773" s="652">
        <v>2021</v>
      </c>
      <c r="C2773" s="651" t="s">
        <v>721</v>
      </c>
      <c r="D2773" s="651" t="s">
        <v>2781</v>
      </c>
      <c r="E2773" s="651" t="s">
        <v>394</v>
      </c>
      <c r="F2773" s="653">
        <v>0</v>
      </c>
      <c r="G2773" s="651" t="s">
        <v>650</v>
      </c>
      <c r="H2773" s="654"/>
      <c r="I2773" s="655"/>
      <c r="J2773" s="655"/>
      <c r="K2773" s="653">
        <v>0</v>
      </c>
      <c r="L2773" s="656">
        <v>0</v>
      </c>
    </row>
    <row r="2774" spans="1:12" ht="42" x14ac:dyDescent="0.25">
      <c r="A2774" s="651" t="s">
        <v>201</v>
      </c>
      <c r="B2774" s="652">
        <v>2021</v>
      </c>
      <c r="C2774" s="651" t="s">
        <v>721</v>
      </c>
      <c r="D2774" s="651" t="s">
        <v>2782</v>
      </c>
      <c r="E2774" s="651" t="s">
        <v>423</v>
      </c>
      <c r="F2774" s="653">
        <v>0</v>
      </c>
      <c r="G2774" s="651" t="s">
        <v>650</v>
      </c>
      <c r="H2774" s="654"/>
      <c r="I2774" s="655"/>
      <c r="J2774" s="655"/>
      <c r="K2774" s="653">
        <v>0</v>
      </c>
      <c r="L2774" s="656">
        <v>0</v>
      </c>
    </row>
    <row r="2775" spans="1:12" ht="42" x14ac:dyDescent="0.25">
      <c r="A2775" s="651" t="s">
        <v>201</v>
      </c>
      <c r="B2775" s="652">
        <v>2021</v>
      </c>
      <c r="C2775" s="651" t="s">
        <v>721</v>
      </c>
      <c r="D2775" s="651" t="s">
        <v>3332</v>
      </c>
      <c r="E2775" s="651" t="s">
        <v>441</v>
      </c>
      <c r="F2775" s="653">
        <v>0</v>
      </c>
      <c r="G2775" s="651" t="s">
        <v>650</v>
      </c>
      <c r="H2775" s="654"/>
      <c r="I2775" s="653">
        <v>49997.3984375</v>
      </c>
      <c r="J2775" s="653">
        <v>-5780.89990234375</v>
      </c>
      <c r="K2775" s="653">
        <v>44216.5</v>
      </c>
      <c r="L2775" s="656">
        <v>44216.5</v>
      </c>
    </row>
    <row r="2776" spans="1:12" ht="42" x14ac:dyDescent="0.25">
      <c r="A2776" s="651" t="s">
        <v>201</v>
      </c>
      <c r="B2776" s="652">
        <v>2021</v>
      </c>
      <c r="C2776" s="651" t="s">
        <v>721</v>
      </c>
      <c r="D2776" s="651" t="s">
        <v>2783</v>
      </c>
      <c r="E2776" s="651" t="s">
        <v>737</v>
      </c>
      <c r="F2776" s="653">
        <v>-265185.42</v>
      </c>
      <c r="G2776" s="654"/>
      <c r="H2776" s="654"/>
      <c r="I2776" s="655"/>
      <c r="J2776" s="655"/>
      <c r="K2776" s="653">
        <v>0</v>
      </c>
      <c r="L2776" s="656">
        <v>-265185.42</v>
      </c>
    </row>
    <row r="2777" spans="1:12" ht="21" x14ac:dyDescent="0.25">
      <c r="A2777" s="651" t="s">
        <v>201</v>
      </c>
      <c r="B2777" s="652">
        <v>2021</v>
      </c>
      <c r="C2777" s="651" t="s">
        <v>738</v>
      </c>
      <c r="D2777" s="651" t="s">
        <v>2784</v>
      </c>
      <c r="E2777" s="651" t="s">
        <v>7</v>
      </c>
      <c r="F2777" s="653">
        <v>0</v>
      </c>
      <c r="G2777" s="654"/>
      <c r="H2777" s="651" t="s">
        <v>650</v>
      </c>
      <c r="I2777" s="655"/>
      <c r="J2777" s="655"/>
      <c r="K2777" s="653">
        <v>0</v>
      </c>
      <c r="L2777" s="656">
        <v>0</v>
      </c>
    </row>
    <row r="2778" spans="1:12" ht="21" x14ac:dyDescent="0.25">
      <c r="A2778" s="651" t="s">
        <v>120</v>
      </c>
      <c r="B2778" s="652">
        <v>2021</v>
      </c>
      <c r="C2778" s="651" t="s">
        <v>647</v>
      </c>
      <c r="D2778" s="651" t="s">
        <v>2785</v>
      </c>
      <c r="E2778" s="651" t="s">
        <v>649</v>
      </c>
      <c r="F2778" s="653">
        <v>1503372.9</v>
      </c>
      <c r="G2778" s="654"/>
      <c r="H2778" s="651" t="s">
        <v>650</v>
      </c>
      <c r="I2778" s="655"/>
      <c r="J2778" s="655"/>
      <c r="K2778" s="653">
        <v>0</v>
      </c>
      <c r="L2778" s="656">
        <v>1503372.9</v>
      </c>
    </row>
    <row r="2779" spans="1:12" ht="14.5" x14ac:dyDescent="0.25">
      <c r="A2779" s="651" t="s">
        <v>120</v>
      </c>
      <c r="B2779" s="652">
        <v>2021</v>
      </c>
      <c r="C2779" s="651" t="s">
        <v>651</v>
      </c>
      <c r="D2779" s="651" t="s">
        <v>2786</v>
      </c>
      <c r="E2779" s="651" t="s">
        <v>653</v>
      </c>
      <c r="F2779" s="653">
        <v>92720.1</v>
      </c>
      <c r="G2779" s="654"/>
      <c r="H2779" s="651" t="s">
        <v>650</v>
      </c>
      <c r="I2779" s="655"/>
      <c r="J2779" s="655"/>
      <c r="K2779" s="653">
        <v>0</v>
      </c>
      <c r="L2779" s="656">
        <v>92720.1</v>
      </c>
    </row>
    <row r="2780" spans="1:12" ht="42" x14ac:dyDescent="0.25">
      <c r="A2780" s="651" t="s">
        <v>120</v>
      </c>
      <c r="B2780" s="652">
        <v>2021</v>
      </c>
      <c r="C2780" s="651" t="s">
        <v>654</v>
      </c>
      <c r="D2780" s="651" t="s">
        <v>2787</v>
      </c>
      <c r="E2780" s="651" t="s">
        <v>445</v>
      </c>
      <c r="F2780" s="653">
        <v>0</v>
      </c>
      <c r="G2780" s="654"/>
      <c r="H2780" s="651" t="s">
        <v>650</v>
      </c>
      <c r="I2780" s="655"/>
      <c r="J2780" s="655"/>
      <c r="K2780" s="653">
        <v>0</v>
      </c>
      <c r="L2780" s="656">
        <v>0</v>
      </c>
    </row>
    <row r="2781" spans="1:12" ht="21" x14ac:dyDescent="0.25">
      <c r="A2781" s="651" t="s">
        <v>120</v>
      </c>
      <c r="B2781" s="652">
        <v>2021</v>
      </c>
      <c r="C2781" s="651" t="s">
        <v>656</v>
      </c>
      <c r="D2781" s="651" t="s">
        <v>2788</v>
      </c>
      <c r="E2781" s="651" t="s">
        <v>658</v>
      </c>
      <c r="F2781" s="653">
        <v>0</v>
      </c>
      <c r="G2781" s="654"/>
      <c r="H2781" s="651" t="s">
        <v>650</v>
      </c>
      <c r="I2781" s="655"/>
      <c r="J2781" s="655"/>
      <c r="K2781" s="653">
        <v>0</v>
      </c>
      <c r="L2781" s="656">
        <v>0</v>
      </c>
    </row>
    <row r="2782" spans="1:12" ht="31.5" x14ac:dyDescent="0.25">
      <c r="A2782" s="651" t="s">
        <v>120</v>
      </c>
      <c r="B2782" s="652">
        <v>2021</v>
      </c>
      <c r="C2782" s="651" t="s">
        <v>659</v>
      </c>
      <c r="D2782" s="651" t="s">
        <v>2789</v>
      </c>
      <c r="E2782" s="651" t="s">
        <v>661</v>
      </c>
      <c r="F2782" s="653">
        <v>0</v>
      </c>
      <c r="G2782" s="654"/>
      <c r="H2782" s="651" t="s">
        <v>650</v>
      </c>
      <c r="I2782" s="655"/>
      <c r="J2782" s="655"/>
      <c r="K2782" s="653">
        <v>0</v>
      </c>
      <c r="L2782" s="656">
        <v>0</v>
      </c>
    </row>
    <row r="2783" spans="1:12" ht="21" x14ac:dyDescent="0.25">
      <c r="A2783" s="651" t="s">
        <v>120</v>
      </c>
      <c r="B2783" s="652">
        <v>2021</v>
      </c>
      <c r="C2783" s="651" t="s">
        <v>662</v>
      </c>
      <c r="D2783" s="651" t="s">
        <v>2790</v>
      </c>
      <c r="E2783" s="651" t="s">
        <v>664</v>
      </c>
      <c r="F2783" s="653">
        <v>0</v>
      </c>
      <c r="G2783" s="654"/>
      <c r="H2783" s="651" t="s">
        <v>650</v>
      </c>
      <c r="I2783" s="655"/>
      <c r="J2783" s="655"/>
      <c r="K2783" s="653">
        <v>0</v>
      </c>
      <c r="L2783" s="656">
        <v>0</v>
      </c>
    </row>
    <row r="2784" spans="1:12" ht="31.5" x14ac:dyDescent="0.25">
      <c r="A2784" s="651" t="s">
        <v>120</v>
      </c>
      <c r="B2784" s="652">
        <v>2021</v>
      </c>
      <c r="C2784" s="651" t="s">
        <v>665</v>
      </c>
      <c r="D2784" s="651" t="s">
        <v>2791</v>
      </c>
      <c r="E2784" s="651" t="s">
        <v>667</v>
      </c>
      <c r="F2784" s="653">
        <v>0</v>
      </c>
      <c r="G2784" s="654"/>
      <c r="H2784" s="651" t="s">
        <v>650</v>
      </c>
      <c r="I2784" s="655"/>
      <c r="J2784" s="655"/>
      <c r="K2784" s="653">
        <v>0</v>
      </c>
      <c r="L2784" s="656">
        <v>0</v>
      </c>
    </row>
    <row r="2785" spans="1:12" ht="21" x14ac:dyDescent="0.25">
      <c r="A2785" s="651" t="s">
        <v>120</v>
      </c>
      <c r="B2785" s="652">
        <v>2021</v>
      </c>
      <c r="C2785" s="651" t="s">
        <v>668</v>
      </c>
      <c r="D2785" s="651" t="s">
        <v>2792</v>
      </c>
      <c r="E2785" s="651" t="s">
        <v>12</v>
      </c>
      <c r="F2785" s="653">
        <v>0</v>
      </c>
      <c r="G2785" s="654"/>
      <c r="H2785" s="651" t="s">
        <v>650</v>
      </c>
      <c r="I2785" s="655"/>
      <c r="J2785" s="655"/>
      <c r="K2785" s="653">
        <v>0</v>
      </c>
      <c r="L2785" s="656">
        <v>0</v>
      </c>
    </row>
    <row r="2786" spans="1:12" ht="21" x14ac:dyDescent="0.25">
      <c r="A2786" s="651" t="s">
        <v>120</v>
      </c>
      <c r="B2786" s="652">
        <v>2021</v>
      </c>
      <c r="C2786" s="651" t="s">
        <v>670</v>
      </c>
      <c r="D2786" s="651" t="s">
        <v>2793</v>
      </c>
      <c r="E2786" s="651" t="s">
        <v>13</v>
      </c>
      <c r="F2786" s="653">
        <v>0</v>
      </c>
      <c r="G2786" s="654"/>
      <c r="H2786" s="651" t="s">
        <v>650</v>
      </c>
      <c r="I2786" s="655"/>
      <c r="J2786" s="655"/>
      <c r="K2786" s="653">
        <v>0</v>
      </c>
      <c r="L2786" s="656">
        <v>0</v>
      </c>
    </row>
    <row r="2787" spans="1:12" ht="21" x14ac:dyDescent="0.25">
      <c r="A2787" s="651" t="s">
        <v>120</v>
      </c>
      <c r="B2787" s="652">
        <v>2021</v>
      </c>
      <c r="C2787" s="651" t="s">
        <v>672</v>
      </c>
      <c r="D2787" s="651" t="s">
        <v>2794</v>
      </c>
      <c r="E2787" s="651" t="s">
        <v>15</v>
      </c>
      <c r="F2787" s="653">
        <v>0</v>
      </c>
      <c r="G2787" s="654"/>
      <c r="H2787" s="651" t="s">
        <v>650</v>
      </c>
      <c r="I2787" s="655"/>
      <c r="J2787" s="655"/>
      <c r="K2787" s="653">
        <v>0</v>
      </c>
      <c r="L2787" s="656">
        <v>0</v>
      </c>
    </row>
    <row r="2788" spans="1:12" ht="14.5" x14ac:dyDescent="0.25">
      <c r="A2788" s="651" t="s">
        <v>120</v>
      </c>
      <c r="B2788" s="652">
        <v>2021</v>
      </c>
      <c r="C2788" s="651" t="s">
        <v>674</v>
      </c>
      <c r="D2788" s="651" t="s">
        <v>2795</v>
      </c>
      <c r="E2788" s="651" t="s">
        <v>676</v>
      </c>
      <c r="F2788" s="653">
        <v>3737.41</v>
      </c>
      <c r="G2788" s="654"/>
      <c r="H2788" s="651" t="s">
        <v>650</v>
      </c>
      <c r="I2788" s="655"/>
      <c r="J2788" s="655"/>
      <c r="K2788" s="653">
        <v>0</v>
      </c>
      <c r="L2788" s="656">
        <v>3737.41</v>
      </c>
    </row>
    <row r="2789" spans="1:12" ht="14.5" x14ac:dyDescent="0.25">
      <c r="A2789" s="651" t="s">
        <v>120</v>
      </c>
      <c r="B2789" s="652">
        <v>2021</v>
      </c>
      <c r="C2789" s="651" t="s">
        <v>677</v>
      </c>
      <c r="D2789" s="651" t="s">
        <v>2796</v>
      </c>
      <c r="E2789" s="651" t="s">
        <v>23</v>
      </c>
      <c r="F2789" s="653">
        <v>648466.65</v>
      </c>
      <c r="G2789" s="651" t="s">
        <v>650</v>
      </c>
      <c r="H2789" s="654"/>
      <c r="I2789" s="653">
        <v>624801.1875</v>
      </c>
      <c r="J2789" s="653">
        <v>23665.490234375</v>
      </c>
      <c r="K2789" s="653">
        <v>648466.625</v>
      </c>
      <c r="L2789" s="656">
        <v>648466.65</v>
      </c>
    </row>
    <row r="2790" spans="1:12" ht="31.5" x14ac:dyDescent="0.25">
      <c r="A2790" s="651" t="s">
        <v>120</v>
      </c>
      <c r="B2790" s="652">
        <v>2021</v>
      </c>
      <c r="C2790" s="651" t="s">
        <v>679</v>
      </c>
      <c r="D2790" s="651" t="s">
        <v>2797</v>
      </c>
      <c r="E2790" s="651" t="s">
        <v>131</v>
      </c>
      <c r="F2790" s="653">
        <v>-5636.61</v>
      </c>
      <c r="G2790" s="651" t="s">
        <v>650</v>
      </c>
      <c r="H2790" s="654"/>
      <c r="I2790" s="653">
        <v>-5376.91015625</v>
      </c>
      <c r="J2790" s="653">
        <v>-259.70001220703102</v>
      </c>
      <c r="K2790" s="653">
        <v>-5636.60986328125</v>
      </c>
      <c r="L2790" s="656">
        <v>-5636.61</v>
      </c>
    </row>
    <row r="2791" spans="1:12" ht="31.5" x14ac:dyDescent="0.25">
      <c r="A2791" s="651" t="s">
        <v>120</v>
      </c>
      <c r="B2791" s="652">
        <v>2021</v>
      </c>
      <c r="C2791" s="651" t="s">
        <v>681</v>
      </c>
      <c r="D2791" s="651" t="s">
        <v>2798</v>
      </c>
      <c r="E2791" s="651" t="s">
        <v>683</v>
      </c>
      <c r="F2791" s="653">
        <v>0</v>
      </c>
      <c r="G2791" s="654"/>
      <c r="H2791" s="651" t="s">
        <v>650</v>
      </c>
      <c r="I2791" s="655"/>
      <c r="J2791" s="655"/>
      <c r="K2791" s="653">
        <v>0</v>
      </c>
      <c r="L2791" s="656">
        <v>0</v>
      </c>
    </row>
    <row r="2792" spans="1:12" ht="21" x14ac:dyDescent="0.25">
      <c r="A2792" s="651" t="s">
        <v>120</v>
      </c>
      <c r="B2792" s="652">
        <v>2021</v>
      </c>
      <c r="C2792" s="651" t="s">
        <v>681</v>
      </c>
      <c r="D2792" s="651" t="s">
        <v>2798</v>
      </c>
      <c r="E2792" s="651" t="s">
        <v>684</v>
      </c>
      <c r="F2792" s="653">
        <v>0</v>
      </c>
      <c r="G2792" s="654"/>
      <c r="H2792" s="651" t="s">
        <v>650</v>
      </c>
      <c r="I2792" s="655"/>
      <c r="J2792" s="655"/>
      <c r="K2792" s="653">
        <v>0</v>
      </c>
      <c r="L2792" s="656">
        <v>0</v>
      </c>
    </row>
    <row r="2793" spans="1:12" ht="21" x14ac:dyDescent="0.25">
      <c r="A2793" s="651" t="s">
        <v>120</v>
      </c>
      <c r="B2793" s="652">
        <v>2021</v>
      </c>
      <c r="C2793" s="651" t="s">
        <v>685</v>
      </c>
      <c r="D2793" s="651" t="s">
        <v>2799</v>
      </c>
      <c r="E2793" s="651" t="s">
        <v>687</v>
      </c>
      <c r="F2793" s="653">
        <v>8021.72</v>
      </c>
      <c r="G2793" s="654"/>
      <c r="H2793" s="651" t="s">
        <v>650</v>
      </c>
      <c r="I2793" s="655"/>
      <c r="J2793" s="655"/>
      <c r="K2793" s="653">
        <v>0</v>
      </c>
      <c r="L2793" s="656">
        <v>8021.72</v>
      </c>
    </row>
    <row r="2794" spans="1:12" ht="14.5" x14ac:dyDescent="0.25">
      <c r="A2794" s="651" t="s">
        <v>120</v>
      </c>
      <c r="B2794" s="652">
        <v>2021</v>
      </c>
      <c r="C2794" s="651" t="s">
        <v>688</v>
      </c>
      <c r="D2794" s="651" t="s">
        <v>2800</v>
      </c>
      <c r="E2794" s="651" t="s">
        <v>50</v>
      </c>
      <c r="F2794" s="653">
        <v>66990.759999999995</v>
      </c>
      <c r="G2794" s="654"/>
      <c r="H2794" s="651" t="s">
        <v>650</v>
      </c>
      <c r="I2794" s="655"/>
      <c r="J2794" s="655"/>
      <c r="K2794" s="653">
        <v>0</v>
      </c>
      <c r="L2794" s="656">
        <v>66990.759999999995</v>
      </c>
    </row>
    <row r="2795" spans="1:12" ht="21" x14ac:dyDescent="0.25">
      <c r="A2795" s="651" t="s">
        <v>120</v>
      </c>
      <c r="B2795" s="652">
        <v>2021</v>
      </c>
      <c r="C2795" s="651" t="s">
        <v>690</v>
      </c>
      <c r="D2795" s="651" t="s">
        <v>2801</v>
      </c>
      <c r="E2795" s="651" t="s">
        <v>692</v>
      </c>
      <c r="F2795" s="653">
        <v>0</v>
      </c>
      <c r="G2795" s="654"/>
      <c r="H2795" s="651" t="s">
        <v>650</v>
      </c>
      <c r="I2795" s="655"/>
      <c r="J2795" s="655"/>
      <c r="K2795" s="653">
        <v>0</v>
      </c>
      <c r="L2795" s="656">
        <v>0</v>
      </c>
    </row>
    <row r="2796" spans="1:12" ht="21" x14ac:dyDescent="0.25">
      <c r="A2796" s="651" t="s">
        <v>120</v>
      </c>
      <c r="B2796" s="652">
        <v>2021</v>
      </c>
      <c r="C2796" s="651" t="s">
        <v>693</v>
      </c>
      <c r="D2796" s="651" t="s">
        <v>2802</v>
      </c>
      <c r="E2796" s="651" t="s">
        <v>6</v>
      </c>
      <c r="F2796" s="653">
        <v>0</v>
      </c>
      <c r="G2796" s="654"/>
      <c r="H2796" s="651" t="s">
        <v>650</v>
      </c>
      <c r="I2796" s="655"/>
      <c r="J2796" s="655"/>
      <c r="K2796" s="653">
        <v>0</v>
      </c>
      <c r="L2796" s="656">
        <v>0</v>
      </c>
    </row>
    <row r="2797" spans="1:12" ht="31.5" x14ac:dyDescent="0.25">
      <c r="A2797" s="651" t="s">
        <v>120</v>
      </c>
      <c r="B2797" s="652">
        <v>2021</v>
      </c>
      <c r="C2797" s="651" t="s">
        <v>695</v>
      </c>
      <c r="D2797" s="651" t="s">
        <v>2803</v>
      </c>
      <c r="E2797" s="651" t="s">
        <v>697</v>
      </c>
      <c r="F2797" s="653">
        <v>0</v>
      </c>
      <c r="G2797" s="654"/>
      <c r="H2797" s="651" t="s">
        <v>650</v>
      </c>
      <c r="I2797" s="655"/>
      <c r="J2797" s="655"/>
      <c r="K2797" s="653">
        <v>0</v>
      </c>
      <c r="L2797" s="656">
        <v>0</v>
      </c>
    </row>
    <row r="2798" spans="1:12" ht="21" x14ac:dyDescent="0.25">
      <c r="A2798" s="651" t="s">
        <v>120</v>
      </c>
      <c r="B2798" s="652">
        <v>2021</v>
      </c>
      <c r="C2798" s="651" t="s">
        <v>698</v>
      </c>
      <c r="D2798" s="651" t="s">
        <v>2804</v>
      </c>
      <c r="E2798" s="651" t="s">
        <v>700</v>
      </c>
      <c r="F2798" s="653">
        <v>0</v>
      </c>
      <c r="G2798" s="654"/>
      <c r="H2798" s="651" t="s">
        <v>650</v>
      </c>
      <c r="I2798" s="655"/>
      <c r="J2798" s="655"/>
      <c r="K2798" s="653">
        <v>0</v>
      </c>
      <c r="L2798" s="656">
        <v>0</v>
      </c>
    </row>
    <row r="2799" spans="1:12" ht="21" x14ac:dyDescent="0.25">
      <c r="A2799" s="651" t="s">
        <v>120</v>
      </c>
      <c r="B2799" s="652">
        <v>2021</v>
      </c>
      <c r="C2799" s="651" t="s">
        <v>701</v>
      </c>
      <c r="D2799" s="651" t="s">
        <v>2805</v>
      </c>
      <c r="E2799" s="651" t="s">
        <v>1</v>
      </c>
      <c r="F2799" s="653">
        <v>-566883.76</v>
      </c>
      <c r="G2799" s="651" t="s">
        <v>650</v>
      </c>
      <c r="H2799" s="654"/>
      <c r="I2799" s="653">
        <v>-533838</v>
      </c>
      <c r="J2799" s="653">
        <v>-33045.73046875</v>
      </c>
      <c r="K2799" s="653">
        <v>-566883.75</v>
      </c>
      <c r="L2799" s="656">
        <v>-566883.76</v>
      </c>
    </row>
    <row r="2800" spans="1:12" ht="21" x14ac:dyDescent="0.25">
      <c r="A2800" s="651" t="s">
        <v>120</v>
      </c>
      <c r="B2800" s="652">
        <v>2021</v>
      </c>
      <c r="C2800" s="651" t="s">
        <v>701</v>
      </c>
      <c r="D2800" s="651" t="s">
        <v>2805</v>
      </c>
      <c r="E2800" s="651" t="s">
        <v>703</v>
      </c>
      <c r="F2800" s="653">
        <v>0</v>
      </c>
      <c r="G2800" s="654"/>
      <c r="H2800" s="654"/>
      <c r="I2800" s="655"/>
      <c r="J2800" s="655"/>
      <c r="K2800" s="653">
        <v>0</v>
      </c>
      <c r="L2800" s="656">
        <v>0</v>
      </c>
    </row>
    <row r="2801" spans="1:12" ht="21" x14ac:dyDescent="0.25">
      <c r="A2801" s="651" t="s">
        <v>120</v>
      </c>
      <c r="B2801" s="652">
        <v>2021</v>
      </c>
      <c r="C2801" s="651" t="s">
        <v>701</v>
      </c>
      <c r="D2801" s="651" t="s">
        <v>2805</v>
      </c>
      <c r="E2801" s="651" t="s">
        <v>704</v>
      </c>
      <c r="F2801" s="653">
        <v>0</v>
      </c>
      <c r="G2801" s="654"/>
      <c r="H2801" s="654"/>
      <c r="I2801" s="655"/>
      <c r="J2801" s="655"/>
      <c r="K2801" s="653">
        <v>0</v>
      </c>
      <c r="L2801" s="656">
        <v>0</v>
      </c>
    </row>
    <row r="2802" spans="1:12" ht="21" x14ac:dyDescent="0.25">
      <c r="A2802" s="651" t="s">
        <v>120</v>
      </c>
      <c r="B2802" s="652">
        <v>2021</v>
      </c>
      <c r="C2802" s="651" t="s">
        <v>701</v>
      </c>
      <c r="D2802" s="651" t="s">
        <v>2805</v>
      </c>
      <c r="E2802" s="651" t="s">
        <v>705</v>
      </c>
      <c r="F2802" s="653">
        <v>1634.75</v>
      </c>
      <c r="G2802" s="654"/>
      <c r="H2802" s="654"/>
      <c r="I2802" s="655"/>
      <c r="J2802" s="655"/>
      <c r="K2802" s="653">
        <v>0</v>
      </c>
      <c r="L2802" s="656">
        <v>1634.75</v>
      </c>
    </row>
    <row r="2803" spans="1:12" ht="21" x14ac:dyDescent="0.25">
      <c r="A2803" s="651" t="s">
        <v>120</v>
      </c>
      <c r="B2803" s="652">
        <v>2021</v>
      </c>
      <c r="C2803" s="651" t="s">
        <v>701</v>
      </c>
      <c r="D2803" s="651" t="s">
        <v>2805</v>
      </c>
      <c r="E2803" s="651" t="s">
        <v>706</v>
      </c>
      <c r="F2803" s="653">
        <v>14846.98</v>
      </c>
      <c r="G2803" s="654"/>
      <c r="H2803" s="654"/>
      <c r="I2803" s="655"/>
      <c r="J2803" s="655"/>
      <c r="K2803" s="653">
        <v>0</v>
      </c>
      <c r="L2803" s="656">
        <v>14846.98</v>
      </c>
    </row>
    <row r="2804" spans="1:12" ht="14.5" x14ac:dyDescent="0.25">
      <c r="A2804" s="651" t="s">
        <v>120</v>
      </c>
      <c r="B2804" s="652">
        <v>2021</v>
      </c>
      <c r="C2804" s="651" t="s">
        <v>707</v>
      </c>
      <c r="D2804" s="651" t="s">
        <v>2806</v>
      </c>
      <c r="E2804" s="651" t="s">
        <v>709</v>
      </c>
      <c r="F2804" s="653">
        <v>0</v>
      </c>
      <c r="G2804" s="654"/>
      <c r="H2804" s="651" t="s">
        <v>650</v>
      </c>
      <c r="I2804" s="655"/>
      <c r="J2804" s="655"/>
      <c r="K2804" s="653">
        <v>0</v>
      </c>
      <c r="L2804" s="656">
        <v>0</v>
      </c>
    </row>
    <row r="2805" spans="1:12" ht="31.5" x14ac:dyDescent="0.25">
      <c r="A2805" s="651" t="s">
        <v>120</v>
      </c>
      <c r="B2805" s="652">
        <v>2021</v>
      </c>
      <c r="C2805" s="651" t="s">
        <v>710</v>
      </c>
      <c r="D2805" s="651" t="s">
        <v>2807</v>
      </c>
      <c r="E2805" s="651" t="s">
        <v>2</v>
      </c>
      <c r="F2805" s="653">
        <v>47335.39</v>
      </c>
      <c r="G2805" s="651" t="s">
        <v>650</v>
      </c>
      <c r="H2805" s="654"/>
      <c r="I2805" s="653">
        <v>44045.5703125</v>
      </c>
      <c r="J2805" s="653">
        <v>3289.82006835938</v>
      </c>
      <c r="K2805" s="653">
        <v>47335.390625</v>
      </c>
      <c r="L2805" s="656">
        <v>47335.39</v>
      </c>
    </row>
    <row r="2806" spans="1:12" ht="31.5" x14ac:dyDescent="0.25">
      <c r="A2806" s="651" t="s">
        <v>120</v>
      </c>
      <c r="B2806" s="652">
        <v>2021</v>
      </c>
      <c r="C2806" s="651" t="s">
        <v>712</v>
      </c>
      <c r="D2806" s="651" t="s">
        <v>2808</v>
      </c>
      <c r="E2806" s="651" t="s">
        <v>3</v>
      </c>
      <c r="F2806" s="653">
        <v>256133.27</v>
      </c>
      <c r="G2806" s="651" t="s">
        <v>650</v>
      </c>
      <c r="H2806" s="654"/>
      <c r="I2806" s="653">
        <v>245683.125</v>
      </c>
      <c r="J2806" s="653">
        <v>10450.150390625</v>
      </c>
      <c r="K2806" s="653">
        <v>256133.265625</v>
      </c>
      <c r="L2806" s="656">
        <v>256133.27</v>
      </c>
    </row>
    <row r="2807" spans="1:12" ht="31.5" x14ac:dyDescent="0.25">
      <c r="A2807" s="651" t="s">
        <v>120</v>
      </c>
      <c r="B2807" s="652">
        <v>2021</v>
      </c>
      <c r="C2807" s="651" t="s">
        <v>714</v>
      </c>
      <c r="D2807" s="651" t="s">
        <v>2809</v>
      </c>
      <c r="E2807" s="651" t="s">
        <v>38</v>
      </c>
      <c r="F2807" s="653">
        <v>76739.77</v>
      </c>
      <c r="G2807" s="651" t="s">
        <v>650</v>
      </c>
      <c r="H2807" s="654"/>
      <c r="I2807" s="653">
        <v>75812.828125</v>
      </c>
      <c r="J2807" s="653">
        <v>926.94000244140602</v>
      </c>
      <c r="K2807" s="653">
        <v>76739.7734375</v>
      </c>
      <c r="L2807" s="656">
        <v>76739.77</v>
      </c>
    </row>
    <row r="2808" spans="1:12" ht="21" x14ac:dyDescent="0.25">
      <c r="A2808" s="651" t="s">
        <v>120</v>
      </c>
      <c r="B2808" s="652">
        <v>2021</v>
      </c>
      <c r="C2808" s="651" t="s">
        <v>716</v>
      </c>
      <c r="D2808" s="651" t="s">
        <v>2810</v>
      </c>
      <c r="E2808" s="651" t="s">
        <v>66</v>
      </c>
      <c r="F2808" s="653">
        <v>-36075.199999999997</v>
      </c>
      <c r="G2808" s="651" t="s">
        <v>650</v>
      </c>
      <c r="H2808" s="654"/>
      <c r="I2808" s="653">
        <v>-37179.3203125</v>
      </c>
      <c r="J2808" s="653">
        <v>1104.11999511719</v>
      </c>
      <c r="K2808" s="653">
        <v>-36075.19921875</v>
      </c>
      <c r="L2808" s="656">
        <v>-36075.199999999997</v>
      </c>
    </row>
    <row r="2809" spans="1:12" ht="31.5" x14ac:dyDescent="0.25">
      <c r="A2809" s="651" t="s">
        <v>120</v>
      </c>
      <c r="B2809" s="652">
        <v>2021</v>
      </c>
      <c r="C2809" s="651" t="s">
        <v>718</v>
      </c>
      <c r="D2809" s="651" t="s">
        <v>2811</v>
      </c>
      <c r="E2809" s="651" t="s">
        <v>720</v>
      </c>
      <c r="F2809" s="653">
        <v>-37966.99</v>
      </c>
      <c r="G2809" s="654"/>
      <c r="H2809" s="651" t="s">
        <v>650</v>
      </c>
      <c r="I2809" s="655"/>
      <c r="J2809" s="655"/>
      <c r="K2809" s="653">
        <v>0</v>
      </c>
      <c r="L2809" s="656">
        <v>-37966.99</v>
      </c>
    </row>
    <row r="2810" spans="1:12" ht="42" x14ac:dyDescent="0.25">
      <c r="A2810" s="651" t="s">
        <v>120</v>
      </c>
      <c r="B2810" s="652">
        <v>2021</v>
      </c>
      <c r="C2810" s="651" t="s">
        <v>721</v>
      </c>
      <c r="D2810" s="651" t="s">
        <v>2812</v>
      </c>
      <c r="E2810" s="651" t="s">
        <v>3016</v>
      </c>
      <c r="F2810" s="653">
        <v>0</v>
      </c>
      <c r="G2810" s="651" t="s">
        <v>650</v>
      </c>
      <c r="H2810" s="654"/>
      <c r="I2810" s="655"/>
      <c r="J2810" s="655"/>
      <c r="K2810" s="653">
        <v>0</v>
      </c>
      <c r="L2810" s="656">
        <v>0</v>
      </c>
    </row>
    <row r="2811" spans="1:12" ht="42" x14ac:dyDescent="0.25">
      <c r="A2811" s="651" t="s">
        <v>120</v>
      </c>
      <c r="B2811" s="652">
        <v>2021</v>
      </c>
      <c r="C2811" s="651" t="s">
        <v>721</v>
      </c>
      <c r="D2811" s="651" t="s">
        <v>2812</v>
      </c>
      <c r="E2811" s="651" t="s">
        <v>3058</v>
      </c>
      <c r="F2811" s="653">
        <v>0</v>
      </c>
      <c r="G2811" s="651" t="s">
        <v>650</v>
      </c>
      <c r="H2811" s="654"/>
      <c r="I2811" s="655"/>
      <c r="J2811" s="655"/>
      <c r="K2811" s="653">
        <v>0</v>
      </c>
      <c r="L2811" s="656">
        <v>0</v>
      </c>
    </row>
    <row r="2812" spans="1:12" ht="42" x14ac:dyDescent="0.25">
      <c r="A2812" s="651" t="s">
        <v>120</v>
      </c>
      <c r="B2812" s="652">
        <v>2021</v>
      </c>
      <c r="C2812" s="651" t="s">
        <v>721</v>
      </c>
      <c r="D2812" s="651" t="s">
        <v>2813</v>
      </c>
      <c r="E2812" s="651" t="s">
        <v>724</v>
      </c>
      <c r="F2812" s="653">
        <v>0</v>
      </c>
      <c r="G2812" s="651" t="s">
        <v>650</v>
      </c>
      <c r="H2812" s="654"/>
      <c r="I2812" s="655"/>
      <c r="J2812" s="655"/>
      <c r="K2812" s="653">
        <v>0</v>
      </c>
      <c r="L2812" s="656">
        <v>0</v>
      </c>
    </row>
    <row r="2813" spans="1:12" ht="42" x14ac:dyDescent="0.25">
      <c r="A2813" s="651" t="s">
        <v>120</v>
      </c>
      <c r="B2813" s="652">
        <v>2021</v>
      </c>
      <c r="C2813" s="651" t="s">
        <v>721</v>
      </c>
      <c r="D2813" s="651" t="s">
        <v>2814</v>
      </c>
      <c r="E2813" s="651" t="s">
        <v>55</v>
      </c>
      <c r="F2813" s="653">
        <v>0</v>
      </c>
      <c r="G2813" s="651" t="s">
        <v>650</v>
      </c>
      <c r="H2813" s="654"/>
      <c r="I2813" s="655"/>
      <c r="J2813" s="655"/>
      <c r="K2813" s="653">
        <v>0</v>
      </c>
      <c r="L2813" s="656">
        <v>0</v>
      </c>
    </row>
    <row r="2814" spans="1:12" ht="42" x14ac:dyDescent="0.25">
      <c r="A2814" s="651" t="s">
        <v>120</v>
      </c>
      <c r="B2814" s="652">
        <v>2021</v>
      </c>
      <c r="C2814" s="651" t="s">
        <v>721</v>
      </c>
      <c r="D2814" s="651" t="s">
        <v>2815</v>
      </c>
      <c r="E2814" s="651" t="s">
        <v>56</v>
      </c>
      <c r="F2814" s="653">
        <v>0</v>
      </c>
      <c r="G2814" s="651" t="s">
        <v>650</v>
      </c>
      <c r="H2814" s="654"/>
      <c r="I2814" s="655"/>
      <c r="J2814" s="655"/>
      <c r="K2814" s="653">
        <v>0</v>
      </c>
      <c r="L2814" s="656">
        <v>0</v>
      </c>
    </row>
    <row r="2815" spans="1:12" ht="42" x14ac:dyDescent="0.25">
      <c r="A2815" s="651" t="s">
        <v>120</v>
      </c>
      <c r="B2815" s="652">
        <v>2021</v>
      </c>
      <c r="C2815" s="651" t="s">
        <v>721</v>
      </c>
      <c r="D2815" s="651" t="s">
        <v>2816</v>
      </c>
      <c r="E2815" s="651" t="s">
        <v>728</v>
      </c>
      <c r="F2815" s="653">
        <v>0</v>
      </c>
      <c r="G2815" s="651" t="s">
        <v>650</v>
      </c>
      <c r="H2815" s="654"/>
      <c r="I2815" s="655"/>
      <c r="J2815" s="655"/>
      <c r="K2815" s="653">
        <v>0</v>
      </c>
      <c r="L2815" s="656">
        <v>0</v>
      </c>
    </row>
    <row r="2816" spans="1:12" ht="42" x14ac:dyDescent="0.25">
      <c r="A2816" s="651" t="s">
        <v>120</v>
      </c>
      <c r="B2816" s="652">
        <v>2021</v>
      </c>
      <c r="C2816" s="651" t="s">
        <v>721</v>
      </c>
      <c r="D2816" s="651" t="s">
        <v>2817</v>
      </c>
      <c r="E2816" s="651" t="s">
        <v>730</v>
      </c>
      <c r="F2816" s="653">
        <v>0</v>
      </c>
      <c r="G2816" s="651" t="s">
        <v>650</v>
      </c>
      <c r="H2816" s="654"/>
      <c r="I2816" s="655"/>
      <c r="J2816" s="655"/>
      <c r="K2816" s="653">
        <v>0</v>
      </c>
      <c r="L2816" s="656">
        <v>0</v>
      </c>
    </row>
    <row r="2817" spans="1:12" ht="42" x14ac:dyDescent="0.25">
      <c r="A2817" s="651" t="s">
        <v>120</v>
      </c>
      <c r="B2817" s="652">
        <v>2021</v>
      </c>
      <c r="C2817" s="651" t="s">
        <v>721</v>
      </c>
      <c r="D2817" s="651" t="s">
        <v>2818</v>
      </c>
      <c r="E2817" s="651" t="s">
        <v>142</v>
      </c>
      <c r="F2817" s="653">
        <v>0</v>
      </c>
      <c r="G2817" s="651" t="s">
        <v>650</v>
      </c>
      <c r="H2817" s="654"/>
      <c r="I2817" s="655"/>
      <c r="J2817" s="655"/>
      <c r="K2817" s="653">
        <v>0</v>
      </c>
      <c r="L2817" s="656">
        <v>0</v>
      </c>
    </row>
    <row r="2818" spans="1:12" ht="42" x14ac:dyDescent="0.25">
      <c r="A2818" s="651" t="s">
        <v>120</v>
      </c>
      <c r="B2818" s="652">
        <v>2021</v>
      </c>
      <c r="C2818" s="651" t="s">
        <v>721</v>
      </c>
      <c r="D2818" s="651" t="s">
        <v>2819</v>
      </c>
      <c r="E2818" s="651" t="s">
        <v>143</v>
      </c>
      <c r="F2818" s="653">
        <v>0</v>
      </c>
      <c r="G2818" s="651" t="s">
        <v>650</v>
      </c>
      <c r="H2818" s="654"/>
      <c r="I2818" s="653">
        <v>30631.8203125</v>
      </c>
      <c r="J2818" s="653">
        <v>1041.38000488281</v>
      </c>
      <c r="K2818" s="653">
        <v>31673.19921875</v>
      </c>
      <c r="L2818" s="656">
        <v>31673.200000000001</v>
      </c>
    </row>
    <row r="2819" spans="1:12" ht="42" x14ac:dyDescent="0.25">
      <c r="A2819" s="651" t="s">
        <v>120</v>
      </c>
      <c r="B2819" s="652">
        <v>2021</v>
      </c>
      <c r="C2819" s="651" t="s">
        <v>721</v>
      </c>
      <c r="D2819" s="651" t="s">
        <v>2820</v>
      </c>
      <c r="E2819" s="651" t="s">
        <v>182</v>
      </c>
      <c r="F2819" s="653">
        <v>0</v>
      </c>
      <c r="G2819" s="651" t="s">
        <v>650</v>
      </c>
      <c r="H2819" s="654"/>
      <c r="I2819" s="655"/>
      <c r="J2819" s="655"/>
      <c r="K2819" s="653">
        <v>0</v>
      </c>
      <c r="L2819" s="656">
        <v>0</v>
      </c>
    </row>
    <row r="2820" spans="1:12" ht="42" x14ac:dyDescent="0.25">
      <c r="A2820" s="651" t="s">
        <v>120</v>
      </c>
      <c r="B2820" s="652">
        <v>2021</v>
      </c>
      <c r="C2820" s="651" t="s">
        <v>721</v>
      </c>
      <c r="D2820" s="651" t="s">
        <v>2821</v>
      </c>
      <c r="E2820" s="651" t="s">
        <v>394</v>
      </c>
      <c r="F2820" s="653">
        <v>0</v>
      </c>
      <c r="G2820" s="651" t="s">
        <v>650</v>
      </c>
      <c r="H2820" s="654"/>
      <c r="I2820" s="653">
        <v>18315.720703125</v>
      </c>
      <c r="J2820" s="653">
        <v>2521.94995117188</v>
      </c>
      <c r="K2820" s="653">
        <v>20837.669921875</v>
      </c>
      <c r="L2820" s="656">
        <v>20837.669999999998</v>
      </c>
    </row>
    <row r="2821" spans="1:12" ht="42" x14ac:dyDescent="0.25">
      <c r="A2821" s="651" t="s">
        <v>120</v>
      </c>
      <c r="B2821" s="652">
        <v>2021</v>
      </c>
      <c r="C2821" s="651" t="s">
        <v>721</v>
      </c>
      <c r="D2821" s="651" t="s">
        <v>2822</v>
      </c>
      <c r="E2821" s="651" t="s">
        <v>423</v>
      </c>
      <c r="F2821" s="653">
        <v>0</v>
      </c>
      <c r="G2821" s="651" t="s">
        <v>650</v>
      </c>
      <c r="H2821" s="654"/>
      <c r="I2821" s="655"/>
      <c r="J2821" s="655"/>
      <c r="K2821" s="653">
        <v>0</v>
      </c>
      <c r="L2821" s="656">
        <v>0</v>
      </c>
    </row>
    <row r="2822" spans="1:12" ht="42" x14ac:dyDescent="0.25">
      <c r="A2822" s="651" t="s">
        <v>120</v>
      </c>
      <c r="B2822" s="652">
        <v>2021</v>
      </c>
      <c r="C2822" s="651" t="s">
        <v>721</v>
      </c>
      <c r="D2822" s="651" t="s">
        <v>3333</v>
      </c>
      <c r="E2822" s="651" t="s">
        <v>441</v>
      </c>
      <c r="F2822" s="653">
        <v>0</v>
      </c>
      <c r="G2822" s="651" t="s">
        <v>650</v>
      </c>
      <c r="H2822" s="654"/>
      <c r="I2822" s="655"/>
      <c r="J2822" s="655"/>
      <c r="K2822" s="653">
        <v>0</v>
      </c>
      <c r="L2822" s="656">
        <v>0</v>
      </c>
    </row>
    <row r="2823" spans="1:12" ht="42" x14ac:dyDescent="0.25">
      <c r="A2823" s="651" t="s">
        <v>120</v>
      </c>
      <c r="B2823" s="652">
        <v>2021</v>
      </c>
      <c r="C2823" s="651" t="s">
        <v>721</v>
      </c>
      <c r="D2823" s="651" t="s">
        <v>2823</v>
      </c>
      <c r="E2823" s="651" t="s">
        <v>737</v>
      </c>
      <c r="F2823" s="653">
        <v>52510.87</v>
      </c>
      <c r="G2823" s="654"/>
      <c r="H2823" s="654"/>
      <c r="I2823" s="655"/>
      <c r="J2823" s="655"/>
      <c r="K2823" s="653">
        <v>0</v>
      </c>
      <c r="L2823" s="656">
        <v>52510.87</v>
      </c>
    </row>
    <row r="2824" spans="1:12" ht="14.5" x14ac:dyDescent="0.25">
      <c r="A2824" s="651" t="s">
        <v>120</v>
      </c>
      <c r="B2824" s="652">
        <v>2021</v>
      </c>
      <c r="C2824" s="651" t="s">
        <v>738</v>
      </c>
      <c r="D2824" s="651" t="s">
        <v>2824</v>
      </c>
      <c r="E2824" s="651" t="s">
        <v>7</v>
      </c>
      <c r="F2824" s="653">
        <v>0</v>
      </c>
      <c r="G2824" s="654"/>
      <c r="H2824" s="651" t="s">
        <v>650</v>
      </c>
      <c r="I2824" s="655"/>
      <c r="J2824" s="655"/>
      <c r="K2824" s="653">
        <v>0</v>
      </c>
      <c r="L2824" s="656">
        <v>0</v>
      </c>
    </row>
    <row r="2825" spans="1:12" ht="21" x14ac:dyDescent="0.25">
      <c r="A2825" s="651" t="s">
        <v>121</v>
      </c>
      <c r="B2825" s="652">
        <v>2021</v>
      </c>
      <c r="C2825" s="651" t="s">
        <v>647</v>
      </c>
      <c r="D2825" s="651" t="s">
        <v>2825</v>
      </c>
      <c r="E2825" s="651" t="s">
        <v>649</v>
      </c>
      <c r="F2825" s="653">
        <v>-191613.37</v>
      </c>
      <c r="G2825" s="654"/>
      <c r="H2825" s="651" t="s">
        <v>650</v>
      </c>
      <c r="I2825" s="655"/>
      <c r="J2825" s="655"/>
      <c r="K2825" s="653">
        <v>0</v>
      </c>
      <c r="L2825" s="656">
        <v>-191613.37</v>
      </c>
    </row>
    <row r="2826" spans="1:12" ht="14.5" x14ac:dyDescent="0.25">
      <c r="A2826" s="651" t="s">
        <v>121</v>
      </c>
      <c r="B2826" s="652">
        <v>2021</v>
      </c>
      <c r="C2826" s="651" t="s">
        <v>651</v>
      </c>
      <c r="D2826" s="651" t="s">
        <v>2826</v>
      </c>
      <c r="E2826" s="651" t="s">
        <v>653</v>
      </c>
      <c r="F2826" s="653">
        <v>28169.95</v>
      </c>
      <c r="G2826" s="654"/>
      <c r="H2826" s="651" t="s">
        <v>650</v>
      </c>
      <c r="I2826" s="655"/>
      <c r="J2826" s="655"/>
      <c r="K2826" s="653">
        <v>0</v>
      </c>
      <c r="L2826" s="656">
        <v>28169.95</v>
      </c>
    </row>
    <row r="2827" spans="1:12" ht="42" x14ac:dyDescent="0.25">
      <c r="A2827" s="651" t="s">
        <v>121</v>
      </c>
      <c r="B2827" s="652">
        <v>2021</v>
      </c>
      <c r="C2827" s="651" t="s">
        <v>654</v>
      </c>
      <c r="D2827" s="651" t="s">
        <v>2827</v>
      </c>
      <c r="E2827" s="651" t="s">
        <v>445</v>
      </c>
      <c r="F2827" s="653">
        <v>0</v>
      </c>
      <c r="G2827" s="654"/>
      <c r="H2827" s="651" t="s">
        <v>650</v>
      </c>
      <c r="I2827" s="655"/>
      <c r="J2827" s="655"/>
      <c r="K2827" s="653">
        <v>0</v>
      </c>
      <c r="L2827" s="656">
        <v>0</v>
      </c>
    </row>
    <row r="2828" spans="1:12" ht="21" x14ac:dyDescent="0.25">
      <c r="A2828" s="651" t="s">
        <v>121</v>
      </c>
      <c r="B2828" s="652">
        <v>2021</v>
      </c>
      <c r="C2828" s="651" t="s">
        <v>656</v>
      </c>
      <c r="D2828" s="651" t="s">
        <v>2828</v>
      </c>
      <c r="E2828" s="651" t="s">
        <v>658</v>
      </c>
      <c r="F2828" s="653">
        <v>159678.38</v>
      </c>
      <c r="G2828" s="654"/>
      <c r="H2828" s="651" t="s">
        <v>650</v>
      </c>
      <c r="I2828" s="655"/>
      <c r="J2828" s="655"/>
      <c r="K2828" s="653">
        <v>0</v>
      </c>
      <c r="L2828" s="656">
        <v>159678.38</v>
      </c>
    </row>
    <row r="2829" spans="1:12" ht="31.5" x14ac:dyDescent="0.25">
      <c r="A2829" s="651" t="s">
        <v>121</v>
      </c>
      <c r="B2829" s="652">
        <v>2021</v>
      </c>
      <c r="C2829" s="651" t="s">
        <v>659</v>
      </c>
      <c r="D2829" s="651" t="s">
        <v>2829</v>
      </c>
      <c r="E2829" s="651" t="s">
        <v>661</v>
      </c>
      <c r="F2829" s="653">
        <v>0</v>
      </c>
      <c r="G2829" s="654"/>
      <c r="H2829" s="651" t="s">
        <v>650</v>
      </c>
      <c r="I2829" s="655"/>
      <c r="J2829" s="655"/>
      <c r="K2829" s="653">
        <v>0</v>
      </c>
      <c r="L2829" s="656">
        <v>0</v>
      </c>
    </row>
    <row r="2830" spans="1:12" ht="21" x14ac:dyDescent="0.25">
      <c r="A2830" s="651" t="s">
        <v>121</v>
      </c>
      <c r="B2830" s="652">
        <v>2021</v>
      </c>
      <c r="C2830" s="651" t="s">
        <v>662</v>
      </c>
      <c r="D2830" s="651" t="s">
        <v>2830</v>
      </c>
      <c r="E2830" s="651" t="s">
        <v>664</v>
      </c>
      <c r="F2830" s="653">
        <v>0</v>
      </c>
      <c r="G2830" s="654"/>
      <c r="H2830" s="651" t="s">
        <v>650</v>
      </c>
      <c r="I2830" s="655"/>
      <c r="J2830" s="655"/>
      <c r="K2830" s="653">
        <v>0</v>
      </c>
      <c r="L2830" s="656">
        <v>0</v>
      </c>
    </row>
    <row r="2831" spans="1:12" ht="31.5" x14ac:dyDescent="0.25">
      <c r="A2831" s="651" t="s">
        <v>121</v>
      </c>
      <c r="B2831" s="652">
        <v>2021</v>
      </c>
      <c r="C2831" s="651" t="s">
        <v>665</v>
      </c>
      <c r="D2831" s="651" t="s">
        <v>2831</v>
      </c>
      <c r="E2831" s="651" t="s">
        <v>667</v>
      </c>
      <c r="F2831" s="653">
        <v>0</v>
      </c>
      <c r="G2831" s="654"/>
      <c r="H2831" s="651" t="s">
        <v>650</v>
      </c>
      <c r="I2831" s="655"/>
      <c r="J2831" s="655"/>
      <c r="K2831" s="653">
        <v>0</v>
      </c>
      <c r="L2831" s="656">
        <v>0</v>
      </c>
    </row>
    <row r="2832" spans="1:12" ht="21" x14ac:dyDescent="0.25">
      <c r="A2832" s="651" t="s">
        <v>121</v>
      </c>
      <c r="B2832" s="652">
        <v>2021</v>
      </c>
      <c r="C2832" s="651" t="s">
        <v>668</v>
      </c>
      <c r="D2832" s="651" t="s">
        <v>2832</v>
      </c>
      <c r="E2832" s="651" t="s">
        <v>12</v>
      </c>
      <c r="F2832" s="653">
        <v>0</v>
      </c>
      <c r="G2832" s="654"/>
      <c r="H2832" s="651" t="s">
        <v>650</v>
      </c>
      <c r="I2832" s="655"/>
      <c r="J2832" s="655"/>
      <c r="K2832" s="653">
        <v>0</v>
      </c>
      <c r="L2832" s="656">
        <v>0</v>
      </c>
    </row>
    <row r="2833" spans="1:12" ht="21" x14ac:dyDescent="0.25">
      <c r="A2833" s="651" t="s">
        <v>121</v>
      </c>
      <c r="B2833" s="652">
        <v>2021</v>
      </c>
      <c r="C2833" s="651" t="s">
        <v>670</v>
      </c>
      <c r="D2833" s="651" t="s">
        <v>2833</v>
      </c>
      <c r="E2833" s="651" t="s">
        <v>13</v>
      </c>
      <c r="F2833" s="653">
        <v>0</v>
      </c>
      <c r="G2833" s="654"/>
      <c r="H2833" s="651" t="s">
        <v>650</v>
      </c>
      <c r="I2833" s="655"/>
      <c r="J2833" s="655"/>
      <c r="K2833" s="653">
        <v>0</v>
      </c>
      <c r="L2833" s="656">
        <v>0</v>
      </c>
    </row>
    <row r="2834" spans="1:12" ht="21" x14ac:dyDescent="0.25">
      <c r="A2834" s="651" t="s">
        <v>121</v>
      </c>
      <c r="B2834" s="652">
        <v>2021</v>
      </c>
      <c r="C2834" s="651" t="s">
        <v>672</v>
      </c>
      <c r="D2834" s="651" t="s">
        <v>2834</v>
      </c>
      <c r="E2834" s="651" t="s">
        <v>15</v>
      </c>
      <c r="F2834" s="653">
        <v>0</v>
      </c>
      <c r="G2834" s="654"/>
      <c r="H2834" s="651" t="s">
        <v>650</v>
      </c>
      <c r="I2834" s="655"/>
      <c r="J2834" s="655"/>
      <c r="K2834" s="653">
        <v>0</v>
      </c>
      <c r="L2834" s="656">
        <v>0</v>
      </c>
    </row>
    <row r="2835" spans="1:12" ht="14.5" x14ac:dyDescent="0.25">
      <c r="A2835" s="651" t="s">
        <v>121</v>
      </c>
      <c r="B2835" s="652">
        <v>2021</v>
      </c>
      <c r="C2835" s="651" t="s">
        <v>674</v>
      </c>
      <c r="D2835" s="651" t="s">
        <v>2835</v>
      </c>
      <c r="E2835" s="651" t="s">
        <v>676</v>
      </c>
      <c r="F2835" s="653">
        <v>17281.689999999999</v>
      </c>
      <c r="G2835" s="654"/>
      <c r="H2835" s="651" t="s">
        <v>650</v>
      </c>
      <c r="I2835" s="655"/>
      <c r="J2835" s="655"/>
      <c r="K2835" s="653">
        <v>0</v>
      </c>
      <c r="L2835" s="656">
        <v>17281.689999999999</v>
      </c>
    </row>
    <row r="2836" spans="1:12" ht="14.5" x14ac:dyDescent="0.25">
      <c r="A2836" s="651" t="s">
        <v>121</v>
      </c>
      <c r="B2836" s="652">
        <v>2021</v>
      </c>
      <c r="C2836" s="651" t="s">
        <v>677</v>
      </c>
      <c r="D2836" s="651" t="s">
        <v>2836</v>
      </c>
      <c r="E2836" s="651" t="s">
        <v>23</v>
      </c>
      <c r="F2836" s="653">
        <v>1461298.35</v>
      </c>
      <c r="G2836" s="651" t="s">
        <v>650</v>
      </c>
      <c r="H2836" s="654"/>
      <c r="I2836" s="653">
        <v>1442530.375</v>
      </c>
      <c r="J2836" s="653">
        <v>18767.9609375</v>
      </c>
      <c r="K2836" s="653">
        <v>1461298.375</v>
      </c>
      <c r="L2836" s="656">
        <v>1461298.35</v>
      </c>
    </row>
    <row r="2837" spans="1:12" ht="31.5" x14ac:dyDescent="0.25">
      <c r="A2837" s="651" t="s">
        <v>121</v>
      </c>
      <c r="B2837" s="652">
        <v>2021</v>
      </c>
      <c r="C2837" s="651" t="s">
        <v>679</v>
      </c>
      <c r="D2837" s="651" t="s">
        <v>2837</v>
      </c>
      <c r="E2837" s="651" t="s">
        <v>131</v>
      </c>
      <c r="F2837" s="653">
        <v>-5059.43</v>
      </c>
      <c r="G2837" s="651" t="s">
        <v>650</v>
      </c>
      <c r="H2837" s="654"/>
      <c r="I2837" s="653">
        <v>-4434.1298828125</v>
      </c>
      <c r="J2837" s="653">
        <v>-625.29998779296898</v>
      </c>
      <c r="K2837" s="653">
        <v>-5059.43017578125</v>
      </c>
      <c r="L2837" s="656">
        <v>-5059.43</v>
      </c>
    </row>
    <row r="2838" spans="1:12" ht="31.5" x14ac:dyDescent="0.25">
      <c r="A2838" s="651" t="s">
        <v>121</v>
      </c>
      <c r="B2838" s="652">
        <v>2021</v>
      </c>
      <c r="C2838" s="651" t="s">
        <v>681</v>
      </c>
      <c r="D2838" s="651" t="s">
        <v>2838</v>
      </c>
      <c r="E2838" s="651" t="s">
        <v>683</v>
      </c>
      <c r="F2838" s="653">
        <v>0</v>
      </c>
      <c r="G2838" s="654"/>
      <c r="H2838" s="651" t="s">
        <v>650</v>
      </c>
      <c r="I2838" s="655"/>
      <c r="J2838" s="655"/>
      <c r="K2838" s="653">
        <v>0</v>
      </c>
      <c r="L2838" s="656">
        <v>0</v>
      </c>
    </row>
    <row r="2839" spans="1:12" ht="21" x14ac:dyDescent="0.25">
      <c r="A2839" s="651" t="s">
        <v>121</v>
      </c>
      <c r="B2839" s="652">
        <v>2021</v>
      </c>
      <c r="C2839" s="651" t="s">
        <v>681</v>
      </c>
      <c r="D2839" s="651" t="s">
        <v>2838</v>
      </c>
      <c r="E2839" s="651" t="s">
        <v>684</v>
      </c>
      <c r="F2839" s="653">
        <v>0</v>
      </c>
      <c r="G2839" s="654"/>
      <c r="H2839" s="651" t="s">
        <v>650</v>
      </c>
      <c r="I2839" s="655"/>
      <c r="J2839" s="655"/>
      <c r="K2839" s="653">
        <v>0</v>
      </c>
      <c r="L2839" s="656">
        <v>0</v>
      </c>
    </row>
    <row r="2840" spans="1:12" ht="21" x14ac:dyDescent="0.25">
      <c r="A2840" s="651" t="s">
        <v>121</v>
      </c>
      <c r="B2840" s="652">
        <v>2021</v>
      </c>
      <c r="C2840" s="651" t="s">
        <v>685</v>
      </c>
      <c r="D2840" s="651" t="s">
        <v>2839</v>
      </c>
      <c r="E2840" s="651" t="s">
        <v>687</v>
      </c>
      <c r="F2840" s="653">
        <v>0</v>
      </c>
      <c r="G2840" s="654"/>
      <c r="H2840" s="651" t="s">
        <v>650</v>
      </c>
      <c r="I2840" s="655"/>
      <c r="J2840" s="655"/>
      <c r="K2840" s="653">
        <v>0</v>
      </c>
      <c r="L2840" s="656">
        <v>0</v>
      </c>
    </row>
    <row r="2841" spans="1:12" ht="14.5" x14ac:dyDescent="0.25">
      <c r="A2841" s="651" t="s">
        <v>121</v>
      </c>
      <c r="B2841" s="652">
        <v>2021</v>
      </c>
      <c r="C2841" s="651" t="s">
        <v>688</v>
      </c>
      <c r="D2841" s="651" t="s">
        <v>2840</v>
      </c>
      <c r="E2841" s="651" t="s">
        <v>50</v>
      </c>
      <c r="F2841" s="653">
        <v>0</v>
      </c>
      <c r="G2841" s="654"/>
      <c r="H2841" s="651" t="s">
        <v>650</v>
      </c>
      <c r="I2841" s="655"/>
      <c r="J2841" s="655"/>
      <c r="K2841" s="653">
        <v>0</v>
      </c>
      <c r="L2841" s="656">
        <v>0</v>
      </c>
    </row>
    <row r="2842" spans="1:12" ht="21" x14ac:dyDescent="0.25">
      <c r="A2842" s="651" t="s">
        <v>121</v>
      </c>
      <c r="B2842" s="652">
        <v>2021</v>
      </c>
      <c r="C2842" s="651" t="s">
        <v>690</v>
      </c>
      <c r="D2842" s="651" t="s">
        <v>2841</v>
      </c>
      <c r="E2842" s="651" t="s">
        <v>692</v>
      </c>
      <c r="F2842" s="653">
        <v>0</v>
      </c>
      <c r="G2842" s="654"/>
      <c r="H2842" s="651" t="s">
        <v>650</v>
      </c>
      <c r="I2842" s="655"/>
      <c r="J2842" s="655"/>
      <c r="K2842" s="653">
        <v>0</v>
      </c>
      <c r="L2842" s="656">
        <v>0</v>
      </c>
    </row>
    <row r="2843" spans="1:12" ht="21" x14ac:dyDescent="0.25">
      <c r="A2843" s="651" t="s">
        <v>121</v>
      </c>
      <c r="B2843" s="652">
        <v>2021</v>
      </c>
      <c r="C2843" s="651" t="s">
        <v>693</v>
      </c>
      <c r="D2843" s="651" t="s">
        <v>2842</v>
      </c>
      <c r="E2843" s="651" t="s">
        <v>6</v>
      </c>
      <c r="F2843" s="653">
        <v>0</v>
      </c>
      <c r="G2843" s="654"/>
      <c r="H2843" s="651" t="s">
        <v>650</v>
      </c>
      <c r="I2843" s="655"/>
      <c r="J2843" s="655"/>
      <c r="K2843" s="653">
        <v>0</v>
      </c>
      <c r="L2843" s="656">
        <v>0</v>
      </c>
    </row>
    <row r="2844" spans="1:12" ht="31.5" x14ac:dyDescent="0.25">
      <c r="A2844" s="651" t="s">
        <v>121</v>
      </c>
      <c r="B2844" s="652">
        <v>2021</v>
      </c>
      <c r="C2844" s="651" t="s">
        <v>695</v>
      </c>
      <c r="D2844" s="651" t="s">
        <v>2843</v>
      </c>
      <c r="E2844" s="651" t="s">
        <v>697</v>
      </c>
      <c r="F2844" s="653">
        <v>0</v>
      </c>
      <c r="G2844" s="654"/>
      <c r="H2844" s="651" t="s">
        <v>650</v>
      </c>
      <c r="I2844" s="655"/>
      <c r="J2844" s="655"/>
      <c r="K2844" s="653">
        <v>0</v>
      </c>
      <c r="L2844" s="656">
        <v>0</v>
      </c>
    </row>
    <row r="2845" spans="1:12" ht="21" x14ac:dyDescent="0.25">
      <c r="A2845" s="651" t="s">
        <v>121</v>
      </c>
      <c r="B2845" s="652">
        <v>2021</v>
      </c>
      <c r="C2845" s="651" t="s">
        <v>698</v>
      </c>
      <c r="D2845" s="651" t="s">
        <v>2844</v>
      </c>
      <c r="E2845" s="651" t="s">
        <v>700</v>
      </c>
      <c r="F2845" s="653">
        <v>0</v>
      </c>
      <c r="G2845" s="654"/>
      <c r="H2845" s="651" t="s">
        <v>650</v>
      </c>
      <c r="I2845" s="655"/>
      <c r="J2845" s="655"/>
      <c r="K2845" s="653">
        <v>0</v>
      </c>
      <c r="L2845" s="656">
        <v>0</v>
      </c>
    </row>
    <row r="2846" spans="1:12" ht="21" x14ac:dyDescent="0.25">
      <c r="A2846" s="651" t="s">
        <v>121</v>
      </c>
      <c r="B2846" s="652">
        <v>2021</v>
      </c>
      <c r="C2846" s="651" t="s">
        <v>701</v>
      </c>
      <c r="D2846" s="651" t="s">
        <v>2845</v>
      </c>
      <c r="E2846" s="651" t="s">
        <v>1</v>
      </c>
      <c r="F2846" s="653">
        <v>-278919.81</v>
      </c>
      <c r="G2846" s="651" t="s">
        <v>650</v>
      </c>
      <c r="H2846" s="654"/>
      <c r="I2846" s="653">
        <v>-274405.75</v>
      </c>
      <c r="J2846" s="653">
        <v>-4514.06982421875</v>
      </c>
      <c r="K2846" s="653">
        <v>-278919.8125</v>
      </c>
      <c r="L2846" s="656">
        <v>-278919.81</v>
      </c>
    </row>
    <row r="2847" spans="1:12" ht="21" x14ac:dyDescent="0.25">
      <c r="A2847" s="651" t="s">
        <v>121</v>
      </c>
      <c r="B2847" s="652">
        <v>2021</v>
      </c>
      <c r="C2847" s="651" t="s">
        <v>701</v>
      </c>
      <c r="D2847" s="651" t="s">
        <v>2845</v>
      </c>
      <c r="E2847" s="651" t="s">
        <v>703</v>
      </c>
      <c r="F2847" s="653">
        <v>0</v>
      </c>
      <c r="G2847" s="654"/>
      <c r="H2847" s="654"/>
      <c r="I2847" s="655"/>
      <c r="J2847" s="655"/>
      <c r="K2847" s="653">
        <v>0</v>
      </c>
      <c r="L2847" s="656">
        <v>0</v>
      </c>
    </row>
    <row r="2848" spans="1:12" ht="21" x14ac:dyDescent="0.25">
      <c r="A2848" s="651" t="s">
        <v>121</v>
      </c>
      <c r="B2848" s="652">
        <v>2021</v>
      </c>
      <c r="C2848" s="651" t="s">
        <v>701</v>
      </c>
      <c r="D2848" s="651" t="s">
        <v>2845</v>
      </c>
      <c r="E2848" s="651" t="s">
        <v>704</v>
      </c>
      <c r="F2848" s="653">
        <v>0</v>
      </c>
      <c r="G2848" s="654"/>
      <c r="H2848" s="654"/>
      <c r="I2848" s="655"/>
      <c r="J2848" s="655"/>
      <c r="K2848" s="653">
        <v>0</v>
      </c>
      <c r="L2848" s="656">
        <v>0</v>
      </c>
    </row>
    <row r="2849" spans="1:12" ht="21" x14ac:dyDescent="0.25">
      <c r="A2849" s="651" t="s">
        <v>121</v>
      </c>
      <c r="B2849" s="652">
        <v>2021</v>
      </c>
      <c r="C2849" s="651" t="s">
        <v>701</v>
      </c>
      <c r="D2849" s="651" t="s">
        <v>2845</v>
      </c>
      <c r="E2849" s="651" t="s">
        <v>705</v>
      </c>
      <c r="F2849" s="653">
        <v>0</v>
      </c>
      <c r="G2849" s="654"/>
      <c r="H2849" s="654"/>
      <c r="I2849" s="655"/>
      <c r="J2849" s="655"/>
      <c r="K2849" s="653">
        <v>0</v>
      </c>
      <c r="L2849" s="656">
        <v>0</v>
      </c>
    </row>
    <row r="2850" spans="1:12" ht="21" x14ac:dyDescent="0.25">
      <c r="A2850" s="651" t="s">
        <v>121</v>
      </c>
      <c r="B2850" s="652">
        <v>2021</v>
      </c>
      <c r="C2850" s="651" t="s">
        <v>701</v>
      </c>
      <c r="D2850" s="651" t="s">
        <v>2845</v>
      </c>
      <c r="E2850" s="651" t="s">
        <v>706</v>
      </c>
      <c r="F2850" s="653">
        <v>0</v>
      </c>
      <c r="G2850" s="654"/>
      <c r="H2850" s="654"/>
      <c r="I2850" s="655"/>
      <c r="J2850" s="655"/>
      <c r="K2850" s="653">
        <v>0</v>
      </c>
      <c r="L2850" s="656">
        <v>0</v>
      </c>
    </row>
    <row r="2851" spans="1:12" ht="14.5" x14ac:dyDescent="0.25">
      <c r="A2851" s="651" t="s">
        <v>121</v>
      </c>
      <c r="B2851" s="652">
        <v>2021</v>
      </c>
      <c r="C2851" s="651" t="s">
        <v>707</v>
      </c>
      <c r="D2851" s="651" t="s">
        <v>2846</v>
      </c>
      <c r="E2851" s="651" t="s">
        <v>709</v>
      </c>
      <c r="F2851" s="653">
        <v>0</v>
      </c>
      <c r="G2851" s="654"/>
      <c r="H2851" s="651" t="s">
        <v>650</v>
      </c>
      <c r="I2851" s="655"/>
      <c r="J2851" s="655"/>
      <c r="K2851" s="653">
        <v>0</v>
      </c>
      <c r="L2851" s="656">
        <v>0</v>
      </c>
    </row>
    <row r="2852" spans="1:12" ht="31.5" x14ac:dyDescent="0.25">
      <c r="A2852" s="651" t="s">
        <v>121</v>
      </c>
      <c r="B2852" s="652">
        <v>2021</v>
      </c>
      <c r="C2852" s="651" t="s">
        <v>710</v>
      </c>
      <c r="D2852" s="651" t="s">
        <v>2847</v>
      </c>
      <c r="E2852" s="651" t="s">
        <v>2</v>
      </c>
      <c r="F2852" s="653">
        <v>230856.24</v>
      </c>
      <c r="G2852" s="651" t="s">
        <v>650</v>
      </c>
      <c r="H2852" s="654"/>
      <c r="I2852" s="653">
        <v>230775.15625</v>
      </c>
      <c r="J2852" s="653">
        <v>81.080001831054702</v>
      </c>
      <c r="K2852" s="653">
        <v>230856.234375</v>
      </c>
      <c r="L2852" s="656">
        <v>230856.24</v>
      </c>
    </row>
    <row r="2853" spans="1:12" ht="31.5" x14ac:dyDescent="0.25">
      <c r="A2853" s="651" t="s">
        <v>121</v>
      </c>
      <c r="B2853" s="652">
        <v>2021</v>
      </c>
      <c r="C2853" s="651" t="s">
        <v>712</v>
      </c>
      <c r="D2853" s="651" t="s">
        <v>2848</v>
      </c>
      <c r="E2853" s="651" t="s">
        <v>3</v>
      </c>
      <c r="F2853" s="653">
        <v>186323.72</v>
      </c>
      <c r="G2853" s="651" t="s">
        <v>650</v>
      </c>
      <c r="H2853" s="654"/>
      <c r="I2853" s="653">
        <v>182487.5</v>
      </c>
      <c r="J2853" s="653">
        <v>3836.21997070313</v>
      </c>
      <c r="K2853" s="653">
        <v>186323.71875</v>
      </c>
      <c r="L2853" s="656">
        <v>186323.72</v>
      </c>
    </row>
    <row r="2854" spans="1:12" ht="31.5" x14ac:dyDescent="0.25">
      <c r="A2854" s="651" t="s">
        <v>121</v>
      </c>
      <c r="B2854" s="652">
        <v>2021</v>
      </c>
      <c r="C2854" s="651" t="s">
        <v>714</v>
      </c>
      <c r="D2854" s="651" t="s">
        <v>2849</v>
      </c>
      <c r="E2854" s="651" t="s">
        <v>38</v>
      </c>
      <c r="F2854" s="653">
        <v>-204733.66</v>
      </c>
      <c r="G2854" s="651" t="s">
        <v>650</v>
      </c>
      <c r="H2854" s="654"/>
      <c r="I2854" s="653">
        <v>-206701.046875</v>
      </c>
      <c r="J2854" s="653">
        <v>1967.38000488281</v>
      </c>
      <c r="K2854" s="653">
        <v>-204733.65625</v>
      </c>
      <c r="L2854" s="656">
        <v>-204733.66</v>
      </c>
    </row>
    <row r="2855" spans="1:12" ht="21" x14ac:dyDescent="0.25">
      <c r="A2855" s="651" t="s">
        <v>121</v>
      </c>
      <c r="B2855" s="652">
        <v>2021</v>
      </c>
      <c r="C2855" s="651" t="s">
        <v>716</v>
      </c>
      <c r="D2855" s="651" t="s">
        <v>2850</v>
      </c>
      <c r="E2855" s="651" t="s">
        <v>66</v>
      </c>
      <c r="F2855" s="653">
        <v>1032997.77</v>
      </c>
      <c r="G2855" s="651" t="s">
        <v>650</v>
      </c>
      <c r="H2855" s="654"/>
      <c r="I2855" s="653">
        <v>994531.5625</v>
      </c>
      <c r="J2855" s="653">
        <v>38466.1796875</v>
      </c>
      <c r="K2855" s="653">
        <v>1032997.75</v>
      </c>
      <c r="L2855" s="656">
        <v>1032997.77</v>
      </c>
    </row>
    <row r="2856" spans="1:12" ht="31.5" x14ac:dyDescent="0.25">
      <c r="A2856" s="651" t="s">
        <v>121</v>
      </c>
      <c r="B2856" s="652">
        <v>2021</v>
      </c>
      <c r="C2856" s="651" t="s">
        <v>718</v>
      </c>
      <c r="D2856" s="651" t="s">
        <v>2851</v>
      </c>
      <c r="E2856" s="651" t="s">
        <v>720</v>
      </c>
      <c r="F2856" s="653">
        <v>-317402.03999999998</v>
      </c>
      <c r="G2856" s="654"/>
      <c r="H2856" s="651" t="s">
        <v>650</v>
      </c>
      <c r="I2856" s="655"/>
      <c r="J2856" s="655"/>
      <c r="K2856" s="653">
        <v>0</v>
      </c>
      <c r="L2856" s="656">
        <v>-317402.03999999998</v>
      </c>
    </row>
    <row r="2857" spans="1:12" ht="42" x14ac:dyDescent="0.25">
      <c r="A2857" s="651" t="s">
        <v>121</v>
      </c>
      <c r="B2857" s="652">
        <v>2021</v>
      </c>
      <c r="C2857" s="651" t="s">
        <v>721</v>
      </c>
      <c r="D2857" s="651" t="s">
        <v>2852</v>
      </c>
      <c r="E2857" s="651" t="s">
        <v>3016</v>
      </c>
      <c r="F2857" s="653">
        <v>0</v>
      </c>
      <c r="G2857" s="651" t="s">
        <v>650</v>
      </c>
      <c r="H2857" s="654"/>
      <c r="I2857" s="653">
        <v>-283066.28125</v>
      </c>
      <c r="J2857" s="653">
        <v>258701.28125</v>
      </c>
      <c r="K2857" s="653">
        <v>-24364.990234375</v>
      </c>
      <c r="L2857" s="656">
        <v>-24364.99</v>
      </c>
    </row>
    <row r="2858" spans="1:12" ht="42" x14ac:dyDescent="0.25">
      <c r="A2858" s="651" t="s">
        <v>121</v>
      </c>
      <c r="B2858" s="652">
        <v>2021</v>
      </c>
      <c r="C2858" s="651" t="s">
        <v>721</v>
      </c>
      <c r="D2858" s="651" t="s">
        <v>2852</v>
      </c>
      <c r="E2858" s="651" t="s">
        <v>3058</v>
      </c>
      <c r="F2858" s="653">
        <v>0</v>
      </c>
      <c r="G2858" s="651" t="s">
        <v>650</v>
      </c>
      <c r="H2858" s="654"/>
      <c r="I2858" s="653">
        <v>-67103.71875</v>
      </c>
      <c r="J2858" s="653">
        <v>78995.8984375</v>
      </c>
      <c r="K2858" s="653">
        <v>11892.1796875</v>
      </c>
      <c r="L2858" s="656">
        <v>11892.18</v>
      </c>
    </row>
    <row r="2859" spans="1:12" ht="42" x14ac:dyDescent="0.25">
      <c r="A2859" s="651" t="s">
        <v>121</v>
      </c>
      <c r="B2859" s="652">
        <v>2021</v>
      </c>
      <c r="C2859" s="651" t="s">
        <v>721</v>
      </c>
      <c r="D2859" s="651" t="s">
        <v>2853</v>
      </c>
      <c r="E2859" s="651" t="s">
        <v>724</v>
      </c>
      <c r="F2859" s="653">
        <v>0</v>
      </c>
      <c r="G2859" s="651" t="s">
        <v>650</v>
      </c>
      <c r="H2859" s="654"/>
      <c r="I2859" s="655"/>
      <c r="J2859" s="655"/>
      <c r="K2859" s="653">
        <v>0</v>
      </c>
      <c r="L2859" s="656">
        <v>0</v>
      </c>
    </row>
    <row r="2860" spans="1:12" ht="42" x14ac:dyDescent="0.25">
      <c r="A2860" s="651" t="s">
        <v>121</v>
      </c>
      <c r="B2860" s="652">
        <v>2021</v>
      </c>
      <c r="C2860" s="651" t="s">
        <v>721</v>
      </c>
      <c r="D2860" s="651" t="s">
        <v>2854</v>
      </c>
      <c r="E2860" s="651" t="s">
        <v>55</v>
      </c>
      <c r="F2860" s="653">
        <v>0</v>
      </c>
      <c r="G2860" s="651" t="s">
        <v>650</v>
      </c>
      <c r="H2860" s="654"/>
      <c r="I2860" s="655"/>
      <c r="J2860" s="655"/>
      <c r="K2860" s="653">
        <v>0</v>
      </c>
      <c r="L2860" s="656">
        <v>0</v>
      </c>
    </row>
    <row r="2861" spans="1:12" ht="42" x14ac:dyDescent="0.25">
      <c r="A2861" s="651" t="s">
        <v>121</v>
      </c>
      <c r="B2861" s="652">
        <v>2021</v>
      </c>
      <c r="C2861" s="651" t="s">
        <v>721</v>
      </c>
      <c r="D2861" s="651" t="s">
        <v>2855</v>
      </c>
      <c r="E2861" s="651" t="s">
        <v>56</v>
      </c>
      <c r="F2861" s="653">
        <v>0</v>
      </c>
      <c r="G2861" s="651" t="s">
        <v>650</v>
      </c>
      <c r="H2861" s="654"/>
      <c r="I2861" s="655"/>
      <c r="J2861" s="655"/>
      <c r="K2861" s="653">
        <v>0</v>
      </c>
      <c r="L2861" s="656">
        <v>0</v>
      </c>
    </row>
    <row r="2862" spans="1:12" ht="42" x14ac:dyDescent="0.25">
      <c r="A2862" s="651" t="s">
        <v>121</v>
      </c>
      <c r="B2862" s="652">
        <v>2021</v>
      </c>
      <c r="C2862" s="651" t="s">
        <v>721</v>
      </c>
      <c r="D2862" s="651" t="s">
        <v>2856</v>
      </c>
      <c r="E2862" s="651" t="s">
        <v>728</v>
      </c>
      <c r="F2862" s="653">
        <v>0</v>
      </c>
      <c r="G2862" s="651" t="s">
        <v>650</v>
      </c>
      <c r="H2862" s="654"/>
      <c r="I2862" s="655"/>
      <c r="J2862" s="655"/>
      <c r="K2862" s="653">
        <v>0</v>
      </c>
      <c r="L2862" s="656">
        <v>0</v>
      </c>
    </row>
    <row r="2863" spans="1:12" ht="42" x14ac:dyDescent="0.25">
      <c r="A2863" s="651" t="s">
        <v>121</v>
      </c>
      <c r="B2863" s="652">
        <v>2021</v>
      </c>
      <c r="C2863" s="651" t="s">
        <v>721</v>
      </c>
      <c r="D2863" s="651" t="s">
        <v>2857</v>
      </c>
      <c r="E2863" s="651" t="s">
        <v>730</v>
      </c>
      <c r="F2863" s="653">
        <v>0</v>
      </c>
      <c r="G2863" s="651" t="s">
        <v>650</v>
      </c>
      <c r="H2863" s="654"/>
      <c r="I2863" s="655"/>
      <c r="J2863" s="655"/>
      <c r="K2863" s="653">
        <v>0</v>
      </c>
      <c r="L2863" s="656">
        <v>0</v>
      </c>
    </row>
    <row r="2864" spans="1:12" ht="42" x14ac:dyDescent="0.25">
      <c r="A2864" s="651" t="s">
        <v>121</v>
      </c>
      <c r="B2864" s="652">
        <v>2021</v>
      </c>
      <c r="C2864" s="651" t="s">
        <v>721</v>
      </c>
      <c r="D2864" s="651" t="s">
        <v>2858</v>
      </c>
      <c r="E2864" s="651" t="s">
        <v>142</v>
      </c>
      <c r="F2864" s="653">
        <v>0</v>
      </c>
      <c r="G2864" s="651" t="s">
        <v>650</v>
      </c>
      <c r="H2864" s="654"/>
      <c r="I2864" s="655"/>
      <c r="J2864" s="655"/>
      <c r="K2864" s="653">
        <v>0</v>
      </c>
      <c r="L2864" s="656">
        <v>0</v>
      </c>
    </row>
    <row r="2865" spans="1:12" ht="42" x14ac:dyDescent="0.25">
      <c r="A2865" s="651" t="s">
        <v>121</v>
      </c>
      <c r="B2865" s="652">
        <v>2021</v>
      </c>
      <c r="C2865" s="651" t="s">
        <v>721</v>
      </c>
      <c r="D2865" s="651" t="s">
        <v>2859</v>
      </c>
      <c r="E2865" s="651" t="s">
        <v>143</v>
      </c>
      <c r="F2865" s="653">
        <v>0</v>
      </c>
      <c r="G2865" s="651" t="s">
        <v>650</v>
      </c>
      <c r="H2865" s="654"/>
      <c r="I2865" s="655"/>
      <c r="J2865" s="655"/>
      <c r="K2865" s="653">
        <v>0</v>
      </c>
      <c r="L2865" s="656">
        <v>0</v>
      </c>
    </row>
    <row r="2866" spans="1:12" ht="42" x14ac:dyDescent="0.25">
      <c r="A2866" s="651" t="s">
        <v>121</v>
      </c>
      <c r="B2866" s="652">
        <v>2021</v>
      </c>
      <c r="C2866" s="651" t="s">
        <v>721</v>
      </c>
      <c r="D2866" s="651" t="s">
        <v>2860</v>
      </c>
      <c r="E2866" s="651" t="s">
        <v>182</v>
      </c>
      <c r="F2866" s="653">
        <v>0</v>
      </c>
      <c r="G2866" s="651" t="s">
        <v>650</v>
      </c>
      <c r="H2866" s="654"/>
      <c r="I2866" s="655"/>
      <c r="J2866" s="655"/>
      <c r="K2866" s="653">
        <v>0</v>
      </c>
      <c r="L2866" s="656">
        <v>0</v>
      </c>
    </row>
    <row r="2867" spans="1:12" ht="42" x14ac:dyDescent="0.25">
      <c r="A2867" s="651" t="s">
        <v>121</v>
      </c>
      <c r="B2867" s="652">
        <v>2021</v>
      </c>
      <c r="C2867" s="651" t="s">
        <v>721</v>
      </c>
      <c r="D2867" s="651" t="s">
        <v>2861</v>
      </c>
      <c r="E2867" s="651" t="s">
        <v>394</v>
      </c>
      <c r="F2867" s="653">
        <v>0</v>
      </c>
      <c r="G2867" s="651" t="s">
        <v>650</v>
      </c>
      <c r="H2867" s="654"/>
      <c r="I2867" s="655"/>
      <c r="J2867" s="655"/>
      <c r="K2867" s="653">
        <v>0</v>
      </c>
      <c r="L2867" s="656">
        <v>0</v>
      </c>
    </row>
    <row r="2868" spans="1:12" ht="42" x14ac:dyDescent="0.25">
      <c r="A2868" s="651" t="s">
        <v>121</v>
      </c>
      <c r="B2868" s="652">
        <v>2021</v>
      </c>
      <c r="C2868" s="651" t="s">
        <v>721</v>
      </c>
      <c r="D2868" s="651" t="s">
        <v>2862</v>
      </c>
      <c r="E2868" s="651" t="s">
        <v>423</v>
      </c>
      <c r="F2868" s="653">
        <v>0</v>
      </c>
      <c r="G2868" s="651" t="s">
        <v>650</v>
      </c>
      <c r="H2868" s="654"/>
      <c r="I2868" s="653">
        <v>-60467.05078125</v>
      </c>
      <c r="J2868" s="653">
        <v>24473.8203125</v>
      </c>
      <c r="K2868" s="653">
        <v>-35993.23046875</v>
      </c>
      <c r="L2868" s="656">
        <v>-35993.230000000003</v>
      </c>
    </row>
    <row r="2869" spans="1:12" ht="42" x14ac:dyDescent="0.25">
      <c r="A2869" s="651" t="s">
        <v>121</v>
      </c>
      <c r="B2869" s="652">
        <v>2021</v>
      </c>
      <c r="C2869" s="651" t="s">
        <v>721</v>
      </c>
      <c r="D2869" s="651" t="s">
        <v>3334</v>
      </c>
      <c r="E2869" s="651" t="s">
        <v>441</v>
      </c>
      <c r="F2869" s="653">
        <v>0</v>
      </c>
      <c r="G2869" s="651" t="s">
        <v>650</v>
      </c>
      <c r="H2869" s="654"/>
      <c r="I2869" s="653">
        <v>-99736.8984375</v>
      </c>
      <c r="J2869" s="653">
        <v>134586.78125</v>
      </c>
      <c r="K2869" s="653">
        <v>34849.87890625</v>
      </c>
      <c r="L2869" s="656">
        <v>34849.879999999997</v>
      </c>
    </row>
    <row r="2870" spans="1:12" ht="42" x14ac:dyDescent="0.25">
      <c r="A2870" s="651" t="s">
        <v>121</v>
      </c>
      <c r="B2870" s="652">
        <v>2021</v>
      </c>
      <c r="C2870" s="651" t="s">
        <v>721</v>
      </c>
      <c r="D2870" s="651" t="s">
        <v>2863</v>
      </c>
      <c r="E2870" s="651" t="s">
        <v>737</v>
      </c>
      <c r="F2870" s="653">
        <v>-13616.16</v>
      </c>
      <c r="G2870" s="654"/>
      <c r="H2870" s="654"/>
      <c r="I2870" s="655"/>
      <c r="J2870" s="655"/>
      <c r="K2870" s="653">
        <v>0</v>
      </c>
      <c r="L2870" s="656">
        <v>-13616.16</v>
      </c>
    </row>
    <row r="2871" spans="1:12" ht="14.5" x14ac:dyDescent="0.25">
      <c r="A2871" s="651" t="s">
        <v>121</v>
      </c>
      <c r="B2871" s="652">
        <v>2021</v>
      </c>
      <c r="C2871" s="651" t="s">
        <v>738</v>
      </c>
      <c r="D2871" s="651" t="s">
        <v>2864</v>
      </c>
      <c r="E2871" s="651" t="s">
        <v>7</v>
      </c>
      <c r="F2871" s="653">
        <v>-941305.17</v>
      </c>
      <c r="G2871" s="654"/>
      <c r="H2871" s="651" t="s">
        <v>650</v>
      </c>
      <c r="I2871" s="655"/>
      <c r="J2871" s="655"/>
      <c r="K2871" s="653">
        <v>0</v>
      </c>
      <c r="L2871" s="656">
        <v>-941305.17</v>
      </c>
    </row>
    <row r="2872" spans="1:12" ht="14.5" x14ac:dyDescent="0.35">
      <c r="A2872" s="648" t="s">
        <v>372</v>
      </c>
      <c r="B2872" s="645"/>
      <c r="C2872" s="645"/>
      <c r="D2872" s="645"/>
      <c r="E2872" s="645"/>
      <c r="F2872" s="645"/>
      <c r="G2872" s="645"/>
      <c r="H2872" s="645"/>
      <c r="I2872" s="645"/>
      <c r="J2872" s="645"/>
      <c r="K2872" s="645"/>
      <c r="L2872" s="645"/>
    </row>
    <row r="2873" spans="1:12" ht="409.5" x14ac:dyDescent="0.35">
      <c r="A2873" s="648"/>
      <c r="B2873" s="657" t="s">
        <v>3421</v>
      </c>
      <c r="C2873" s="645"/>
      <c r="D2873" s="645"/>
      <c r="E2873" s="645"/>
      <c r="F2873" s="645"/>
      <c r="G2873" s="645"/>
      <c r="H2873" s="645"/>
      <c r="I2873" s="645"/>
      <c r="J2873" s="645"/>
      <c r="K2873" s="645"/>
      <c r="L2873" s="645"/>
    </row>
    <row r="2874" spans="1:12" ht="42" x14ac:dyDescent="0.35">
      <c r="A2874" s="658" t="s">
        <v>3422</v>
      </c>
      <c r="B2874" s="659" t="s">
        <v>3423</v>
      </c>
      <c r="C2874" s="645"/>
      <c r="D2874" s="645"/>
      <c r="E2874" s="645"/>
      <c r="F2874" s="645"/>
      <c r="G2874" s="645"/>
      <c r="H2874" s="645"/>
      <c r="I2874" s="645"/>
      <c r="J2874" s="645"/>
      <c r="K2874" s="645"/>
      <c r="L2874" s="645"/>
    </row>
  </sheetData>
  <sheetProtection algorithmName="SHA-512" hashValue="LCqwpd6r7ADecqByJDQMp5HXJAEFCTGLfacPq1MU1gpL1nRw9xe3rZmQuo0VY1gE67bGWk8BK82TUJobTWKBgA==" saltValue="44+PCGTj7hQoEUSxPQ1zLg==" spinCount="100000" sheet="1" objects="1" scenarios="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710AC-69C1-45FF-8528-FFFBE55FFAB0}">
  <sheetPr codeName="Sheet13"/>
  <dimension ref="A1:L2804"/>
  <sheetViews>
    <sheetView workbookViewId="0">
      <selection activeCell="L1602" sqref="L1599:L1602"/>
    </sheetView>
  </sheetViews>
  <sheetFormatPr defaultRowHeight="12.5" x14ac:dyDescent="0.25"/>
  <cols>
    <col min="1" max="1" width="28.81640625" bestFit="1" customWidth="1"/>
    <col min="4" max="4" width="55" bestFit="1" customWidth="1"/>
    <col min="5" max="5" width="18.81640625" bestFit="1" customWidth="1"/>
    <col min="11" max="11" width="11" customWidth="1"/>
    <col min="12" max="12" width="16.81640625" customWidth="1"/>
  </cols>
  <sheetData>
    <row r="1" spans="1:12" ht="14.5" x14ac:dyDescent="0.35">
      <c r="A1" s="646" t="s">
        <v>2906</v>
      </c>
      <c r="B1" s="645"/>
      <c r="C1" s="645"/>
      <c r="D1" s="645"/>
      <c r="E1" s="645"/>
      <c r="F1" s="645"/>
      <c r="G1" s="645"/>
      <c r="H1" s="645"/>
      <c r="I1" s="645"/>
      <c r="J1" s="645"/>
      <c r="K1" s="645"/>
      <c r="L1" s="645"/>
    </row>
    <row r="2" spans="1:12" ht="14.5" x14ac:dyDescent="0.35">
      <c r="A2" s="647"/>
      <c r="B2" s="645"/>
      <c r="C2" s="645"/>
      <c r="D2" s="645"/>
      <c r="E2" s="645"/>
      <c r="F2" s="645"/>
      <c r="G2" s="645"/>
      <c r="H2" s="645"/>
      <c r="I2" s="645"/>
      <c r="J2" s="645"/>
      <c r="K2" s="645"/>
      <c r="L2" s="645"/>
    </row>
    <row r="3" spans="1:12" ht="14.5" x14ac:dyDescent="0.35">
      <c r="A3" s="648" t="s">
        <v>372</v>
      </c>
      <c r="B3" s="645"/>
      <c r="C3" s="645"/>
      <c r="D3" s="645"/>
      <c r="E3" s="645"/>
      <c r="F3" s="645"/>
      <c r="G3" s="645"/>
      <c r="H3" s="645"/>
      <c r="I3" s="645"/>
      <c r="J3" s="645"/>
      <c r="K3" s="645"/>
      <c r="L3" s="645"/>
    </row>
    <row r="4" spans="1:12" x14ac:dyDescent="0.25">
      <c r="A4" s="747" t="s">
        <v>635</v>
      </c>
      <c r="B4" s="747" t="s">
        <v>636</v>
      </c>
      <c r="C4" s="747" t="s">
        <v>637</v>
      </c>
      <c r="D4" s="747" t="s">
        <v>638</v>
      </c>
      <c r="E4" s="747" t="s">
        <v>639</v>
      </c>
      <c r="F4" s="747" t="s">
        <v>640</v>
      </c>
      <c r="G4" s="747" t="s">
        <v>641</v>
      </c>
      <c r="H4" s="747" t="s">
        <v>642</v>
      </c>
      <c r="I4" s="747" t="s">
        <v>643</v>
      </c>
      <c r="J4" s="747" t="s">
        <v>644</v>
      </c>
      <c r="K4" s="747" t="s">
        <v>645</v>
      </c>
      <c r="L4" s="748" t="s">
        <v>646</v>
      </c>
    </row>
    <row r="5" spans="1:12" x14ac:dyDescent="0.25">
      <c r="A5" s="561" t="s">
        <v>197</v>
      </c>
      <c r="B5" s="749">
        <v>2023</v>
      </c>
      <c r="C5" s="561" t="s">
        <v>647</v>
      </c>
      <c r="D5" s="561" t="s">
        <v>648</v>
      </c>
      <c r="E5" s="561" t="s">
        <v>649</v>
      </c>
      <c r="F5" s="735">
        <v>-36275166.350000001</v>
      </c>
      <c r="G5" s="749">
        <v>0</v>
      </c>
      <c r="H5" s="749"/>
      <c r="I5" s="733"/>
      <c r="J5" s="733"/>
      <c r="K5" s="735">
        <v>0</v>
      </c>
      <c r="L5" s="750">
        <v>-36275166.350000001</v>
      </c>
    </row>
    <row r="6" spans="1:12" ht="21" x14ac:dyDescent="0.25">
      <c r="A6" s="561" t="s">
        <v>197</v>
      </c>
      <c r="B6" s="749">
        <v>2023</v>
      </c>
      <c r="C6" s="561" t="s">
        <v>3691</v>
      </c>
      <c r="D6" s="561" t="s">
        <v>3621</v>
      </c>
      <c r="E6" s="561" t="s">
        <v>3675</v>
      </c>
      <c r="F6" s="735">
        <v>0</v>
      </c>
      <c r="G6" s="749">
        <v>0</v>
      </c>
      <c r="H6" s="749"/>
      <c r="I6" s="733"/>
      <c r="J6" s="733"/>
      <c r="K6" s="735">
        <v>0</v>
      </c>
      <c r="L6" s="750">
        <v>0</v>
      </c>
    </row>
    <row r="7" spans="1:12" x14ac:dyDescent="0.25">
      <c r="A7" s="561" t="s">
        <v>197</v>
      </c>
      <c r="B7" s="749">
        <v>2023</v>
      </c>
      <c r="C7" s="561" t="s">
        <v>651</v>
      </c>
      <c r="D7" s="561" t="s">
        <v>652</v>
      </c>
      <c r="E7" s="561" t="s">
        <v>653</v>
      </c>
      <c r="F7" s="735">
        <v>1326127.52</v>
      </c>
      <c r="G7" s="749">
        <v>0</v>
      </c>
      <c r="H7" s="749"/>
      <c r="I7" s="733"/>
      <c r="J7" s="733"/>
      <c r="K7" s="735">
        <v>0</v>
      </c>
      <c r="L7" s="750">
        <v>1326127.52</v>
      </c>
    </row>
    <row r="8" spans="1:12" ht="31.5" x14ac:dyDescent="0.25">
      <c r="A8" s="561" t="s">
        <v>197</v>
      </c>
      <c r="B8" s="749">
        <v>2023</v>
      </c>
      <c r="C8" s="561" t="s">
        <v>654</v>
      </c>
      <c r="D8" s="561" t="s">
        <v>655</v>
      </c>
      <c r="E8" s="561" t="s">
        <v>445</v>
      </c>
      <c r="F8" s="735">
        <v>-471950.97</v>
      </c>
      <c r="G8" s="749">
        <v>0</v>
      </c>
      <c r="H8" s="749"/>
      <c r="I8" s="733"/>
      <c r="J8" s="733"/>
      <c r="K8" s="735">
        <v>0</v>
      </c>
      <c r="L8" s="750">
        <v>-471950.97</v>
      </c>
    </row>
    <row r="9" spans="1:12" ht="21" x14ac:dyDescent="0.25">
      <c r="A9" s="561" t="s">
        <v>197</v>
      </c>
      <c r="B9" s="749">
        <v>2023</v>
      </c>
      <c r="C9" s="561" t="s">
        <v>656</v>
      </c>
      <c r="D9" s="561" t="s">
        <v>657</v>
      </c>
      <c r="E9" s="561" t="s">
        <v>658</v>
      </c>
      <c r="F9" s="735">
        <v>4552.82</v>
      </c>
      <c r="G9" s="749">
        <v>0</v>
      </c>
      <c r="H9" s="749"/>
      <c r="I9" s="733"/>
      <c r="J9" s="733"/>
      <c r="K9" s="735">
        <v>0</v>
      </c>
      <c r="L9" s="750">
        <v>4552.82</v>
      </c>
    </row>
    <row r="10" spans="1:12" ht="21" x14ac:dyDescent="0.25">
      <c r="A10" s="561" t="s">
        <v>197</v>
      </c>
      <c r="B10" s="749">
        <v>2023</v>
      </c>
      <c r="C10" s="561" t="s">
        <v>659</v>
      </c>
      <c r="D10" s="561" t="s">
        <v>660</v>
      </c>
      <c r="E10" s="561" t="s">
        <v>661</v>
      </c>
      <c r="F10" s="735">
        <v>778985.73</v>
      </c>
      <c r="G10" s="749">
        <v>0</v>
      </c>
      <c r="H10" s="749"/>
      <c r="I10" s="733"/>
      <c r="J10" s="733"/>
      <c r="K10" s="735">
        <v>0</v>
      </c>
      <c r="L10" s="750">
        <v>778985.73</v>
      </c>
    </row>
    <row r="11" spans="1:12" ht="21" x14ac:dyDescent="0.25">
      <c r="A11" s="561" t="s">
        <v>197</v>
      </c>
      <c r="B11" s="749">
        <v>2023</v>
      </c>
      <c r="C11" s="561" t="s">
        <v>662</v>
      </c>
      <c r="D11" s="561" t="s">
        <v>663</v>
      </c>
      <c r="E11" s="561" t="s">
        <v>664</v>
      </c>
      <c r="F11" s="735">
        <v>1084561.01</v>
      </c>
      <c r="G11" s="749">
        <v>0</v>
      </c>
      <c r="H11" s="749"/>
      <c r="I11" s="733"/>
      <c r="J11" s="733"/>
      <c r="K11" s="735">
        <v>0</v>
      </c>
      <c r="L11" s="750">
        <v>1084561.01</v>
      </c>
    </row>
    <row r="12" spans="1:12" ht="31.5" x14ac:dyDescent="0.25">
      <c r="A12" s="561" t="s">
        <v>197</v>
      </c>
      <c r="B12" s="749">
        <v>2023</v>
      </c>
      <c r="C12" s="561" t="s">
        <v>665</v>
      </c>
      <c r="D12" s="561" t="s">
        <v>666</v>
      </c>
      <c r="E12" s="561" t="s">
        <v>667</v>
      </c>
      <c r="F12" s="735">
        <v>-207618.86</v>
      </c>
      <c r="G12" s="749">
        <v>0</v>
      </c>
      <c r="H12" s="749"/>
      <c r="I12" s="733"/>
      <c r="J12" s="733"/>
      <c r="K12" s="735">
        <v>0</v>
      </c>
      <c r="L12" s="750">
        <v>-207618.86</v>
      </c>
    </row>
    <row r="13" spans="1:12" ht="21" x14ac:dyDescent="0.25">
      <c r="A13" s="561" t="s">
        <v>197</v>
      </c>
      <c r="B13" s="749">
        <v>2023</v>
      </c>
      <c r="C13" s="561" t="s">
        <v>668</v>
      </c>
      <c r="D13" s="561" t="s">
        <v>669</v>
      </c>
      <c r="E13" s="561" t="s">
        <v>12</v>
      </c>
      <c r="F13" s="735">
        <v>0</v>
      </c>
      <c r="G13" s="749">
        <v>0</v>
      </c>
      <c r="H13" s="749"/>
      <c r="I13" s="733"/>
      <c r="J13" s="733"/>
      <c r="K13" s="735">
        <v>0</v>
      </c>
      <c r="L13" s="750">
        <v>0</v>
      </c>
    </row>
    <row r="14" spans="1:12" ht="21" x14ac:dyDescent="0.25">
      <c r="A14" s="561" t="s">
        <v>197</v>
      </c>
      <c r="B14" s="749">
        <v>2023</v>
      </c>
      <c r="C14" s="561" t="s">
        <v>670</v>
      </c>
      <c r="D14" s="561" t="s">
        <v>671</v>
      </c>
      <c r="E14" s="561" t="s">
        <v>13</v>
      </c>
      <c r="F14" s="735">
        <v>3005121.71</v>
      </c>
      <c r="G14" s="749">
        <v>0</v>
      </c>
      <c r="H14" s="749"/>
      <c r="I14" s="733"/>
      <c r="J14" s="733"/>
      <c r="K14" s="735">
        <v>0</v>
      </c>
      <c r="L14" s="750">
        <v>3005121.71</v>
      </c>
    </row>
    <row r="15" spans="1:12" ht="21" x14ac:dyDescent="0.25">
      <c r="A15" s="561" t="s">
        <v>197</v>
      </c>
      <c r="B15" s="749">
        <v>2023</v>
      </c>
      <c r="C15" s="561" t="s">
        <v>672</v>
      </c>
      <c r="D15" s="561" t="s">
        <v>673</v>
      </c>
      <c r="E15" s="561" t="s">
        <v>15</v>
      </c>
      <c r="F15" s="735">
        <v>-6445.09</v>
      </c>
      <c r="G15" s="749">
        <v>0</v>
      </c>
      <c r="H15" s="749"/>
      <c r="I15" s="733"/>
      <c r="J15" s="733"/>
      <c r="K15" s="735">
        <v>0</v>
      </c>
      <c r="L15" s="750">
        <v>-6445.09</v>
      </c>
    </row>
    <row r="16" spans="1:12" x14ac:dyDescent="0.25">
      <c r="A16" s="561" t="s">
        <v>197</v>
      </c>
      <c r="B16" s="749">
        <v>2023</v>
      </c>
      <c r="C16" s="561" t="s">
        <v>674</v>
      </c>
      <c r="D16" s="561" t="s">
        <v>675</v>
      </c>
      <c r="E16" s="561" t="s">
        <v>676</v>
      </c>
      <c r="F16" s="735">
        <v>328463.71000000002</v>
      </c>
      <c r="G16" s="749">
        <v>0</v>
      </c>
      <c r="H16" s="749"/>
      <c r="I16" s="733"/>
      <c r="J16" s="733"/>
      <c r="K16" s="735">
        <v>0</v>
      </c>
      <c r="L16" s="750">
        <v>328463.71000000002</v>
      </c>
    </row>
    <row r="17" spans="1:12" x14ac:dyDescent="0.25">
      <c r="A17" s="561" t="s">
        <v>197</v>
      </c>
      <c r="B17" s="749">
        <v>2023</v>
      </c>
      <c r="C17" s="561" t="s">
        <v>677</v>
      </c>
      <c r="D17" s="561" t="s">
        <v>678</v>
      </c>
      <c r="E17" s="561" t="s">
        <v>23</v>
      </c>
      <c r="F17" s="735">
        <v>15908795.43</v>
      </c>
      <c r="G17" s="749">
        <v>1</v>
      </c>
      <c r="H17" s="749"/>
      <c r="I17" s="735">
        <v>15605165.130000001</v>
      </c>
      <c r="J17" s="735">
        <v>303630.3</v>
      </c>
      <c r="K17" s="735">
        <v>15908795.43</v>
      </c>
      <c r="L17" s="750">
        <v>15908795.43</v>
      </c>
    </row>
    <row r="18" spans="1:12" ht="21" x14ac:dyDescent="0.25">
      <c r="A18" s="561" t="s">
        <v>197</v>
      </c>
      <c r="B18" s="749">
        <v>2023</v>
      </c>
      <c r="C18" s="561" t="s">
        <v>679</v>
      </c>
      <c r="D18" s="561" t="s">
        <v>680</v>
      </c>
      <c r="E18" s="561" t="s">
        <v>131</v>
      </c>
      <c r="F18" s="735">
        <v>-3375487.36</v>
      </c>
      <c r="G18" s="749">
        <v>1</v>
      </c>
      <c r="H18" s="749"/>
      <c r="I18" s="735">
        <v>-3337102.38</v>
      </c>
      <c r="J18" s="735">
        <v>-38384.980000000003</v>
      </c>
      <c r="K18" s="735">
        <v>-3375487.36</v>
      </c>
      <c r="L18" s="750">
        <v>-3375487.36</v>
      </c>
    </row>
    <row r="19" spans="1:12" ht="31.5" x14ac:dyDescent="0.25">
      <c r="A19" s="561" t="s">
        <v>197</v>
      </c>
      <c r="B19" s="749">
        <v>2023</v>
      </c>
      <c r="C19" s="561" t="s">
        <v>681</v>
      </c>
      <c r="D19" s="561" t="s">
        <v>682</v>
      </c>
      <c r="E19" s="561" t="s">
        <v>683</v>
      </c>
      <c r="F19" s="735">
        <v>339024.38</v>
      </c>
      <c r="G19" s="749">
        <v>0</v>
      </c>
      <c r="H19" s="749"/>
      <c r="I19" s="733"/>
      <c r="J19" s="733"/>
      <c r="K19" s="735">
        <v>0</v>
      </c>
      <c r="L19" s="750">
        <v>339024.38</v>
      </c>
    </row>
    <row r="20" spans="1:12" ht="21" x14ac:dyDescent="0.25">
      <c r="A20" s="561" t="s">
        <v>197</v>
      </c>
      <c r="B20" s="749">
        <v>2023</v>
      </c>
      <c r="C20" s="561" t="s">
        <v>681</v>
      </c>
      <c r="D20" s="561" t="s">
        <v>682</v>
      </c>
      <c r="E20" s="561" t="s">
        <v>684</v>
      </c>
      <c r="F20" s="735">
        <v>0</v>
      </c>
      <c r="G20" s="749">
        <v>0</v>
      </c>
      <c r="H20" s="749"/>
      <c r="I20" s="733"/>
      <c r="J20" s="733"/>
      <c r="K20" s="735">
        <v>0</v>
      </c>
      <c r="L20" s="751">
        <v>339024.38</v>
      </c>
    </row>
    <row r="21" spans="1:12" x14ac:dyDescent="0.25">
      <c r="A21" s="561" t="s">
        <v>197</v>
      </c>
      <c r="B21" s="749">
        <v>2023</v>
      </c>
      <c r="C21" s="561" t="s">
        <v>685</v>
      </c>
      <c r="D21" s="561" t="s">
        <v>686</v>
      </c>
      <c r="E21" s="561" t="s">
        <v>687</v>
      </c>
      <c r="F21" s="735">
        <v>15057962.859999999</v>
      </c>
      <c r="G21" s="749">
        <v>0</v>
      </c>
      <c r="H21" s="749"/>
      <c r="I21" s="733"/>
      <c r="J21" s="733"/>
      <c r="K21" s="735">
        <v>0</v>
      </c>
      <c r="L21" s="750">
        <v>15057962.859999999</v>
      </c>
    </row>
    <row r="22" spans="1:12" x14ac:dyDescent="0.25">
      <c r="A22" s="561" t="s">
        <v>197</v>
      </c>
      <c r="B22" s="749">
        <v>2023</v>
      </c>
      <c r="C22" s="561" t="s">
        <v>688</v>
      </c>
      <c r="D22" s="561" t="s">
        <v>689</v>
      </c>
      <c r="E22" s="561" t="s">
        <v>50</v>
      </c>
      <c r="F22" s="735">
        <v>28929404.120000001</v>
      </c>
      <c r="G22" s="749">
        <v>0</v>
      </c>
      <c r="H22" s="749"/>
      <c r="I22" s="733"/>
      <c r="J22" s="733"/>
      <c r="K22" s="735">
        <v>0</v>
      </c>
      <c r="L22" s="750">
        <v>28929404.120000001</v>
      </c>
    </row>
    <row r="23" spans="1:12" x14ac:dyDescent="0.25">
      <c r="A23" s="561" t="s">
        <v>197</v>
      </c>
      <c r="B23" s="749">
        <v>2023</v>
      </c>
      <c r="C23" s="561" t="s">
        <v>690</v>
      </c>
      <c r="D23" s="561" t="s">
        <v>691</v>
      </c>
      <c r="E23" s="561" t="s">
        <v>692</v>
      </c>
      <c r="F23" s="735">
        <v>0</v>
      </c>
      <c r="G23" s="749">
        <v>0</v>
      </c>
      <c r="H23" s="749"/>
      <c r="I23" s="733"/>
      <c r="J23" s="733"/>
      <c r="K23" s="735">
        <v>0</v>
      </c>
      <c r="L23" s="750">
        <v>0</v>
      </c>
    </row>
    <row r="24" spans="1:12" ht="21" x14ac:dyDescent="0.25">
      <c r="A24" s="561" t="s">
        <v>197</v>
      </c>
      <c r="B24" s="749">
        <v>2023</v>
      </c>
      <c r="C24" s="561" t="s">
        <v>693</v>
      </c>
      <c r="D24" s="561" t="s">
        <v>694</v>
      </c>
      <c r="E24" s="561" t="s">
        <v>6</v>
      </c>
      <c r="F24" s="735">
        <v>0</v>
      </c>
      <c r="G24" s="749">
        <v>0</v>
      </c>
      <c r="H24" s="749"/>
      <c r="I24" s="733"/>
      <c r="J24" s="733"/>
      <c r="K24" s="735">
        <v>0</v>
      </c>
      <c r="L24" s="750">
        <v>0</v>
      </c>
    </row>
    <row r="25" spans="1:12" ht="21" x14ac:dyDescent="0.25">
      <c r="A25" s="561" t="s">
        <v>197</v>
      </c>
      <c r="B25" s="749">
        <v>2023</v>
      </c>
      <c r="C25" s="561" t="s">
        <v>695</v>
      </c>
      <c r="D25" s="561" t="s">
        <v>696</v>
      </c>
      <c r="E25" s="561" t="s">
        <v>697</v>
      </c>
      <c r="F25" s="735">
        <v>0</v>
      </c>
      <c r="G25" s="749">
        <v>0</v>
      </c>
      <c r="H25" s="749"/>
      <c r="I25" s="733"/>
      <c r="J25" s="733"/>
      <c r="K25" s="735">
        <v>0</v>
      </c>
      <c r="L25" s="750">
        <v>0</v>
      </c>
    </row>
    <row r="26" spans="1:12" x14ac:dyDescent="0.25">
      <c r="A26" s="561" t="s">
        <v>197</v>
      </c>
      <c r="B26" s="749">
        <v>2023</v>
      </c>
      <c r="C26" s="561" t="s">
        <v>698</v>
      </c>
      <c r="D26" s="561" t="s">
        <v>699</v>
      </c>
      <c r="E26" s="561" t="s">
        <v>700</v>
      </c>
      <c r="F26" s="735">
        <v>0</v>
      </c>
      <c r="G26" s="749">
        <v>0</v>
      </c>
      <c r="H26" s="749"/>
      <c r="I26" s="733"/>
      <c r="J26" s="733"/>
      <c r="K26" s="735">
        <v>0</v>
      </c>
      <c r="L26" s="750">
        <v>0</v>
      </c>
    </row>
    <row r="27" spans="1:12" ht="21" x14ac:dyDescent="0.25">
      <c r="A27" s="561" t="s">
        <v>197</v>
      </c>
      <c r="B27" s="749">
        <v>2023</v>
      </c>
      <c r="C27" s="561" t="s">
        <v>701</v>
      </c>
      <c r="D27" s="561" t="s">
        <v>702</v>
      </c>
      <c r="E27" s="561" t="s">
        <v>1</v>
      </c>
      <c r="F27" s="735">
        <v>76435454.25</v>
      </c>
      <c r="G27" s="749">
        <v>1</v>
      </c>
      <c r="H27" s="749"/>
      <c r="I27" s="735">
        <v>75220394.549999997</v>
      </c>
      <c r="J27" s="735">
        <v>1215059.7</v>
      </c>
      <c r="K27" s="735">
        <v>76435454.25</v>
      </c>
      <c r="L27" s="750">
        <v>76435454.25</v>
      </c>
    </row>
    <row r="28" spans="1:12" ht="21" x14ac:dyDescent="0.25">
      <c r="A28" s="561" t="s">
        <v>197</v>
      </c>
      <c r="B28" s="749">
        <v>2023</v>
      </c>
      <c r="C28" s="561" t="s">
        <v>701</v>
      </c>
      <c r="D28" s="561" t="s">
        <v>702</v>
      </c>
      <c r="E28" s="561" t="s">
        <v>703</v>
      </c>
      <c r="F28" s="735">
        <v>0</v>
      </c>
      <c r="G28" s="749">
        <v>0</v>
      </c>
      <c r="H28" s="749"/>
      <c r="I28" s="733"/>
      <c r="J28" s="733"/>
      <c r="K28" s="735">
        <v>0</v>
      </c>
      <c r="L28" s="751">
        <v>0</v>
      </c>
    </row>
    <row r="29" spans="1:12" ht="21" x14ac:dyDescent="0.25">
      <c r="A29" s="561" t="s">
        <v>197</v>
      </c>
      <c r="B29" s="749">
        <v>2023</v>
      </c>
      <c r="C29" s="561" t="s">
        <v>701</v>
      </c>
      <c r="D29" s="561" t="s">
        <v>702</v>
      </c>
      <c r="E29" s="561" t="s">
        <v>704</v>
      </c>
      <c r="F29" s="735">
        <v>0</v>
      </c>
      <c r="G29" s="749">
        <v>0</v>
      </c>
      <c r="H29" s="749"/>
      <c r="I29" s="733"/>
      <c r="J29" s="733"/>
      <c r="K29" s="735">
        <v>0</v>
      </c>
      <c r="L29" s="751">
        <v>0</v>
      </c>
    </row>
    <row r="30" spans="1:12" ht="21" x14ac:dyDescent="0.25">
      <c r="A30" s="561" t="s">
        <v>197</v>
      </c>
      <c r="B30" s="749">
        <v>2023</v>
      </c>
      <c r="C30" s="561" t="s">
        <v>701</v>
      </c>
      <c r="D30" s="561" t="s">
        <v>702</v>
      </c>
      <c r="E30" s="561" t="s">
        <v>705</v>
      </c>
      <c r="F30" s="735">
        <v>0</v>
      </c>
      <c r="G30" s="749">
        <v>0</v>
      </c>
      <c r="H30" s="749"/>
      <c r="I30" s="733"/>
      <c r="J30" s="733"/>
      <c r="K30" s="735">
        <v>0</v>
      </c>
      <c r="L30" s="751">
        <v>-104127.38</v>
      </c>
    </row>
    <row r="31" spans="1:12" ht="21" x14ac:dyDescent="0.25">
      <c r="A31" s="561" t="s">
        <v>197</v>
      </c>
      <c r="B31" s="749">
        <v>2023</v>
      </c>
      <c r="C31" s="561" t="s">
        <v>701</v>
      </c>
      <c r="D31" s="561" t="s">
        <v>702</v>
      </c>
      <c r="E31" s="561" t="s">
        <v>706</v>
      </c>
      <c r="F31" s="735">
        <v>0</v>
      </c>
      <c r="G31" s="749">
        <v>0</v>
      </c>
      <c r="H31" s="749"/>
      <c r="I31" s="733"/>
      <c r="J31" s="733"/>
      <c r="K31" s="735">
        <v>0</v>
      </c>
      <c r="L31" s="751">
        <v>-4508706.41</v>
      </c>
    </row>
    <row r="32" spans="1:12" x14ac:dyDescent="0.25">
      <c r="A32" s="561" t="s">
        <v>197</v>
      </c>
      <c r="B32" s="749">
        <v>2023</v>
      </c>
      <c r="C32" s="561" t="s">
        <v>707</v>
      </c>
      <c r="D32" s="561" t="s">
        <v>708</v>
      </c>
      <c r="E32" s="561" t="s">
        <v>709</v>
      </c>
      <c r="F32" s="735">
        <v>0</v>
      </c>
      <c r="G32" s="749">
        <v>0</v>
      </c>
      <c r="H32" s="749"/>
      <c r="I32" s="733"/>
      <c r="J32" s="733"/>
      <c r="K32" s="735">
        <v>0</v>
      </c>
      <c r="L32" s="750">
        <v>0</v>
      </c>
    </row>
    <row r="33" spans="1:12" ht="21" x14ac:dyDescent="0.25">
      <c r="A33" s="561" t="s">
        <v>197</v>
      </c>
      <c r="B33" s="749">
        <v>2023</v>
      </c>
      <c r="C33" s="561" t="s">
        <v>710</v>
      </c>
      <c r="D33" s="561" t="s">
        <v>711</v>
      </c>
      <c r="E33" s="561" t="s">
        <v>2</v>
      </c>
      <c r="F33" s="735">
        <v>80301976.829999998</v>
      </c>
      <c r="G33" s="749">
        <v>1</v>
      </c>
      <c r="H33" s="749"/>
      <c r="I33" s="735">
        <v>78874615.909999996</v>
      </c>
      <c r="J33" s="735">
        <v>1427360.92</v>
      </c>
      <c r="K33" s="735">
        <v>80301976.829999998</v>
      </c>
      <c r="L33" s="750">
        <v>80301976.829999998</v>
      </c>
    </row>
    <row r="34" spans="1:12" ht="21" x14ac:dyDescent="0.25">
      <c r="A34" s="561" t="s">
        <v>197</v>
      </c>
      <c r="B34" s="749">
        <v>2023</v>
      </c>
      <c r="C34" s="561" t="s">
        <v>712</v>
      </c>
      <c r="D34" s="561" t="s">
        <v>713</v>
      </c>
      <c r="E34" s="561" t="s">
        <v>3</v>
      </c>
      <c r="F34" s="735">
        <v>14382633.77</v>
      </c>
      <c r="G34" s="749">
        <v>1</v>
      </c>
      <c r="H34" s="749"/>
      <c r="I34" s="735">
        <v>14154745.4</v>
      </c>
      <c r="J34" s="735">
        <v>227888.37</v>
      </c>
      <c r="K34" s="735">
        <v>14382633.77</v>
      </c>
      <c r="L34" s="750">
        <v>14382633.77</v>
      </c>
    </row>
    <row r="35" spans="1:12" ht="21" x14ac:dyDescent="0.25">
      <c r="A35" s="561" t="s">
        <v>197</v>
      </c>
      <c r="B35" s="749">
        <v>2023</v>
      </c>
      <c r="C35" s="561" t="s">
        <v>714</v>
      </c>
      <c r="D35" s="561" t="s">
        <v>715</v>
      </c>
      <c r="E35" s="561" t="s">
        <v>38</v>
      </c>
      <c r="F35" s="735">
        <v>2738413.95</v>
      </c>
      <c r="G35" s="749">
        <v>1</v>
      </c>
      <c r="H35" s="749"/>
      <c r="I35" s="735">
        <v>2757706</v>
      </c>
      <c r="J35" s="735">
        <v>-19292.05</v>
      </c>
      <c r="K35" s="735">
        <v>2738413.95</v>
      </c>
      <c r="L35" s="750">
        <v>2738413.95</v>
      </c>
    </row>
    <row r="36" spans="1:12" x14ac:dyDescent="0.25">
      <c r="A36" s="561" t="s">
        <v>197</v>
      </c>
      <c r="B36" s="749">
        <v>2023</v>
      </c>
      <c r="C36" s="561" t="s">
        <v>716</v>
      </c>
      <c r="D36" s="561" t="s">
        <v>717</v>
      </c>
      <c r="E36" s="561" t="s">
        <v>66</v>
      </c>
      <c r="F36" s="735">
        <v>-25238270.850000001</v>
      </c>
      <c r="G36" s="749">
        <v>1</v>
      </c>
      <c r="H36" s="749"/>
      <c r="I36" s="735">
        <v>-24758954.91</v>
      </c>
      <c r="J36" s="735">
        <v>-479315.94</v>
      </c>
      <c r="K36" s="735">
        <v>-25238270.850000001</v>
      </c>
      <c r="L36" s="750">
        <v>-25238270.850000001</v>
      </c>
    </row>
    <row r="37" spans="1:12" ht="21" x14ac:dyDescent="0.25">
      <c r="A37" s="561" t="s">
        <v>197</v>
      </c>
      <c r="B37" s="749">
        <v>2023</v>
      </c>
      <c r="C37" s="561" t="s">
        <v>718</v>
      </c>
      <c r="D37" s="561" t="s">
        <v>719</v>
      </c>
      <c r="E37" s="561" t="s">
        <v>720</v>
      </c>
      <c r="F37" s="735">
        <v>-30310477.530000001</v>
      </c>
      <c r="G37" s="749">
        <v>0</v>
      </c>
      <c r="H37" s="749"/>
      <c r="I37" s="733"/>
      <c r="J37" s="733"/>
      <c r="K37" s="735">
        <v>0</v>
      </c>
      <c r="L37" s="750">
        <v>-30310477.530000001</v>
      </c>
    </row>
    <row r="38" spans="1:12" ht="31.5" x14ac:dyDescent="0.25">
      <c r="A38" s="561" t="s">
        <v>197</v>
      </c>
      <c r="B38" s="749">
        <v>2023</v>
      </c>
      <c r="C38" s="561" t="s">
        <v>721</v>
      </c>
      <c r="D38" s="561" t="s">
        <v>723</v>
      </c>
      <c r="E38" s="561" t="s">
        <v>724</v>
      </c>
      <c r="F38" s="735">
        <v>0</v>
      </c>
      <c r="G38" s="749">
        <v>1</v>
      </c>
      <c r="H38" s="749"/>
      <c r="I38" s="733"/>
      <c r="J38" s="733"/>
      <c r="K38" s="735">
        <v>0</v>
      </c>
      <c r="L38" s="750">
        <v>0</v>
      </c>
    </row>
    <row r="39" spans="1:12" ht="31.5" x14ac:dyDescent="0.25">
      <c r="A39" s="561" t="s">
        <v>197</v>
      </c>
      <c r="B39" s="749">
        <v>2023</v>
      </c>
      <c r="C39" s="561" t="s">
        <v>721</v>
      </c>
      <c r="D39" s="561" t="s">
        <v>725</v>
      </c>
      <c r="E39" s="561" t="s">
        <v>55</v>
      </c>
      <c r="F39" s="735">
        <v>0</v>
      </c>
      <c r="G39" s="749">
        <v>1</v>
      </c>
      <c r="H39" s="749"/>
      <c r="I39" s="733"/>
      <c r="J39" s="733"/>
      <c r="K39" s="735">
        <v>0</v>
      </c>
      <c r="L39" s="750">
        <v>0</v>
      </c>
    </row>
    <row r="40" spans="1:12" ht="31.5" x14ac:dyDescent="0.25">
      <c r="A40" s="561" t="s">
        <v>197</v>
      </c>
      <c r="B40" s="749">
        <v>2023</v>
      </c>
      <c r="C40" s="561" t="s">
        <v>721</v>
      </c>
      <c r="D40" s="561" t="s">
        <v>726</v>
      </c>
      <c r="E40" s="561" t="s">
        <v>56</v>
      </c>
      <c r="F40" s="735">
        <v>0</v>
      </c>
      <c r="G40" s="749">
        <v>1</v>
      </c>
      <c r="H40" s="749"/>
      <c r="I40" s="733"/>
      <c r="J40" s="733"/>
      <c r="K40" s="735">
        <v>0</v>
      </c>
      <c r="L40" s="750">
        <v>0</v>
      </c>
    </row>
    <row r="41" spans="1:12" ht="31.5" x14ac:dyDescent="0.25">
      <c r="A41" s="561" t="s">
        <v>197</v>
      </c>
      <c r="B41" s="749">
        <v>2023</v>
      </c>
      <c r="C41" s="561" t="s">
        <v>721</v>
      </c>
      <c r="D41" s="561" t="s">
        <v>727</v>
      </c>
      <c r="E41" s="561" t="s">
        <v>728</v>
      </c>
      <c r="F41" s="735">
        <v>0</v>
      </c>
      <c r="G41" s="749">
        <v>1</v>
      </c>
      <c r="H41" s="749"/>
      <c r="I41" s="733"/>
      <c r="J41" s="733"/>
      <c r="K41" s="735">
        <v>0</v>
      </c>
      <c r="L41" s="750">
        <v>0</v>
      </c>
    </row>
    <row r="42" spans="1:12" ht="31.5" x14ac:dyDescent="0.25">
      <c r="A42" s="561" t="s">
        <v>197</v>
      </c>
      <c r="B42" s="749">
        <v>2023</v>
      </c>
      <c r="C42" s="561" t="s">
        <v>721</v>
      </c>
      <c r="D42" s="561" t="s">
        <v>729</v>
      </c>
      <c r="E42" s="561" t="s">
        <v>730</v>
      </c>
      <c r="F42" s="735">
        <v>0</v>
      </c>
      <c r="G42" s="749">
        <v>1</v>
      </c>
      <c r="H42" s="749"/>
      <c r="I42" s="733"/>
      <c r="J42" s="733"/>
      <c r="K42" s="735">
        <v>0</v>
      </c>
      <c r="L42" s="750">
        <v>0</v>
      </c>
    </row>
    <row r="43" spans="1:12" ht="31.5" x14ac:dyDescent="0.25">
      <c r="A43" s="561" t="s">
        <v>197</v>
      </c>
      <c r="B43" s="749">
        <v>2023</v>
      </c>
      <c r="C43" s="561" t="s">
        <v>721</v>
      </c>
      <c r="D43" s="561" t="s">
        <v>731</v>
      </c>
      <c r="E43" s="561" t="s">
        <v>142</v>
      </c>
      <c r="F43" s="735">
        <v>0</v>
      </c>
      <c r="G43" s="749">
        <v>1</v>
      </c>
      <c r="H43" s="749"/>
      <c r="I43" s="733"/>
      <c r="J43" s="733"/>
      <c r="K43" s="735">
        <v>0</v>
      </c>
      <c r="L43" s="750">
        <v>0</v>
      </c>
    </row>
    <row r="44" spans="1:12" ht="31.5" x14ac:dyDescent="0.25">
      <c r="A44" s="561" t="s">
        <v>197</v>
      </c>
      <c r="B44" s="749">
        <v>2023</v>
      </c>
      <c r="C44" s="561" t="s">
        <v>721</v>
      </c>
      <c r="D44" s="561" t="s">
        <v>732</v>
      </c>
      <c r="E44" s="561" t="s">
        <v>143</v>
      </c>
      <c r="F44" s="735">
        <v>0</v>
      </c>
      <c r="G44" s="749">
        <v>1</v>
      </c>
      <c r="H44" s="749"/>
      <c r="I44" s="733"/>
      <c r="J44" s="733"/>
      <c r="K44" s="735">
        <v>0</v>
      </c>
      <c r="L44" s="750">
        <v>0</v>
      </c>
    </row>
    <row r="45" spans="1:12" ht="31.5" x14ac:dyDescent="0.25">
      <c r="A45" s="561" t="s">
        <v>197</v>
      </c>
      <c r="B45" s="749">
        <v>2023</v>
      </c>
      <c r="C45" s="561" t="s">
        <v>721</v>
      </c>
      <c r="D45" s="561" t="s">
        <v>733</v>
      </c>
      <c r="E45" s="561" t="s">
        <v>182</v>
      </c>
      <c r="F45" s="735">
        <v>0</v>
      </c>
      <c r="G45" s="749">
        <v>1</v>
      </c>
      <c r="H45" s="749"/>
      <c r="I45" s="733"/>
      <c r="J45" s="733"/>
      <c r="K45" s="735">
        <v>0</v>
      </c>
      <c r="L45" s="750">
        <v>0</v>
      </c>
    </row>
    <row r="46" spans="1:12" ht="31.5" x14ac:dyDescent="0.25">
      <c r="A46" s="561" t="s">
        <v>197</v>
      </c>
      <c r="B46" s="749">
        <v>2023</v>
      </c>
      <c r="C46" s="561" t="s">
        <v>721</v>
      </c>
      <c r="D46" s="561" t="s">
        <v>734</v>
      </c>
      <c r="E46" s="561" t="s">
        <v>394</v>
      </c>
      <c r="F46" s="735">
        <v>0</v>
      </c>
      <c r="G46" s="749">
        <v>1</v>
      </c>
      <c r="H46" s="749"/>
      <c r="I46" s="733"/>
      <c r="J46" s="733"/>
      <c r="K46" s="735">
        <v>0</v>
      </c>
      <c r="L46" s="750">
        <v>0</v>
      </c>
    </row>
    <row r="47" spans="1:12" ht="31.5" x14ac:dyDescent="0.25">
      <c r="A47" s="561" t="s">
        <v>197</v>
      </c>
      <c r="B47" s="749">
        <v>2023</v>
      </c>
      <c r="C47" s="561" t="s">
        <v>721</v>
      </c>
      <c r="D47" s="561" t="s">
        <v>735</v>
      </c>
      <c r="E47" s="561" t="s">
        <v>423</v>
      </c>
      <c r="F47" s="735">
        <v>0</v>
      </c>
      <c r="G47" s="749">
        <v>1</v>
      </c>
      <c r="H47" s="749"/>
      <c r="I47" s="733"/>
      <c r="J47" s="733"/>
      <c r="K47" s="735">
        <v>0</v>
      </c>
      <c r="L47" s="750">
        <v>0</v>
      </c>
    </row>
    <row r="48" spans="1:12" ht="31.5" x14ac:dyDescent="0.25">
      <c r="A48" s="561" t="s">
        <v>197</v>
      </c>
      <c r="B48" s="749">
        <v>2023</v>
      </c>
      <c r="C48" s="561" t="s">
        <v>721</v>
      </c>
      <c r="D48" s="561" t="s">
        <v>3072</v>
      </c>
      <c r="E48" s="561" t="s">
        <v>441</v>
      </c>
      <c r="F48" s="735">
        <v>0</v>
      </c>
      <c r="G48" s="749">
        <v>1</v>
      </c>
      <c r="H48" s="749"/>
      <c r="I48" s="735">
        <v>1352517.66</v>
      </c>
      <c r="J48" s="735">
        <v>-1156769.73</v>
      </c>
      <c r="K48" s="735">
        <v>195747.93</v>
      </c>
      <c r="L48" s="750">
        <v>195747.93</v>
      </c>
    </row>
    <row r="49" spans="1:12" ht="31.5" x14ac:dyDescent="0.25">
      <c r="A49" s="561" t="s">
        <v>197</v>
      </c>
      <c r="B49" s="749">
        <v>2023</v>
      </c>
      <c r="C49" s="561" t="s">
        <v>721</v>
      </c>
      <c r="D49" s="561" t="s">
        <v>3462</v>
      </c>
      <c r="E49" s="561" t="s">
        <v>3016</v>
      </c>
      <c r="F49" s="735">
        <v>0</v>
      </c>
      <c r="G49" s="749">
        <v>1</v>
      </c>
      <c r="H49" s="749"/>
      <c r="I49" s="735">
        <v>-212526.93</v>
      </c>
      <c r="J49" s="735">
        <v>-348595.85</v>
      </c>
      <c r="K49" s="735">
        <v>-561122.78</v>
      </c>
      <c r="L49" s="750">
        <v>-561122.78</v>
      </c>
    </row>
    <row r="50" spans="1:12" ht="31.5" x14ac:dyDescent="0.25">
      <c r="A50" s="561" t="s">
        <v>197</v>
      </c>
      <c r="B50" s="749">
        <v>2023</v>
      </c>
      <c r="C50" s="561" t="s">
        <v>721</v>
      </c>
      <c r="D50" s="561" t="s">
        <v>3463</v>
      </c>
      <c r="E50" s="561" t="s">
        <v>3058</v>
      </c>
      <c r="F50" s="735">
        <v>0</v>
      </c>
      <c r="G50" s="749">
        <v>1</v>
      </c>
      <c r="H50" s="749"/>
      <c r="I50" s="735">
        <v>-561979.47</v>
      </c>
      <c r="J50" s="735">
        <v>-633654.03</v>
      </c>
      <c r="K50" s="735">
        <v>-1195633.5</v>
      </c>
      <c r="L50" s="750">
        <v>-1195633.5</v>
      </c>
    </row>
    <row r="51" spans="1:12" ht="31.5" x14ac:dyDescent="0.25">
      <c r="A51" s="561" t="s">
        <v>197</v>
      </c>
      <c r="B51" s="749">
        <v>2023</v>
      </c>
      <c r="C51" s="561" t="s">
        <v>721</v>
      </c>
      <c r="D51" s="561" t="s">
        <v>3464</v>
      </c>
      <c r="E51" s="561" t="s">
        <v>3063</v>
      </c>
      <c r="F51" s="735">
        <v>0</v>
      </c>
      <c r="G51" s="749">
        <v>1</v>
      </c>
      <c r="H51" s="749"/>
      <c r="I51" s="735">
        <v>-454648.69</v>
      </c>
      <c r="J51" s="735">
        <v>1629816.95</v>
      </c>
      <c r="K51" s="735">
        <v>1175168.26</v>
      </c>
      <c r="L51" s="750">
        <v>1175168.26</v>
      </c>
    </row>
    <row r="52" spans="1:12" ht="31.5" x14ac:dyDescent="0.25">
      <c r="A52" s="561" t="s">
        <v>197</v>
      </c>
      <c r="B52" s="749">
        <v>2023</v>
      </c>
      <c r="C52" s="561" t="s">
        <v>721</v>
      </c>
      <c r="D52" s="561" t="s">
        <v>3692</v>
      </c>
      <c r="E52" s="561" t="s">
        <v>3425</v>
      </c>
      <c r="F52" s="735">
        <v>0</v>
      </c>
      <c r="G52" s="749">
        <v>1</v>
      </c>
      <c r="H52" s="749"/>
      <c r="I52" s="735">
        <v>422988.35</v>
      </c>
      <c r="J52" s="735">
        <v>307649.69</v>
      </c>
      <c r="K52" s="735">
        <v>730638.04</v>
      </c>
      <c r="L52" s="750">
        <v>730638.04</v>
      </c>
    </row>
    <row r="53" spans="1:12" ht="42" x14ac:dyDescent="0.25">
      <c r="A53" s="561" t="s">
        <v>197</v>
      </c>
      <c r="B53" s="749">
        <v>2023</v>
      </c>
      <c r="C53" s="561" t="s">
        <v>721</v>
      </c>
      <c r="D53" s="561" t="s">
        <v>3693</v>
      </c>
      <c r="E53" s="561" t="s">
        <v>737</v>
      </c>
      <c r="F53" s="735">
        <v>344797.95</v>
      </c>
      <c r="G53" s="749">
        <v>0</v>
      </c>
      <c r="H53" s="749"/>
      <c r="I53" s="733"/>
      <c r="J53" s="733"/>
      <c r="K53" s="735">
        <v>0</v>
      </c>
      <c r="L53" s="750">
        <v>344797.95</v>
      </c>
    </row>
    <row r="54" spans="1:12" x14ac:dyDescent="0.25">
      <c r="A54" s="561" t="s">
        <v>197</v>
      </c>
      <c r="B54" s="749">
        <v>2023</v>
      </c>
      <c r="C54" s="561" t="s">
        <v>738</v>
      </c>
      <c r="D54" s="561" t="s">
        <v>739</v>
      </c>
      <c r="E54" s="561" t="s">
        <v>7</v>
      </c>
      <c r="F54" s="735">
        <v>0</v>
      </c>
      <c r="G54" s="749">
        <v>0</v>
      </c>
      <c r="H54" s="749"/>
      <c r="I54" s="733"/>
      <c r="J54" s="733"/>
      <c r="K54" s="735">
        <v>0</v>
      </c>
      <c r="L54" s="750">
        <v>0</v>
      </c>
    </row>
    <row r="55" spans="1:12" x14ac:dyDescent="0.25">
      <c r="A55" s="561" t="s">
        <v>77</v>
      </c>
      <c r="B55" s="749">
        <v>2023</v>
      </c>
      <c r="C55" s="561" t="s">
        <v>647</v>
      </c>
      <c r="D55" s="561" t="s">
        <v>740</v>
      </c>
      <c r="E55" s="561" t="s">
        <v>649</v>
      </c>
      <c r="F55" s="735">
        <v>14739046.76</v>
      </c>
      <c r="G55" s="749">
        <v>0</v>
      </c>
      <c r="H55" s="749"/>
      <c r="I55" s="733"/>
      <c r="J55" s="733"/>
      <c r="K55" s="735">
        <v>0</v>
      </c>
      <c r="L55" s="750">
        <v>14739046.76</v>
      </c>
    </row>
    <row r="56" spans="1:12" ht="21" x14ac:dyDescent="0.25">
      <c r="A56" s="561" t="s">
        <v>77</v>
      </c>
      <c r="B56" s="749">
        <v>2023</v>
      </c>
      <c r="C56" s="561" t="s">
        <v>3691</v>
      </c>
      <c r="D56" s="561" t="s">
        <v>3622</v>
      </c>
      <c r="E56" s="561" t="s">
        <v>3675</v>
      </c>
      <c r="F56" s="735">
        <v>6312</v>
      </c>
      <c r="G56" s="749">
        <v>0</v>
      </c>
      <c r="H56" s="749"/>
      <c r="I56" s="733"/>
      <c r="J56" s="733"/>
      <c r="K56" s="735">
        <v>0</v>
      </c>
      <c r="L56" s="750">
        <v>6312</v>
      </c>
    </row>
    <row r="57" spans="1:12" x14ac:dyDescent="0.25">
      <c r="A57" s="561" t="s">
        <v>77</v>
      </c>
      <c r="B57" s="749">
        <v>2023</v>
      </c>
      <c r="C57" s="561" t="s">
        <v>651</v>
      </c>
      <c r="D57" s="561" t="s">
        <v>741</v>
      </c>
      <c r="E57" s="561" t="s">
        <v>653</v>
      </c>
      <c r="F57" s="735">
        <v>0</v>
      </c>
      <c r="G57" s="749">
        <v>0</v>
      </c>
      <c r="H57" s="749"/>
      <c r="I57" s="733"/>
      <c r="J57" s="733"/>
      <c r="K57" s="735">
        <v>0</v>
      </c>
      <c r="L57" s="750">
        <v>0</v>
      </c>
    </row>
    <row r="58" spans="1:12" ht="31.5" x14ac:dyDescent="0.25">
      <c r="A58" s="561" t="s">
        <v>77</v>
      </c>
      <c r="B58" s="749">
        <v>2023</v>
      </c>
      <c r="C58" s="561" t="s">
        <v>654</v>
      </c>
      <c r="D58" s="561" t="s">
        <v>742</v>
      </c>
      <c r="E58" s="561" t="s">
        <v>445</v>
      </c>
      <c r="F58" s="735">
        <v>-133817.64000000001</v>
      </c>
      <c r="G58" s="749">
        <v>0</v>
      </c>
      <c r="H58" s="749"/>
      <c r="I58" s="733"/>
      <c r="J58" s="733"/>
      <c r="K58" s="735">
        <v>0</v>
      </c>
      <c r="L58" s="750">
        <v>-133817.64000000001</v>
      </c>
    </row>
    <row r="59" spans="1:12" ht="21" x14ac:dyDescent="0.25">
      <c r="A59" s="561" t="s">
        <v>77</v>
      </c>
      <c r="B59" s="749">
        <v>2023</v>
      </c>
      <c r="C59" s="561" t="s">
        <v>656</v>
      </c>
      <c r="D59" s="561" t="s">
        <v>743</v>
      </c>
      <c r="E59" s="561" t="s">
        <v>658</v>
      </c>
      <c r="F59" s="735">
        <v>0</v>
      </c>
      <c r="G59" s="749">
        <v>0</v>
      </c>
      <c r="H59" s="749"/>
      <c r="I59" s="733"/>
      <c r="J59" s="733"/>
      <c r="K59" s="735">
        <v>0</v>
      </c>
      <c r="L59" s="750">
        <v>0</v>
      </c>
    </row>
    <row r="60" spans="1:12" ht="21" x14ac:dyDescent="0.25">
      <c r="A60" s="561" t="s">
        <v>77</v>
      </c>
      <c r="B60" s="749">
        <v>2023</v>
      </c>
      <c r="C60" s="561" t="s">
        <v>659</v>
      </c>
      <c r="D60" s="561" t="s">
        <v>744</v>
      </c>
      <c r="E60" s="561" t="s">
        <v>661</v>
      </c>
      <c r="F60" s="735">
        <v>0</v>
      </c>
      <c r="G60" s="749">
        <v>0</v>
      </c>
      <c r="H60" s="749"/>
      <c r="I60" s="733"/>
      <c r="J60" s="733"/>
      <c r="K60" s="735">
        <v>0</v>
      </c>
      <c r="L60" s="750">
        <v>0</v>
      </c>
    </row>
    <row r="61" spans="1:12" ht="21" x14ac:dyDescent="0.25">
      <c r="A61" s="561" t="s">
        <v>77</v>
      </c>
      <c r="B61" s="749">
        <v>2023</v>
      </c>
      <c r="C61" s="561" t="s">
        <v>662</v>
      </c>
      <c r="D61" s="561" t="s">
        <v>745</v>
      </c>
      <c r="E61" s="561" t="s">
        <v>664</v>
      </c>
      <c r="F61" s="735">
        <v>0</v>
      </c>
      <c r="G61" s="749">
        <v>0</v>
      </c>
      <c r="H61" s="749"/>
      <c r="I61" s="733"/>
      <c r="J61" s="733"/>
      <c r="K61" s="735">
        <v>0</v>
      </c>
      <c r="L61" s="750">
        <v>0</v>
      </c>
    </row>
    <row r="62" spans="1:12" ht="31.5" x14ac:dyDescent="0.25">
      <c r="A62" s="561" t="s">
        <v>77</v>
      </c>
      <c r="B62" s="749">
        <v>2023</v>
      </c>
      <c r="C62" s="561" t="s">
        <v>665</v>
      </c>
      <c r="D62" s="561" t="s">
        <v>746</v>
      </c>
      <c r="E62" s="561" t="s">
        <v>667</v>
      </c>
      <c r="F62" s="735">
        <v>0</v>
      </c>
      <c r="G62" s="749">
        <v>0</v>
      </c>
      <c r="H62" s="749"/>
      <c r="I62" s="733"/>
      <c r="J62" s="733"/>
      <c r="K62" s="735">
        <v>0</v>
      </c>
      <c r="L62" s="750">
        <v>0</v>
      </c>
    </row>
    <row r="63" spans="1:12" ht="21" x14ac:dyDescent="0.25">
      <c r="A63" s="561" t="s">
        <v>77</v>
      </c>
      <c r="B63" s="749">
        <v>2023</v>
      </c>
      <c r="C63" s="561" t="s">
        <v>668</v>
      </c>
      <c r="D63" s="561" t="s">
        <v>747</v>
      </c>
      <c r="E63" s="561" t="s">
        <v>12</v>
      </c>
      <c r="F63" s="735">
        <v>0</v>
      </c>
      <c r="G63" s="749">
        <v>0</v>
      </c>
      <c r="H63" s="749"/>
      <c r="I63" s="733"/>
      <c r="J63" s="733"/>
      <c r="K63" s="735">
        <v>0</v>
      </c>
      <c r="L63" s="750">
        <v>0</v>
      </c>
    </row>
    <row r="64" spans="1:12" ht="21" x14ac:dyDescent="0.25">
      <c r="A64" s="561" t="s">
        <v>77</v>
      </c>
      <c r="B64" s="749">
        <v>2023</v>
      </c>
      <c r="C64" s="561" t="s">
        <v>670</v>
      </c>
      <c r="D64" s="561" t="s">
        <v>748</v>
      </c>
      <c r="E64" s="561" t="s">
        <v>749</v>
      </c>
      <c r="F64" s="735">
        <v>0</v>
      </c>
      <c r="G64" s="749">
        <v>0</v>
      </c>
      <c r="H64" s="749"/>
      <c r="I64" s="733"/>
      <c r="J64" s="733"/>
      <c r="K64" s="735">
        <v>0</v>
      </c>
      <c r="L64" s="750">
        <v>0</v>
      </c>
    </row>
    <row r="65" spans="1:12" ht="21" x14ac:dyDescent="0.25">
      <c r="A65" s="561" t="s">
        <v>77</v>
      </c>
      <c r="B65" s="749">
        <v>2023</v>
      </c>
      <c r="C65" s="561" t="s">
        <v>672</v>
      </c>
      <c r="D65" s="561" t="s">
        <v>750</v>
      </c>
      <c r="E65" s="561" t="s">
        <v>15</v>
      </c>
      <c r="F65" s="735">
        <v>0</v>
      </c>
      <c r="G65" s="749">
        <v>0</v>
      </c>
      <c r="H65" s="749"/>
      <c r="I65" s="733"/>
      <c r="J65" s="733"/>
      <c r="K65" s="735">
        <v>0</v>
      </c>
      <c r="L65" s="750">
        <v>0</v>
      </c>
    </row>
    <row r="66" spans="1:12" x14ac:dyDescent="0.25">
      <c r="A66" s="561" t="s">
        <v>77</v>
      </c>
      <c r="B66" s="749">
        <v>2023</v>
      </c>
      <c r="C66" s="561" t="s">
        <v>674</v>
      </c>
      <c r="D66" s="561" t="s">
        <v>751</v>
      </c>
      <c r="E66" s="561" t="s">
        <v>676</v>
      </c>
      <c r="F66" s="735">
        <v>0</v>
      </c>
      <c r="G66" s="749">
        <v>0</v>
      </c>
      <c r="H66" s="749"/>
      <c r="I66" s="733"/>
      <c r="J66" s="733"/>
      <c r="K66" s="735">
        <v>0</v>
      </c>
      <c r="L66" s="750">
        <v>0</v>
      </c>
    </row>
    <row r="67" spans="1:12" x14ac:dyDescent="0.25">
      <c r="A67" s="561" t="s">
        <v>77</v>
      </c>
      <c r="B67" s="749">
        <v>2023</v>
      </c>
      <c r="C67" s="561" t="s">
        <v>677</v>
      </c>
      <c r="D67" s="561" t="s">
        <v>752</v>
      </c>
      <c r="E67" s="561" t="s">
        <v>23</v>
      </c>
      <c r="F67" s="735">
        <v>0</v>
      </c>
      <c r="G67" s="749">
        <v>1</v>
      </c>
      <c r="H67" s="749"/>
      <c r="I67" s="733"/>
      <c r="J67" s="733"/>
      <c r="K67" s="735">
        <v>0</v>
      </c>
      <c r="L67" s="750">
        <v>0</v>
      </c>
    </row>
    <row r="68" spans="1:12" ht="21" x14ac:dyDescent="0.25">
      <c r="A68" s="561" t="s">
        <v>77</v>
      </c>
      <c r="B68" s="749">
        <v>2023</v>
      </c>
      <c r="C68" s="561" t="s">
        <v>679</v>
      </c>
      <c r="D68" s="561" t="s">
        <v>753</v>
      </c>
      <c r="E68" s="561" t="s">
        <v>131</v>
      </c>
      <c r="F68" s="735">
        <v>-40724.620000000003</v>
      </c>
      <c r="G68" s="749">
        <v>1</v>
      </c>
      <c r="H68" s="749"/>
      <c r="I68" s="735">
        <v>-40357.93</v>
      </c>
      <c r="J68" s="735">
        <v>-366.69</v>
      </c>
      <c r="K68" s="735">
        <v>-40724.620000000003</v>
      </c>
      <c r="L68" s="750">
        <v>-40724.620000000003</v>
      </c>
    </row>
    <row r="69" spans="1:12" ht="31.5" x14ac:dyDescent="0.25">
      <c r="A69" s="561" t="s">
        <v>77</v>
      </c>
      <c r="B69" s="749">
        <v>2023</v>
      </c>
      <c r="C69" s="561" t="s">
        <v>681</v>
      </c>
      <c r="D69" s="561" t="s">
        <v>754</v>
      </c>
      <c r="E69" s="561" t="s">
        <v>683</v>
      </c>
      <c r="F69" s="735">
        <v>0</v>
      </c>
      <c r="G69" s="749">
        <v>0</v>
      </c>
      <c r="H69" s="749"/>
      <c r="I69" s="733"/>
      <c r="J69" s="733"/>
      <c r="K69" s="735">
        <v>0</v>
      </c>
      <c r="L69" s="750">
        <v>0</v>
      </c>
    </row>
    <row r="70" spans="1:12" ht="21" x14ac:dyDescent="0.25">
      <c r="A70" s="561" t="s">
        <v>77</v>
      </c>
      <c r="B70" s="749">
        <v>2023</v>
      </c>
      <c r="C70" s="561" t="s">
        <v>681</v>
      </c>
      <c r="D70" s="561" t="s">
        <v>754</v>
      </c>
      <c r="E70" s="561" t="s">
        <v>684</v>
      </c>
      <c r="F70" s="735">
        <v>0</v>
      </c>
      <c r="G70" s="749">
        <v>0</v>
      </c>
      <c r="H70" s="749"/>
      <c r="I70" s="733"/>
      <c r="J70" s="733"/>
      <c r="K70" s="735">
        <v>0</v>
      </c>
      <c r="L70" s="751">
        <v>0</v>
      </c>
    </row>
    <row r="71" spans="1:12" x14ac:dyDescent="0.25">
      <c r="A71" s="561" t="s">
        <v>77</v>
      </c>
      <c r="B71" s="749">
        <v>2023</v>
      </c>
      <c r="C71" s="561" t="s">
        <v>685</v>
      </c>
      <c r="D71" s="561" t="s">
        <v>755</v>
      </c>
      <c r="E71" s="561" t="s">
        <v>687</v>
      </c>
      <c r="F71" s="735">
        <v>0</v>
      </c>
      <c r="G71" s="749">
        <v>0</v>
      </c>
      <c r="H71" s="749"/>
      <c r="I71" s="733"/>
      <c r="J71" s="733"/>
      <c r="K71" s="735">
        <v>0</v>
      </c>
      <c r="L71" s="750">
        <v>0</v>
      </c>
    </row>
    <row r="72" spans="1:12" x14ac:dyDescent="0.25">
      <c r="A72" s="561" t="s">
        <v>77</v>
      </c>
      <c r="B72" s="749">
        <v>2023</v>
      </c>
      <c r="C72" s="561" t="s">
        <v>688</v>
      </c>
      <c r="D72" s="561" t="s">
        <v>756</v>
      </c>
      <c r="E72" s="561" t="s">
        <v>50</v>
      </c>
      <c r="F72" s="735">
        <v>31417.439999999999</v>
      </c>
      <c r="G72" s="749">
        <v>0</v>
      </c>
      <c r="H72" s="749"/>
      <c r="I72" s="733"/>
      <c r="J72" s="733"/>
      <c r="K72" s="735">
        <v>0</v>
      </c>
      <c r="L72" s="750">
        <v>31417.439999999999</v>
      </c>
    </row>
    <row r="73" spans="1:12" x14ac:dyDescent="0.25">
      <c r="A73" s="561" t="s">
        <v>77</v>
      </c>
      <c r="B73" s="749">
        <v>2023</v>
      </c>
      <c r="C73" s="561" t="s">
        <v>690</v>
      </c>
      <c r="D73" s="561" t="s">
        <v>757</v>
      </c>
      <c r="E73" s="561" t="s">
        <v>692</v>
      </c>
      <c r="F73" s="735">
        <v>0</v>
      </c>
      <c r="G73" s="749">
        <v>0</v>
      </c>
      <c r="H73" s="749"/>
      <c r="I73" s="733"/>
      <c r="J73" s="733"/>
      <c r="K73" s="735">
        <v>0</v>
      </c>
      <c r="L73" s="750">
        <v>0</v>
      </c>
    </row>
    <row r="74" spans="1:12" ht="21" x14ac:dyDescent="0.25">
      <c r="A74" s="561" t="s">
        <v>77</v>
      </c>
      <c r="B74" s="749">
        <v>2023</v>
      </c>
      <c r="C74" s="561" t="s">
        <v>693</v>
      </c>
      <c r="D74" s="561" t="s">
        <v>758</v>
      </c>
      <c r="E74" s="561" t="s">
        <v>6</v>
      </c>
      <c r="F74" s="735">
        <v>0</v>
      </c>
      <c r="G74" s="749">
        <v>0</v>
      </c>
      <c r="H74" s="749"/>
      <c r="I74" s="733"/>
      <c r="J74" s="733"/>
      <c r="K74" s="735">
        <v>0</v>
      </c>
      <c r="L74" s="750">
        <v>0</v>
      </c>
    </row>
    <row r="75" spans="1:12" ht="21" x14ac:dyDescent="0.25">
      <c r="A75" s="561" t="s">
        <v>77</v>
      </c>
      <c r="B75" s="749">
        <v>2023</v>
      </c>
      <c r="C75" s="561" t="s">
        <v>695</v>
      </c>
      <c r="D75" s="561" t="s">
        <v>759</v>
      </c>
      <c r="E75" s="561" t="s">
        <v>697</v>
      </c>
      <c r="F75" s="735">
        <v>0</v>
      </c>
      <c r="G75" s="749">
        <v>0</v>
      </c>
      <c r="H75" s="749"/>
      <c r="I75" s="733"/>
      <c r="J75" s="733"/>
      <c r="K75" s="735">
        <v>0</v>
      </c>
      <c r="L75" s="750">
        <v>0</v>
      </c>
    </row>
    <row r="76" spans="1:12" x14ac:dyDescent="0.25">
      <c r="A76" s="561" t="s">
        <v>77</v>
      </c>
      <c r="B76" s="749">
        <v>2023</v>
      </c>
      <c r="C76" s="561" t="s">
        <v>698</v>
      </c>
      <c r="D76" s="561" t="s">
        <v>760</v>
      </c>
      <c r="E76" s="561" t="s">
        <v>700</v>
      </c>
      <c r="F76" s="735">
        <v>84971.53</v>
      </c>
      <c r="G76" s="749">
        <v>0</v>
      </c>
      <c r="H76" s="749"/>
      <c r="I76" s="733"/>
      <c r="J76" s="733"/>
      <c r="K76" s="735">
        <v>0</v>
      </c>
      <c r="L76" s="750">
        <v>84971.53</v>
      </c>
    </row>
    <row r="77" spans="1:12" ht="21" x14ac:dyDescent="0.25">
      <c r="A77" s="561" t="s">
        <v>77</v>
      </c>
      <c r="B77" s="749">
        <v>2023</v>
      </c>
      <c r="C77" s="561" t="s">
        <v>701</v>
      </c>
      <c r="D77" s="561" t="s">
        <v>761</v>
      </c>
      <c r="E77" s="561" t="s">
        <v>1</v>
      </c>
      <c r="F77" s="735">
        <v>663897.76</v>
      </c>
      <c r="G77" s="749">
        <v>1</v>
      </c>
      <c r="H77" s="749"/>
      <c r="I77" s="735">
        <v>653006.71</v>
      </c>
      <c r="J77" s="735">
        <v>10891.05</v>
      </c>
      <c r="K77" s="735">
        <v>663897.76</v>
      </c>
      <c r="L77" s="750">
        <v>663897.76</v>
      </c>
    </row>
    <row r="78" spans="1:12" ht="21" x14ac:dyDescent="0.25">
      <c r="A78" s="561" t="s">
        <v>77</v>
      </c>
      <c r="B78" s="749">
        <v>2023</v>
      </c>
      <c r="C78" s="561" t="s">
        <v>701</v>
      </c>
      <c r="D78" s="561" t="s">
        <v>761</v>
      </c>
      <c r="E78" s="561" t="s">
        <v>703</v>
      </c>
      <c r="F78" s="735">
        <v>0</v>
      </c>
      <c r="G78" s="749">
        <v>0</v>
      </c>
      <c r="H78" s="749"/>
      <c r="I78" s="733"/>
      <c r="J78" s="733"/>
      <c r="K78" s="735">
        <v>0</v>
      </c>
      <c r="L78" s="751">
        <v>0</v>
      </c>
    </row>
    <row r="79" spans="1:12" ht="21" x14ac:dyDescent="0.25">
      <c r="A79" s="561" t="s">
        <v>77</v>
      </c>
      <c r="B79" s="749">
        <v>2023</v>
      </c>
      <c r="C79" s="561" t="s">
        <v>701</v>
      </c>
      <c r="D79" s="561" t="s">
        <v>761</v>
      </c>
      <c r="E79" s="561" t="s">
        <v>704</v>
      </c>
      <c r="F79" s="735">
        <v>0</v>
      </c>
      <c r="G79" s="749">
        <v>0</v>
      </c>
      <c r="H79" s="749"/>
      <c r="I79" s="733"/>
      <c r="J79" s="733"/>
      <c r="K79" s="735">
        <v>0</v>
      </c>
      <c r="L79" s="751">
        <v>0</v>
      </c>
    </row>
    <row r="80" spans="1:12" ht="21" x14ac:dyDescent="0.25">
      <c r="A80" s="561" t="s">
        <v>77</v>
      </c>
      <c r="B80" s="749">
        <v>2023</v>
      </c>
      <c r="C80" s="561" t="s">
        <v>701</v>
      </c>
      <c r="D80" s="561" t="s">
        <v>761</v>
      </c>
      <c r="E80" s="561" t="s">
        <v>705</v>
      </c>
      <c r="F80" s="735">
        <v>0</v>
      </c>
      <c r="G80" s="749">
        <v>0</v>
      </c>
      <c r="H80" s="749"/>
      <c r="I80" s="733"/>
      <c r="J80" s="733"/>
      <c r="K80" s="735">
        <v>0</v>
      </c>
      <c r="L80" s="751">
        <v>-953.29</v>
      </c>
    </row>
    <row r="81" spans="1:12" ht="21" x14ac:dyDescent="0.25">
      <c r="A81" s="561" t="s">
        <v>77</v>
      </c>
      <c r="B81" s="749">
        <v>2023</v>
      </c>
      <c r="C81" s="561" t="s">
        <v>701</v>
      </c>
      <c r="D81" s="561" t="s">
        <v>761</v>
      </c>
      <c r="E81" s="561" t="s">
        <v>706</v>
      </c>
      <c r="F81" s="735">
        <v>0</v>
      </c>
      <c r="G81" s="749">
        <v>0</v>
      </c>
      <c r="H81" s="749"/>
      <c r="I81" s="733"/>
      <c r="J81" s="733"/>
      <c r="K81" s="735">
        <v>0</v>
      </c>
      <c r="L81" s="751">
        <v>-43592.35</v>
      </c>
    </row>
    <row r="82" spans="1:12" x14ac:dyDescent="0.25">
      <c r="A82" s="561" t="s">
        <v>77</v>
      </c>
      <c r="B82" s="749">
        <v>2023</v>
      </c>
      <c r="C82" s="561" t="s">
        <v>707</v>
      </c>
      <c r="D82" s="561" t="s">
        <v>762</v>
      </c>
      <c r="E82" s="561" t="s">
        <v>709</v>
      </c>
      <c r="F82" s="735">
        <v>0</v>
      </c>
      <c r="G82" s="749">
        <v>0</v>
      </c>
      <c r="H82" s="749"/>
      <c r="I82" s="733"/>
      <c r="J82" s="733"/>
      <c r="K82" s="735">
        <v>0</v>
      </c>
      <c r="L82" s="750">
        <v>0</v>
      </c>
    </row>
    <row r="83" spans="1:12" ht="21" x14ac:dyDescent="0.25">
      <c r="A83" s="561" t="s">
        <v>77</v>
      </c>
      <c r="B83" s="749">
        <v>2023</v>
      </c>
      <c r="C83" s="561" t="s">
        <v>710</v>
      </c>
      <c r="D83" s="561" t="s">
        <v>763</v>
      </c>
      <c r="E83" s="561" t="s">
        <v>2</v>
      </c>
      <c r="F83" s="735">
        <v>670464.12</v>
      </c>
      <c r="G83" s="749">
        <v>1</v>
      </c>
      <c r="H83" s="749"/>
      <c r="I83" s="735">
        <v>658200.22</v>
      </c>
      <c r="J83" s="735">
        <v>12263.9</v>
      </c>
      <c r="K83" s="735">
        <v>670464.12</v>
      </c>
      <c r="L83" s="750">
        <v>670464.12</v>
      </c>
    </row>
    <row r="84" spans="1:12" ht="21" x14ac:dyDescent="0.25">
      <c r="A84" s="561" t="s">
        <v>77</v>
      </c>
      <c r="B84" s="749">
        <v>2023</v>
      </c>
      <c r="C84" s="561" t="s">
        <v>712</v>
      </c>
      <c r="D84" s="561" t="s">
        <v>764</v>
      </c>
      <c r="E84" s="561" t="s">
        <v>3</v>
      </c>
      <c r="F84" s="735">
        <v>286994.53999999998</v>
      </c>
      <c r="G84" s="749">
        <v>1</v>
      </c>
      <c r="H84" s="749"/>
      <c r="I84" s="735">
        <v>282545.21000000002</v>
      </c>
      <c r="J84" s="735">
        <v>4449.33</v>
      </c>
      <c r="K84" s="735">
        <v>286994.53999999998</v>
      </c>
      <c r="L84" s="750">
        <v>286994.53999999998</v>
      </c>
    </row>
    <row r="85" spans="1:12" ht="21" x14ac:dyDescent="0.25">
      <c r="A85" s="561" t="s">
        <v>77</v>
      </c>
      <c r="B85" s="749">
        <v>2023</v>
      </c>
      <c r="C85" s="561" t="s">
        <v>714</v>
      </c>
      <c r="D85" s="561" t="s">
        <v>765</v>
      </c>
      <c r="E85" s="561" t="s">
        <v>38</v>
      </c>
      <c r="F85" s="735">
        <v>1012653.03</v>
      </c>
      <c r="G85" s="749">
        <v>1</v>
      </c>
      <c r="H85" s="749"/>
      <c r="I85" s="735">
        <v>988760.68</v>
      </c>
      <c r="J85" s="735">
        <v>23892.35</v>
      </c>
      <c r="K85" s="735">
        <v>1012653.03</v>
      </c>
      <c r="L85" s="750">
        <v>1012653.03</v>
      </c>
    </row>
    <row r="86" spans="1:12" x14ac:dyDescent="0.25">
      <c r="A86" s="561" t="s">
        <v>77</v>
      </c>
      <c r="B86" s="749">
        <v>2023</v>
      </c>
      <c r="C86" s="561" t="s">
        <v>716</v>
      </c>
      <c r="D86" s="561" t="s">
        <v>766</v>
      </c>
      <c r="E86" s="561" t="s">
        <v>66</v>
      </c>
      <c r="F86" s="735">
        <v>-530420.75</v>
      </c>
      <c r="G86" s="749">
        <v>1</v>
      </c>
      <c r="H86" s="749"/>
      <c r="I86" s="735">
        <v>-516385.58</v>
      </c>
      <c r="J86" s="735">
        <v>-14035.17</v>
      </c>
      <c r="K86" s="735">
        <v>-530420.75</v>
      </c>
      <c r="L86" s="750">
        <v>-530420.75</v>
      </c>
    </row>
    <row r="87" spans="1:12" x14ac:dyDescent="0.25">
      <c r="A87" s="561" t="s">
        <v>77</v>
      </c>
      <c r="B87" s="749">
        <v>2023</v>
      </c>
      <c r="C87" s="561" t="s">
        <v>718</v>
      </c>
      <c r="D87" s="561" t="s">
        <v>767</v>
      </c>
      <c r="E87" s="561" t="s">
        <v>768</v>
      </c>
      <c r="F87" s="735">
        <v>-282345.93</v>
      </c>
      <c r="G87" s="749">
        <v>0</v>
      </c>
      <c r="H87" s="749"/>
      <c r="I87" s="733"/>
      <c r="J87" s="733"/>
      <c r="K87" s="735">
        <v>0</v>
      </c>
      <c r="L87" s="750">
        <v>-282345.93</v>
      </c>
    </row>
    <row r="88" spans="1:12" ht="31.5" x14ac:dyDescent="0.25">
      <c r="A88" s="561" t="s">
        <v>77</v>
      </c>
      <c r="B88" s="749">
        <v>2023</v>
      </c>
      <c r="C88" s="561" t="s">
        <v>721</v>
      </c>
      <c r="D88" s="561" t="s">
        <v>770</v>
      </c>
      <c r="E88" s="561" t="s">
        <v>724</v>
      </c>
      <c r="F88" s="735">
        <v>0</v>
      </c>
      <c r="G88" s="749">
        <v>1</v>
      </c>
      <c r="H88" s="749"/>
      <c r="I88" s="733"/>
      <c r="J88" s="733"/>
      <c r="K88" s="735">
        <v>0</v>
      </c>
      <c r="L88" s="750">
        <v>0</v>
      </c>
    </row>
    <row r="89" spans="1:12" ht="31.5" x14ac:dyDescent="0.25">
      <c r="A89" s="561" t="s">
        <v>77</v>
      </c>
      <c r="B89" s="749">
        <v>2023</v>
      </c>
      <c r="C89" s="561" t="s">
        <v>721</v>
      </c>
      <c r="D89" s="561" t="s">
        <v>771</v>
      </c>
      <c r="E89" s="561" t="s">
        <v>55</v>
      </c>
      <c r="F89" s="735">
        <v>0</v>
      </c>
      <c r="G89" s="749">
        <v>1</v>
      </c>
      <c r="H89" s="749"/>
      <c r="I89" s="733"/>
      <c r="J89" s="733"/>
      <c r="K89" s="735">
        <v>0</v>
      </c>
      <c r="L89" s="750">
        <v>0</v>
      </c>
    </row>
    <row r="90" spans="1:12" ht="31.5" x14ac:dyDescent="0.25">
      <c r="A90" s="561" t="s">
        <v>77</v>
      </c>
      <c r="B90" s="749">
        <v>2023</v>
      </c>
      <c r="C90" s="561" t="s">
        <v>721</v>
      </c>
      <c r="D90" s="561" t="s">
        <v>772</v>
      </c>
      <c r="E90" s="561" t="s">
        <v>56</v>
      </c>
      <c r="F90" s="735">
        <v>0</v>
      </c>
      <c r="G90" s="749">
        <v>1</v>
      </c>
      <c r="H90" s="749"/>
      <c r="I90" s="735">
        <v>119358.46</v>
      </c>
      <c r="J90" s="735">
        <v>0</v>
      </c>
      <c r="K90" s="735">
        <v>119358.46</v>
      </c>
      <c r="L90" s="750">
        <v>119358.46</v>
      </c>
    </row>
    <row r="91" spans="1:12" ht="31.5" x14ac:dyDescent="0.25">
      <c r="A91" s="561" t="s">
        <v>77</v>
      </c>
      <c r="B91" s="749">
        <v>2023</v>
      </c>
      <c r="C91" s="561" t="s">
        <v>721</v>
      </c>
      <c r="D91" s="561" t="s">
        <v>773</v>
      </c>
      <c r="E91" s="561" t="s">
        <v>728</v>
      </c>
      <c r="F91" s="735">
        <v>0</v>
      </c>
      <c r="G91" s="749">
        <v>1</v>
      </c>
      <c r="H91" s="749"/>
      <c r="I91" s="733"/>
      <c r="J91" s="733"/>
      <c r="K91" s="735">
        <v>0</v>
      </c>
      <c r="L91" s="750">
        <v>0</v>
      </c>
    </row>
    <row r="92" spans="1:12" ht="31.5" x14ac:dyDescent="0.25">
      <c r="A92" s="561" t="s">
        <v>77</v>
      </c>
      <c r="B92" s="749">
        <v>2023</v>
      </c>
      <c r="C92" s="561" t="s">
        <v>721</v>
      </c>
      <c r="D92" s="561" t="s">
        <v>774</v>
      </c>
      <c r="E92" s="561" t="s">
        <v>730</v>
      </c>
      <c r="F92" s="735">
        <v>0</v>
      </c>
      <c r="G92" s="749">
        <v>1</v>
      </c>
      <c r="H92" s="749"/>
      <c r="I92" s="733"/>
      <c r="J92" s="733"/>
      <c r="K92" s="735">
        <v>0</v>
      </c>
      <c r="L92" s="750">
        <v>0</v>
      </c>
    </row>
    <row r="93" spans="1:12" ht="31.5" x14ac:dyDescent="0.25">
      <c r="A93" s="561" t="s">
        <v>77</v>
      </c>
      <c r="B93" s="749">
        <v>2023</v>
      </c>
      <c r="C93" s="561" t="s">
        <v>721</v>
      </c>
      <c r="D93" s="561" t="s">
        <v>775</v>
      </c>
      <c r="E93" s="561" t="s">
        <v>142</v>
      </c>
      <c r="F93" s="735">
        <v>0</v>
      </c>
      <c r="G93" s="749">
        <v>1</v>
      </c>
      <c r="H93" s="749"/>
      <c r="I93" s="733"/>
      <c r="J93" s="733"/>
      <c r="K93" s="735">
        <v>0</v>
      </c>
      <c r="L93" s="750">
        <v>0</v>
      </c>
    </row>
    <row r="94" spans="1:12" ht="31.5" x14ac:dyDescent="0.25">
      <c r="A94" s="561" t="s">
        <v>77</v>
      </c>
      <c r="B94" s="749">
        <v>2023</v>
      </c>
      <c r="C94" s="561" t="s">
        <v>721</v>
      </c>
      <c r="D94" s="561" t="s">
        <v>776</v>
      </c>
      <c r="E94" s="561" t="s">
        <v>143</v>
      </c>
      <c r="F94" s="735">
        <v>0</v>
      </c>
      <c r="G94" s="749">
        <v>1</v>
      </c>
      <c r="H94" s="749"/>
      <c r="I94" s="733"/>
      <c r="J94" s="733"/>
      <c r="K94" s="735">
        <v>0</v>
      </c>
      <c r="L94" s="750">
        <v>0</v>
      </c>
    </row>
    <row r="95" spans="1:12" ht="31.5" x14ac:dyDescent="0.25">
      <c r="A95" s="561" t="s">
        <v>77</v>
      </c>
      <c r="B95" s="749">
        <v>2023</v>
      </c>
      <c r="C95" s="561" t="s">
        <v>721</v>
      </c>
      <c r="D95" s="561" t="s">
        <v>777</v>
      </c>
      <c r="E95" s="561" t="s">
        <v>182</v>
      </c>
      <c r="F95" s="735">
        <v>0</v>
      </c>
      <c r="G95" s="749">
        <v>1</v>
      </c>
      <c r="H95" s="749"/>
      <c r="I95" s="733"/>
      <c r="J95" s="733"/>
      <c r="K95" s="735">
        <v>0</v>
      </c>
      <c r="L95" s="750">
        <v>0</v>
      </c>
    </row>
    <row r="96" spans="1:12" ht="31.5" x14ac:dyDescent="0.25">
      <c r="A96" s="561" t="s">
        <v>77</v>
      </c>
      <c r="B96" s="749">
        <v>2023</v>
      </c>
      <c r="C96" s="561" t="s">
        <v>721</v>
      </c>
      <c r="D96" s="561" t="s">
        <v>778</v>
      </c>
      <c r="E96" s="561" t="s">
        <v>394</v>
      </c>
      <c r="F96" s="735">
        <v>0</v>
      </c>
      <c r="G96" s="749">
        <v>1</v>
      </c>
      <c r="H96" s="749"/>
      <c r="I96" s="733"/>
      <c r="J96" s="733"/>
      <c r="K96" s="735">
        <v>0</v>
      </c>
      <c r="L96" s="750">
        <v>0</v>
      </c>
    </row>
    <row r="97" spans="1:12" ht="31.5" x14ac:dyDescent="0.25">
      <c r="A97" s="561" t="s">
        <v>77</v>
      </c>
      <c r="B97" s="749">
        <v>2023</v>
      </c>
      <c r="C97" s="561" t="s">
        <v>721</v>
      </c>
      <c r="D97" s="561" t="s">
        <v>779</v>
      </c>
      <c r="E97" s="561" t="s">
        <v>423</v>
      </c>
      <c r="F97" s="735">
        <v>0</v>
      </c>
      <c r="G97" s="749">
        <v>1</v>
      </c>
      <c r="H97" s="749"/>
      <c r="I97" s="733"/>
      <c r="J97" s="733"/>
      <c r="K97" s="735">
        <v>0</v>
      </c>
      <c r="L97" s="750">
        <v>0</v>
      </c>
    </row>
    <row r="98" spans="1:12" ht="31.5" x14ac:dyDescent="0.25">
      <c r="A98" s="561" t="s">
        <v>77</v>
      </c>
      <c r="B98" s="749">
        <v>2023</v>
      </c>
      <c r="C98" s="561" t="s">
        <v>721</v>
      </c>
      <c r="D98" s="561" t="s">
        <v>3073</v>
      </c>
      <c r="E98" s="561" t="s">
        <v>441</v>
      </c>
      <c r="F98" s="735">
        <v>0</v>
      </c>
      <c r="G98" s="749">
        <v>1</v>
      </c>
      <c r="H98" s="749"/>
      <c r="I98" s="733"/>
      <c r="J98" s="735">
        <v>58.31</v>
      </c>
      <c r="K98" s="735">
        <v>58.31</v>
      </c>
      <c r="L98" s="750">
        <v>58.31</v>
      </c>
    </row>
    <row r="99" spans="1:12" ht="31.5" x14ac:dyDescent="0.25">
      <c r="A99" s="561" t="s">
        <v>77</v>
      </c>
      <c r="B99" s="749">
        <v>2023</v>
      </c>
      <c r="C99" s="561" t="s">
        <v>721</v>
      </c>
      <c r="D99" s="561" t="s">
        <v>3465</v>
      </c>
      <c r="E99" s="561" t="s">
        <v>3016</v>
      </c>
      <c r="F99" s="735">
        <v>0</v>
      </c>
      <c r="G99" s="749">
        <v>1</v>
      </c>
      <c r="H99" s="749"/>
      <c r="I99" s="735">
        <v>45600.41</v>
      </c>
      <c r="J99" s="735">
        <v>2954.83</v>
      </c>
      <c r="K99" s="735">
        <v>48555.24</v>
      </c>
      <c r="L99" s="750">
        <v>48555.24</v>
      </c>
    </row>
    <row r="100" spans="1:12" ht="31.5" x14ac:dyDescent="0.25">
      <c r="A100" s="561" t="s">
        <v>77</v>
      </c>
      <c r="B100" s="749">
        <v>2023</v>
      </c>
      <c r="C100" s="561" t="s">
        <v>721</v>
      </c>
      <c r="D100" s="561" t="s">
        <v>3466</v>
      </c>
      <c r="E100" s="561" t="s">
        <v>3058</v>
      </c>
      <c r="F100" s="735">
        <v>0</v>
      </c>
      <c r="G100" s="749">
        <v>1</v>
      </c>
      <c r="H100" s="749"/>
      <c r="I100" s="735">
        <v>-212203.28</v>
      </c>
      <c r="J100" s="735">
        <v>188952.77</v>
      </c>
      <c r="K100" s="735">
        <v>-23250.51</v>
      </c>
      <c r="L100" s="750">
        <v>-23250.51</v>
      </c>
    </row>
    <row r="101" spans="1:12" ht="31.5" x14ac:dyDescent="0.25">
      <c r="A101" s="561" t="s">
        <v>77</v>
      </c>
      <c r="B101" s="749">
        <v>2023</v>
      </c>
      <c r="C101" s="561" t="s">
        <v>721</v>
      </c>
      <c r="D101" s="561" t="s">
        <v>3467</v>
      </c>
      <c r="E101" s="561" t="s">
        <v>3063</v>
      </c>
      <c r="F101" s="735">
        <v>0</v>
      </c>
      <c r="G101" s="749">
        <v>1</v>
      </c>
      <c r="H101" s="749"/>
      <c r="I101" s="735">
        <v>-41608.39</v>
      </c>
      <c r="J101" s="735">
        <v>-3172.68</v>
      </c>
      <c r="K101" s="735">
        <v>-44781.07</v>
      </c>
      <c r="L101" s="750">
        <v>-44781.07</v>
      </c>
    </row>
    <row r="102" spans="1:12" ht="31.5" x14ac:dyDescent="0.25">
      <c r="A102" s="561" t="s">
        <v>77</v>
      </c>
      <c r="B102" s="749">
        <v>2023</v>
      </c>
      <c r="C102" s="561" t="s">
        <v>721</v>
      </c>
      <c r="D102" s="561" t="s">
        <v>3694</v>
      </c>
      <c r="E102" s="561" t="s">
        <v>3425</v>
      </c>
      <c r="F102" s="735">
        <v>0</v>
      </c>
      <c r="G102" s="749">
        <v>1</v>
      </c>
      <c r="H102" s="749"/>
      <c r="I102" s="735">
        <v>-145312.1</v>
      </c>
      <c r="J102" s="735">
        <v>0</v>
      </c>
      <c r="K102" s="735">
        <v>-145312.1</v>
      </c>
      <c r="L102" s="750">
        <v>-145312.1</v>
      </c>
    </row>
    <row r="103" spans="1:12" ht="42" x14ac:dyDescent="0.25">
      <c r="A103" s="561" t="s">
        <v>77</v>
      </c>
      <c r="B103" s="749">
        <v>2023</v>
      </c>
      <c r="C103" s="561" t="s">
        <v>721</v>
      </c>
      <c r="D103" s="561" t="s">
        <v>3695</v>
      </c>
      <c r="E103" s="561" t="s">
        <v>737</v>
      </c>
      <c r="F103" s="735">
        <v>-45371.67</v>
      </c>
      <c r="G103" s="749">
        <v>0</v>
      </c>
      <c r="H103" s="749"/>
      <c r="I103" s="733"/>
      <c r="J103" s="733"/>
      <c r="K103" s="735">
        <v>0</v>
      </c>
      <c r="L103" s="750">
        <v>-45371.67</v>
      </c>
    </row>
    <row r="104" spans="1:12" x14ac:dyDescent="0.25">
      <c r="A104" s="561" t="s">
        <v>77</v>
      </c>
      <c r="B104" s="749">
        <v>2023</v>
      </c>
      <c r="C104" s="561" t="s">
        <v>738</v>
      </c>
      <c r="D104" s="561" t="s">
        <v>781</v>
      </c>
      <c r="E104" s="561" t="s">
        <v>7</v>
      </c>
      <c r="F104" s="735">
        <v>-375436.65</v>
      </c>
      <c r="G104" s="749">
        <v>0</v>
      </c>
      <c r="H104" s="749"/>
      <c r="I104" s="733"/>
      <c r="J104" s="733"/>
      <c r="K104" s="735">
        <v>0</v>
      </c>
      <c r="L104" s="750">
        <v>-375436.65</v>
      </c>
    </row>
    <row r="105" spans="1:12" x14ac:dyDescent="0.25">
      <c r="A105" s="561" t="s">
        <v>78</v>
      </c>
      <c r="B105" s="749">
        <v>2023</v>
      </c>
      <c r="C105" s="561" t="s">
        <v>647</v>
      </c>
      <c r="D105" s="561" t="s">
        <v>782</v>
      </c>
      <c r="E105" s="561" t="s">
        <v>649</v>
      </c>
      <c r="F105" s="735">
        <v>-119253.9</v>
      </c>
      <c r="G105" s="749">
        <v>0</v>
      </c>
      <c r="H105" s="749"/>
      <c r="I105" s="733"/>
      <c r="J105" s="733"/>
      <c r="K105" s="735">
        <v>0</v>
      </c>
      <c r="L105" s="750">
        <v>-119253.9</v>
      </c>
    </row>
    <row r="106" spans="1:12" ht="21" x14ac:dyDescent="0.25">
      <c r="A106" s="561" t="s">
        <v>78</v>
      </c>
      <c r="B106" s="749">
        <v>2023</v>
      </c>
      <c r="C106" s="561" t="s">
        <v>3691</v>
      </c>
      <c r="D106" s="561" t="s">
        <v>3623</v>
      </c>
      <c r="E106" s="561" t="s">
        <v>3675</v>
      </c>
      <c r="F106" s="735">
        <v>0</v>
      </c>
      <c r="G106" s="749">
        <v>0</v>
      </c>
      <c r="H106" s="749"/>
      <c r="I106" s="733"/>
      <c r="J106" s="733"/>
      <c r="K106" s="735">
        <v>0</v>
      </c>
      <c r="L106" s="750">
        <v>0</v>
      </c>
    </row>
    <row r="107" spans="1:12" x14ac:dyDescent="0.25">
      <c r="A107" s="561" t="s">
        <v>78</v>
      </c>
      <c r="B107" s="749">
        <v>2023</v>
      </c>
      <c r="C107" s="561" t="s">
        <v>651</v>
      </c>
      <c r="D107" s="561" t="s">
        <v>783</v>
      </c>
      <c r="E107" s="561" t="s">
        <v>653</v>
      </c>
      <c r="F107" s="735">
        <v>-14937.6</v>
      </c>
      <c r="G107" s="749">
        <v>0</v>
      </c>
      <c r="H107" s="749"/>
      <c r="I107" s="733"/>
      <c r="J107" s="733"/>
      <c r="K107" s="735">
        <v>0</v>
      </c>
      <c r="L107" s="750">
        <v>-14937.6</v>
      </c>
    </row>
    <row r="108" spans="1:12" ht="31.5" x14ac:dyDescent="0.25">
      <c r="A108" s="561" t="s">
        <v>78</v>
      </c>
      <c r="B108" s="749">
        <v>2023</v>
      </c>
      <c r="C108" s="561" t="s">
        <v>654</v>
      </c>
      <c r="D108" s="561" t="s">
        <v>784</v>
      </c>
      <c r="E108" s="561" t="s">
        <v>445</v>
      </c>
      <c r="F108" s="735">
        <v>0</v>
      </c>
      <c r="G108" s="749">
        <v>0</v>
      </c>
      <c r="H108" s="749"/>
      <c r="I108" s="733"/>
      <c r="J108" s="733"/>
      <c r="K108" s="735">
        <v>0</v>
      </c>
      <c r="L108" s="750">
        <v>0</v>
      </c>
    </row>
    <row r="109" spans="1:12" ht="21" x14ac:dyDescent="0.25">
      <c r="A109" s="561" t="s">
        <v>78</v>
      </c>
      <c r="B109" s="749">
        <v>2023</v>
      </c>
      <c r="C109" s="561" t="s">
        <v>656</v>
      </c>
      <c r="D109" s="561" t="s">
        <v>785</v>
      </c>
      <c r="E109" s="561" t="s">
        <v>658</v>
      </c>
      <c r="F109" s="735">
        <v>0</v>
      </c>
      <c r="G109" s="749">
        <v>0</v>
      </c>
      <c r="H109" s="749"/>
      <c r="I109" s="733"/>
      <c r="J109" s="733"/>
      <c r="K109" s="735">
        <v>0</v>
      </c>
      <c r="L109" s="750">
        <v>0</v>
      </c>
    </row>
    <row r="110" spans="1:12" ht="21" x14ac:dyDescent="0.25">
      <c r="A110" s="561" t="s">
        <v>78</v>
      </c>
      <c r="B110" s="749">
        <v>2023</v>
      </c>
      <c r="C110" s="561" t="s">
        <v>659</v>
      </c>
      <c r="D110" s="561" t="s">
        <v>786</v>
      </c>
      <c r="E110" s="561" t="s">
        <v>661</v>
      </c>
      <c r="F110" s="735">
        <v>0</v>
      </c>
      <c r="G110" s="749">
        <v>0</v>
      </c>
      <c r="H110" s="749"/>
      <c r="I110" s="733"/>
      <c r="J110" s="733"/>
      <c r="K110" s="735">
        <v>0</v>
      </c>
      <c r="L110" s="750">
        <v>0</v>
      </c>
    </row>
    <row r="111" spans="1:12" ht="21" x14ac:dyDescent="0.25">
      <c r="A111" s="561" t="s">
        <v>78</v>
      </c>
      <c r="B111" s="749">
        <v>2023</v>
      </c>
      <c r="C111" s="561" t="s">
        <v>662</v>
      </c>
      <c r="D111" s="561" t="s">
        <v>787</v>
      </c>
      <c r="E111" s="561" t="s">
        <v>664</v>
      </c>
      <c r="F111" s="735">
        <v>0</v>
      </c>
      <c r="G111" s="749">
        <v>0</v>
      </c>
      <c r="H111" s="749"/>
      <c r="I111" s="733"/>
      <c r="J111" s="733"/>
      <c r="K111" s="735">
        <v>0</v>
      </c>
      <c r="L111" s="750">
        <v>0</v>
      </c>
    </row>
    <row r="112" spans="1:12" ht="31.5" x14ac:dyDescent="0.25">
      <c r="A112" s="561" t="s">
        <v>78</v>
      </c>
      <c r="B112" s="749">
        <v>2023</v>
      </c>
      <c r="C112" s="561" t="s">
        <v>665</v>
      </c>
      <c r="D112" s="561" t="s">
        <v>788</v>
      </c>
      <c r="E112" s="561" t="s">
        <v>667</v>
      </c>
      <c r="F112" s="735">
        <v>0</v>
      </c>
      <c r="G112" s="749">
        <v>0</v>
      </c>
      <c r="H112" s="749"/>
      <c r="I112" s="733"/>
      <c r="J112" s="733"/>
      <c r="K112" s="735">
        <v>0</v>
      </c>
      <c r="L112" s="750">
        <v>0</v>
      </c>
    </row>
    <row r="113" spans="1:12" ht="21" x14ac:dyDescent="0.25">
      <c r="A113" s="561" t="s">
        <v>78</v>
      </c>
      <c r="B113" s="749">
        <v>2023</v>
      </c>
      <c r="C113" s="561" t="s">
        <v>668</v>
      </c>
      <c r="D113" s="561" t="s">
        <v>789</v>
      </c>
      <c r="E113" s="561" t="s">
        <v>12</v>
      </c>
      <c r="F113" s="735">
        <v>0</v>
      </c>
      <c r="G113" s="749">
        <v>0</v>
      </c>
      <c r="H113" s="749"/>
      <c r="I113" s="733"/>
      <c r="J113" s="733"/>
      <c r="K113" s="735">
        <v>0</v>
      </c>
      <c r="L113" s="750">
        <v>0</v>
      </c>
    </row>
    <row r="114" spans="1:12" ht="21" x14ac:dyDescent="0.25">
      <c r="A114" s="561" t="s">
        <v>78</v>
      </c>
      <c r="B114" s="749">
        <v>2023</v>
      </c>
      <c r="C114" s="561" t="s">
        <v>670</v>
      </c>
      <c r="D114" s="561" t="s">
        <v>790</v>
      </c>
      <c r="E114" s="561" t="s">
        <v>13</v>
      </c>
      <c r="F114" s="735">
        <v>0</v>
      </c>
      <c r="G114" s="749">
        <v>0</v>
      </c>
      <c r="H114" s="749"/>
      <c r="I114" s="733"/>
      <c r="J114" s="733"/>
      <c r="K114" s="735">
        <v>0</v>
      </c>
      <c r="L114" s="750">
        <v>0</v>
      </c>
    </row>
    <row r="115" spans="1:12" ht="21" x14ac:dyDescent="0.25">
      <c r="A115" s="561" t="s">
        <v>78</v>
      </c>
      <c r="B115" s="749">
        <v>2023</v>
      </c>
      <c r="C115" s="561" t="s">
        <v>672</v>
      </c>
      <c r="D115" s="561" t="s">
        <v>791</v>
      </c>
      <c r="E115" s="561" t="s">
        <v>15</v>
      </c>
      <c r="F115" s="735">
        <v>0</v>
      </c>
      <c r="G115" s="749">
        <v>0</v>
      </c>
      <c r="H115" s="749"/>
      <c r="I115" s="733"/>
      <c r="J115" s="733"/>
      <c r="K115" s="735">
        <v>0</v>
      </c>
      <c r="L115" s="750">
        <v>0</v>
      </c>
    </row>
    <row r="116" spans="1:12" x14ac:dyDescent="0.25">
      <c r="A116" s="561" t="s">
        <v>78</v>
      </c>
      <c r="B116" s="749">
        <v>2023</v>
      </c>
      <c r="C116" s="561" t="s">
        <v>674</v>
      </c>
      <c r="D116" s="561" t="s">
        <v>792</v>
      </c>
      <c r="E116" s="561" t="s">
        <v>676</v>
      </c>
      <c r="F116" s="735">
        <v>8601.59</v>
      </c>
      <c r="G116" s="749">
        <v>0</v>
      </c>
      <c r="H116" s="749"/>
      <c r="I116" s="733"/>
      <c r="J116" s="733"/>
      <c r="K116" s="735">
        <v>0</v>
      </c>
      <c r="L116" s="750">
        <v>8601.59</v>
      </c>
    </row>
    <row r="117" spans="1:12" x14ac:dyDescent="0.25">
      <c r="A117" s="561" t="s">
        <v>78</v>
      </c>
      <c r="B117" s="749">
        <v>2023</v>
      </c>
      <c r="C117" s="561" t="s">
        <v>677</v>
      </c>
      <c r="D117" s="561" t="s">
        <v>793</v>
      </c>
      <c r="E117" s="561" t="s">
        <v>23</v>
      </c>
      <c r="F117" s="735">
        <v>0</v>
      </c>
      <c r="G117" s="749">
        <v>1</v>
      </c>
      <c r="H117" s="749"/>
      <c r="I117" s="733"/>
      <c r="J117" s="733"/>
      <c r="K117" s="735">
        <v>0</v>
      </c>
      <c r="L117" s="750">
        <v>0</v>
      </c>
    </row>
    <row r="118" spans="1:12" ht="21" x14ac:dyDescent="0.25">
      <c r="A118" s="561" t="s">
        <v>78</v>
      </c>
      <c r="B118" s="749">
        <v>2023</v>
      </c>
      <c r="C118" s="561" t="s">
        <v>679</v>
      </c>
      <c r="D118" s="561" t="s">
        <v>794</v>
      </c>
      <c r="E118" s="561" t="s">
        <v>131</v>
      </c>
      <c r="F118" s="735">
        <v>-5115.4399999999996</v>
      </c>
      <c r="G118" s="749">
        <v>1</v>
      </c>
      <c r="H118" s="749"/>
      <c r="I118" s="735">
        <v>-5115.4399999999996</v>
      </c>
      <c r="J118" s="735">
        <v>0</v>
      </c>
      <c r="K118" s="735">
        <v>-5115.4399999999996</v>
      </c>
      <c r="L118" s="750">
        <v>-5115.4399999999996</v>
      </c>
    </row>
    <row r="119" spans="1:12" ht="31.5" x14ac:dyDescent="0.25">
      <c r="A119" s="561" t="s">
        <v>78</v>
      </c>
      <c r="B119" s="749">
        <v>2023</v>
      </c>
      <c r="C119" s="561" t="s">
        <v>681</v>
      </c>
      <c r="D119" s="561" t="s">
        <v>795</v>
      </c>
      <c r="E119" s="561" t="s">
        <v>683</v>
      </c>
      <c r="F119" s="735">
        <v>0</v>
      </c>
      <c r="G119" s="749">
        <v>0</v>
      </c>
      <c r="H119" s="749"/>
      <c r="I119" s="733"/>
      <c r="J119" s="733"/>
      <c r="K119" s="735">
        <v>0</v>
      </c>
      <c r="L119" s="750">
        <v>0</v>
      </c>
    </row>
    <row r="120" spans="1:12" ht="21" x14ac:dyDescent="0.25">
      <c r="A120" s="561" t="s">
        <v>78</v>
      </c>
      <c r="B120" s="749">
        <v>2023</v>
      </c>
      <c r="C120" s="561" t="s">
        <v>681</v>
      </c>
      <c r="D120" s="561" t="s">
        <v>795</v>
      </c>
      <c r="E120" s="561" t="s">
        <v>684</v>
      </c>
      <c r="F120" s="735">
        <v>0</v>
      </c>
      <c r="G120" s="749">
        <v>0</v>
      </c>
      <c r="H120" s="749"/>
      <c r="I120" s="733"/>
      <c r="J120" s="733"/>
      <c r="K120" s="735">
        <v>0</v>
      </c>
      <c r="L120" s="751">
        <v>0</v>
      </c>
    </row>
    <row r="121" spans="1:12" x14ac:dyDescent="0.25">
      <c r="A121" s="561" t="s">
        <v>78</v>
      </c>
      <c r="B121" s="749">
        <v>2023</v>
      </c>
      <c r="C121" s="561" t="s">
        <v>685</v>
      </c>
      <c r="D121" s="561" t="s">
        <v>796</v>
      </c>
      <c r="E121" s="561" t="s">
        <v>687</v>
      </c>
      <c r="F121" s="735">
        <v>0</v>
      </c>
      <c r="G121" s="749">
        <v>0</v>
      </c>
      <c r="H121" s="749"/>
      <c r="I121" s="733"/>
      <c r="J121" s="733"/>
      <c r="K121" s="735">
        <v>0</v>
      </c>
      <c r="L121" s="750">
        <v>0</v>
      </c>
    </row>
    <row r="122" spans="1:12" x14ac:dyDescent="0.25">
      <c r="A122" s="561" t="s">
        <v>78</v>
      </c>
      <c r="B122" s="749">
        <v>2023</v>
      </c>
      <c r="C122" s="561" t="s">
        <v>688</v>
      </c>
      <c r="D122" s="561" t="s">
        <v>797</v>
      </c>
      <c r="E122" s="561" t="s">
        <v>50</v>
      </c>
      <c r="F122" s="735">
        <v>0</v>
      </c>
      <c r="G122" s="749">
        <v>0</v>
      </c>
      <c r="H122" s="749"/>
      <c r="I122" s="733"/>
      <c r="J122" s="733"/>
      <c r="K122" s="735">
        <v>0</v>
      </c>
      <c r="L122" s="750">
        <v>0</v>
      </c>
    </row>
    <row r="123" spans="1:12" x14ac:dyDescent="0.25">
      <c r="A123" s="561" t="s">
        <v>78</v>
      </c>
      <c r="B123" s="749">
        <v>2023</v>
      </c>
      <c r="C123" s="561" t="s">
        <v>690</v>
      </c>
      <c r="D123" s="561" t="s">
        <v>798</v>
      </c>
      <c r="E123" s="561" t="s">
        <v>692</v>
      </c>
      <c r="F123" s="735">
        <v>0</v>
      </c>
      <c r="G123" s="749">
        <v>0</v>
      </c>
      <c r="H123" s="749"/>
      <c r="I123" s="733"/>
      <c r="J123" s="733"/>
      <c r="K123" s="735">
        <v>0</v>
      </c>
      <c r="L123" s="750">
        <v>0</v>
      </c>
    </row>
    <row r="124" spans="1:12" ht="21" x14ac:dyDescent="0.25">
      <c r="A124" s="561" t="s">
        <v>78</v>
      </c>
      <c r="B124" s="749">
        <v>2023</v>
      </c>
      <c r="C124" s="561" t="s">
        <v>693</v>
      </c>
      <c r="D124" s="561" t="s">
        <v>799</v>
      </c>
      <c r="E124" s="561" t="s">
        <v>6</v>
      </c>
      <c r="F124" s="735">
        <v>0</v>
      </c>
      <c r="G124" s="749">
        <v>0</v>
      </c>
      <c r="H124" s="749"/>
      <c r="I124" s="733"/>
      <c r="J124" s="733"/>
      <c r="K124" s="735">
        <v>0</v>
      </c>
      <c r="L124" s="750">
        <v>0</v>
      </c>
    </row>
    <row r="125" spans="1:12" ht="21" x14ac:dyDescent="0.25">
      <c r="A125" s="561" t="s">
        <v>78</v>
      </c>
      <c r="B125" s="749">
        <v>2023</v>
      </c>
      <c r="C125" s="561" t="s">
        <v>695</v>
      </c>
      <c r="D125" s="561" t="s">
        <v>800</v>
      </c>
      <c r="E125" s="561" t="s">
        <v>697</v>
      </c>
      <c r="F125" s="735">
        <v>0</v>
      </c>
      <c r="G125" s="749">
        <v>0</v>
      </c>
      <c r="H125" s="749"/>
      <c r="I125" s="733"/>
      <c r="J125" s="733"/>
      <c r="K125" s="735">
        <v>0</v>
      </c>
      <c r="L125" s="750">
        <v>0</v>
      </c>
    </row>
    <row r="126" spans="1:12" x14ac:dyDescent="0.25">
      <c r="A126" s="561" t="s">
        <v>78</v>
      </c>
      <c r="B126" s="749">
        <v>2023</v>
      </c>
      <c r="C126" s="561" t="s">
        <v>698</v>
      </c>
      <c r="D126" s="561" t="s">
        <v>801</v>
      </c>
      <c r="E126" s="561" t="s">
        <v>700</v>
      </c>
      <c r="F126" s="735">
        <v>0</v>
      </c>
      <c r="G126" s="749">
        <v>0</v>
      </c>
      <c r="H126" s="749"/>
      <c r="I126" s="733"/>
      <c r="J126" s="733"/>
      <c r="K126" s="735">
        <v>0</v>
      </c>
      <c r="L126" s="750">
        <v>0</v>
      </c>
    </row>
    <row r="127" spans="1:12" ht="21" x14ac:dyDescent="0.25">
      <c r="A127" s="561" t="s">
        <v>78</v>
      </c>
      <c r="B127" s="749">
        <v>2023</v>
      </c>
      <c r="C127" s="561" t="s">
        <v>701</v>
      </c>
      <c r="D127" s="561" t="s">
        <v>802</v>
      </c>
      <c r="E127" s="561" t="s">
        <v>1</v>
      </c>
      <c r="F127" s="735">
        <v>61553.02</v>
      </c>
      <c r="G127" s="749">
        <v>1</v>
      </c>
      <c r="H127" s="749"/>
      <c r="I127" s="735">
        <v>60876.14</v>
      </c>
      <c r="J127" s="735">
        <v>676.88</v>
      </c>
      <c r="K127" s="735">
        <v>61553.02</v>
      </c>
      <c r="L127" s="750">
        <v>61553.02</v>
      </c>
    </row>
    <row r="128" spans="1:12" ht="21" x14ac:dyDescent="0.25">
      <c r="A128" s="561" t="s">
        <v>78</v>
      </c>
      <c r="B128" s="749">
        <v>2023</v>
      </c>
      <c r="C128" s="561" t="s">
        <v>701</v>
      </c>
      <c r="D128" s="561" t="s">
        <v>802</v>
      </c>
      <c r="E128" s="561" t="s">
        <v>703</v>
      </c>
      <c r="F128" s="735">
        <v>0</v>
      </c>
      <c r="G128" s="749">
        <v>0</v>
      </c>
      <c r="H128" s="749"/>
      <c r="I128" s="733"/>
      <c r="J128" s="733"/>
      <c r="K128" s="735">
        <v>0</v>
      </c>
      <c r="L128" s="751">
        <v>0</v>
      </c>
    </row>
    <row r="129" spans="1:12" ht="21" x14ac:dyDescent="0.25">
      <c r="A129" s="561" t="s">
        <v>78</v>
      </c>
      <c r="B129" s="749">
        <v>2023</v>
      </c>
      <c r="C129" s="561" t="s">
        <v>701</v>
      </c>
      <c r="D129" s="561" t="s">
        <v>802</v>
      </c>
      <c r="E129" s="561" t="s">
        <v>704</v>
      </c>
      <c r="F129" s="735">
        <v>0</v>
      </c>
      <c r="G129" s="749">
        <v>0</v>
      </c>
      <c r="H129" s="749"/>
      <c r="I129" s="733"/>
      <c r="J129" s="733"/>
      <c r="K129" s="735">
        <v>0</v>
      </c>
      <c r="L129" s="751">
        <v>0</v>
      </c>
    </row>
    <row r="130" spans="1:12" ht="21" x14ac:dyDescent="0.25">
      <c r="A130" s="561" t="s">
        <v>78</v>
      </c>
      <c r="B130" s="749">
        <v>2023</v>
      </c>
      <c r="C130" s="561" t="s">
        <v>701</v>
      </c>
      <c r="D130" s="561" t="s">
        <v>802</v>
      </c>
      <c r="E130" s="561" t="s">
        <v>705</v>
      </c>
      <c r="F130" s="735">
        <v>0</v>
      </c>
      <c r="G130" s="749">
        <v>0</v>
      </c>
      <c r="H130" s="749"/>
      <c r="I130" s="733"/>
      <c r="J130" s="733"/>
      <c r="K130" s="735">
        <v>0</v>
      </c>
      <c r="L130" s="751">
        <v>0</v>
      </c>
    </row>
    <row r="131" spans="1:12" ht="21" x14ac:dyDescent="0.25">
      <c r="A131" s="561" t="s">
        <v>78</v>
      </c>
      <c r="B131" s="749">
        <v>2023</v>
      </c>
      <c r="C131" s="561" t="s">
        <v>701</v>
      </c>
      <c r="D131" s="561" t="s">
        <v>802</v>
      </c>
      <c r="E131" s="561" t="s">
        <v>706</v>
      </c>
      <c r="F131" s="735">
        <v>0</v>
      </c>
      <c r="G131" s="749">
        <v>0</v>
      </c>
      <c r="H131" s="749"/>
      <c r="I131" s="733"/>
      <c r="J131" s="733"/>
      <c r="K131" s="735">
        <v>0</v>
      </c>
      <c r="L131" s="751">
        <v>0</v>
      </c>
    </row>
    <row r="132" spans="1:12" x14ac:dyDescent="0.25">
      <c r="A132" s="561" t="s">
        <v>78</v>
      </c>
      <c r="B132" s="749">
        <v>2023</v>
      </c>
      <c r="C132" s="561" t="s">
        <v>707</v>
      </c>
      <c r="D132" s="561" t="s">
        <v>803</v>
      </c>
      <c r="E132" s="561" t="s">
        <v>709</v>
      </c>
      <c r="F132" s="735">
        <v>0</v>
      </c>
      <c r="G132" s="749">
        <v>0</v>
      </c>
      <c r="H132" s="749"/>
      <c r="I132" s="733"/>
      <c r="J132" s="733"/>
      <c r="K132" s="735">
        <v>0</v>
      </c>
      <c r="L132" s="750">
        <v>0</v>
      </c>
    </row>
    <row r="133" spans="1:12" ht="21" x14ac:dyDescent="0.25">
      <c r="A133" s="561" t="s">
        <v>78</v>
      </c>
      <c r="B133" s="749">
        <v>2023</v>
      </c>
      <c r="C133" s="561" t="s">
        <v>710</v>
      </c>
      <c r="D133" s="561" t="s">
        <v>804</v>
      </c>
      <c r="E133" s="561" t="s">
        <v>2</v>
      </c>
      <c r="F133" s="735">
        <v>88979.4</v>
      </c>
      <c r="G133" s="749">
        <v>1</v>
      </c>
      <c r="H133" s="749"/>
      <c r="I133" s="735">
        <v>87256.95</v>
      </c>
      <c r="J133" s="735">
        <v>1722.45</v>
      </c>
      <c r="K133" s="735">
        <v>88979.4</v>
      </c>
      <c r="L133" s="750">
        <v>88979.4</v>
      </c>
    </row>
    <row r="134" spans="1:12" ht="21" x14ac:dyDescent="0.25">
      <c r="A134" s="561" t="s">
        <v>78</v>
      </c>
      <c r="B134" s="749">
        <v>2023</v>
      </c>
      <c r="C134" s="561" t="s">
        <v>712</v>
      </c>
      <c r="D134" s="561" t="s">
        <v>805</v>
      </c>
      <c r="E134" s="561" t="s">
        <v>3</v>
      </c>
      <c r="F134" s="735">
        <v>30653.77</v>
      </c>
      <c r="G134" s="749">
        <v>1</v>
      </c>
      <c r="H134" s="749"/>
      <c r="I134" s="735">
        <v>29865.16</v>
      </c>
      <c r="J134" s="735">
        <v>788.61</v>
      </c>
      <c r="K134" s="735">
        <v>30653.77</v>
      </c>
      <c r="L134" s="750">
        <v>30653.77</v>
      </c>
    </row>
    <row r="135" spans="1:12" ht="21" x14ac:dyDescent="0.25">
      <c r="A135" s="561" t="s">
        <v>78</v>
      </c>
      <c r="B135" s="749">
        <v>2023</v>
      </c>
      <c r="C135" s="561" t="s">
        <v>714</v>
      </c>
      <c r="D135" s="561" t="s">
        <v>806</v>
      </c>
      <c r="E135" s="561" t="s">
        <v>38</v>
      </c>
      <c r="F135" s="735">
        <v>-205667.01</v>
      </c>
      <c r="G135" s="749">
        <v>1</v>
      </c>
      <c r="H135" s="749"/>
      <c r="I135" s="735">
        <v>-200596.1</v>
      </c>
      <c r="J135" s="735">
        <v>-5070.91</v>
      </c>
      <c r="K135" s="735">
        <v>-205667.01</v>
      </c>
      <c r="L135" s="750">
        <v>-205667.01</v>
      </c>
    </row>
    <row r="136" spans="1:12" x14ac:dyDescent="0.25">
      <c r="A136" s="561" t="s">
        <v>78</v>
      </c>
      <c r="B136" s="749">
        <v>2023</v>
      </c>
      <c r="C136" s="561" t="s">
        <v>716</v>
      </c>
      <c r="D136" s="561" t="s">
        <v>807</v>
      </c>
      <c r="E136" s="561" t="s">
        <v>66</v>
      </c>
      <c r="F136" s="735">
        <v>84820.82</v>
      </c>
      <c r="G136" s="749">
        <v>1</v>
      </c>
      <c r="H136" s="749"/>
      <c r="I136" s="735">
        <v>83009.570000000007</v>
      </c>
      <c r="J136" s="735">
        <v>1811.25</v>
      </c>
      <c r="K136" s="735">
        <v>84820.82</v>
      </c>
      <c r="L136" s="750">
        <v>84820.82</v>
      </c>
    </row>
    <row r="137" spans="1:12" ht="21" x14ac:dyDescent="0.25">
      <c r="A137" s="561" t="s">
        <v>78</v>
      </c>
      <c r="B137" s="749">
        <v>2023</v>
      </c>
      <c r="C137" s="561" t="s">
        <v>718</v>
      </c>
      <c r="D137" s="561" t="s">
        <v>808</v>
      </c>
      <c r="E137" s="561" t="s">
        <v>720</v>
      </c>
      <c r="F137" s="735">
        <v>-20478</v>
      </c>
      <c r="G137" s="749">
        <v>0</v>
      </c>
      <c r="H137" s="749"/>
      <c r="I137" s="733"/>
      <c r="J137" s="733"/>
      <c r="K137" s="735">
        <v>0</v>
      </c>
      <c r="L137" s="750">
        <v>-20478</v>
      </c>
    </row>
    <row r="138" spans="1:12" ht="31.5" x14ac:dyDescent="0.25">
      <c r="A138" s="561" t="s">
        <v>78</v>
      </c>
      <c r="B138" s="749">
        <v>2023</v>
      </c>
      <c r="C138" s="561" t="s">
        <v>721</v>
      </c>
      <c r="D138" s="561" t="s">
        <v>810</v>
      </c>
      <c r="E138" s="561" t="s">
        <v>724</v>
      </c>
      <c r="F138" s="735">
        <v>0</v>
      </c>
      <c r="G138" s="749">
        <v>1</v>
      </c>
      <c r="H138" s="749"/>
      <c r="I138" s="733"/>
      <c r="J138" s="733"/>
      <c r="K138" s="735">
        <v>0</v>
      </c>
      <c r="L138" s="750">
        <v>0</v>
      </c>
    </row>
    <row r="139" spans="1:12" ht="31.5" x14ac:dyDescent="0.25">
      <c r="A139" s="561" t="s">
        <v>78</v>
      </c>
      <c r="B139" s="749">
        <v>2023</v>
      </c>
      <c r="C139" s="561" t="s">
        <v>721</v>
      </c>
      <c r="D139" s="561" t="s">
        <v>811</v>
      </c>
      <c r="E139" s="561" t="s">
        <v>55</v>
      </c>
      <c r="F139" s="735">
        <v>0</v>
      </c>
      <c r="G139" s="749">
        <v>1</v>
      </c>
      <c r="H139" s="749"/>
      <c r="I139" s="733"/>
      <c r="J139" s="733"/>
      <c r="K139" s="735">
        <v>0</v>
      </c>
      <c r="L139" s="750">
        <v>0</v>
      </c>
    </row>
    <row r="140" spans="1:12" ht="31.5" x14ac:dyDescent="0.25">
      <c r="A140" s="561" t="s">
        <v>78</v>
      </c>
      <c r="B140" s="749">
        <v>2023</v>
      </c>
      <c r="C140" s="561" t="s">
        <v>721</v>
      </c>
      <c r="D140" s="561" t="s">
        <v>812</v>
      </c>
      <c r="E140" s="561" t="s">
        <v>56</v>
      </c>
      <c r="F140" s="735">
        <v>0</v>
      </c>
      <c r="G140" s="749">
        <v>1</v>
      </c>
      <c r="H140" s="749"/>
      <c r="I140" s="733"/>
      <c r="J140" s="733"/>
      <c r="K140" s="735">
        <v>0</v>
      </c>
      <c r="L140" s="750">
        <v>0</v>
      </c>
    </row>
    <row r="141" spans="1:12" ht="31.5" x14ac:dyDescent="0.25">
      <c r="A141" s="561" t="s">
        <v>78</v>
      </c>
      <c r="B141" s="749">
        <v>2023</v>
      </c>
      <c r="C141" s="561" t="s">
        <v>721</v>
      </c>
      <c r="D141" s="561" t="s">
        <v>813</v>
      </c>
      <c r="E141" s="561" t="s">
        <v>728</v>
      </c>
      <c r="F141" s="735">
        <v>0</v>
      </c>
      <c r="G141" s="749">
        <v>1</v>
      </c>
      <c r="H141" s="749"/>
      <c r="I141" s="733"/>
      <c r="J141" s="733"/>
      <c r="K141" s="735">
        <v>0</v>
      </c>
      <c r="L141" s="750">
        <v>0</v>
      </c>
    </row>
    <row r="142" spans="1:12" ht="31.5" x14ac:dyDescent="0.25">
      <c r="A142" s="561" t="s">
        <v>78</v>
      </c>
      <c r="B142" s="749">
        <v>2023</v>
      </c>
      <c r="C142" s="561" t="s">
        <v>721</v>
      </c>
      <c r="D142" s="561" t="s">
        <v>814</v>
      </c>
      <c r="E142" s="561" t="s">
        <v>730</v>
      </c>
      <c r="F142" s="735">
        <v>0</v>
      </c>
      <c r="G142" s="749">
        <v>1</v>
      </c>
      <c r="H142" s="749"/>
      <c r="I142" s="733"/>
      <c r="J142" s="733"/>
      <c r="K142" s="735">
        <v>0</v>
      </c>
      <c r="L142" s="750">
        <v>0</v>
      </c>
    </row>
    <row r="143" spans="1:12" ht="31.5" x14ac:dyDescent="0.25">
      <c r="A143" s="561" t="s">
        <v>78</v>
      </c>
      <c r="B143" s="749">
        <v>2023</v>
      </c>
      <c r="C143" s="561" t="s">
        <v>721</v>
      </c>
      <c r="D143" s="561" t="s">
        <v>815</v>
      </c>
      <c r="E143" s="561" t="s">
        <v>142</v>
      </c>
      <c r="F143" s="735">
        <v>0</v>
      </c>
      <c r="G143" s="749">
        <v>1</v>
      </c>
      <c r="H143" s="749"/>
      <c r="I143" s="733"/>
      <c r="J143" s="733"/>
      <c r="K143" s="735">
        <v>0</v>
      </c>
      <c r="L143" s="750">
        <v>0</v>
      </c>
    </row>
    <row r="144" spans="1:12" ht="31.5" x14ac:dyDescent="0.25">
      <c r="A144" s="561" t="s">
        <v>78</v>
      </c>
      <c r="B144" s="749">
        <v>2023</v>
      </c>
      <c r="C144" s="561" t="s">
        <v>721</v>
      </c>
      <c r="D144" s="561" t="s">
        <v>816</v>
      </c>
      <c r="E144" s="561" t="s">
        <v>143</v>
      </c>
      <c r="F144" s="735">
        <v>0</v>
      </c>
      <c r="G144" s="749">
        <v>1</v>
      </c>
      <c r="H144" s="749"/>
      <c r="I144" s="733"/>
      <c r="J144" s="733"/>
      <c r="K144" s="735">
        <v>0</v>
      </c>
      <c r="L144" s="750">
        <v>0</v>
      </c>
    </row>
    <row r="145" spans="1:12" ht="31.5" x14ac:dyDescent="0.25">
      <c r="A145" s="561" t="s">
        <v>78</v>
      </c>
      <c r="B145" s="749">
        <v>2023</v>
      </c>
      <c r="C145" s="561" t="s">
        <v>721</v>
      </c>
      <c r="D145" s="561" t="s">
        <v>817</v>
      </c>
      <c r="E145" s="561" t="s">
        <v>182</v>
      </c>
      <c r="F145" s="735">
        <v>0</v>
      </c>
      <c r="G145" s="749">
        <v>1</v>
      </c>
      <c r="H145" s="749"/>
      <c r="I145" s="733"/>
      <c r="J145" s="733"/>
      <c r="K145" s="735">
        <v>0</v>
      </c>
      <c r="L145" s="750">
        <v>0</v>
      </c>
    </row>
    <row r="146" spans="1:12" ht="31.5" x14ac:dyDescent="0.25">
      <c r="A146" s="561" t="s">
        <v>78</v>
      </c>
      <c r="B146" s="749">
        <v>2023</v>
      </c>
      <c r="C146" s="561" t="s">
        <v>721</v>
      </c>
      <c r="D146" s="561" t="s">
        <v>818</v>
      </c>
      <c r="E146" s="561" t="s">
        <v>394</v>
      </c>
      <c r="F146" s="735">
        <v>0</v>
      </c>
      <c r="G146" s="749">
        <v>1</v>
      </c>
      <c r="H146" s="749"/>
      <c r="I146" s="733"/>
      <c r="J146" s="733"/>
      <c r="K146" s="735">
        <v>0</v>
      </c>
      <c r="L146" s="750">
        <v>0</v>
      </c>
    </row>
    <row r="147" spans="1:12" ht="31.5" x14ac:dyDescent="0.25">
      <c r="A147" s="561" t="s">
        <v>78</v>
      </c>
      <c r="B147" s="749">
        <v>2023</v>
      </c>
      <c r="C147" s="561" t="s">
        <v>721</v>
      </c>
      <c r="D147" s="561" t="s">
        <v>819</v>
      </c>
      <c r="E147" s="561" t="s">
        <v>423</v>
      </c>
      <c r="F147" s="735">
        <v>0</v>
      </c>
      <c r="G147" s="749">
        <v>1</v>
      </c>
      <c r="H147" s="749"/>
      <c r="I147" s="733"/>
      <c r="J147" s="733"/>
      <c r="K147" s="735">
        <v>0</v>
      </c>
      <c r="L147" s="750">
        <v>0</v>
      </c>
    </row>
    <row r="148" spans="1:12" ht="31.5" x14ac:dyDescent="0.25">
      <c r="A148" s="561" t="s">
        <v>78</v>
      </c>
      <c r="B148" s="749">
        <v>2023</v>
      </c>
      <c r="C148" s="561" t="s">
        <v>721</v>
      </c>
      <c r="D148" s="561" t="s">
        <v>3074</v>
      </c>
      <c r="E148" s="561" t="s">
        <v>441</v>
      </c>
      <c r="F148" s="735">
        <v>0</v>
      </c>
      <c r="G148" s="749">
        <v>1</v>
      </c>
      <c r="H148" s="749"/>
      <c r="I148" s="735">
        <v>-4098.41</v>
      </c>
      <c r="J148" s="735">
        <v>-2308.81</v>
      </c>
      <c r="K148" s="735">
        <v>-6407.22</v>
      </c>
      <c r="L148" s="750">
        <v>-6407.22</v>
      </c>
    </row>
    <row r="149" spans="1:12" ht="31.5" x14ac:dyDescent="0.25">
      <c r="A149" s="561" t="s">
        <v>78</v>
      </c>
      <c r="B149" s="749">
        <v>2023</v>
      </c>
      <c r="C149" s="561" t="s">
        <v>721</v>
      </c>
      <c r="D149" s="561" t="s">
        <v>3468</v>
      </c>
      <c r="E149" s="561" t="s">
        <v>3016</v>
      </c>
      <c r="F149" s="735">
        <v>0</v>
      </c>
      <c r="G149" s="749">
        <v>1</v>
      </c>
      <c r="H149" s="749"/>
      <c r="I149" s="735">
        <v>77033.64</v>
      </c>
      <c r="J149" s="735">
        <v>-20971.11</v>
      </c>
      <c r="K149" s="735">
        <v>56062.53</v>
      </c>
      <c r="L149" s="750">
        <v>56062.53</v>
      </c>
    </row>
    <row r="150" spans="1:12" ht="31.5" x14ac:dyDescent="0.25">
      <c r="A150" s="561" t="s">
        <v>78</v>
      </c>
      <c r="B150" s="749">
        <v>2023</v>
      </c>
      <c r="C150" s="561" t="s">
        <v>721</v>
      </c>
      <c r="D150" s="561" t="s">
        <v>3469</v>
      </c>
      <c r="E150" s="561" t="s">
        <v>3058</v>
      </c>
      <c r="F150" s="735">
        <v>0</v>
      </c>
      <c r="G150" s="749">
        <v>1</v>
      </c>
      <c r="H150" s="749"/>
      <c r="I150" s="735">
        <v>-23932.45</v>
      </c>
      <c r="J150" s="735">
        <v>-3032.48</v>
      </c>
      <c r="K150" s="735">
        <v>-26964.93</v>
      </c>
      <c r="L150" s="750">
        <v>-26964.93</v>
      </c>
    </row>
    <row r="151" spans="1:12" ht="31.5" x14ac:dyDescent="0.25">
      <c r="A151" s="561" t="s">
        <v>78</v>
      </c>
      <c r="B151" s="749">
        <v>2023</v>
      </c>
      <c r="C151" s="561" t="s">
        <v>721</v>
      </c>
      <c r="D151" s="561" t="s">
        <v>3470</v>
      </c>
      <c r="E151" s="561" t="s">
        <v>3063</v>
      </c>
      <c r="F151" s="735">
        <v>0</v>
      </c>
      <c r="G151" s="749">
        <v>1</v>
      </c>
      <c r="H151" s="749"/>
      <c r="I151" s="735">
        <v>-7875.64</v>
      </c>
      <c r="J151" s="735">
        <v>4856.0600000000004</v>
      </c>
      <c r="K151" s="735">
        <v>-3019.58</v>
      </c>
      <c r="L151" s="750">
        <v>-3019.58</v>
      </c>
    </row>
    <row r="152" spans="1:12" ht="31.5" x14ac:dyDescent="0.25">
      <c r="A152" s="561" t="s">
        <v>78</v>
      </c>
      <c r="B152" s="749">
        <v>2023</v>
      </c>
      <c r="C152" s="561" t="s">
        <v>721</v>
      </c>
      <c r="D152" s="561" t="s">
        <v>3696</v>
      </c>
      <c r="E152" s="561" t="s">
        <v>3425</v>
      </c>
      <c r="F152" s="735">
        <v>0</v>
      </c>
      <c r="G152" s="749">
        <v>1</v>
      </c>
      <c r="H152" s="749"/>
      <c r="I152" s="735">
        <v>-268.10000000000002</v>
      </c>
      <c r="J152" s="735">
        <v>-17.899999999999999</v>
      </c>
      <c r="K152" s="735">
        <v>-286</v>
      </c>
      <c r="L152" s="750">
        <v>-286</v>
      </c>
    </row>
    <row r="153" spans="1:12" ht="42" x14ac:dyDescent="0.25">
      <c r="A153" s="561" t="s">
        <v>78</v>
      </c>
      <c r="B153" s="749">
        <v>2023</v>
      </c>
      <c r="C153" s="561" t="s">
        <v>721</v>
      </c>
      <c r="D153" s="561" t="s">
        <v>3697</v>
      </c>
      <c r="E153" s="561" t="s">
        <v>737</v>
      </c>
      <c r="F153" s="735">
        <v>19384.8</v>
      </c>
      <c r="G153" s="749">
        <v>0</v>
      </c>
      <c r="H153" s="749"/>
      <c r="I153" s="733"/>
      <c r="J153" s="733"/>
      <c r="K153" s="735">
        <v>0</v>
      </c>
      <c r="L153" s="750">
        <v>19384.8</v>
      </c>
    </row>
    <row r="154" spans="1:12" x14ac:dyDescent="0.25">
      <c r="A154" s="561" t="s">
        <v>78</v>
      </c>
      <c r="B154" s="749">
        <v>2023</v>
      </c>
      <c r="C154" s="561" t="s">
        <v>738</v>
      </c>
      <c r="D154" s="561" t="s">
        <v>821</v>
      </c>
      <c r="E154" s="561" t="s">
        <v>7</v>
      </c>
      <c r="F154" s="735">
        <v>0</v>
      </c>
      <c r="G154" s="749">
        <v>0</v>
      </c>
      <c r="H154" s="749"/>
      <c r="I154" s="733"/>
      <c r="J154" s="733"/>
      <c r="K154" s="735">
        <v>0</v>
      </c>
      <c r="L154" s="750">
        <v>0</v>
      </c>
    </row>
    <row r="155" spans="1:12" x14ac:dyDescent="0.25">
      <c r="A155" s="561" t="s">
        <v>79</v>
      </c>
      <c r="B155" s="749">
        <v>2023</v>
      </c>
      <c r="C155" s="561" t="s">
        <v>647</v>
      </c>
      <c r="D155" s="561" t="s">
        <v>822</v>
      </c>
      <c r="E155" s="561" t="s">
        <v>649</v>
      </c>
      <c r="F155" s="735">
        <v>-501970</v>
      </c>
      <c r="G155" s="749">
        <v>0</v>
      </c>
      <c r="H155" s="749"/>
      <c r="I155" s="733"/>
      <c r="J155" s="733"/>
      <c r="K155" s="735">
        <v>0</v>
      </c>
      <c r="L155" s="750">
        <v>-501970</v>
      </c>
    </row>
    <row r="156" spans="1:12" ht="21" x14ac:dyDescent="0.25">
      <c r="A156" s="561" t="s">
        <v>79</v>
      </c>
      <c r="B156" s="749">
        <v>2023</v>
      </c>
      <c r="C156" s="561" t="s">
        <v>3691</v>
      </c>
      <c r="D156" s="561" t="s">
        <v>3624</v>
      </c>
      <c r="E156" s="561" t="s">
        <v>3675</v>
      </c>
      <c r="F156" s="735">
        <v>0</v>
      </c>
      <c r="G156" s="749">
        <v>0</v>
      </c>
      <c r="H156" s="749"/>
      <c r="I156" s="733"/>
      <c r="J156" s="733"/>
      <c r="K156" s="735">
        <v>0</v>
      </c>
      <c r="L156" s="750">
        <v>0</v>
      </c>
    </row>
    <row r="157" spans="1:12" x14ac:dyDescent="0.25">
      <c r="A157" s="561" t="s">
        <v>79</v>
      </c>
      <c r="B157" s="749">
        <v>2023</v>
      </c>
      <c r="C157" s="561" t="s">
        <v>651</v>
      </c>
      <c r="D157" s="561" t="s">
        <v>823</v>
      </c>
      <c r="E157" s="561" t="s">
        <v>653</v>
      </c>
      <c r="F157" s="735">
        <v>0</v>
      </c>
      <c r="G157" s="749">
        <v>0</v>
      </c>
      <c r="H157" s="749"/>
      <c r="I157" s="733"/>
      <c r="J157" s="733"/>
      <c r="K157" s="735">
        <v>0</v>
      </c>
      <c r="L157" s="750">
        <v>0</v>
      </c>
    </row>
    <row r="158" spans="1:12" ht="31.5" x14ac:dyDescent="0.25">
      <c r="A158" s="561" t="s">
        <v>79</v>
      </c>
      <c r="B158" s="749">
        <v>2023</v>
      </c>
      <c r="C158" s="561" t="s">
        <v>654</v>
      </c>
      <c r="D158" s="561" t="s">
        <v>824</v>
      </c>
      <c r="E158" s="561" t="s">
        <v>445</v>
      </c>
      <c r="F158" s="735">
        <v>0</v>
      </c>
      <c r="G158" s="749">
        <v>0</v>
      </c>
      <c r="H158" s="749"/>
      <c r="I158" s="733"/>
      <c r="J158" s="733"/>
      <c r="K158" s="735">
        <v>0</v>
      </c>
      <c r="L158" s="750">
        <v>0</v>
      </c>
    </row>
    <row r="159" spans="1:12" ht="21" x14ac:dyDescent="0.25">
      <c r="A159" s="561" t="s">
        <v>79</v>
      </c>
      <c r="B159" s="749">
        <v>2023</v>
      </c>
      <c r="C159" s="561" t="s">
        <v>656</v>
      </c>
      <c r="D159" s="561" t="s">
        <v>825</v>
      </c>
      <c r="E159" s="561" t="s">
        <v>658</v>
      </c>
      <c r="F159" s="735">
        <v>0</v>
      </c>
      <c r="G159" s="749">
        <v>0</v>
      </c>
      <c r="H159" s="749"/>
      <c r="I159" s="733"/>
      <c r="J159" s="733"/>
      <c r="K159" s="735">
        <v>0</v>
      </c>
      <c r="L159" s="750">
        <v>0</v>
      </c>
    </row>
    <row r="160" spans="1:12" ht="21" x14ac:dyDescent="0.25">
      <c r="A160" s="561" t="s">
        <v>79</v>
      </c>
      <c r="B160" s="749">
        <v>2023</v>
      </c>
      <c r="C160" s="561" t="s">
        <v>659</v>
      </c>
      <c r="D160" s="561" t="s">
        <v>826</v>
      </c>
      <c r="E160" s="561" t="s">
        <v>661</v>
      </c>
      <c r="F160" s="735">
        <v>0</v>
      </c>
      <c r="G160" s="749">
        <v>0</v>
      </c>
      <c r="H160" s="749"/>
      <c r="I160" s="733"/>
      <c r="J160" s="733"/>
      <c r="K160" s="735">
        <v>0</v>
      </c>
      <c r="L160" s="750">
        <v>0</v>
      </c>
    </row>
    <row r="161" spans="1:12" ht="21" x14ac:dyDescent="0.25">
      <c r="A161" s="561" t="s">
        <v>79</v>
      </c>
      <c r="B161" s="749">
        <v>2023</v>
      </c>
      <c r="C161" s="561" t="s">
        <v>662</v>
      </c>
      <c r="D161" s="561" t="s">
        <v>827</v>
      </c>
      <c r="E161" s="561" t="s">
        <v>664</v>
      </c>
      <c r="F161" s="735">
        <v>0</v>
      </c>
      <c r="G161" s="749">
        <v>0</v>
      </c>
      <c r="H161" s="749"/>
      <c r="I161" s="733"/>
      <c r="J161" s="733"/>
      <c r="K161" s="735">
        <v>0</v>
      </c>
      <c r="L161" s="750">
        <v>0</v>
      </c>
    </row>
    <row r="162" spans="1:12" ht="31.5" x14ac:dyDescent="0.25">
      <c r="A162" s="561" t="s">
        <v>79</v>
      </c>
      <c r="B162" s="749">
        <v>2023</v>
      </c>
      <c r="C162" s="561" t="s">
        <v>665</v>
      </c>
      <c r="D162" s="561" t="s">
        <v>828</v>
      </c>
      <c r="E162" s="561" t="s">
        <v>667</v>
      </c>
      <c r="F162" s="735">
        <v>0</v>
      </c>
      <c r="G162" s="749">
        <v>0</v>
      </c>
      <c r="H162" s="749"/>
      <c r="I162" s="733"/>
      <c r="J162" s="733"/>
      <c r="K162" s="735">
        <v>0</v>
      </c>
      <c r="L162" s="750">
        <v>0</v>
      </c>
    </row>
    <row r="163" spans="1:12" ht="21" x14ac:dyDescent="0.25">
      <c r="A163" s="561" t="s">
        <v>79</v>
      </c>
      <c r="B163" s="749">
        <v>2023</v>
      </c>
      <c r="C163" s="561" t="s">
        <v>668</v>
      </c>
      <c r="D163" s="561" t="s">
        <v>829</v>
      </c>
      <c r="E163" s="561" t="s">
        <v>12</v>
      </c>
      <c r="F163" s="735">
        <v>184390</v>
      </c>
      <c r="G163" s="749">
        <v>0</v>
      </c>
      <c r="H163" s="749"/>
      <c r="I163" s="733"/>
      <c r="J163" s="733"/>
      <c r="K163" s="735">
        <v>0</v>
      </c>
      <c r="L163" s="750">
        <v>184390</v>
      </c>
    </row>
    <row r="164" spans="1:12" ht="21" x14ac:dyDescent="0.25">
      <c r="A164" s="561" t="s">
        <v>79</v>
      </c>
      <c r="B164" s="749">
        <v>2023</v>
      </c>
      <c r="C164" s="561" t="s">
        <v>670</v>
      </c>
      <c r="D164" s="561" t="s">
        <v>830</v>
      </c>
      <c r="E164" s="561" t="s">
        <v>13</v>
      </c>
      <c r="F164" s="735">
        <v>105671</v>
      </c>
      <c r="G164" s="749">
        <v>0</v>
      </c>
      <c r="H164" s="749"/>
      <c r="I164" s="733"/>
      <c r="J164" s="733"/>
      <c r="K164" s="735">
        <v>0</v>
      </c>
      <c r="L164" s="750">
        <v>105671</v>
      </c>
    </row>
    <row r="165" spans="1:12" ht="21" x14ac:dyDescent="0.25">
      <c r="A165" s="561" t="s">
        <v>79</v>
      </c>
      <c r="B165" s="749">
        <v>2023</v>
      </c>
      <c r="C165" s="561" t="s">
        <v>672</v>
      </c>
      <c r="D165" s="561" t="s">
        <v>831</v>
      </c>
      <c r="E165" s="561" t="s">
        <v>15</v>
      </c>
      <c r="F165" s="735">
        <v>0</v>
      </c>
      <c r="G165" s="749">
        <v>0</v>
      </c>
      <c r="H165" s="749"/>
      <c r="I165" s="733"/>
      <c r="J165" s="733"/>
      <c r="K165" s="735">
        <v>0</v>
      </c>
      <c r="L165" s="750">
        <v>0</v>
      </c>
    </row>
    <row r="166" spans="1:12" x14ac:dyDescent="0.25">
      <c r="A166" s="561" t="s">
        <v>79</v>
      </c>
      <c r="B166" s="749">
        <v>2023</v>
      </c>
      <c r="C166" s="561" t="s">
        <v>674</v>
      </c>
      <c r="D166" s="561" t="s">
        <v>832</v>
      </c>
      <c r="E166" s="561" t="s">
        <v>676</v>
      </c>
      <c r="F166" s="735">
        <v>0</v>
      </c>
      <c r="G166" s="749">
        <v>0</v>
      </c>
      <c r="H166" s="749"/>
      <c r="I166" s="733"/>
      <c r="J166" s="733"/>
      <c r="K166" s="735">
        <v>0</v>
      </c>
      <c r="L166" s="750">
        <v>0</v>
      </c>
    </row>
    <row r="167" spans="1:12" x14ac:dyDescent="0.25">
      <c r="A167" s="561" t="s">
        <v>79</v>
      </c>
      <c r="B167" s="749">
        <v>2023</v>
      </c>
      <c r="C167" s="561" t="s">
        <v>677</v>
      </c>
      <c r="D167" s="561" t="s">
        <v>833</v>
      </c>
      <c r="E167" s="561" t="s">
        <v>23</v>
      </c>
      <c r="F167" s="735">
        <v>347113</v>
      </c>
      <c r="G167" s="749">
        <v>1</v>
      </c>
      <c r="H167" s="749"/>
      <c r="I167" s="735">
        <v>341291</v>
      </c>
      <c r="J167" s="735">
        <v>5822</v>
      </c>
      <c r="K167" s="735">
        <v>347113</v>
      </c>
      <c r="L167" s="750">
        <v>347113</v>
      </c>
    </row>
    <row r="168" spans="1:12" ht="21" x14ac:dyDescent="0.25">
      <c r="A168" s="561" t="s">
        <v>79</v>
      </c>
      <c r="B168" s="749">
        <v>2023</v>
      </c>
      <c r="C168" s="561" t="s">
        <v>679</v>
      </c>
      <c r="D168" s="561" t="s">
        <v>834</v>
      </c>
      <c r="E168" s="561" t="s">
        <v>131</v>
      </c>
      <c r="F168" s="735">
        <v>-120713</v>
      </c>
      <c r="G168" s="749">
        <v>1</v>
      </c>
      <c r="H168" s="749"/>
      <c r="I168" s="735">
        <v>-119333</v>
      </c>
      <c r="J168" s="735">
        <v>-1380</v>
      </c>
      <c r="K168" s="735">
        <v>-120713</v>
      </c>
      <c r="L168" s="750">
        <v>-120713</v>
      </c>
    </row>
    <row r="169" spans="1:12" ht="31.5" x14ac:dyDescent="0.25">
      <c r="A169" s="561" t="s">
        <v>79</v>
      </c>
      <c r="B169" s="749">
        <v>2023</v>
      </c>
      <c r="C169" s="561" t="s">
        <v>681</v>
      </c>
      <c r="D169" s="561" t="s">
        <v>835</v>
      </c>
      <c r="E169" s="561" t="s">
        <v>683</v>
      </c>
      <c r="F169" s="735">
        <v>52519</v>
      </c>
      <c r="G169" s="749">
        <v>0</v>
      </c>
      <c r="H169" s="749"/>
      <c r="I169" s="733"/>
      <c r="J169" s="733"/>
      <c r="K169" s="735">
        <v>0</v>
      </c>
      <c r="L169" s="750">
        <v>52519</v>
      </c>
    </row>
    <row r="170" spans="1:12" ht="21" x14ac:dyDescent="0.25">
      <c r="A170" s="561" t="s">
        <v>79</v>
      </c>
      <c r="B170" s="749">
        <v>2023</v>
      </c>
      <c r="C170" s="561" t="s">
        <v>681</v>
      </c>
      <c r="D170" s="561" t="s">
        <v>835</v>
      </c>
      <c r="E170" s="561" t="s">
        <v>684</v>
      </c>
      <c r="F170" s="735">
        <v>0</v>
      </c>
      <c r="G170" s="749">
        <v>0</v>
      </c>
      <c r="H170" s="749"/>
      <c r="I170" s="733"/>
      <c r="J170" s="733"/>
      <c r="K170" s="735">
        <v>0</v>
      </c>
      <c r="L170" s="751">
        <v>52519</v>
      </c>
    </row>
    <row r="171" spans="1:12" x14ac:dyDescent="0.25">
      <c r="A171" s="561" t="s">
        <v>79</v>
      </c>
      <c r="B171" s="749">
        <v>2023</v>
      </c>
      <c r="C171" s="561" t="s">
        <v>685</v>
      </c>
      <c r="D171" s="561" t="s">
        <v>836</v>
      </c>
      <c r="E171" s="561" t="s">
        <v>687</v>
      </c>
      <c r="F171" s="735">
        <v>0</v>
      </c>
      <c r="G171" s="749">
        <v>0</v>
      </c>
      <c r="H171" s="749"/>
      <c r="I171" s="733"/>
      <c r="J171" s="733"/>
      <c r="K171" s="735">
        <v>0</v>
      </c>
      <c r="L171" s="750">
        <v>0</v>
      </c>
    </row>
    <row r="172" spans="1:12" x14ac:dyDescent="0.25">
      <c r="A172" s="561" t="s">
        <v>79</v>
      </c>
      <c r="B172" s="749">
        <v>2023</v>
      </c>
      <c r="C172" s="561" t="s">
        <v>688</v>
      </c>
      <c r="D172" s="561" t="s">
        <v>837</v>
      </c>
      <c r="E172" s="561" t="s">
        <v>50</v>
      </c>
      <c r="F172" s="735">
        <v>0</v>
      </c>
      <c r="G172" s="749">
        <v>0</v>
      </c>
      <c r="H172" s="749"/>
      <c r="I172" s="733"/>
      <c r="J172" s="733"/>
      <c r="K172" s="735">
        <v>0</v>
      </c>
      <c r="L172" s="750">
        <v>0</v>
      </c>
    </row>
    <row r="173" spans="1:12" x14ac:dyDescent="0.25">
      <c r="A173" s="561" t="s">
        <v>79</v>
      </c>
      <c r="B173" s="749">
        <v>2023</v>
      </c>
      <c r="C173" s="561" t="s">
        <v>690</v>
      </c>
      <c r="D173" s="561" t="s">
        <v>838</v>
      </c>
      <c r="E173" s="561" t="s">
        <v>692</v>
      </c>
      <c r="F173" s="735">
        <v>0</v>
      </c>
      <c r="G173" s="749">
        <v>0</v>
      </c>
      <c r="H173" s="749"/>
      <c r="I173" s="733"/>
      <c r="J173" s="733"/>
      <c r="K173" s="735">
        <v>0</v>
      </c>
      <c r="L173" s="750">
        <v>0</v>
      </c>
    </row>
    <row r="174" spans="1:12" ht="21" x14ac:dyDescent="0.25">
      <c r="A174" s="561" t="s">
        <v>79</v>
      </c>
      <c r="B174" s="749">
        <v>2023</v>
      </c>
      <c r="C174" s="561" t="s">
        <v>693</v>
      </c>
      <c r="D174" s="561" t="s">
        <v>839</v>
      </c>
      <c r="E174" s="561" t="s">
        <v>6</v>
      </c>
      <c r="F174" s="735">
        <v>0</v>
      </c>
      <c r="G174" s="749">
        <v>0</v>
      </c>
      <c r="H174" s="749"/>
      <c r="I174" s="733"/>
      <c r="J174" s="733"/>
      <c r="K174" s="735">
        <v>0</v>
      </c>
      <c r="L174" s="750">
        <v>0</v>
      </c>
    </row>
    <row r="175" spans="1:12" ht="21" x14ac:dyDescent="0.25">
      <c r="A175" s="561" t="s">
        <v>79</v>
      </c>
      <c r="B175" s="749">
        <v>2023</v>
      </c>
      <c r="C175" s="561" t="s">
        <v>695</v>
      </c>
      <c r="D175" s="561" t="s">
        <v>840</v>
      </c>
      <c r="E175" s="561" t="s">
        <v>697</v>
      </c>
      <c r="F175" s="735">
        <v>0</v>
      </c>
      <c r="G175" s="749">
        <v>0</v>
      </c>
      <c r="H175" s="749"/>
      <c r="I175" s="733"/>
      <c r="J175" s="733"/>
      <c r="K175" s="735">
        <v>0</v>
      </c>
      <c r="L175" s="750">
        <v>0</v>
      </c>
    </row>
    <row r="176" spans="1:12" x14ac:dyDescent="0.25">
      <c r="A176" s="561" t="s">
        <v>79</v>
      </c>
      <c r="B176" s="749">
        <v>2023</v>
      </c>
      <c r="C176" s="561" t="s">
        <v>698</v>
      </c>
      <c r="D176" s="561" t="s">
        <v>841</v>
      </c>
      <c r="E176" s="561" t="s">
        <v>700</v>
      </c>
      <c r="F176" s="735">
        <v>0</v>
      </c>
      <c r="G176" s="749">
        <v>0</v>
      </c>
      <c r="H176" s="749"/>
      <c r="I176" s="733"/>
      <c r="J176" s="733"/>
      <c r="K176" s="735">
        <v>0</v>
      </c>
      <c r="L176" s="750">
        <v>0</v>
      </c>
    </row>
    <row r="177" spans="1:12" ht="21" x14ac:dyDescent="0.25">
      <c r="A177" s="561" t="s">
        <v>79</v>
      </c>
      <c r="B177" s="749">
        <v>2023</v>
      </c>
      <c r="C177" s="561" t="s">
        <v>701</v>
      </c>
      <c r="D177" s="561" t="s">
        <v>842</v>
      </c>
      <c r="E177" s="561" t="s">
        <v>1</v>
      </c>
      <c r="F177" s="735">
        <v>1190471</v>
      </c>
      <c r="G177" s="749">
        <v>1</v>
      </c>
      <c r="H177" s="749"/>
      <c r="I177" s="735">
        <v>1174110</v>
      </c>
      <c r="J177" s="735">
        <v>16361</v>
      </c>
      <c r="K177" s="735">
        <v>1190471</v>
      </c>
      <c r="L177" s="750">
        <v>1190471</v>
      </c>
    </row>
    <row r="178" spans="1:12" ht="21" x14ac:dyDescent="0.25">
      <c r="A178" s="561" t="s">
        <v>79</v>
      </c>
      <c r="B178" s="749">
        <v>2023</v>
      </c>
      <c r="C178" s="561" t="s">
        <v>701</v>
      </c>
      <c r="D178" s="561" t="s">
        <v>842</v>
      </c>
      <c r="E178" s="561" t="s">
        <v>703</v>
      </c>
      <c r="F178" s="735">
        <v>0</v>
      </c>
      <c r="G178" s="749">
        <v>0</v>
      </c>
      <c r="H178" s="749"/>
      <c r="I178" s="733"/>
      <c r="J178" s="733"/>
      <c r="K178" s="735">
        <v>0</v>
      </c>
      <c r="L178" s="751">
        <v>0</v>
      </c>
    </row>
    <row r="179" spans="1:12" ht="21" x14ac:dyDescent="0.25">
      <c r="A179" s="561" t="s">
        <v>79</v>
      </c>
      <c r="B179" s="749">
        <v>2023</v>
      </c>
      <c r="C179" s="561" t="s">
        <v>701</v>
      </c>
      <c r="D179" s="561" t="s">
        <v>842</v>
      </c>
      <c r="E179" s="561" t="s">
        <v>704</v>
      </c>
      <c r="F179" s="735">
        <v>0</v>
      </c>
      <c r="G179" s="749">
        <v>0</v>
      </c>
      <c r="H179" s="749"/>
      <c r="I179" s="733"/>
      <c r="J179" s="733"/>
      <c r="K179" s="735">
        <v>0</v>
      </c>
      <c r="L179" s="751">
        <v>0</v>
      </c>
    </row>
    <row r="180" spans="1:12" ht="21" x14ac:dyDescent="0.25">
      <c r="A180" s="561" t="s">
        <v>79</v>
      </c>
      <c r="B180" s="749">
        <v>2023</v>
      </c>
      <c r="C180" s="561" t="s">
        <v>701</v>
      </c>
      <c r="D180" s="561" t="s">
        <v>842</v>
      </c>
      <c r="E180" s="561" t="s">
        <v>705</v>
      </c>
      <c r="F180" s="735">
        <v>0</v>
      </c>
      <c r="G180" s="749">
        <v>0</v>
      </c>
      <c r="H180" s="749"/>
      <c r="I180" s="733"/>
      <c r="J180" s="733"/>
      <c r="K180" s="735">
        <v>0</v>
      </c>
      <c r="L180" s="751">
        <v>-3392</v>
      </c>
    </row>
    <row r="181" spans="1:12" ht="21" x14ac:dyDescent="0.25">
      <c r="A181" s="561" t="s">
        <v>79</v>
      </c>
      <c r="B181" s="749">
        <v>2023</v>
      </c>
      <c r="C181" s="561" t="s">
        <v>701</v>
      </c>
      <c r="D181" s="561" t="s">
        <v>842</v>
      </c>
      <c r="E181" s="561" t="s">
        <v>706</v>
      </c>
      <c r="F181" s="735">
        <v>0</v>
      </c>
      <c r="G181" s="749">
        <v>0</v>
      </c>
      <c r="H181" s="749"/>
      <c r="I181" s="733"/>
      <c r="J181" s="733"/>
      <c r="K181" s="735">
        <v>0</v>
      </c>
      <c r="L181" s="751">
        <v>-169684</v>
      </c>
    </row>
    <row r="182" spans="1:12" x14ac:dyDescent="0.25">
      <c r="A182" s="561" t="s">
        <v>79</v>
      </c>
      <c r="B182" s="749">
        <v>2023</v>
      </c>
      <c r="C182" s="561" t="s">
        <v>707</v>
      </c>
      <c r="D182" s="561" t="s">
        <v>843</v>
      </c>
      <c r="E182" s="561" t="s">
        <v>709</v>
      </c>
      <c r="F182" s="735">
        <v>0</v>
      </c>
      <c r="G182" s="749">
        <v>0</v>
      </c>
      <c r="H182" s="749"/>
      <c r="I182" s="733"/>
      <c r="J182" s="733"/>
      <c r="K182" s="735">
        <v>0</v>
      </c>
      <c r="L182" s="750">
        <v>0</v>
      </c>
    </row>
    <row r="183" spans="1:12" ht="21" x14ac:dyDescent="0.25">
      <c r="A183" s="561" t="s">
        <v>79</v>
      </c>
      <c r="B183" s="749">
        <v>2023</v>
      </c>
      <c r="C183" s="561" t="s">
        <v>710</v>
      </c>
      <c r="D183" s="561" t="s">
        <v>844</v>
      </c>
      <c r="E183" s="561" t="s">
        <v>2</v>
      </c>
      <c r="F183" s="735">
        <v>841811</v>
      </c>
      <c r="G183" s="749">
        <v>1</v>
      </c>
      <c r="H183" s="749"/>
      <c r="I183" s="735">
        <v>826183</v>
      </c>
      <c r="J183" s="735">
        <v>15628</v>
      </c>
      <c r="K183" s="735">
        <v>841811</v>
      </c>
      <c r="L183" s="750">
        <v>841811</v>
      </c>
    </row>
    <row r="184" spans="1:12" ht="21" x14ac:dyDescent="0.25">
      <c r="A184" s="561" t="s">
        <v>79</v>
      </c>
      <c r="B184" s="749">
        <v>2023</v>
      </c>
      <c r="C184" s="561" t="s">
        <v>712</v>
      </c>
      <c r="D184" s="561" t="s">
        <v>845</v>
      </c>
      <c r="E184" s="561" t="s">
        <v>3</v>
      </c>
      <c r="F184" s="735">
        <v>156484</v>
      </c>
      <c r="G184" s="749">
        <v>1</v>
      </c>
      <c r="H184" s="749"/>
      <c r="I184" s="735">
        <v>153142</v>
      </c>
      <c r="J184" s="735">
        <v>3342</v>
      </c>
      <c r="K184" s="735">
        <v>156484</v>
      </c>
      <c r="L184" s="750">
        <v>156484</v>
      </c>
    </row>
    <row r="185" spans="1:12" ht="21" x14ac:dyDescent="0.25">
      <c r="A185" s="561" t="s">
        <v>79</v>
      </c>
      <c r="B185" s="749">
        <v>2023</v>
      </c>
      <c r="C185" s="561" t="s">
        <v>714</v>
      </c>
      <c r="D185" s="561" t="s">
        <v>846</v>
      </c>
      <c r="E185" s="561" t="s">
        <v>38</v>
      </c>
      <c r="F185" s="735">
        <v>391249</v>
      </c>
      <c r="G185" s="749">
        <v>1</v>
      </c>
      <c r="H185" s="749"/>
      <c r="I185" s="735">
        <v>387949</v>
      </c>
      <c r="J185" s="735">
        <v>3300</v>
      </c>
      <c r="K185" s="735">
        <v>391249</v>
      </c>
      <c r="L185" s="750">
        <v>391249</v>
      </c>
    </row>
    <row r="186" spans="1:12" x14ac:dyDescent="0.25">
      <c r="A186" s="561" t="s">
        <v>79</v>
      </c>
      <c r="B186" s="749">
        <v>2023</v>
      </c>
      <c r="C186" s="561" t="s">
        <v>716</v>
      </c>
      <c r="D186" s="561" t="s">
        <v>847</v>
      </c>
      <c r="E186" s="561" t="s">
        <v>66</v>
      </c>
      <c r="F186" s="735">
        <v>-2726</v>
      </c>
      <c r="G186" s="749">
        <v>1</v>
      </c>
      <c r="H186" s="749"/>
      <c r="I186" s="735">
        <v>-4370</v>
      </c>
      <c r="J186" s="735">
        <v>1644</v>
      </c>
      <c r="K186" s="735">
        <v>-2726</v>
      </c>
      <c r="L186" s="750">
        <v>-2726</v>
      </c>
    </row>
    <row r="187" spans="1:12" ht="21" x14ac:dyDescent="0.25">
      <c r="A187" s="561" t="s">
        <v>79</v>
      </c>
      <c r="B187" s="749">
        <v>2023</v>
      </c>
      <c r="C187" s="561" t="s">
        <v>718</v>
      </c>
      <c r="D187" s="561" t="s">
        <v>848</v>
      </c>
      <c r="E187" s="561" t="s">
        <v>720</v>
      </c>
      <c r="F187" s="735">
        <v>-1450405</v>
      </c>
      <c r="G187" s="749">
        <v>0</v>
      </c>
      <c r="H187" s="749"/>
      <c r="I187" s="733"/>
      <c r="J187" s="733"/>
      <c r="K187" s="735">
        <v>0</v>
      </c>
      <c r="L187" s="750">
        <v>-1450405</v>
      </c>
    </row>
    <row r="188" spans="1:12" ht="31.5" x14ac:dyDescent="0.25">
      <c r="A188" s="561" t="s">
        <v>79</v>
      </c>
      <c r="B188" s="749">
        <v>2023</v>
      </c>
      <c r="C188" s="561" t="s">
        <v>721</v>
      </c>
      <c r="D188" s="561" t="s">
        <v>850</v>
      </c>
      <c r="E188" s="561" t="s">
        <v>724</v>
      </c>
      <c r="F188" s="735">
        <v>0</v>
      </c>
      <c r="G188" s="749">
        <v>1</v>
      </c>
      <c r="H188" s="749"/>
      <c r="I188" s="733"/>
      <c r="J188" s="733"/>
      <c r="K188" s="735">
        <v>0</v>
      </c>
      <c r="L188" s="750">
        <v>0</v>
      </c>
    </row>
    <row r="189" spans="1:12" ht="31.5" x14ac:dyDescent="0.25">
      <c r="A189" s="561" t="s">
        <v>79</v>
      </c>
      <c r="B189" s="749">
        <v>2023</v>
      </c>
      <c r="C189" s="561" t="s">
        <v>721</v>
      </c>
      <c r="D189" s="561" t="s">
        <v>851</v>
      </c>
      <c r="E189" s="561" t="s">
        <v>55</v>
      </c>
      <c r="F189" s="735">
        <v>0</v>
      </c>
      <c r="G189" s="749">
        <v>1</v>
      </c>
      <c r="H189" s="749"/>
      <c r="I189" s="733"/>
      <c r="J189" s="733"/>
      <c r="K189" s="735">
        <v>0</v>
      </c>
      <c r="L189" s="750">
        <v>0</v>
      </c>
    </row>
    <row r="190" spans="1:12" ht="31.5" x14ac:dyDescent="0.25">
      <c r="A190" s="561" t="s">
        <v>79</v>
      </c>
      <c r="B190" s="749">
        <v>2023</v>
      </c>
      <c r="C190" s="561" t="s">
        <v>721</v>
      </c>
      <c r="D190" s="561" t="s">
        <v>852</v>
      </c>
      <c r="E190" s="561" t="s">
        <v>56</v>
      </c>
      <c r="F190" s="735">
        <v>0</v>
      </c>
      <c r="G190" s="749">
        <v>1</v>
      </c>
      <c r="H190" s="749"/>
      <c r="I190" s="733"/>
      <c r="J190" s="733"/>
      <c r="K190" s="735">
        <v>0</v>
      </c>
      <c r="L190" s="750">
        <v>0</v>
      </c>
    </row>
    <row r="191" spans="1:12" ht="31.5" x14ac:dyDescent="0.25">
      <c r="A191" s="561" t="s">
        <v>79</v>
      </c>
      <c r="B191" s="749">
        <v>2023</v>
      </c>
      <c r="C191" s="561" t="s">
        <v>721</v>
      </c>
      <c r="D191" s="561" t="s">
        <v>853</v>
      </c>
      <c r="E191" s="561" t="s">
        <v>728</v>
      </c>
      <c r="F191" s="735">
        <v>0</v>
      </c>
      <c r="G191" s="749">
        <v>1</v>
      </c>
      <c r="H191" s="749"/>
      <c r="I191" s="733"/>
      <c r="J191" s="733"/>
      <c r="K191" s="735">
        <v>0</v>
      </c>
      <c r="L191" s="750">
        <v>0</v>
      </c>
    </row>
    <row r="192" spans="1:12" ht="31.5" x14ac:dyDescent="0.25">
      <c r="A192" s="561" t="s">
        <v>79</v>
      </c>
      <c r="B192" s="749">
        <v>2023</v>
      </c>
      <c r="C192" s="561" t="s">
        <v>721</v>
      </c>
      <c r="D192" s="561" t="s">
        <v>854</v>
      </c>
      <c r="E192" s="561" t="s">
        <v>730</v>
      </c>
      <c r="F192" s="735">
        <v>0</v>
      </c>
      <c r="G192" s="749">
        <v>1</v>
      </c>
      <c r="H192" s="749"/>
      <c r="I192" s="733"/>
      <c r="J192" s="733"/>
      <c r="K192" s="735">
        <v>0</v>
      </c>
      <c r="L192" s="750">
        <v>0</v>
      </c>
    </row>
    <row r="193" spans="1:12" ht="31.5" x14ac:dyDescent="0.25">
      <c r="A193" s="561" t="s">
        <v>79</v>
      </c>
      <c r="B193" s="749">
        <v>2023</v>
      </c>
      <c r="C193" s="561" t="s">
        <v>721</v>
      </c>
      <c r="D193" s="561" t="s">
        <v>855</v>
      </c>
      <c r="E193" s="561" t="s">
        <v>142</v>
      </c>
      <c r="F193" s="735">
        <v>0</v>
      </c>
      <c r="G193" s="749">
        <v>1</v>
      </c>
      <c r="H193" s="749"/>
      <c r="I193" s="733"/>
      <c r="J193" s="733"/>
      <c r="K193" s="735">
        <v>0</v>
      </c>
      <c r="L193" s="750">
        <v>0</v>
      </c>
    </row>
    <row r="194" spans="1:12" ht="31.5" x14ac:dyDescent="0.25">
      <c r="A194" s="561" t="s">
        <v>79</v>
      </c>
      <c r="B194" s="749">
        <v>2023</v>
      </c>
      <c r="C194" s="561" t="s">
        <v>721</v>
      </c>
      <c r="D194" s="561" t="s">
        <v>856</v>
      </c>
      <c r="E194" s="561" t="s">
        <v>143</v>
      </c>
      <c r="F194" s="735">
        <v>0</v>
      </c>
      <c r="G194" s="749">
        <v>1</v>
      </c>
      <c r="H194" s="749"/>
      <c r="I194" s="733"/>
      <c r="J194" s="733"/>
      <c r="K194" s="735">
        <v>0</v>
      </c>
      <c r="L194" s="750">
        <v>0</v>
      </c>
    </row>
    <row r="195" spans="1:12" ht="31.5" x14ac:dyDescent="0.25">
      <c r="A195" s="561" t="s">
        <v>79</v>
      </c>
      <c r="B195" s="749">
        <v>2023</v>
      </c>
      <c r="C195" s="561" t="s">
        <v>721</v>
      </c>
      <c r="D195" s="561" t="s">
        <v>857</v>
      </c>
      <c r="E195" s="561" t="s">
        <v>182</v>
      </c>
      <c r="F195" s="735">
        <v>0</v>
      </c>
      <c r="G195" s="749">
        <v>1</v>
      </c>
      <c r="H195" s="749"/>
      <c r="I195" s="733"/>
      <c r="J195" s="733"/>
      <c r="K195" s="735">
        <v>0</v>
      </c>
      <c r="L195" s="750">
        <v>0</v>
      </c>
    </row>
    <row r="196" spans="1:12" ht="31.5" x14ac:dyDescent="0.25">
      <c r="A196" s="561" t="s">
        <v>79</v>
      </c>
      <c r="B196" s="749">
        <v>2023</v>
      </c>
      <c r="C196" s="561" t="s">
        <v>721</v>
      </c>
      <c r="D196" s="561" t="s">
        <v>858</v>
      </c>
      <c r="E196" s="561" t="s">
        <v>394</v>
      </c>
      <c r="F196" s="735">
        <v>0</v>
      </c>
      <c r="G196" s="749">
        <v>1</v>
      </c>
      <c r="H196" s="749"/>
      <c r="I196" s="733"/>
      <c r="J196" s="733"/>
      <c r="K196" s="735">
        <v>0</v>
      </c>
      <c r="L196" s="750">
        <v>0</v>
      </c>
    </row>
    <row r="197" spans="1:12" ht="31.5" x14ac:dyDescent="0.25">
      <c r="A197" s="561" t="s">
        <v>79</v>
      </c>
      <c r="B197" s="749">
        <v>2023</v>
      </c>
      <c r="C197" s="561" t="s">
        <v>721</v>
      </c>
      <c r="D197" s="561" t="s">
        <v>859</v>
      </c>
      <c r="E197" s="561" t="s">
        <v>423</v>
      </c>
      <c r="F197" s="735">
        <v>0</v>
      </c>
      <c r="G197" s="749">
        <v>1</v>
      </c>
      <c r="H197" s="749"/>
      <c r="I197" s="733"/>
      <c r="J197" s="733"/>
      <c r="K197" s="735">
        <v>0</v>
      </c>
      <c r="L197" s="750">
        <v>0</v>
      </c>
    </row>
    <row r="198" spans="1:12" ht="31.5" x14ac:dyDescent="0.25">
      <c r="A198" s="561" t="s">
        <v>79</v>
      </c>
      <c r="B198" s="749">
        <v>2023</v>
      </c>
      <c r="C198" s="561" t="s">
        <v>721</v>
      </c>
      <c r="D198" s="561" t="s">
        <v>3075</v>
      </c>
      <c r="E198" s="561" t="s">
        <v>441</v>
      </c>
      <c r="F198" s="735">
        <v>0</v>
      </c>
      <c r="G198" s="749">
        <v>1</v>
      </c>
      <c r="H198" s="749"/>
      <c r="I198" s="735">
        <v>30493</v>
      </c>
      <c r="J198" s="735">
        <v>2220</v>
      </c>
      <c r="K198" s="735">
        <v>32713</v>
      </c>
      <c r="L198" s="750">
        <v>32713</v>
      </c>
    </row>
    <row r="199" spans="1:12" ht="31.5" x14ac:dyDescent="0.25">
      <c r="A199" s="561" t="s">
        <v>79</v>
      </c>
      <c r="B199" s="749">
        <v>2023</v>
      </c>
      <c r="C199" s="561" t="s">
        <v>721</v>
      </c>
      <c r="D199" s="561" t="s">
        <v>3471</v>
      </c>
      <c r="E199" s="561" t="s">
        <v>3016</v>
      </c>
      <c r="F199" s="735">
        <v>0</v>
      </c>
      <c r="G199" s="749">
        <v>1</v>
      </c>
      <c r="H199" s="749"/>
      <c r="I199" s="735">
        <v>-36678</v>
      </c>
      <c r="J199" s="735">
        <v>-16603</v>
      </c>
      <c r="K199" s="735">
        <v>-53281</v>
      </c>
      <c r="L199" s="750">
        <v>-53281</v>
      </c>
    </row>
    <row r="200" spans="1:12" ht="31.5" x14ac:dyDescent="0.25">
      <c r="A200" s="561" t="s">
        <v>79</v>
      </c>
      <c r="B200" s="749">
        <v>2023</v>
      </c>
      <c r="C200" s="561" t="s">
        <v>721</v>
      </c>
      <c r="D200" s="561" t="s">
        <v>3472</v>
      </c>
      <c r="E200" s="561" t="s">
        <v>3058</v>
      </c>
      <c r="F200" s="735">
        <v>0</v>
      </c>
      <c r="G200" s="749">
        <v>1</v>
      </c>
      <c r="H200" s="749"/>
      <c r="I200" s="735">
        <v>-87907</v>
      </c>
      <c r="J200" s="735">
        <v>-8936</v>
      </c>
      <c r="K200" s="735">
        <v>-96843</v>
      </c>
      <c r="L200" s="750">
        <v>-96843</v>
      </c>
    </row>
    <row r="201" spans="1:12" ht="31.5" x14ac:dyDescent="0.25">
      <c r="A201" s="561" t="s">
        <v>79</v>
      </c>
      <c r="B201" s="749">
        <v>2023</v>
      </c>
      <c r="C201" s="561" t="s">
        <v>721</v>
      </c>
      <c r="D201" s="561" t="s">
        <v>3473</v>
      </c>
      <c r="E201" s="561" t="s">
        <v>3063</v>
      </c>
      <c r="F201" s="735">
        <v>0</v>
      </c>
      <c r="G201" s="749">
        <v>1</v>
      </c>
      <c r="H201" s="749"/>
      <c r="I201" s="735">
        <v>25342</v>
      </c>
      <c r="J201" s="735">
        <v>1716</v>
      </c>
      <c r="K201" s="735">
        <v>27058</v>
      </c>
      <c r="L201" s="750">
        <v>27058</v>
      </c>
    </row>
    <row r="202" spans="1:12" ht="31.5" x14ac:dyDescent="0.25">
      <c r="A202" s="561" t="s">
        <v>79</v>
      </c>
      <c r="B202" s="749">
        <v>2023</v>
      </c>
      <c r="C202" s="561" t="s">
        <v>721</v>
      </c>
      <c r="D202" s="561" t="s">
        <v>3698</v>
      </c>
      <c r="E202" s="561" t="s">
        <v>3425</v>
      </c>
      <c r="F202" s="735">
        <v>0</v>
      </c>
      <c r="G202" s="749">
        <v>1</v>
      </c>
      <c r="H202" s="749"/>
      <c r="I202" s="735">
        <v>267202</v>
      </c>
      <c r="J202" s="735">
        <v>8063</v>
      </c>
      <c r="K202" s="735">
        <v>275265</v>
      </c>
      <c r="L202" s="750">
        <v>275265</v>
      </c>
    </row>
    <row r="203" spans="1:12" ht="42" x14ac:dyDescent="0.25">
      <c r="A203" s="561" t="s">
        <v>79</v>
      </c>
      <c r="B203" s="749">
        <v>2023</v>
      </c>
      <c r="C203" s="561" t="s">
        <v>721</v>
      </c>
      <c r="D203" s="561" t="s">
        <v>3699</v>
      </c>
      <c r="E203" s="561" t="s">
        <v>737</v>
      </c>
      <c r="F203" s="735">
        <v>184912</v>
      </c>
      <c r="G203" s="749">
        <v>0</v>
      </c>
      <c r="H203" s="749"/>
      <c r="I203" s="733"/>
      <c r="J203" s="733"/>
      <c r="K203" s="735">
        <v>0</v>
      </c>
      <c r="L203" s="750">
        <v>184912</v>
      </c>
    </row>
    <row r="204" spans="1:12" x14ac:dyDescent="0.25">
      <c r="A204" s="561" t="s">
        <v>79</v>
      </c>
      <c r="B204" s="749">
        <v>2023</v>
      </c>
      <c r="C204" s="561" t="s">
        <v>738</v>
      </c>
      <c r="D204" s="561" t="s">
        <v>861</v>
      </c>
      <c r="E204" s="561" t="s">
        <v>7</v>
      </c>
      <c r="F204" s="735">
        <v>0</v>
      </c>
      <c r="G204" s="749">
        <v>0</v>
      </c>
      <c r="H204" s="749"/>
      <c r="I204" s="733"/>
      <c r="J204" s="733"/>
      <c r="K204" s="735">
        <v>0</v>
      </c>
      <c r="L204" s="750">
        <v>0</v>
      </c>
    </row>
    <row r="205" spans="1:12" x14ac:dyDescent="0.25">
      <c r="A205" s="561" t="s">
        <v>81</v>
      </c>
      <c r="B205" s="749">
        <v>2023</v>
      </c>
      <c r="C205" s="561" t="s">
        <v>647</v>
      </c>
      <c r="D205" s="561" t="s">
        <v>902</v>
      </c>
      <c r="E205" s="561" t="s">
        <v>649</v>
      </c>
      <c r="F205" s="735">
        <v>896550.03</v>
      </c>
      <c r="G205" s="749">
        <v>0</v>
      </c>
      <c r="H205" s="749"/>
      <c r="I205" s="733"/>
      <c r="J205" s="733"/>
      <c r="K205" s="735">
        <v>0</v>
      </c>
      <c r="L205" s="750">
        <v>896550.03</v>
      </c>
    </row>
    <row r="206" spans="1:12" ht="21" x14ac:dyDescent="0.25">
      <c r="A206" s="561" t="s">
        <v>81</v>
      </c>
      <c r="B206" s="749">
        <v>2023</v>
      </c>
      <c r="C206" s="561" t="s">
        <v>3691</v>
      </c>
      <c r="D206" s="561" t="s">
        <v>3625</v>
      </c>
      <c r="E206" s="561" t="s">
        <v>3675</v>
      </c>
      <c r="F206" s="735">
        <v>281630.21999999997</v>
      </c>
      <c r="G206" s="749">
        <v>0</v>
      </c>
      <c r="H206" s="749"/>
      <c r="I206" s="733"/>
      <c r="J206" s="733"/>
      <c r="K206" s="735">
        <v>0</v>
      </c>
      <c r="L206" s="750">
        <v>281630.21999999997</v>
      </c>
    </row>
    <row r="207" spans="1:12" x14ac:dyDescent="0.25">
      <c r="A207" s="561" t="s">
        <v>81</v>
      </c>
      <c r="B207" s="749">
        <v>2023</v>
      </c>
      <c r="C207" s="561" t="s">
        <v>651</v>
      </c>
      <c r="D207" s="561" t="s">
        <v>903</v>
      </c>
      <c r="E207" s="561" t="s">
        <v>653</v>
      </c>
      <c r="F207" s="735">
        <v>0</v>
      </c>
      <c r="G207" s="749">
        <v>0</v>
      </c>
      <c r="H207" s="749"/>
      <c r="I207" s="733"/>
      <c r="J207" s="733"/>
      <c r="K207" s="735">
        <v>0</v>
      </c>
      <c r="L207" s="750">
        <v>0</v>
      </c>
    </row>
    <row r="208" spans="1:12" ht="31.5" x14ac:dyDescent="0.25">
      <c r="A208" s="561" t="s">
        <v>81</v>
      </c>
      <c r="B208" s="749">
        <v>2023</v>
      </c>
      <c r="C208" s="561" t="s">
        <v>654</v>
      </c>
      <c r="D208" s="561" t="s">
        <v>904</v>
      </c>
      <c r="E208" s="561" t="s">
        <v>445</v>
      </c>
      <c r="F208" s="735">
        <v>0</v>
      </c>
      <c r="G208" s="749">
        <v>0</v>
      </c>
      <c r="H208" s="749"/>
      <c r="I208" s="733"/>
      <c r="J208" s="733"/>
      <c r="K208" s="735">
        <v>0</v>
      </c>
      <c r="L208" s="750">
        <v>0</v>
      </c>
    </row>
    <row r="209" spans="1:12" ht="21" x14ac:dyDescent="0.25">
      <c r="A209" s="561" t="s">
        <v>81</v>
      </c>
      <c r="B209" s="749">
        <v>2023</v>
      </c>
      <c r="C209" s="561" t="s">
        <v>656</v>
      </c>
      <c r="D209" s="561" t="s">
        <v>905</v>
      </c>
      <c r="E209" s="561" t="s">
        <v>658</v>
      </c>
      <c r="F209" s="735">
        <v>0</v>
      </c>
      <c r="G209" s="749">
        <v>0</v>
      </c>
      <c r="H209" s="749"/>
      <c r="I209" s="733"/>
      <c r="J209" s="733"/>
      <c r="K209" s="735">
        <v>0</v>
      </c>
      <c r="L209" s="750">
        <v>0</v>
      </c>
    </row>
    <row r="210" spans="1:12" ht="21" x14ac:dyDescent="0.25">
      <c r="A210" s="561" t="s">
        <v>81</v>
      </c>
      <c r="B210" s="749">
        <v>2023</v>
      </c>
      <c r="C210" s="561" t="s">
        <v>659</v>
      </c>
      <c r="D210" s="561" t="s">
        <v>906</v>
      </c>
      <c r="E210" s="561" t="s">
        <v>661</v>
      </c>
      <c r="F210" s="735">
        <v>0</v>
      </c>
      <c r="G210" s="749">
        <v>0</v>
      </c>
      <c r="H210" s="749"/>
      <c r="I210" s="733"/>
      <c r="J210" s="733"/>
      <c r="K210" s="735">
        <v>0</v>
      </c>
      <c r="L210" s="750">
        <v>0</v>
      </c>
    </row>
    <row r="211" spans="1:12" ht="21" x14ac:dyDescent="0.25">
      <c r="A211" s="561" t="s">
        <v>81</v>
      </c>
      <c r="B211" s="749">
        <v>2023</v>
      </c>
      <c r="C211" s="561" t="s">
        <v>662</v>
      </c>
      <c r="D211" s="561" t="s">
        <v>907</v>
      </c>
      <c r="E211" s="561" t="s">
        <v>664</v>
      </c>
      <c r="F211" s="735">
        <v>0</v>
      </c>
      <c r="G211" s="749">
        <v>0</v>
      </c>
      <c r="H211" s="749"/>
      <c r="I211" s="733"/>
      <c r="J211" s="733"/>
      <c r="K211" s="735">
        <v>0</v>
      </c>
      <c r="L211" s="750">
        <v>0</v>
      </c>
    </row>
    <row r="212" spans="1:12" ht="31.5" x14ac:dyDescent="0.25">
      <c r="A212" s="561" t="s">
        <v>81</v>
      </c>
      <c r="B212" s="749">
        <v>2023</v>
      </c>
      <c r="C212" s="561" t="s">
        <v>665</v>
      </c>
      <c r="D212" s="561" t="s">
        <v>908</v>
      </c>
      <c r="E212" s="561" t="s">
        <v>667</v>
      </c>
      <c r="F212" s="735">
        <v>0</v>
      </c>
      <c r="G212" s="749">
        <v>0</v>
      </c>
      <c r="H212" s="749"/>
      <c r="I212" s="733"/>
      <c r="J212" s="733"/>
      <c r="K212" s="735">
        <v>0</v>
      </c>
      <c r="L212" s="750">
        <v>0</v>
      </c>
    </row>
    <row r="213" spans="1:12" ht="21" x14ac:dyDescent="0.25">
      <c r="A213" s="561" t="s">
        <v>81</v>
      </c>
      <c r="B213" s="749">
        <v>2023</v>
      </c>
      <c r="C213" s="561" t="s">
        <v>668</v>
      </c>
      <c r="D213" s="561" t="s">
        <v>909</v>
      </c>
      <c r="E213" s="561" t="s">
        <v>12</v>
      </c>
      <c r="F213" s="735">
        <v>0</v>
      </c>
      <c r="G213" s="749">
        <v>0</v>
      </c>
      <c r="H213" s="749"/>
      <c r="I213" s="733"/>
      <c r="J213" s="733"/>
      <c r="K213" s="735">
        <v>0</v>
      </c>
      <c r="L213" s="750">
        <v>0</v>
      </c>
    </row>
    <row r="214" spans="1:12" ht="21" x14ac:dyDescent="0.25">
      <c r="A214" s="561" t="s">
        <v>81</v>
      </c>
      <c r="B214" s="749">
        <v>2023</v>
      </c>
      <c r="C214" s="561" t="s">
        <v>670</v>
      </c>
      <c r="D214" s="561" t="s">
        <v>910</v>
      </c>
      <c r="E214" s="561" t="s">
        <v>13</v>
      </c>
      <c r="F214" s="735">
        <v>0</v>
      </c>
      <c r="G214" s="749">
        <v>0</v>
      </c>
      <c r="H214" s="749"/>
      <c r="I214" s="733"/>
      <c r="J214" s="733"/>
      <c r="K214" s="735">
        <v>0</v>
      </c>
      <c r="L214" s="750">
        <v>0</v>
      </c>
    </row>
    <row r="215" spans="1:12" ht="21" x14ac:dyDescent="0.25">
      <c r="A215" s="561" t="s">
        <v>81</v>
      </c>
      <c r="B215" s="749">
        <v>2023</v>
      </c>
      <c r="C215" s="561" t="s">
        <v>672</v>
      </c>
      <c r="D215" s="561" t="s">
        <v>911</v>
      </c>
      <c r="E215" s="561" t="s">
        <v>15</v>
      </c>
      <c r="F215" s="735">
        <v>0</v>
      </c>
      <c r="G215" s="749">
        <v>0</v>
      </c>
      <c r="H215" s="749"/>
      <c r="I215" s="733"/>
      <c r="J215" s="733"/>
      <c r="K215" s="735">
        <v>0</v>
      </c>
      <c r="L215" s="750">
        <v>0</v>
      </c>
    </row>
    <row r="216" spans="1:12" x14ac:dyDescent="0.25">
      <c r="A216" s="561" t="s">
        <v>81</v>
      </c>
      <c r="B216" s="749">
        <v>2023</v>
      </c>
      <c r="C216" s="561" t="s">
        <v>674</v>
      </c>
      <c r="D216" s="561" t="s">
        <v>912</v>
      </c>
      <c r="E216" s="561" t="s">
        <v>676</v>
      </c>
      <c r="F216" s="735">
        <v>0</v>
      </c>
      <c r="G216" s="749">
        <v>0</v>
      </c>
      <c r="H216" s="749"/>
      <c r="I216" s="733"/>
      <c r="J216" s="733"/>
      <c r="K216" s="735">
        <v>0</v>
      </c>
      <c r="L216" s="750">
        <v>0</v>
      </c>
    </row>
    <row r="217" spans="1:12" x14ac:dyDescent="0.25">
      <c r="A217" s="561" t="s">
        <v>81</v>
      </c>
      <c r="B217" s="749">
        <v>2023</v>
      </c>
      <c r="C217" s="561" t="s">
        <v>677</v>
      </c>
      <c r="D217" s="561" t="s">
        <v>913</v>
      </c>
      <c r="E217" s="561" t="s">
        <v>23</v>
      </c>
      <c r="F217" s="735">
        <v>0</v>
      </c>
      <c r="G217" s="749">
        <v>1</v>
      </c>
      <c r="H217" s="749"/>
      <c r="I217" s="733"/>
      <c r="J217" s="733"/>
      <c r="K217" s="735">
        <v>0</v>
      </c>
      <c r="L217" s="750">
        <v>0</v>
      </c>
    </row>
    <row r="218" spans="1:12" ht="21" x14ac:dyDescent="0.25">
      <c r="A218" s="561" t="s">
        <v>81</v>
      </c>
      <c r="B218" s="749">
        <v>2023</v>
      </c>
      <c r="C218" s="561" t="s">
        <v>679</v>
      </c>
      <c r="D218" s="561" t="s">
        <v>914</v>
      </c>
      <c r="E218" s="561" t="s">
        <v>131</v>
      </c>
      <c r="F218" s="735">
        <v>-223448.59</v>
      </c>
      <c r="G218" s="749">
        <v>1</v>
      </c>
      <c r="H218" s="749"/>
      <c r="I218" s="735">
        <v>-221252.84</v>
      </c>
      <c r="J218" s="735">
        <v>-2195.75</v>
      </c>
      <c r="K218" s="735">
        <v>-223448.59</v>
      </c>
      <c r="L218" s="750">
        <v>-223448.59</v>
      </c>
    </row>
    <row r="219" spans="1:12" ht="31.5" x14ac:dyDescent="0.25">
      <c r="A219" s="561" t="s">
        <v>81</v>
      </c>
      <c r="B219" s="749">
        <v>2023</v>
      </c>
      <c r="C219" s="561" t="s">
        <v>681</v>
      </c>
      <c r="D219" s="561" t="s">
        <v>915</v>
      </c>
      <c r="E219" s="561" t="s">
        <v>683</v>
      </c>
      <c r="F219" s="735">
        <v>0</v>
      </c>
      <c r="G219" s="749">
        <v>0</v>
      </c>
      <c r="H219" s="749"/>
      <c r="I219" s="733"/>
      <c r="J219" s="733"/>
      <c r="K219" s="735">
        <v>0</v>
      </c>
      <c r="L219" s="750">
        <v>0</v>
      </c>
    </row>
    <row r="220" spans="1:12" ht="21" x14ac:dyDescent="0.25">
      <c r="A220" s="561" t="s">
        <v>81</v>
      </c>
      <c r="B220" s="749">
        <v>2023</v>
      </c>
      <c r="C220" s="561" t="s">
        <v>681</v>
      </c>
      <c r="D220" s="561" t="s">
        <v>915</v>
      </c>
      <c r="E220" s="561" t="s">
        <v>684</v>
      </c>
      <c r="F220" s="735">
        <v>0</v>
      </c>
      <c r="G220" s="749">
        <v>0</v>
      </c>
      <c r="H220" s="749"/>
      <c r="I220" s="733"/>
      <c r="J220" s="733"/>
      <c r="K220" s="735">
        <v>0</v>
      </c>
      <c r="L220" s="751">
        <v>0</v>
      </c>
    </row>
    <row r="221" spans="1:12" x14ac:dyDescent="0.25">
      <c r="A221" s="561" t="s">
        <v>81</v>
      </c>
      <c r="B221" s="749">
        <v>2023</v>
      </c>
      <c r="C221" s="561" t="s">
        <v>685</v>
      </c>
      <c r="D221" s="561" t="s">
        <v>916</v>
      </c>
      <c r="E221" s="561" t="s">
        <v>687</v>
      </c>
      <c r="F221" s="735">
        <v>0</v>
      </c>
      <c r="G221" s="749">
        <v>0</v>
      </c>
      <c r="H221" s="749"/>
      <c r="I221" s="733"/>
      <c r="J221" s="733"/>
      <c r="K221" s="735">
        <v>0</v>
      </c>
      <c r="L221" s="750">
        <v>0</v>
      </c>
    </row>
    <row r="222" spans="1:12" x14ac:dyDescent="0.25">
      <c r="A222" s="561" t="s">
        <v>81</v>
      </c>
      <c r="B222" s="749">
        <v>2023</v>
      </c>
      <c r="C222" s="561" t="s">
        <v>688</v>
      </c>
      <c r="D222" s="561" t="s">
        <v>917</v>
      </c>
      <c r="E222" s="561" t="s">
        <v>50</v>
      </c>
      <c r="F222" s="735">
        <v>166997.10999999999</v>
      </c>
      <c r="G222" s="749">
        <v>0</v>
      </c>
      <c r="H222" s="749"/>
      <c r="I222" s="733"/>
      <c r="J222" s="733"/>
      <c r="K222" s="735">
        <v>0</v>
      </c>
      <c r="L222" s="750">
        <v>166997.10999999999</v>
      </c>
    </row>
    <row r="223" spans="1:12" x14ac:dyDescent="0.25">
      <c r="A223" s="561" t="s">
        <v>81</v>
      </c>
      <c r="B223" s="749">
        <v>2023</v>
      </c>
      <c r="C223" s="561" t="s">
        <v>690</v>
      </c>
      <c r="D223" s="561" t="s">
        <v>918</v>
      </c>
      <c r="E223" s="561" t="s">
        <v>692</v>
      </c>
      <c r="F223" s="735">
        <v>195558.27</v>
      </c>
      <c r="G223" s="749">
        <v>0</v>
      </c>
      <c r="H223" s="749"/>
      <c r="I223" s="733"/>
      <c r="J223" s="733"/>
      <c r="K223" s="735">
        <v>0</v>
      </c>
      <c r="L223" s="750">
        <v>195558.27</v>
      </c>
    </row>
    <row r="224" spans="1:12" ht="21" x14ac:dyDescent="0.25">
      <c r="A224" s="561" t="s">
        <v>81</v>
      </c>
      <c r="B224" s="749">
        <v>2023</v>
      </c>
      <c r="C224" s="561" t="s">
        <v>693</v>
      </c>
      <c r="D224" s="561" t="s">
        <v>919</v>
      </c>
      <c r="E224" s="561" t="s">
        <v>6</v>
      </c>
      <c r="F224" s="735">
        <v>0</v>
      </c>
      <c r="G224" s="749">
        <v>0</v>
      </c>
      <c r="H224" s="749"/>
      <c r="I224" s="733"/>
      <c r="J224" s="733"/>
      <c r="K224" s="735">
        <v>0</v>
      </c>
      <c r="L224" s="750">
        <v>0</v>
      </c>
    </row>
    <row r="225" spans="1:12" ht="21" x14ac:dyDescent="0.25">
      <c r="A225" s="561" t="s">
        <v>81</v>
      </c>
      <c r="B225" s="749">
        <v>2023</v>
      </c>
      <c r="C225" s="561" t="s">
        <v>695</v>
      </c>
      <c r="D225" s="561" t="s">
        <v>920</v>
      </c>
      <c r="E225" s="561" t="s">
        <v>697</v>
      </c>
      <c r="F225" s="735">
        <v>0</v>
      </c>
      <c r="G225" s="749">
        <v>0</v>
      </c>
      <c r="H225" s="749"/>
      <c r="I225" s="733"/>
      <c r="J225" s="733"/>
      <c r="K225" s="735">
        <v>0</v>
      </c>
      <c r="L225" s="750">
        <v>0</v>
      </c>
    </row>
    <row r="226" spans="1:12" x14ac:dyDescent="0.25">
      <c r="A226" s="561" t="s">
        <v>81</v>
      </c>
      <c r="B226" s="749">
        <v>2023</v>
      </c>
      <c r="C226" s="561" t="s">
        <v>698</v>
      </c>
      <c r="D226" s="561" t="s">
        <v>921</v>
      </c>
      <c r="E226" s="561" t="s">
        <v>700</v>
      </c>
      <c r="F226" s="735">
        <v>0</v>
      </c>
      <c r="G226" s="749">
        <v>0</v>
      </c>
      <c r="H226" s="749"/>
      <c r="I226" s="733"/>
      <c r="J226" s="733"/>
      <c r="K226" s="735">
        <v>0</v>
      </c>
      <c r="L226" s="750">
        <v>0</v>
      </c>
    </row>
    <row r="227" spans="1:12" ht="21" x14ac:dyDescent="0.25">
      <c r="A227" s="561" t="s">
        <v>81</v>
      </c>
      <c r="B227" s="749">
        <v>2023</v>
      </c>
      <c r="C227" s="561" t="s">
        <v>701</v>
      </c>
      <c r="D227" s="561" t="s">
        <v>922</v>
      </c>
      <c r="E227" s="561" t="s">
        <v>1</v>
      </c>
      <c r="F227" s="735">
        <v>4636031.8099999996</v>
      </c>
      <c r="G227" s="749">
        <v>1</v>
      </c>
      <c r="H227" s="749"/>
      <c r="I227" s="735">
        <v>4562848.75</v>
      </c>
      <c r="J227" s="735">
        <v>73183.06</v>
      </c>
      <c r="K227" s="735">
        <v>4636031.8099999996</v>
      </c>
      <c r="L227" s="750">
        <v>4636031.8099999996</v>
      </c>
    </row>
    <row r="228" spans="1:12" ht="21" x14ac:dyDescent="0.25">
      <c r="A228" s="561" t="s">
        <v>81</v>
      </c>
      <c r="B228" s="749">
        <v>2023</v>
      </c>
      <c r="C228" s="561" t="s">
        <v>701</v>
      </c>
      <c r="D228" s="561" t="s">
        <v>922</v>
      </c>
      <c r="E228" s="561" t="s">
        <v>703</v>
      </c>
      <c r="F228" s="735">
        <v>0</v>
      </c>
      <c r="G228" s="749">
        <v>0</v>
      </c>
      <c r="H228" s="749"/>
      <c r="I228" s="733"/>
      <c r="J228" s="733"/>
      <c r="K228" s="735">
        <v>0</v>
      </c>
      <c r="L228" s="751">
        <v>0</v>
      </c>
    </row>
    <row r="229" spans="1:12" ht="21" x14ac:dyDescent="0.25">
      <c r="A229" s="561" t="s">
        <v>81</v>
      </c>
      <c r="B229" s="749">
        <v>2023</v>
      </c>
      <c r="C229" s="561" t="s">
        <v>701</v>
      </c>
      <c r="D229" s="561" t="s">
        <v>922</v>
      </c>
      <c r="E229" s="561" t="s">
        <v>704</v>
      </c>
      <c r="F229" s="735">
        <v>0</v>
      </c>
      <c r="G229" s="749">
        <v>0</v>
      </c>
      <c r="H229" s="749"/>
      <c r="I229" s="733"/>
      <c r="J229" s="733"/>
      <c r="K229" s="735">
        <v>0</v>
      </c>
      <c r="L229" s="751">
        <v>0</v>
      </c>
    </row>
    <row r="230" spans="1:12" ht="21" x14ac:dyDescent="0.25">
      <c r="A230" s="561" t="s">
        <v>81</v>
      </c>
      <c r="B230" s="749">
        <v>2023</v>
      </c>
      <c r="C230" s="561" t="s">
        <v>701</v>
      </c>
      <c r="D230" s="561" t="s">
        <v>922</v>
      </c>
      <c r="E230" s="561" t="s">
        <v>705</v>
      </c>
      <c r="F230" s="735">
        <v>0</v>
      </c>
      <c r="G230" s="749">
        <v>0</v>
      </c>
      <c r="H230" s="749"/>
      <c r="I230" s="733"/>
      <c r="J230" s="733"/>
      <c r="K230" s="735">
        <v>0</v>
      </c>
      <c r="L230" s="751">
        <v>-5735.13</v>
      </c>
    </row>
    <row r="231" spans="1:12" ht="21" x14ac:dyDescent="0.25">
      <c r="A231" s="561" t="s">
        <v>81</v>
      </c>
      <c r="B231" s="749">
        <v>2023</v>
      </c>
      <c r="C231" s="561" t="s">
        <v>701</v>
      </c>
      <c r="D231" s="561" t="s">
        <v>922</v>
      </c>
      <c r="E231" s="561" t="s">
        <v>706</v>
      </c>
      <c r="F231" s="735">
        <v>0</v>
      </c>
      <c r="G231" s="749">
        <v>0</v>
      </c>
      <c r="H231" s="749"/>
      <c r="I231" s="733"/>
      <c r="J231" s="733"/>
      <c r="K231" s="735">
        <v>0</v>
      </c>
      <c r="L231" s="751">
        <v>-289846.90999999997</v>
      </c>
    </row>
    <row r="232" spans="1:12" x14ac:dyDescent="0.25">
      <c r="A232" s="561" t="s">
        <v>81</v>
      </c>
      <c r="B232" s="749">
        <v>2023</v>
      </c>
      <c r="C232" s="561" t="s">
        <v>707</v>
      </c>
      <c r="D232" s="561" t="s">
        <v>923</v>
      </c>
      <c r="E232" s="561" t="s">
        <v>709</v>
      </c>
      <c r="F232" s="735">
        <v>0</v>
      </c>
      <c r="G232" s="749">
        <v>0</v>
      </c>
      <c r="H232" s="749"/>
      <c r="I232" s="733"/>
      <c r="J232" s="733"/>
      <c r="K232" s="735">
        <v>0</v>
      </c>
      <c r="L232" s="750">
        <v>0</v>
      </c>
    </row>
    <row r="233" spans="1:12" ht="21" x14ac:dyDescent="0.25">
      <c r="A233" s="561" t="s">
        <v>81</v>
      </c>
      <c r="B233" s="749">
        <v>2023</v>
      </c>
      <c r="C233" s="561" t="s">
        <v>710</v>
      </c>
      <c r="D233" s="561" t="s">
        <v>924</v>
      </c>
      <c r="E233" s="561" t="s">
        <v>2</v>
      </c>
      <c r="F233" s="735">
        <v>3711118.56</v>
      </c>
      <c r="G233" s="749">
        <v>1</v>
      </c>
      <c r="H233" s="749"/>
      <c r="I233" s="735">
        <v>3644027.6</v>
      </c>
      <c r="J233" s="735">
        <v>67090.960000000006</v>
      </c>
      <c r="K233" s="735">
        <v>3711118.56</v>
      </c>
      <c r="L233" s="750">
        <v>3711118.56</v>
      </c>
    </row>
    <row r="234" spans="1:12" ht="21" x14ac:dyDescent="0.25">
      <c r="A234" s="561" t="s">
        <v>81</v>
      </c>
      <c r="B234" s="749">
        <v>2023</v>
      </c>
      <c r="C234" s="561" t="s">
        <v>712</v>
      </c>
      <c r="D234" s="561" t="s">
        <v>925</v>
      </c>
      <c r="E234" s="561" t="s">
        <v>3</v>
      </c>
      <c r="F234" s="735">
        <v>1241283.08</v>
      </c>
      <c r="G234" s="749">
        <v>1</v>
      </c>
      <c r="H234" s="749"/>
      <c r="I234" s="735">
        <v>1216352.23</v>
      </c>
      <c r="J234" s="735">
        <v>24930.85</v>
      </c>
      <c r="K234" s="735">
        <v>1241283.08</v>
      </c>
      <c r="L234" s="750">
        <v>1241283.08</v>
      </c>
    </row>
    <row r="235" spans="1:12" ht="21" x14ac:dyDescent="0.25">
      <c r="A235" s="561" t="s">
        <v>81</v>
      </c>
      <c r="B235" s="749">
        <v>2023</v>
      </c>
      <c r="C235" s="561" t="s">
        <v>714</v>
      </c>
      <c r="D235" s="561" t="s">
        <v>926</v>
      </c>
      <c r="E235" s="561" t="s">
        <v>38</v>
      </c>
      <c r="F235" s="735">
        <v>-2815662.66</v>
      </c>
      <c r="G235" s="749">
        <v>1</v>
      </c>
      <c r="H235" s="749"/>
      <c r="I235" s="735">
        <v>-2780253.88</v>
      </c>
      <c r="J235" s="735">
        <v>-35408.78</v>
      </c>
      <c r="K235" s="735">
        <v>-2815662.66</v>
      </c>
      <c r="L235" s="750">
        <v>-2815662.66</v>
      </c>
    </row>
    <row r="236" spans="1:12" x14ac:dyDescent="0.25">
      <c r="A236" s="561" t="s">
        <v>81</v>
      </c>
      <c r="B236" s="749">
        <v>2023</v>
      </c>
      <c r="C236" s="561" t="s">
        <v>716</v>
      </c>
      <c r="D236" s="561" t="s">
        <v>927</v>
      </c>
      <c r="E236" s="561" t="s">
        <v>66</v>
      </c>
      <c r="F236" s="735">
        <v>-1966920.51</v>
      </c>
      <c r="G236" s="749">
        <v>1</v>
      </c>
      <c r="H236" s="749"/>
      <c r="I236" s="735">
        <v>-1935506.32</v>
      </c>
      <c r="J236" s="735">
        <v>-31414.19</v>
      </c>
      <c r="K236" s="735">
        <v>-1966920.51</v>
      </c>
      <c r="L236" s="750">
        <v>-1966920.51</v>
      </c>
    </row>
    <row r="237" spans="1:12" ht="21" x14ac:dyDescent="0.25">
      <c r="A237" s="561" t="s">
        <v>81</v>
      </c>
      <c r="B237" s="749">
        <v>2023</v>
      </c>
      <c r="C237" s="561" t="s">
        <v>718</v>
      </c>
      <c r="D237" s="561" t="s">
        <v>928</v>
      </c>
      <c r="E237" s="561" t="s">
        <v>720</v>
      </c>
      <c r="F237" s="735">
        <v>0</v>
      </c>
      <c r="G237" s="749">
        <v>0</v>
      </c>
      <c r="H237" s="749"/>
      <c r="I237" s="733"/>
      <c r="J237" s="733"/>
      <c r="K237" s="735">
        <v>0</v>
      </c>
      <c r="L237" s="750">
        <v>0</v>
      </c>
    </row>
    <row r="238" spans="1:12" ht="31.5" x14ac:dyDescent="0.25">
      <c r="A238" s="561" t="s">
        <v>81</v>
      </c>
      <c r="B238" s="749">
        <v>2023</v>
      </c>
      <c r="C238" s="561" t="s">
        <v>721</v>
      </c>
      <c r="D238" s="561" t="s">
        <v>930</v>
      </c>
      <c r="E238" s="561" t="s">
        <v>724</v>
      </c>
      <c r="F238" s="735">
        <v>0</v>
      </c>
      <c r="G238" s="749">
        <v>1</v>
      </c>
      <c r="H238" s="749"/>
      <c r="I238" s="733"/>
      <c r="J238" s="733"/>
      <c r="K238" s="735">
        <v>0</v>
      </c>
      <c r="L238" s="750">
        <v>0</v>
      </c>
    </row>
    <row r="239" spans="1:12" ht="31.5" x14ac:dyDescent="0.25">
      <c r="A239" s="561" t="s">
        <v>81</v>
      </c>
      <c r="B239" s="749">
        <v>2023</v>
      </c>
      <c r="C239" s="561" t="s">
        <v>721</v>
      </c>
      <c r="D239" s="561" t="s">
        <v>931</v>
      </c>
      <c r="E239" s="561" t="s">
        <v>55</v>
      </c>
      <c r="F239" s="735">
        <v>0</v>
      </c>
      <c r="G239" s="749">
        <v>1</v>
      </c>
      <c r="H239" s="749"/>
      <c r="I239" s="733"/>
      <c r="J239" s="733"/>
      <c r="K239" s="735">
        <v>0</v>
      </c>
      <c r="L239" s="750">
        <v>0</v>
      </c>
    </row>
    <row r="240" spans="1:12" ht="31.5" x14ac:dyDescent="0.25">
      <c r="A240" s="561" t="s">
        <v>81</v>
      </c>
      <c r="B240" s="749">
        <v>2023</v>
      </c>
      <c r="C240" s="561" t="s">
        <v>721</v>
      </c>
      <c r="D240" s="561" t="s">
        <v>932</v>
      </c>
      <c r="E240" s="561" t="s">
        <v>56</v>
      </c>
      <c r="F240" s="735">
        <v>0</v>
      </c>
      <c r="G240" s="749">
        <v>1</v>
      </c>
      <c r="H240" s="749"/>
      <c r="I240" s="733"/>
      <c r="J240" s="733"/>
      <c r="K240" s="735">
        <v>0</v>
      </c>
      <c r="L240" s="750">
        <v>0</v>
      </c>
    </row>
    <row r="241" spans="1:12" ht="31.5" x14ac:dyDescent="0.25">
      <c r="A241" s="561" t="s">
        <v>81</v>
      </c>
      <c r="B241" s="749">
        <v>2023</v>
      </c>
      <c r="C241" s="561" t="s">
        <v>721</v>
      </c>
      <c r="D241" s="561" t="s">
        <v>933</v>
      </c>
      <c r="E241" s="561" t="s">
        <v>728</v>
      </c>
      <c r="F241" s="735">
        <v>0</v>
      </c>
      <c r="G241" s="749">
        <v>1</v>
      </c>
      <c r="H241" s="749"/>
      <c r="I241" s="733"/>
      <c r="J241" s="733"/>
      <c r="K241" s="735">
        <v>0</v>
      </c>
      <c r="L241" s="750">
        <v>0</v>
      </c>
    </row>
    <row r="242" spans="1:12" ht="31.5" x14ac:dyDescent="0.25">
      <c r="A242" s="561" t="s">
        <v>81</v>
      </c>
      <c r="B242" s="749">
        <v>2023</v>
      </c>
      <c r="C242" s="561" t="s">
        <v>721</v>
      </c>
      <c r="D242" s="561" t="s">
        <v>934</v>
      </c>
      <c r="E242" s="561" t="s">
        <v>730</v>
      </c>
      <c r="F242" s="735">
        <v>0</v>
      </c>
      <c r="G242" s="749">
        <v>1</v>
      </c>
      <c r="H242" s="749"/>
      <c r="I242" s="733"/>
      <c r="J242" s="733"/>
      <c r="K242" s="735">
        <v>0</v>
      </c>
      <c r="L242" s="750">
        <v>0</v>
      </c>
    </row>
    <row r="243" spans="1:12" ht="31.5" x14ac:dyDescent="0.25">
      <c r="A243" s="561" t="s">
        <v>81</v>
      </c>
      <c r="B243" s="749">
        <v>2023</v>
      </c>
      <c r="C243" s="561" t="s">
        <v>721</v>
      </c>
      <c r="D243" s="561" t="s">
        <v>935</v>
      </c>
      <c r="E243" s="561" t="s">
        <v>142</v>
      </c>
      <c r="F243" s="735">
        <v>0</v>
      </c>
      <c r="G243" s="749">
        <v>1</v>
      </c>
      <c r="H243" s="749"/>
      <c r="I243" s="733"/>
      <c r="J243" s="733"/>
      <c r="K243" s="735">
        <v>0</v>
      </c>
      <c r="L243" s="750">
        <v>0</v>
      </c>
    </row>
    <row r="244" spans="1:12" ht="31.5" x14ac:dyDescent="0.25">
      <c r="A244" s="561" t="s">
        <v>81</v>
      </c>
      <c r="B244" s="749">
        <v>2023</v>
      </c>
      <c r="C244" s="561" t="s">
        <v>721</v>
      </c>
      <c r="D244" s="561" t="s">
        <v>936</v>
      </c>
      <c r="E244" s="561" t="s">
        <v>143</v>
      </c>
      <c r="F244" s="735">
        <v>0</v>
      </c>
      <c r="G244" s="749">
        <v>1</v>
      </c>
      <c r="H244" s="749"/>
      <c r="I244" s="733"/>
      <c r="J244" s="733"/>
      <c r="K244" s="735">
        <v>0</v>
      </c>
      <c r="L244" s="750">
        <v>0</v>
      </c>
    </row>
    <row r="245" spans="1:12" ht="31.5" x14ac:dyDescent="0.25">
      <c r="A245" s="561" t="s">
        <v>81</v>
      </c>
      <c r="B245" s="749">
        <v>2023</v>
      </c>
      <c r="C245" s="561" t="s">
        <v>721</v>
      </c>
      <c r="D245" s="561" t="s">
        <v>937</v>
      </c>
      <c r="E245" s="561" t="s">
        <v>182</v>
      </c>
      <c r="F245" s="735">
        <v>0</v>
      </c>
      <c r="G245" s="749">
        <v>1</v>
      </c>
      <c r="H245" s="749"/>
      <c r="I245" s="733"/>
      <c r="J245" s="733"/>
      <c r="K245" s="735">
        <v>0</v>
      </c>
      <c r="L245" s="750">
        <v>0</v>
      </c>
    </row>
    <row r="246" spans="1:12" ht="31.5" x14ac:dyDescent="0.25">
      <c r="A246" s="561" t="s">
        <v>81</v>
      </c>
      <c r="B246" s="749">
        <v>2023</v>
      </c>
      <c r="C246" s="561" t="s">
        <v>721</v>
      </c>
      <c r="D246" s="561" t="s">
        <v>938</v>
      </c>
      <c r="E246" s="561" t="s">
        <v>394</v>
      </c>
      <c r="F246" s="735">
        <v>0</v>
      </c>
      <c r="G246" s="749">
        <v>1</v>
      </c>
      <c r="H246" s="749"/>
      <c r="I246" s="733"/>
      <c r="J246" s="733"/>
      <c r="K246" s="735">
        <v>0</v>
      </c>
      <c r="L246" s="750">
        <v>0</v>
      </c>
    </row>
    <row r="247" spans="1:12" ht="31.5" x14ac:dyDescent="0.25">
      <c r="A247" s="561" t="s">
        <v>81</v>
      </c>
      <c r="B247" s="749">
        <v>2023</v>
      </c>
      <c r="C247" s="561" t="s">
        <v>721</v>
      </c>
      <c r="D247" s="561" t="s">
        <v>939</v>
      </c>
      <c r="E247" s="561" t="s">
        <v>423</v>
      </c>
      <c r="F247" s="735">
        <v>0</v>
      </c>
      <c r="G247" s="749">
        <v>1</v>
      </c>
      <c r="H247" s="749"/>
      <c r="I247" s="733"/>
      <c r="J247" s="733"/>
      <c r="K247" s="735">
        <v>0</v>
      </c>
      <c r="L247" s="750">
        <v>0</v>
      </c>
    </row>
    <row r="248" spans="1:12" ht="31.5" x14ac:dyDescent="0.25">
      <c r="A248" s="561" t="s">
        <v>81</v>
      </c>
      <c r="B248" s="749">
        <v>2023</v>
      </c>
      <c r="C248" s="561" t="s">
        <v>721</v>
      </c>
      <c r="D248" s="561" t="s">
        <v>3077</v>
      </c>
      <c r="E248" s="561" t="s">
        <v>441</v>
      </c>
      <c r="F248" s="735">
        <v>0</v>
      </c>
      <c r="G248" s="749">
        <v>1</v>
      </c>
      <c r="H248" s="749"/>
      <c r="I248" s="735">
        <v>-83414.25</v>
      </c>
      <c r="J248" s="735">
        <v>155659.72</v>
      </c>
      <c r="K248" s="735">
        <v>72245.47</v>
      </c>
      <c r="L248" s="750">
        <v>72245.47</v>
      </c>
    </row>
    <row r="249" spans="1:12" ht="31.5" x14ac:dyDescent="0.25">
      <c r="A249" s="561" t="s">
        <v>81</v>
      </c>
      <c r="B249" s="749">
        <v>2023</v>
      </c>
      <c r="C249" s="561" t="s">
        <v>721</v>
      </c>
      <c r="D249" s="561" t="s">
        <v>3474</v>
      </c>
      <c r="E249" s="561" t="s">
        <v>3016</v>
      </c>
      <c r="F249" s="735">
        <v>0</v>
      </c>
      <c r="G249" s="749">
        <v>1</v>
      </c>
      <c r="H249" s="749"/>
      <c r="I249" s="735">
        <v>12057.27</v>
      </c>
      <c r="J249" s="735">
        <v>20890.650000000001</v>
      </c>
      <c r="K249" s="735">
        <v>32947.919999999998</v>
      </c>
      <c r="L249" s="750">
        <v>32947.919999999998</v>
      </c>
    </row>
    <row r="250" spans="1:12" ht="31.5" x14ac:dyDescent="0.25">
      <c r="A250" s="561" t="s">
        <v>81</v>
      </c>
      <c r="B250" s="749">
        <v>2023</v>
      </c>
      <c r="C250" s="561" t="s">
        <v>721</v>
      </c>
      <c r="D250" s="561" t="s">
        <v>3475</v>
      </c>
      <c r="E250" s="561" t="s">
        <v>3058</v>
      </c>
      <c r="F250" s="735">
        <v>0</v>
      </c>
      <c r="G250" s="749">
        <v>1</v>
      </c>
      <c r="H250" s="749"/>
      <c r="I250" s="735">
        <v>-519143.58</v>
      </c>
      <c r="J250" s="735">
        <v>659395.81000000006</v>
      </c>
      <c r="K250" s="735">
        <v>140252.23000000001</v>
      </c>
      <c r="L250" s="750">
        <v>140252.23000000001</v>
      </c>
    </row>
    <row r="251" spans="1:12" ht="31.5" x14ac:dyDescent="0.25">
      <c r="A251" s="561" t="s">
        <v>81</v>
      </c>
      <c r="B251" s="749">
        <v>2023</v>
      </c>
      <c r="C251" s="561" t="s">
        <v>721</v>
      </c>
      <c r="D251" s="561" t="s">
        <v>3476</v>
      </c>
      <c r="E251" s="561" t="s">
        <v>3063</v>
      </c>
      <c r="F251" s="735">
        <v>0</v>
      </c>
      <c r="G251" s="749">
        <v>1</v>
      </c>
      <c r="H251" s="749"/>
      <c r="I251" s="735">
        <v>681644.95</v>
      </c>
      <c r="J251" s="735">
        <v>232090.08</v>
      </c>
      <c r="K251" s="735">
        <v>913735.03</v>
      </c>
      <c r="L251" s="750">
        <v>913735.03</v>
      </c>
    </row>
    <row r="252" spans="1:12" ht="31.5" x14ac:dyDescent="0.25">
      <c r="A252" s="561" t="s">
        <v>81</v>
      </c>
      <c r="B252" s="749">
        <v>2023</v>
      </c>
      <c r="C252" s="561" t="s">
        <v>721</v>
      </c>
      <c r="D252" s="561" t="s">
        <v>3700</v>
      </c>
      <c r="E252" s="561" t="s">
        <v>3425</v>
      </c>
      <c r="F252" s="735">
        <v>0</v>
      </c>
      <c r="G252" s="749">
        <v>1</v>
      </c>
      <c r="H252" s="749"/>
      <c r="I252" s="735">
        <v>375287.44</v>
      </c>
      <c r="J252" s="735">
        <v>39964.18</v>
      </c>
      <c r="K252" s="735">
        <v>415251.62</v>
      </c>
      <c r="L252" s="750">
        <v>415251.62</v>
      </c>
    </row>
    <row r="253" spans="1:12" ht="42" x14ac:dyDescent="0.25">
      <c r="A253" s="561" t="s">
        <v>81</v>
      </c>
      <c r="B253" s="749">
        <v>2023</v>
      </c>
      <c r="C253" s="561" t="s">
        <v>721</v>
      </c>
      <c r="D253" s="561" t="s">
        <v>3701</v>
      </c>
      <c r="E253" s="561" t="s">
        <v>737</v>
      </c>
      <c r="F253" s="735">
        <v>1574432.27</v>
      </c>
      <c r="G253" s="749">
        <v>0</v>
      </c>
      <c r="H253" s="749"/>
      <c r="I253" s="733"/>
      <c r="J253" s="733"/>
      <c r="K253" s="735">
        <v>0</v>
      </c>
      <c r="L253" s="750">
        <v>1574432.27</v>
      </c>
    </row>
    <row r="254" spans="1:12" x14ac:dyDescent="0.25">
      <c r="A254" s="561" t="s">
        <v>81</v>
      </c>
      <c r="B254" s="749">
        <v>2023</v>
      </c>
      <c r="C254" s="561" t="s">
        <v>738</v>
      </c>
      <c r="D254" s="561" t="s">
        <v>941</v>
      </c>
      <c r="E254" s="561" t="s">
        <v>7</v>
      </c>
      <c r="F254" s="735">
        <v>0</v>
      </c>
      <c r="G254" s="749">
        <v>0</v>
      </c>
      <c r="H254" s="749"/>
      <c r="I254" s="733"/>
      <c r="J254" s="733"/>
      <c r="K254" s="735">
        <v>0</v>
      </c>
      <c r="L254" s="750">
        <v>0</v>
      </c>
    </row>
    <row r="255" spans="1:12" x14ac:dyDescent="0.25">
      <c r="A255" s="561" t="s">
        <v>82</v>
      </c>
      <c r="B255" s="749">
        <v>2023</v>
      </c>
      <c r="C255" s="561" t="s">
        <v>647</v>
      </c>
      <c r="D255" s="561" t="s">
        <v>942</v>
      </c>
      <c r="E255" s="561" t="s">
        <v>649</v>
      </c>
      <c r="F255" s="735">
        <v>1698886.07</v>
      </c>
      <c r="G255" s="749">
        <v>0</v>
      </c>
      <c r="H255" s="749"/>
      <c r="I255" s="733"/>
      <c r="J255" s="733"/>
      <c r="K255" s="735">
        <v>0</v>
      </c>
      <c r="L255" s="750">
        <v>1698886.07</v>
      </c>
    </row>
    <row r="256" spans="1:12" ht="21" x14ac:dyDescent="0.25">
      <c r="A256" s="561" t="s">
        <v>82</v>
      </c>
      <c r="B256" s="749">
        <v>2023</v>
      </c>
      <c r="C256" s="561" t="s">
        <v>3691</v>
      </c>
      <c r="D256" s="561" t="s">
        <v>3626</v>
      </c>
      <c r="E256" s="561" t="s">
        <v>3675</v>
      </c>
      <c r="F256" s="735">
        <v>677.75</v>
      </c>
      <c r="G256" s="749">
        <v>0</v>
      </c>
      <c r="H256" s="749"/>
      <c r="I256" s="733"/>
      <c r="J256" s="733"/>
      <c r="K256" s="735">
        <v>0</v>
      </c>
      <c r="L256" s="750">
        <v>677.75</v>
      </c>
    </row>
    <row r="257" spans="1:12" x14ac:dyDescent="0.25">
      <c r="A257" s="561" t="s">
        <v>82</v>
      </c>
      <c r="B257" s="749">
        <v>2023</v>
      </c>
      <c r="C257" s="561" t="s">
        <v>651</v>
      </c>
      <c r="D257" s="561" t="s">
        <v>943</v>
      </c>
      <c r="E257" s="561" t="s">
        <v>653</v>
      </c>
      <c r="F257" s="735">
        <v>0</v>
      </c>
      <c r="G257" s="749">
        <v>0</v>
      </c>
      <c r="H257" s="749"/>
      <c r="I257" s="733"/>
      <c r="J257" s="733"/>
      <c r="K257" s="735">
        <v>0</v>
      </c>
      <c r="L257" s="750">
        <v>0</v>
      </c>
    </row>
    <row r="258" spans="1:12" ht="31.5" x14ac:dyDescent="0.25">
      <c r="A258" s="561" t="s">
        <v>82</v>
      </c>
      <c r="B258" s="749">
        <v>2023</v>
      </c>
      <c r="C258" s="561" t="s">
        <v>654</v>
      </c>
      <c r="D258" s="561" t="s">
        <v>944</v>
      </c>
      <c r="E258" s="561" t="s">
        <v>445</v>
      </c>
      <c r="F258" s="735">
        <v>-59235.93</v>
      </c>
      <c r="G258" s="749">
        <v>0</v>
      </c>
      <c r="H258" s="749"/>
      <c r="I258" s="733"/>
      <c r="J258" s="733"/>
      <c r="K258" s="735">
        <v>0</v>
      </c>
      <c r="L258" s="750">
        <v>-59235.93</v>
      </c>
    </row>
    <row r="259" spans="1:12" ht="21" x14ac:dyDescent="0.25">
      <c r="A259" s="561" t="s">
        <v>82</v>
      </c>
      <c r="B259" s="749">
        <v>2023</v>
      </c>
      <c r="C259" s="561" t="s">
        <v>656</v>
      </c>
      <c r="D259" s="561" t="s">
        <v>945</v>
      </c>
      <c r="E259" s="561" t="s">
        <v>658</v>
      </c>
      <c r="F259" s="735">
        <v>0</v>
      </c>
      <c r="G259" s="749">
        <v>0</v>
      </c>
      <c r="H259" s="749"/>
      <c r="I259" s="733"/>
      <c r="J259" s="733"/>
      <c r="K259" s="735">
        <v>0</v>
      </c>
      <c r="L259" s="750">
        <v>0</v>
      </c>
    </row>
    <row r="260" spans="1:12" ht="21" x14ac:dyDescent="0.25">
      <c r="A260" s="561" t="s">
        <v>82</v>
      </c>
      <c r="B260" s="749">
        <v>2023</v>
      </c>
      <c r="C260" s="561" t="s">
        <v>659</v>
      </c>
      <c r="D260" s="561" t="s">
        <v>946</v>
      </c>
      <c r="E260" s="561" t="s">
        <v>661</v>
      </c>
      <c r="F260" s="735">
        <v>0</v>
      </c>
      <c r="G260" s="749">
        <v>0</v>
      </c>
      <c r="H260" s="749"/>
      <c r="I260" s="733"/>
      <c r="J260" s="733"/>
      <c r="K260" s="735">
        <v>0</v>
      </c>
      <c r="L260" s="750">
        <v>0</v>
      </c>
    </row>
    <row r="261" spans="1:12" ht="21" x14ac:dyDescent="0.25">
      <c r="A261" s="561" t="s">
        <v>82</v>
      </c>
      <c r="B261" s="749">
        <v>2023</v>
      </c>
      <c r="C261" s="561" t="s">
        <v>662</v>
      </c>
      <c r="D261" s="561" t="s">
        <v>947</v>
      </c>
      <c r="E261" s="561" t="s">
        <v>664</v>
      </c>
      <c r="F261" s="735">
        <v>0</v>
      </c>
      <c r="G261" s="749">
        <v>0</v>
      </c>
      <c r="H261" s="749"/>
      <c r="I261" s="733"/>
      <c r="J261" s="733"/>
      <c r="K261" s="735">
        <v>0</v>
      </c>
      <c r="L261" s="750">
        <v>0</v>
      </c>
    </row>
    <row r="262" spans="1:12" ht="31.5" x14ac:dyDescent="0.25">
      <c r="A262" s="561" t="s">
        <v>82</v>
      </c>
      <c r="B262" s="749">
        <v>2023</v>
      </c>
      <c r="C262" s="561" t="s">
        <v>665</v>
      </c>
      <c r="D262" s="561" t="s">
        <v>948</v>
      </c>
      <c r="E262" s="561" t="s">
        <v>667</v>
      </c>
      <c r="F262" s="735">
        <v>0</v>
      </c>
      <c r="G262" s="749">
        <v>0</v>
      </c>
      <c r="H262" s="749"/>
      <c r="I262" s="733"/>
      <c r="J262" s="733"/>
      <c r="K262" s="735">
        <v>0</v>
      </c>
      <c r="L262" s="750">
        <v>0</v>
      </c>
    </row>
    <row r="263" spans="1:12" ht="21" x14ac:dyDescent="0.25">
      <c r="A263" s="561" t="s">
        <v>82</v>
      </c>
      <c r="B263" s="749">
        <v>2023</v>
      </c>
      <c r="C263" s="561" t="s">
        <v>668</v>
      </c>
      <c r="D263" s="561" t="s">
        <v>949</v>
      </c>
      <c r="E263" s="561" t="s">
        <v>12</v>
      </c>
      <c r="F263" s="735">
        <v>0</v>
      </c>
      <c r="G263" s="749">
        <v>0</v>
      </c>
      <c r="H263" s="749"/>
      <c r="I263" s="733"/>
      <c r="J263" s="733"/>
      <c r="K263" s="735">
        <v>0</v>
      </c>
      <c r="L263" s="750">
        <v>0</v>
      </c>
    </row>
    <row r="264" spans="1:12" ht="21" x14ac:dyDescent="0.25">
      <c r="A264" s="561" t="s">
        <v>82</v>
      </c>
      <c r="B264" s="749">
        <v>2023</v>
      </c>
      <c r="C264" s="561" t="s">
        <v>670</v>
      </c>
      <c r="D264" s="561" t="s">
        <v>950</v>
      </c>
      <c r="E264" s="561" t="s">
        <v>749</v>
      </c>
      <c r="F264" s="735">
        <v>0</v>
      </c>
      <c r="G264" s="749">
        <v>0</v>
      </c>
      <c r="H264" s="749"/>
      <c r="I264" s="733"/>
      <c r="J264" s="733"/>
      <c r="K264" s="735">
        <v>0</v>
      </c>
      <c r="L264" s="750">
        <v>0</v>
      </c>
    </row>
    <row r="265" spans="1:12" ht="21" x14ac:dyDescent="0.25">
      <c r="A265" s="561" t="s">
        <v>82</v>
      </c>
      <c r="B265" s="749">
        <v>2023</v>
      </c>
      <c r="C265" s="561" t="s">
        <v>672</v>
      </c>
      <c r="D265" s="561" t="s">
        <v>951</v>
      </c>
      <c r="E265" s="561" t="s">
        <v>15</v>
      </c>
      <c r="F265" s="735">
        <v>0</v>
      </c>
      <c r="G265" s="749">
        <v>0</v>
      </c>
      <c r="H265" s="749"/>
      <c r="I265" s="733"/>
      <c r="J265" s="733"/>
      <c r="K265" s="735">
        <v>0</v>
      </c>
      <c r="L265" s="750">
        <v>0</v>
      </c>
    </row>
    <row r="266" spans="1:12" x14ac:dyDescent="0.25">
      <c r="A266" s="561" t="s">
        <v>82</v>
      </c>
      <c r="B266" s="749">
        <v>2023</v>
      </c>
      <c r="C266" s="561" t="s">
        <v>674</v>
      </c>
      <c r="D266" s="561" t="s">
        <v>952</v>
      </c>
      <c r="E266" s="561" t="s">
        <v>676</v>
      </c>
      <c r="F266" s="735">
        <v>0</v>
      </c>
      <c r="G266" s="749">
        <v>0</v>
      </c>
      <c r="H266" s="749"/>
      <c r="I266" s="733"/>
      <c r="J266" s="733"/>
      <c r="K266" s="735">
        <v>0</v>
      </c>
      <c r="L266" s="750">
        <v>0</v>
      </c>
    </row>
    <row r="267" spans="1:12" x14ac:dyDescent="0.25">
      <c r="A267" s="561" t="s">
        <v>82</v>
      </c>
      <c r="B267" s="749">
        <v>2023</v>
      </c>
      <c r="C267" s="561" t="s">
        <v>677</v>
      </c>
      <c r="D267" s="561" t="s">
        <v>953</v>
      </c>
      <c r="E267" s="561" t="s">
        <v>23</v>
      </c>
      <c r="F267" s="735">
        <v>79983.990000000005</v>
      </c>
      <c r="G267" s="749">
        <v>1</v>
      </c>
      <c r="H267" s="749"/>
      <c r="I267" s="735">
        <v>78827.8</v>
      </c>
      <c r="J267" s="735">
        <v>1156.19</v>
      </c>
      <c r="K267" s="735">
        <v>79983.990000000005</v>
      </c>
      <c r="L267" s="750">
        <v>79983.990000000005</v>
      </c>
    </row>
    <row r="268" spans="1:12" ht="21" x14ac:dyDescent="0.25">
      <c r="A268" s="561" t="s">
        <v>82</v>
      </c>
      <c r="B268" s="749">
        <v>2023</v>
      </c>
      <c r="C268" s="561" t="s">
        <v>679</v>
      </c>
      <c r="D268" s="561" t="s">
        <v>954</v>
      </c>
      <c r="E268" s="561" t="s">
        <v>131</v>
      </c>
      <c r="F268" s="735">
        <v>-95674.96</v>
      </c>
      <c r="G268" s="749">
        <v>1</v>
      </c>
      <c r="H268" s="749"/>
      <c r="I268" s="735">
        <v>-94880.15</v>
      </c>
      <c r="J268" s="735">
        <v>-794.81</v>
      </c>
      <c r="K268" s="735">
        <v>-95674.96</v>
      </c>
      <c r="L268" s="750">
        <v>-95674.96</v>
      </c>
    </row>
    <row r="269" spans="1:12" ht="31.5" x14ac:dyDescent="0.25">
      <c r="A269" s="561" t="s">
        <v>82</v>
      </c>
      <c r="B269" s="749">
        <v>2023</v>
      </c>
      <c r="C269" s="561" t="s">
        <v>681</v>
      </c>
      <c r="D269" s="561" t="s">
        <v>955</v>
      </c>
      <c r="E269" s="561" t="s">
        <v>683</v>
      </c>
      <c r="F269" s="735">
        <v>0</v>
      </c>
      <c r="G269" s="749">
        <v>0</v>
      </c>
      <c r="H269" s="749"/>
      <c r="I269" s="733"/>
      <c r="J269" s="733"/>
      <c r="K269" s="735">
        <v>0</v>
      </c>
      <c r="L269" s="750">
        <v>0</v>
      </c>
    </row>
    <row r="270" spans="1:12" ht="21" x14ac:dyDescent="0.25">
      <c r="A270" s="561" t="s">
        <v>82</v>
      </c>
      <c r="B270" s="749">
        <v>2023</v>
      </c>
      <c r="C270" s="561" t="s">
        <v>681</v>
      </c>
      <c r="D270" s="561" t="s">
        <v>955</v>
      </c>
      <c r="E270" s="561" t="s">
        <v>684</v>
      </c>
      <c r="F270" s="735">
        <v>0</v>
      </c>
      <c r="G270" s="749">
        <v>0</v>
      </c>
      <c r="H270" s="749"/>
      <c r="I270" s="733"/>
      <c r="J270" s="733"/>
      <c r="K270" s="735">
        <v>0</v>
      </c>
      <c r="L270" s="751">
        <v>0</v>
      </c>
    </row>
    <row r="271" spans="1:12" x14ac:dyDescent="0.25">
      <c r="A271" s="561" t="s">
        <v>82</v>
      </c>
      <c r="B271" s="749">
        <v>2023</v>
      </c>
      <c r="C271" s="561" t="s">
        <v>685</v>
      </c>
      <c r="D271" s="561" t="s">
        <v>956</v>
      </c>
      <c r="E271" s="561" t="s">
        <v>687</v>
      </c>
      <c r="F271" s="735">
        <v>12934.55</v>
      </c>
      <c r="G271" s="749">
        <v>0</v>
      </c>
      <c r="H271" s="749"/>
      <c r="I271" s="733"/>
      <c r="J271" s="733"/>
      <c r="K271" s="735">
        <v>0</v>
      </c>
      <c r="L271" s="750">
        <v>12934.55</v>
      </c>
    </row>
    <row r="272" spans="1:12" x14ac:dyDescent="0.25">
      <c r="A272" s="561" t="s">
        <v>82</v>
      </c>
      <c r="B272" s="749">
        <v>2023</v>
      </c>
      <c r="C272" s="561" t="s">
        <v>688</v>
      </c>
      <c r="D272" s="561" t="s">
        <v>957</v>
      </c>
      <c r="E272" s="561" t="s">
        <v>50</v>
      </c>
      <c r="F272" s="735">
        <v>-1.1100000000000001</v>
      </c>
      <c r="G272" s="749">
        <v>0</v>
      </c>
      <c r="H272" s="749"/>
      <c r="I272" s="733"/>
      <c r="J272" s="733"/>
      <c r="K272" s="735">
        <v>0</v>
      </c>
      <c r="L272" s="750">
        <v>-1.1100000000000001</v>
      </c>
    </row>
    <row r="273" spans="1:12" x14ac:dyDescent="0.25">
      <c r="A273" s="561" t="s">
        <v>82</v>
      </c>
      <c r="B273" s="749">
        <v>2023</v>
      </c>
      <c r="C273" s="561" t="s">
        <v>690</v>
      </c>
      <c r="D273" s="561" t="s">
        <v>958</v>
      </c>
      <c r="E273" s="561" t="s">
        <v>692</v>
      </c>
      <c r="F273" s="735">
        <v>958307.25</v>
      </c>
      <c r="G273" s="749">
        <v>0</v>
      </c>
      <c r="H273" s="749"/>
      <c r="I273" s="733"/>
      <c r="J273" s="733"/>
      <c r="K273" s="735">
        <v>0</v>
      </c>
      <c r="L273" s="750">
        <v>958307.25</v>
      </c>
    </row>
    <row r="274" spans="1:12" ht="21" x14ac:dyDescent="0.25">
      <c r="A274" s="561" t="s">
        <v>82</v>
      </c>
      <c r="B274" s="749">
        <v>2023</v>
      </c>
      <c r="C274" s="561" t="s">
        <v>693</v>
      </c>
      <c r="D274" s="561" t="s">
        <v>959</v>
      </c>
      <c r="E274" s="561" t="s">
        <v>6</v>
      </c>
      <c r="F274" s="735">
        <v>0</v>
      </c>
      <c r="G274" s="749">
        <v>0</v>
      </c>
      <c r="H274" s="749"/>
      <c r="I274" s="733"/>
      <c r="J274" s="733"/>
      <c r="K274" s="735">
        <v>0</v>
      </c>
      <c r="L274" s="750">
        <v>0</v>
      </c>
    </row>
    <row r="275" spans="1:12" ht="21" x14ac:dyDescent="0.25">
      <c r="A275" s="561" t="s">
        <v>82</v>
      </c>
      <c r="B275" s="749">
        <v>2023</v>
      </c>
      <c r="C275" s="561" t="s">
        <v>695</v>
      </c>
      <c r="D275" s="561" t="s">
        <v>960</v>
      </c>
      <c r="E275" s="561" t="s">
        <v>697</v>
      </c>
      <c r="F275" s="735">
        <v>0</v>
      </c>
      <c r="G275" s="749">
        <v>0</v>
      </c>
      <c r="H275" s="749"/>
      <c r="I275" s="733"/>
      <c r="J275" s="733"/>
      <c r="K275" s="735">
        <v>0</v>
      </c>
      <c r="L275" s="750">
        <v>0</v>
      </c>
    </row>
    <row r="276" spans="1:12" x14ac:dyDescent="0.25">
      <c r="A276" s="561" t="s">
        <v>82</v>
      </c>
      <c r="B276" s="749">
        <v>2023</v>
      </c>
      <c r="C276" s="561" t="s">
        <v>698</v>
      </c>
      <c r="D276" s="561" t="s">
        <v>961</v>
      </c>
      <c r="E276" s="561" t="s">
        <v>700</v>
      </c>
      <c r="F276" s="735">
        <v>0</v>
      </c>
      <c r="G276" s="749">
        <v>0</v>
      </c>
      <c r="H276" s="749"/>
      <c r="I276" s="733"/>
      <c r="J276" s="733"/>
      <c r="K276" s="735">
        <v>0</v>
      </c>
      <c r="L276" s="750">
        <v>0</v>
      </c>
    </row>
    <row r="277" spans="1:12" ht="21" x14ac:dyDescent="0.25">
      <c r="A277" s="561" t="s">
        <v>82</v>
      </c>
      <c r="B277" s="749">
        <v>2023</v>
      </c>
      <c r="C277" s="561" t="s">
        <v>701</v>
      </c>
      <c r="D277" s="561" t="s">
        <v>962</v>
      </c>
      <c r="E277" s="561" t="s">
        <v>1</v>
      </c>
      <c r="F277" s="735">
        <v>1174490.6599999999</v>
      </c>
      <c r="G277" s="749">
        <v>1</v>
      </c>
      <c r="H277" s="749"/>
      <c r="I277" s="735">
        <v>1155161.8500000001</v>
      </c>
      <c r="J277" s="735">
        <v>19328.810000000001</v>
      </c>
      <c r="K277" s="735">
        <v>1174490.6599999999</v>
      </c>
      <c r="L277" s="750">
        <v>1174490.6599999999</v>
      </c>
    </row>
    <row r="278" spans="1:12" ht="21" x14ac:dyDescent="0.25">
      <c r="A278" s="561" t="s">
        <v>82</v>
      </c>
      <c r="B278" s="749">
        <v>2023</v>
      </c>
      <c r="C278" s="561" t="s">
        <v>701</v>
      </c>
      <c r="D278" s="561" t="s">
        <v>962</v>
      </c>
      <c r="E278" s="561" t="s">
        <v>703</v>
      </c>
      <c r="F278" s="735">
        <v>0</v>
      </c>
      <c r="G278" s="749">
        <v>0</v>
      </c>
      <c r="H278" s="749"/>
      <c r="I278" s="733"/>
      <c r="J278" s="733"/>
      <c r="K278" s="735">
        <v>0</v>
      </c>
      <c r="L278" s="751">
        <v>0</v>
      </c>
    </row>
    <row r="279" spans="1:12" ht="21" x14ac:dyDescent="0.25">
      <c r="A279" s="561" t="s">
        <v>82</v>
      </c>
      <c r="B279" s="749">
        <v>2023</v>
      </c>
      <c r="C279" s="561" t="s">
        <v>701</v>
      </c>
      <c r="D279" s="561" t="s">
        <v>962</v>
      </c>
      <c r="E279" s="561" t="s">
        <v>704</v>
      </c>
      <c r="F279" s="735">
        <v>0</v>
      </c>
      <c r="G279" s="749">
        <v>0</v>
      </c>
      <c r="H279" s="749"/>
      <c r="I279" s="733"/>
      <c r="J279" s="733"/>
      <c r="K279" s="735">
        <v>0</v>
      </c>
      <c r="L279" s="751">
        <v>0</v>
      </c>
    </row>
    <row r="280" spans="1:12" ht="21" x14ac:dyDescent="0.25">
      <c r="A280" s="561" t="s">
        <v>82</v>
      </c>
      <c r="B280" s="749">
        <v>2023</v>
      </c>
      <c r="C280" s="561" t="s">
        <v>701</v>
      </c>
      <c r="D280" s="561" t="s">
        <v>962</v>
      </c>
      <c r="E280" s="561" t="s">
        <v>705</v>
      </c>
      <c r="F280" s="735">
        <v>0</v>
      </c>
      <c r="G280" s="749">
        <v>0</v>
      </c>
      <c r="H280" s="749"/>
      <c r="I280" s="733"/>
      <c r="J280" s="733"/>
      <c r="K280" s="735">
        <v>0</v>
      </c>
      <c r="L280" s="751">
        <v>-2055.35</v>
      </c>
    </row>
    <row r="281" spans="1:12" ht="21" x14ac:dyDescent="0.25">
      <c r="A281" s="561" t="s">
        <v>82</v>
      </c>
      <c r="B281" s="749">
        <v>2023</v>
      </c>
      <c r="C281" s="561" t="s">
        <v>701</v>
      </c>
      <c r="D281" s="561" t="s">
        <v>962</v>
      </c>
      <c r="E281" s="561" t="s">
        <v>706</v>
      </c>
      <c r="F281" s="735">
        <v>0</v>
      </c>
      <c r="G281" s="749">
        <v>0</v>
      </c>
      <c r="H281" s="749"/>
      <c r="I281" s="733"/>
      <c r="J281" s="733"/>
      <c r="K281" s="735">
        <v>0</v>
      </c>
      <c r="L281" s="751">
        <v>-79742.28</v>
      </c>
    </row>
    <row r="282" spans="1:12" x14ac:dyDescent="0.25">
      <c r="A282" s="561" t="s">
        <v>82</v>
      </c>
      <c r="B282" s="749">
        <v>2023</v>
      </c>
      <c r="C282" s="561" t="s">
        <v>707</v>
      </c>
      <c r="D282" s="561" t="s">
        <v>963</v>
      </c>
      <c r="E282" s="561" t="s">
        <v>709</v>
      </c>
      <c r="F282" s="735">
        <v>0</v>
      </c>
      <c r="G282" s="749">
        <v>0</v>
      </c>
      <c r="H282" s="749"/>
      <c r="I282" s="733"/>
      <c r="J282" s="733"/>
      <c r="K282" s="735">
        <v>0</v>
      </c>
      <c r="L282" s="750">
        <v>0</v>
      </c>
    </row>
    <row r="283" spans="1:12" ht="21" x14ac:dyDescent="0.25">
      <c r="A283" s="561" t="s">
        <v>82</v>
      </c>
      <c r="B283" s="749">
        <v>2023</v>
      </c>
      <c r="C283" s="561" t="s">
        <v>710</v>
      </c>
      <c r="D283" s="561" t="s">
        <v>964</v>
      </c>
      <c r="E283" s="561" t="s">
        <v>2</v>
      </c>
      <c r="F283" s="735">
        <v>879446.04</v>
      </c>
      <c r="G283" s="749">
        <v>1</v>
      </c>
      <c r="H283" s="749"/>
      <c r="I283" s="735">
        <v>863200.58</v>
      </c>
      <c r="J283" s="735">
        <v>16245.46</v>
      </c>
      <c r="K283" s="735">
        <v>879446.04</v>
      </c>
      <c r="L283" s="750">
        <v>879446.04</v>
      </c>
    </row>
    <row r="284" spans="1:12" ht="21" x14ac:dyDescent="0.25">
      <c r="A284" s="561" t="s">
        <v>82</v>
      </c>
      <c r="B284" s="749">
        <v>2023</v>
      </c>
      <c r="C284" s="561" t="s">
        <v>712</v>
      </c>
      <c r="D284" s="561" t="s">
        <v>965</v>
      </c>
      <c r="E284" s="561" t="s">
        <v>3</v>
      </c>
      <c r="F284" s="735">
        <v>21046.92</v>
      </c>
      <c r="G284" s="749">
        <v>1</v>
      </c>
      <c r="H284" s="749"/>
      <c r="I284" s="735">
        <v>21417.56</v>
      </c>
      <c r="J284" s="735">
        <v>-370.64</v>
      </c>
      <c r="K284" s="735">
        <v>21046.92</v>
      </c>
      <c r="L284" s="750">
        <v>21046.92</v>
      </c>
    </row>
    <row r="285" spans="1:12" ht="21" x14ac:dyDescent="0.25">
      <c r="A285" s="561" t="s">
        <v>82</v>
      </c>
      <c r="B285" s="749">
        <v>2023</v>
      </c>
      <c r="C285" s="561" t="s">
        <v>714</v>
      </c>
      <c r="D285" s="561" t="s">
        <v>966</v>
      </c>
      <c r="E285" s="561" t="s">
        <v>38</v>
      </c>
      <c r="F285" s="735">
        <v>1174681.47</v>
      </c>
      <c r="G285" s="749">
        <v>1</v>
      </c>
      <c r="H285" s="749"/>
      <c r="I285" s="735">
        <v>1160557.6399999999</v>
      </c>
      <c r="J285" s="735">
        <v>14123.83</v>
      </c>
      <c r="K285" s="735">
        <v>1174681.47</v>
      </c>
      <c r="L285" s="750">
        <v>1174681.47</v>
      </c>
    </row>
    <row r="286" spans="1:12" x14ac:dyDescent="0.25">
      <c r="A286" s="561" t="s">
        <v>82</v>
      </c>
      <c r="B286" s="749">
        <v>2023</v>
      </c>
      <c r="C286" s="561" t="s">
        <v>716</v>
      </c>
      <c r="D286" s="561" t="s">
        <v>967</v>
      </c>
      <c r="E286" s="561" t="s">
        <v>66</v>
      </c>
      <c r="F286" s="735">
        <v>-317182.61</v>
      </c>
      <c r="G286" s="749">
        <v>1</v>
      </c>
      <c r="H286" s="749"/>
      <c r="I286" s="735">
        <v>-310875.67</v>
      </c>
      <c r="J286" s="735">
        <v>-6306.94</v>
      </c>
      <c r="K286" s="735">
        <v>-317182.61</v>
      </c>
      <c r="L286" s="750">
        <v>-317182.61</v>
      </c>
    </row>
    <row r="287" spans="1:12" x14ac:dyDescent="0.25">
      <c r="A287" s="561" t="s">
        <v>82</v>
      </c>
      <c r="B287" s="749">
        <v>2023</v>
      </c>
      <c r="C287" s="561" t="s">
        <v>718</v>
      </c>
      <c r="D287" s="561" t="s">
        <v>968</v>
      </c>
      <c r="E287" s="561" t="s">
        <v>768</v>
      </c>
      <c r="F287" s="735">
        <v>-0.8</v>
      </c>
      <c r="G287" s="749">
        <v>0</v>
      </c>
      <c r="H287" s="749"/>
      <c r="I287" s="733"/>
      <c r="J287" s="733"/>
      <c r="K287" s="735">
        <v>0</v>
      </c>
      <c r="L287" s="750">
        <v>-0.8</v>
      </c>
    </row>
    <row r="288" spans="1:12" ht="31.5" x14ac:dyDescent="0.25">
      <c r="A288" s="561" t="s">
        <v>82</v>
      </c>
      <c r="B288" s="749">
        <v>2023</v>
      </c>
      <c r="C288" s="561" t="s">
        <v>721</v>
      </c>
      <c r="D288" s="561" t="s">
        <v>970</v>
      </c>
      <c r="E288" s="561" t="s">
        <v>724</v>
      </c>
      <c r="F288" s="735">
        <v>0</v>
      </c>
      <c r="G288" s="749">
        <v>1</v>
      </c>
      <c r="H288" s="749"/>
      <c r="I288" s="733"/>
      <c r="J288" s="733"/>
      <c r="K288" s="735">
        <v>0</v>
      </c>
      <c r="L288" s="750">
        <v>0</v>
      </c>
    </row>
    <row r="289" spans="1:12" ht="31.5" x14ac:dyDescent="0.25">
      <c r="A289" s="561" t="s">
        <v>82</v>
      </c>
      <c r="B289" s="749">
        <v>2023</v>
      </c>
      <c r="C289" s="561" t="s">
        <v>721</v>
      </c>
      <c r="D289" s="561" t="s">
        <v>971</v>
      </c>
      <c r="E289" s="561" t="s">
        <v>55</v>
      </c>
      <c r="F289" s="735">
        <v>0</v>
      </c>
      <c r="G289" s="749">
        <v>1</v>
      </c>
      <c r="H289" s="749"/>
      <c r="I289" s="733"/>
      <c r="J289" s="733"/>
      <c r="K289" s="735">
        <v>0</v>
      </c>
      <c r="L289" s="750">
        <v>0</v>
      </c>
    </row>
    <row r="290" spans="1:12" ht="31.5" x14ac:dyDescent="0.25">
      <c r="A290" s="561" t="s">
        <v>82</v>
      </c>
      <c r="B290" s="749">
        <v>2023</v>
      </c>
      <c r="C290" s="561" t="s">
        <v>721</v>
      </c>
      <c r="D290" s="561" t="s">
        <v>972</v>
      </c>
      <c r="E290" s="561" t="s">
        <v>56</v>
      </c>
      <c r="F290" s="735">
        <v>0</v>
      </c>
      <c r="G290" s="749">
        <v>1</v>
      </c>
      <c r="H290" s="749"/>
      <c r="I290" s="733"/>
      <c r="J290" s="733"/>
      <c r="K290" s="735">
        <v>0</v>
      </c>
      <c r="L290" s="750">
        <v>0</v>
      </c>
    </row>
    <row r="291" spans="1:12" ht="31.5" x14ac:dyDescent="0.25">
      <c r="A291" s="561" t="s">
        <v>82</v>
      </c>
      <c r="B291" s="749">
        <v>2023</v>
      </c>
      <c r="C291" s="561" t="s">
        <v>721</v>
      </c>
      <c r="D291" s="561" t="s">
        <v>973</v>
      </c>
      <c r="E291" s="561" t="s">
        <v>728</v>
      </c>
      <c r="F291" s="735">
        <v>0</v>
      </c>
      <c r="G291" s="749">
        <v>1</v>
      </c>
      <c r="H291" s="749"/>
      <c r="I291" s="733"/>
      <c r="J291" s="733"/>
      <c r="K291" s="735">
        <v>0</v>
      </c>
      <c r="L291" s="750">
        <v>0</v>
      </c>
    </row>
    <row r="292" spans="1:12" ht="31.5" x14ac:dyDescent="0.25">
      <c r="A292" s="561" t="s">
        <v>82</v>
      </c>
      <c r="B292" s="749">
        <v>2023</v>
      </c>
      <c r="C292" s="561" t="s">
        <v>721</v>
      </c>
      <c r="D292" s="561" t="s">
        <v>974</v>
      </c>
      <c r="E292" s="561" t="s">
        <v>730</v>
      </c>
      <c r="F292" s="735">
        <v>0</v>
      </c>
      <c r="G292" s="749">
        <v>1</v>
      </c>
      <c r="H292" s="749"/>
      <c r="I292" s="733"/>
      <c r="J292" s="733"/>
      <c r="K292" s="735">
        <v>0</v>
      </c>
      <c r="L292" s="750">
        <v>0</v>
      </c>
    </row>
    <row r="293" spans="1:12" ht="31.5" x14ac:dyDescent="0.25">
      <c r="A293" s="561" t="s">
        <v>82</v>
      </c>
      <c r="B293" s="749">
        <v>2023</v>
      </c>
      <c r="C293" s="561" t="s">
        <v>721</v>
      </c>
      <c r="D293" s="561" t="s">
        <v>975</v>
      </c>
      <c r="E293" s="561" t="s">
        <v>142</v>
      </c>
      <c r="F293" s="735">
        <v>0</v>
      </c>
      <c r="G293" s="749">
        <v>1</v>
      </c>
      <c r="H293" s="749"/>
      <c r="I293" s="733"/>
      <c r="J293" s="733"/>
      <c r="K293" s="735">
        <v>0</v>
      </c>
      <c r="L293" s="750">
        <v>0</v>
      </c>
    </row>
    <row r="294" spans="1:12" ht="31.5" x14ac:dyDescent="0.25">
      <c r="A294" s="561" t="s">
        <v>82</v>
      </c>
      <c r="B294" s="749">
        <v>2023</v>
      </c>
      <c r="C294" s="561" t="s">
        <v>721</v>
      </c>
      <c r="D294" s="561" t="s">
        <v>976</v>
      </c>
      <c r="E294" s="561" t="s">
        <v>143</v>
      </c>
      <c r="F294" s="735">
        <v>0</v>
      </c>
      <c r="G294" s="749">
        <v>1</v>
      </c>
      <c r="H294" s="749"/>
      <c r="I294" s="733"/>
      <c r="J294" s="733"/>
      <c r="K294" s="735">
        <v>0</v>
      </c>
      <c r="L294" s="750">
        <v>0</v>
      </c>
    </row>
    <row r="295" spans="1:12" ht="31.5" x14ac:dyDescent="0.25">
      <c r="A295" s="561" t="s">
        <v>82</v>
      </c>
      <c r="B295" s="749">
        <v>2023</v>
      </c>
      <c r="C295" s="561" t="s">
        <v>721</v>
      </c>
      <c r="D295" s="561" t="s">
        <v>977</v>
      </c>
      <c r="E295" s="561" t="s">
        <v>182</v>
      </c>
      <c r="F295" s="735">
        <v>0</v>
      </c>
      <c r="G295" s="749">
        <v>1</v>
      </c>
      <c r="H295" s="749"/>
      <c r="I295" s="733"/>
      <c r="J295" s="733"/>
      <c r="K295" s="735">
        <v>0</v>
      </c>
      <c r="L295" s="750">
        <v>0</v>
      </c>
    </row>
    <row r="296" spans="1:12" ht="31.5" x14ac:dyDescent="0.25">
      <c r="A296" s="561" t="s">
        <v>82</v>
      </c>
      <c r="B296" s="749">
        <v>2023</v>
      </c>
      <c r="C296" s="561" t="s">
        <v>721</v>
      </c>
      <c r="D296" s="561" t="s">
        <v>978</v>
      </c>
      <c r="E296" s="561" t="s">
        <v>394</v>
      </c>
      <c r="F296" s="735">
        <v>0</v>
      </c>
      <c r="G296" s="749">
        <v>1</v>
      </c>
      <c r="H296" s="749"/>
      <c r="I296" s="733"/>
      <c r="J296" s="733"/>
      <c r="K296" s="735">
        <v>0</v>
      </c>
      <c r="L296" s="750">
        <v>0</v>
      </c>
    </row>
    <row r="297" spans="1:12" ht="31.5" x14ac:dyDescent="0.25">
      <c r="A297" s="561" t="s">
        <v>82</v>
      </c>
      <c r="B297" s="749">
        <v>2023</v>
      </c>
      <c r="C297" s="561" t="s">
        <v>721</v>
      </c>
      <c r="D297" s="561" t="s">
        <v>979</v>
      </c>
      <c r="E297" s="561" t="s">
        <v>423</v>
      </c>
      <c r="F297" s="735">
        <v>0</v>
      </c>
      <c r="G297" s="749">
        <v>1</v>
      </c>
      <c r="H297" s="749"/>
      <c r="I297" s="735">
        <v>36878.410000000003</v>
      </c>
      <c r="J297" s="735">
        <v>-36205.33</v>
      </c>
      <c r="K297" s="735">
        <v>673.08000000000197</v>
      </c>
      <c r="L297" s="750">
        <v>673.08000000000197</v>
      </c>
    </row>
    <row r="298" spans="1:12" ht="31.5" x14ac:dyDescent="0.25">
      <c r="A298" s="561" t="s">
        <v>82</v>
      </c>
      <c r="B298" s="749">
        <v>2023</v>
      </c>
      <c r="C298" s="561" t="s">
        <v>721</v>
      </c>
      <c r="D298" s="561" t="s">
        <v>3078</v>
      </c>
      <c r="E298" s="561" t="s">
        <v>441</v>
      </c>
      <c r="F298" s="735">
        <v>0</v>
      </c>
      <c r="G298" s="749">
        <v>1</v>
      </c>
      <c r="H298" s="749"/>
      <c r="I298" s="735">
        <v>0</v>
      </c>
      <c r="J298" s="735">
        <v>-66.239999999999995</v>
      </c>
      <c r="K298" s="735">
        <v>-66.239999999999995</v>
      </c>
      <c r="L298" s="750">
        <v>-66.239999999999995</v>
      </c>
    </row>
    <row r="299" spans="1:12" ht="31.5" x14ac:dyDescent="0.25">
      <c r="A299" s="561" t="s">
        <v>82</v>
      </c>
      <c r="B299" s="749">
        <v>2023</v>
      </c>
      <c r="C299" s="561" t="s">
        <v>721</v>
      </c>
      <c r="D299" s="561" t="s">
        <v>3477</v>
      </c>
      <c r="E299" s="561" t="s">
        <v>3016</v>
      </c>
      <c r="F299" s="735">
        <v>0</v>
      </c>
      <c r="G299" s="749">
        <v>1</v>
      </c>
      <c r="H299" s="749"/>
      <c r="I299" s="735">
        <v>9562.89</v>
      </c>
      <c r="J299" s="735">
        <v>-22901.41</v>
      </c>
      <c r="K299" s="735">
        <v>-13338.52</v>
      </c>
      <c r="L299" s="750">
        <v>-13338.52</v>
      </c>
    </row>
    <row r="300" spans="1:12" ht="31.5" x14ac:dyDescent="0.25">
      <c r="A300" s="561" t="s">
        <v>82</v>
      </c>
      <c r="B300" s="749">
        <v>2023</v>
      </c>
      <c r="C300" s="561" t="s">
        <v>721</v>
      </c>
      <c r="D300" s="561" t="s">
        <v>3478</v>
      </c>
      <c r="E300" s="561" t="s">
        <v>3058</v>
      </c>
      <c r="F300" s="735">
        <v>0</v>
      </c>
      <c r="G300" s="749">
        <v>1</v>
      </c>
      <c r="H300" s="749"/>
      <c r="I300" s="735">
        <v>172.14</v>
      </c>
      <c r="J300" s="735">
        <v>61190.37</v>
      </c>
      <c r="K300" s="735">
        <v>61362.51</v>
      </c>
      <c r="L300" s="750">
        <v>61362.51</v>
      </c>
    </row>
    <row r="301" spans="1:12" ht="31.5" x14ac:dyDescent="0.25">
      <c r="A301" s="561" t="s">
        <v>82</v>
      </c>
      <c r="B301" s="749">
        <v>2023</v>
      </c>
      <c r="C301" s="561" t="s">
        <v>721</v>
      </c>
      <c r="D301" s="561" t="s">
        <v>3479</v>
      </c>
      <c r="E301" s="561" t="s">
        <v>3063</v>
      </c>
      <c r="F301" s="735">
        <v>0</v>
      </c>
      <c r="G301" s="749">
        <v>1</v>
      </c>
      <c r="H301" s="749"/>
      <c r="I301" s="735">
        <v>85415.679999999993</v>
      </c>
      <c r="J301" s="735">
        <v>12573.8</v>
      </c>
      <c r="K301" s="735">
        <v>97989.48</v>
      </c>
      <c r="L301" s="750">
        <v>97989.48</v>
      </c>
    </row>
    <row r="302" spans="1:12" ht="31.5" x14ac:dyDescent="0.25">
      <c r="A302" s="561" t="s">
        <v>82</v>
      </c>
      <c r="B302" s="749">
        <v>2023</v>
      </c>
      <c r="C302" s="561" t="s">
        <v>721</v>
      </c>
      <c r="D302" s="561" t="s">
        <v>3702</v>
      </c>
      <c r="E302" s="561" t="s">
        <v>3425</v>
      </c>
      <c r="F302" s="735">
        <v>0</v>
      </c>
      <c r="G302" s="749">
        <v>1</v>
      </c>
      <c r="H302" s="749"/>
      <c r="I302" s="735">
        <v>86925.92</v>
      </c>
      <c r="J302" s="735">
        <v>-128902.41</v>
      </c>
      <c r="K302" s="735">
        <v>-41976.49</v>
      </c>
      <c r="L302" s="750">
        <v>-41976.49</v>
      </c>
    </row>
    <row r="303" spans="1:12" ht="42" x14ac:dyDescent="0.25">
      <c r="A303" s="561" t="s">
        <v>82</v>
      </c>
      <c r="B303" s="749">
        <v>2023</v>
      </c>
      <c r="C303" s="561" t="s">
        <v>721</v>
      </c>
      <c r="D303" s="561" t="s">
        <v>3703</v>
      </c>
      <c r="E303" s="561" t="s">
        <v>737</v>
      </c>
      <c r="F303" s="735">
        <v>104643.82</v>
      </c>
      <c r="G303" s="749">
        <v>0</v>
      </c>
      <c r="H303" s="749"/>
      <c r="I303" s="733"/>
      <c r="J303" s="733"/>
      <c r="K303" s="735">
        <v>0</v>
      </c>
      <c r="L303" s="750">
        <v>104643.82</v>
      </c>
    </row>
    <row r="304" spans="1:12" x14ac:dyDescent="0.25">
      <c r="A304" s="561" t="s">
        <v>82</v>
      </c>
      <c r="B304" s="749">
        <v>2023</v>
      </c>
      <c r="C304" s="561" t="s">
        <v>738</v>
      </c>
      <c r="D304" s="561" t="s">
        <v>981</v>
      </c>
      <c r="E304" s="561" t="s">
        <v>7</v>
      </c>
      <c r="F304" s="735">
        <v>-2124597.4700000002</v>
      </c>
      <c r="G304" s="749">
        <v>0</v>
      </c>
      <c r="H304" s="749"/>
      <c r="I304" s="733"/>
      <c r="J304" s="733"/>
      <c r="K304" s="735">
        <v>0</v>
      </c>
      <c r="L304" s="750">
        <v>-2124597.4700000002</v>
      </c>
    </row>
    <row r="305" spans="1:12" x14ac:dyDescent="0.25">
      <c r="A305" s="561" t="s">
        <v>83</v>
      </c>
      <c r="B305" s="749">
        <v>2023</v>
      </c>
      <c r="C305" s="561" t="s">
        <v>647</v>
      </c>
      <c r="D305" s="561" t="s">
        <v>982</v>
      </c>
      <c r="E305" s="561" t="s">
        <v>649</v>
      </c>
      <c r="F305" s="735">
        <v>-194474.99</v>
      </c>
      <c r="G305" s="749">
        <v>0</v>
      </c>
      <c r="H305" s="749"/>
      <c r="I305" s="733"/>
      <c r="J305" s="733"/>
      <c r="K305" s="735">
        <v>0</v>
      </c>
      <c r="L305" s="750">
        <v>-194474.99</v>
      </c>
    </row>
    <row r="306" spans="1:12" ht="21" x14ac:dyDescent="0.25">
      <c r="A306" s="561" t="s">
        <v>83</v>
      </c>
      <c r="B306" s="749">
        <v>2023</v>
      </c>
      <c r="C306" s="561" t="s">
        <v>3691</v>
      </c>
      <c r="D306" s="561" t="s">
        <v>3627</v>
      </c>
      <c r="E306" s="561" t="s">
        <v>3675</v>
      </c>
      <c r="F306" s="735">
        <v>0</v>
      </c>
      <c r="G306" s="749">
        <v>0</v>
      </c>
      <c r="H306" s="749"/>
      <c r="I306" s="733"/>
      <c r="J306" s="733"/>
      <c r="K306" s="735">
        <v>0</v>
      </c>
      <c r="L306" s="750">
        <v>0</v>
      </c>
    </row>
    <row r="307" spans="1:12" x14ac:dyDescent="0.25">
      <c r="A307" s="561" t="s">
        <v>83</v>
      </c>
      <c r="B307" s="749">
        <v>2023</v>
      </c>
      <c r="C307" s="561" t="s">
        <v>651</v>
      </c>
      <c r="D307" s="561" t="s">
        <v>983</v>
      </c>
      <c r="E307" s="561" t="s">
        <v>653</v>
      </c>
      <c r="F307" s="735">
        <v>53397.02</v>
      </c>
      <c r="G307" s="749">
        <v>0</v>
      </c>
      <c r="H307" s="749"/>
      <c r="I307" s="733"/>
      <c r="J307" s="733"/>
      <c r="K307" s="735">
        <v>0</v>
      </c>
      <c r="L307" s="750">
        <v>53397.02</v>
      </c>
    </row>
    <row r="308" spans="1:12" ht="31.5" x14ac:dyDescent="0.25">
      <c r="A308" s="561" t="s">
        <v>83</v>
      </c>
      <c r="B308" s="749">
        <v>2023</v>
      </c>
      <c r="C308" s="561" t="s">
        <v>654</v>
      </c>
      <c r="D308" s="561" t="s">
        <v>984</v>
      </c>
      <c r="E308" s="561" t="s">
        <v>445</v>
      </c>
      <c r="F308" s="735">
        <v>0</v>
      </c>
      <c r="G308" s="749">
        <v>0</v>
      </c>
      <c r="H308" s="749"/>
      <c r="I308" s="733"/>
      <c r="J308" s="733"/>
      <c r="K308" s="735">
        <v>0</v>
      </c>
      <c r="L308" s="750">
        <v>0</v>
      </c>
    </row>
    <row r="309" spans="1:12" ht="21" x14ac:dyDescent="0.25">
      <c r="A309" s="561" t="s">
        <v>83</v>
      </c>
      <c r="B309" s="749">
        <v>2023</v>
      </c>
      <c r="C309" s="561" t="s">
        <v>656</v>
      </c>
      <c r="D309" s="561" t="s">
        <v>985</v>
      </c>
      <c r="E309" s="561" t="s">
        <v>658</v>
      </c>
      <c r="F309" s="735">
        <v>0</v>
      </c>
      <c r="G309" s="749">
        <v>0</v>
      </c>
      <c r="H309" s="749"/>
      <c r="I309" s="733"/>
      <c r="J309" s="733"/>
      <c r="K309" s="735">
        <v>0</v>
      </c>
      <c r="L309" s="750">
        <v>0</v>
      </c>
    </row>
    <row r="310" spans="1:12" ht="21" x14ac:dyDescent="0.25">
      <c r="A310" s="561" t="s">
        <v>83</v>
      </c>
      <c r="B310" s="749">
        <v>2023</v>
      </c>
      <c r="C310" s="561" t="s">
        <v>659</v>
      </c>
      <c r="D310" s="561" t="s">
        <v>986</v>
      </c>
      <c r="E310" s="561" t="s">
        <v>661</v>
      </c>
      <c r="F310" s="735">
        <v>0</v>
      </c>
      <c r="G310" s="749">
        <v>0</v>
      </c>
      <c r="H310" s="749"/>
      <c r="I310" s="733"/>
      <c r="J310" s="733"/>
      <c r="K310" s="735">
        <v>0</v>
      </c>
      <c r="L310" s="750">
        <v>0</v>
      </c>
    </row>
    <row r="311" spans="1:12" ht="21" x14ac:dyDescent="0.25">
      <c r="A311" s="561" t="s">
        <v>83</v>
      </c>
      <c r="B311" s="749">
        <v>2023</v>
      </c>
      <c r="C311" s="561" t="s">
        <v>662</v>
      </c>
      <c r="D311" s="561" t="s">
        <v>987</v>
      </c>
      <c r="E311" s="561" t="s">
        <v>664</v>
      </c>
      <c r="F311" s="735">
        <v>0</v>
      </c>
      <c r="G311" s="749">
        <v>0</v>
      </c>
      <c r="H311" s="749"/>
      <c r="I311" s="733"/>
      <c r="J311" s="733"/>
      <c r="K311" s="735">
        <v>0</v>
      </c>
      <c r="L311" s="750">
        <v>0</v>
      </c>
    </row>
    <row r="312" spans="1:12" ht="31.5" x14ac:dyDescent="0.25">
      <c r="A312" s="561" t="s">
        <v>83</v>
      </c>
      <c r="B312" s="749">
        <v>2023</v>
      </c>
      <c r="C312" s="561" t="s">
        <v>665</v>
      </c>
      <c r="D312" s="561" t="s">
        <v>988</v>
      </c>
      <c r="E312" s="561" t="s">
        <v>667</v>
      </c>
      <c r="F312" s="735">
        <v>0</v>
      </c>
      <c r="G312" s="749">
        <v>0</v>
      </c>
      <c r="H312" s="749"/>
      <c r="I312" s="733"/>
      <c r="J312" s="733"/>
      <c r="K312" s="735">
        <v>0</v>
      </c>
      <c r="L312" s="750">
        <v>0</v>
      </c>
    </row>
    <row r="313" spans="1:12" ht="21" x14ac:dyDescent="0.25">
      <c r="A313" s="561" t="s">
        <v>83</v>
      </c>
      <c r="B313" s="749">
        <v>2023</v>
      </c>
      <c r="C313" s="561" t="s">
        <v>668</v>
      </c>
      <c r="D313" s="561" t="s">
        <v>989</v>
      </c>
      <c r="E313" s="561" t="s">
        <v>12</v>
      </c>
      <c r="F313" s="735">
        <v>0</v>
      </c>
      <c r="G313" s="749">
        <v>0</v>
      </c>
      <c r="H313" s="749"/>
      <c r="I313" s="733"/>
      <c r="J313" s="733"/>
      <c r="K313" s="735">
        <v>0</v>
      </c>
      <c r="L313" s="750">
        <v>0</v>
      </c>
    </row>
    <row r="314" spans="1:12" ht="21" x14ac:dyDescent="0.25">
      <c r="A314" s="561" t="s">
        <v>83</v>
      </c>
      <c r="B314" s="749">
        <v>2023</v>
      </c>
      <c r="C314" s="561" t="s">
        <v>670</v>
      </c>
      <c r="D314" s="561" t="s">
        <v>990</v>
      </c>
      <c r="E314" s="561" t="s">
        <v>13</v>
      </c>
      <c r="F314" s="735">
        <v>0</v>
      </c>
      <c r="G314" s="749">
        <v>0</v>
      </c>
      <c r="H314" s="749"/>
      <c r="I314" s="733"/>
      <c r="J314" s="733"/>
      <c r="K314" s="735">
        <v>0</v>
      </c>
      <c r="L314" s="750">
        <v>0</v>
      </c>
    </row>
    <row r="315" spans="1:12" ht="21" x14ac:dyDescent="0.25">
      <c r="A315" s="561" t="s">
        <v>83</v>
      </c>
      <c r="B315" s="749">
        <v>2023</v>
      </c>
      <c r="C315" s="561" t="s">
        <v>672</v>
      </c>
      <c r="D315" s="561" t="s">
        <v>991</v>
      </c>
      <c r="E315" s="561" t="s">
        <v>15</v>
      </c>
      <c r="F315" s="735">
        <v>0</v>
      </c>
      <c r="G315" s="749">
        <v>0</v>
      </c>
      <c r="H315" s="749"/>
      <c r="I315" s="733"/>
      <c r="J315" s="733"/>
      <c r="K315" s="735">
        <v>0</v>
      </c>
      <c r="L315" s="750">
        <v>0</v>
      </c>
    </row>
    <row r="316" spans="1:12" x14ac:dyDescent="0.25">
      <c r="A316" s="561" t="s">
        <v>83</v>
      </c>
      <c r="B316" s="749">
        <v>2023</v>
      </c>
      <c r="C316" s="561" t="s">
        <v>674</v>
      </c>
      <c r="D316" s="561" t="s">
        <v>992</v>
      </c>
      <c r="E316" s="561" t="s">
        <v>676</v>
      </c>
      <c r="F316" s="735">
        <v>326.92</v>
      </c>
      <c r="G316" s="749">
        <v>0</v>
      </c>
      <c r="H316" s="749"/>
      <c r="I316" s="733"/>
      <c r="J316" s="733"/>
      <c r="K316" s="735">
        <v>0</v>
      </c>
      <c r="L316" s="750">
        <v>326.92</v>
      </c>
    </row>
    <row r="317" spans="1:12" x14ac:dyDescent="0.25">
      <c r="A317" s="561" t="s">
        <v>83</v>
      </c>
      <c r="B317" s="749">
        <v>2023</v>
      </c>
      <c r="C317" s="561" t="s">
        <v>677</v>
      </c>
      <c r="D317" s="561" t="s">
        <v>993</v>
      </c>
      <c r="E317" s="561" t="s">
        <v>23</v>
      </c>
      <c r="F317" s="735">
        <v>318145.12</v>
      </c>
      <c r="G317" s="749">
        <v>1</v>
      </c>
      <c r="H317" s="749"/>
      <c r="I317" s="735">
        <v>312776.44</v>
      </c>
      <c r="J317" s="735">
        <v>5368.68</v>
      </c>
      <c r="K317" s="735">
        <v>318145.12</v>
      </c>
      <c r="L317" s="750">
        <v>318145.12</v>
      </c>
    </row>
    <row r="318" spans="1:12" ht="21" x14ac:dyDescent="0.25">
      <c r="A318" s="561" t="s">
        <v>83</v>
      </c>
      <c r="B318" s="749">
        <v>2023</v>
      </c>
      <c r="C318" s="561" t="s">
        <v>679</v>
      </c>
      <c r="D318" s="561" t="s">
        <v>994</v>
      </c>
      <c r="E318" s="561" t="s">
        <v>131</v>
      </c>
      <c r="F318" s="735">
        <v>-23466.95</v>
      </c>
      <c r="G318" s="749">
        <v>1</v>
      </c>
      <c r="H318" s="749"/>
      <c r="I318" s="735">
        <v>-23257.91</v>
      </c>
      <c r="J318" s="735">
        <v>-209.04</v>
      </c>
      <c r="K318" s="735">
        <v>-23466.95</v>
      </c>
      <c r="L318" s="750">
        <v>-23466.95</v>
      </c>
    </row>
    <row r="319" spans="1:12" ht="31.5" x14ac:dyDescent="0.25">
      <c r="A319" s="561" t="s">
        <v>83</v>
      </c>
      <c r="B319" s="749">
        <v>2023</v>
      </c>
      <c r="C319" s="561" t="s">
        <v>681</v>
      </c>
      <c r="D319" s="561" t="s">
        <v>995</v>
      </c>
      <c r="E319" s="561" t="s">
        <v>683</v>
      </c>
      <c r="F319" s="735">
        <v>2030.66</v>
      </c>
      <c r="G319" s="749">
        <v>0</v>
      </c>
      <c r="H319" s="749"/>
      <c r="I319" s="733"/>
      <c r="J319" s="733"/>
      <c r="K319" s="735">
        <v>0</v>
      </c>
      <c r="L319" s="750">
        <v>2030.66</v>
      </c>
    </row>
    <row r="320" spans="1:12" ht="21" x14ac:dyDescent="0.25">
      <c r="A320" s="561" t="s">
        <v>83</v>
      </c>
      <c r="B320" s="749">
        <v>2023</v>
      </c>
      <c r="C320" s="561" t="s">
        <v>681</v>
      </c>
      <c r="D320" s="561" t="s">
        <v>995</v>
      </c>
      <c r="E320" s="561" t="s">
        <v>684</v>
      </c>
      <c r="F320" s="735">
        <v>0</v>
      </c>
      <c r="G320" s="749">
        <v>0</v>
      </c>
      <c r="H320" s="749"/>
      <c r="I320" s="733"/>
      <c r="J320" s="733"/>
      <c r="K320" s="735">
        <v>0</v>
      </c>
      <c r="L320" s="751">
        <v>2030.66</v>
      </c>
    </row>
    <row r="321" spans="1:12" x14ac:dyDescent="0.25">
      <c r="A321" s="561" t="s">
        <v>83</v>
      </c>
      <c r="B321" s="749">
        <v>2023</v>
      </c>
      <c r="C321" s="561" t="s">
        <v>685</v>
      </c>
      <c r="D321" s="561" t="s">
        <v>996</v>
      </c>
      <c r="E321" s="561" t="s">
        <v>687</v>
      </c>
      <c r="F321" s="735">
        <v>0</v>
      </c>
      <c r="G321" s="749">
        <v>0</v>
      </c>
      <c r="H321" s="749"/>
      <c r="I321" s="733"/>
      <c r="J321" s="733"/>
      <c r="K321" s="735">
        <v>0</v>
      </c>
      <c r="L321" s="750">
        <v>0</v>
      </c>
    </row>
    <row r="322" spans="1:12" x14ac:dyDescent="0.25">
      <c r="A322" s="561" t="s">
        <v>83</v>
      </c>
      <c r="B322" s="749">
        <v>2023</v>
      </c>
      <c r="C322" s="561" t="s">
        <v>688</v>
      </c>
      <c r="D322" s="561" t="s">
        <v>997</v>
      </c>
      <c r="E322" s="561" t="s">
        <v>50</v>
      </c>
      <c r="F322" s="735">
        <v>0</v>
      </c>
      <c r="G322" s="749">
        <v>0</v>
      </c>
      <c r="H322" s="749"/>
      <c r="I322" s="733"/>
      <c r="J322" s="733"/>
      <c r="K322" s="735">
        <v>0</v>
      </c>
      <c r="L322" s="750">
        <v>0</v>
      </c>
    </row>
    <row r="323" spans="1:12" x14ac:dyDescent="0.25">
      <c r="A323" s="561" t="s">
        <v>83</v>
      </c>
      <c r="B323" s="749">
        <v>2023</v>
      </c>
      <c r="C323" s="561" t="s">
        <v>690</v>
      </c>
      <c r="D323" s="561" t="s">
        <v>998</v>
      </c>
      <c r="E323" s="561" t="s">
        <v>692</v>
      </c>
      <c r="F323" s="735">
        <v>0</v>
      </c>
      <c r="G323" s="749">
        <v>0</v>
      </c>
      <c r="H323" s="749"/>
      <c r="I323" s="733"/>
      <c r="J323" s="733"/>
      <c r="K323" s="735">
        <v>0</v>
      </c>
      <c r="L323" s="750">
        <v>0</v>
      </c>
    </row>
    <row r="324" spans="1:12" ht="21" x14ac:dyDescent="0.25">
      <c r="A324" s="561" t="s">
        <v>83</v>
      </c>
      <c r="B324" s="749">
        <v>2023</v>
      </c>
      <c r="C324" s="561" t="s">
        <v>693</v>
      </c>
      <c r="D324" s="561" t="s">
        <v>999</v>
      </c>
      <c r="E324" s="561" t="s">
        <v>6</v>
      </c>
      <c r="F324" s="735">
        <v>0</v>
      </c>
      <c r="G324" s="749">
        <v>0</v>
      </c>
      <c r="H324" s="749"/>
      <c r="I324" s="733"/>
      <c r="J324" s="733"/>
      <c r="K324" s="735">
        <v>0</v>
      </c>
      <c r="L324" s="750">
        <v>0</v>
      </c>
    </row>
    <row r="325" spans="1:12" ht="21" x14ac:dyDescent="0.25">
      <c r="A325" s="561" t="s">
        <v>83</v>
      </c>
      <c r="B325" s="749">
        <v>2023</v>
      </c>
      <c r="C325" s="561" t="s">
        <v>695</v>
      </c>
      <c r="D325" s="561" t="s">
        <v>1000</v>
      </c>
      <c r="E325" s="561" t="s">
        <v>697</v>
      </c>
      <c r="F325" s="735">
        <v>0</v>
      </c>
      <c r="G325" s="749">
        <v>0</v>
      </c>
      <c r="H325" s="749"/>
      <c r="I325" s="733"/>
      <c r="J325" s="733"/>
      <c r="K325" s="735">
        <v>0</v>
      </c>
      <c r="L325" s="750">
        <v>0</v>
      </c>
    </row>
    <row r="326" spans="1:12" x14ac:dyDescent="0.25">
      <c r="A326" s="561" t="s">
        <v>83</v>
      </c>
      <c r="B326" s="749">
        <v>2023</v>
      </c>
      <c r="C326" s="561" t="s">
        <v>698</v>
      </c>
      <c r="D326" s="561" t="s">
        <v>1001</v>
      </c>
      <c r="E326" s="561" t="s">
        <v>700</v>
      </c>
      <c r="F326" s="735">
        <v>0</v>
      </c>
      <c r="G326" s="749">
        <v>0</v>
      </c>
      <c r="H326" s="749"/>
      <c r="I326" s="733"/>
      <c r="J326" s="733"/>
      <c r="K326" s="735">
        <v>0</v>
      </c>
      <c r="L326" s="750">
        <v>0</v>
      </c>
    </row>
    <row r="327" spans="1:12" ht="21" x14ac:dyDescent="0.25">
      <c r="A327" s="561" t="s">
        <v>83</v>
      </c>
      <c r="B327" s="749">
        <v>2023</v>
      </c>
      <c r="C327" s="561" t="s">
        <v>701</v>
      </c>
      <c r="D327" s="561" t="s">
        <v>1002</v>
      </c>
      <c r="E327" s="561" t="s">
        <v>1</v>
      </c>
      <c r="F327" s="735">
        <v>114753.27</v>
      </c>
      <c r="G327" s="749">
        <v>1</v>
      </c>
      <c r="H327" s="749"/>
      <c r="I327" s="735">
        <v>113005.59</v>
      </c>
      <c r="J327" s="735">
        <v>1747.68</v>
      </c>
      <c r="K327" s="735">
        <v>114753.27</v>
      </c>
      <c r="L327" s="750">
        <v>114753.27</v>
      </c>
    </row>
    <row r="328" spans="1:12" ht="21" x14ac:dyDescent="0.25">
      <c r="A328" s="561" t="s">
        <v>83</v>
      </c>
      <c r="B328" s="749">
        <v>2023</v>
      </c>
      <c r="C328" s="561" t="s">
        <v>701</v>
      </c>
      <c r="D328" s="561" t="s">
        <v>1002</v>
      </c>
      <c r="E328" s="561" t="s">
        <v>703</v>
      </c>
      <c r="F328" s="735">
        <v>0</v>
      </c>
      <c r="G328" s="749">
        <v>0</v>
      </c>
      <c r="H328" s="749"/>
      <c r="I328" s="733"/>
      <c r="J328" s="733"/>
      <c r="K328" s="735">
        <v>0</v>
      </c>
      <c r="L328" s="751">
        <v>0</v>
      </c>
    </row>
    <row r="329" spans="1:12" ht="21" x14ac:dyDescent="0.25">
      <c r="A329" s="561" t="s">
        <v>83</v>
      </c>
      <c r="B329" s="749">
        <v>2023</v>
      </c>
      <c r="C329" s="561" t="s">
        <v>701</v>
      </c>
      <c r="D329" s="561" t="s">
        <v>1002</v>
      </c>
      <c r="E329" s="561" t="s">
        <v>704</v>
      </c>
      <c r="F329" s="735">
        <v>0</v>
      </c>
      <c r="G329" s="749">
        <v>0</v>
      </c>
      <c r="H329" s="749"/>
      <c r="I329" s="733"/>
      <c r="J329" s="733"/>
      <c r="K329" s="735">
        <v>0</v>
      </c>
      <c r="L329" s="751">
        <v>0</v>
      </c>
    </row>
    <row r="330" spans="1:12" ht="21" x14ac:dyDescent="0.25">
      <c r="A330" s="561" t="s">
        <v>83</v>
      </c>
      <c r="B330" s="749">
        <v>2023</v>
      </c>
      <c r="C330" s="561" t="s">
        <v>701</v>
      </c>
      <c r="D330" s="561" t="s">
        <v>1002</v>
      </c>
      <c r="E330" s="561" t="s">
        <v>705</v>
      </c>
      <c r="F330" s="735">
        <v>0</v>
      </c>
      <c r="G330" s="749">
        <v>0</v>
      </c>
      <c r="H330" s="749"/>
      <c r="I330" s="733"/>
      <c r="J330" s="733"/>
      <c r="K330" s="735">
        <v>0</v>
      </c>
      <c r="L330" s="751">
        <v>-109.15</v>
      </c>
    </row>
    <row r="331" spans="1:12" ht="21" x14ac:dyDescent="0.25">
      <c r="A331" s="561" t="s">
        <v>83</v>
      </c>
      <c r="B331" s="749">
        <v>2023</v>
      </c>
      <c r="C331" s="561" t="s">
        <v>701</v>
      </c>
      <c r="D331" s="561" t="s">
        <v>1002</v>
      </c>
      <c r="E331" s="561" t="s">
        <v>706</v>
      </c>
      <c r="F331" s="735">
        <v>0</v>
      </c>
      <c r="G331" s="749">
        <v>0</v>
      </c>
      <c r="H331" s="749"/>
      <c r="I331" s="733"/>
      <c r="J331" s="733"/>
      <c r="K331" s="735">
        <v>0</v>
      </c>
      <c r="L331" s="751">
        <v>-5457.69</v>
      </c>
    </row>
    <row r="332" spans="1:12" x14ac:dyDescent="0.25">
      <c r="A332" s="561" t="s">
        <v>83</v>
      </c>
      <c r="B332" s="749">
        <v>2023</v>
      </c>
      <c r="C332" s="561" t="s">
        <v>707</v>
      </c>
      <c r="D332" s="561" t="s">
        <v>1003</v>
      </c>
      <c r="E332" s="561" t="s">
        <v>709</v>
      </c>
      <c r="F332" s="735">
        <v>0</v>
      </c>
      <c r="G332" s="749">
        <v>0</v>
      </c>
      <c r="H332" s="749"/>
      <c r="I332" s="733"/>
      <c r="J332" s="733"/>
      <c r="K332" s="735">
        <v>0</v>
      </c>
      <c r="L332" s="750">
        <v>0</v>
      </c>
    </row>
    <row r="333" spans="1:12" ht="21" x14ac:dyDescent="0.25">
      <c r="A333" s="561" t="s">
        <v>83</v>
      </c>
      <c r="B333" s="749">
        <v>2023</v>
      </c>
      <c r="C333" s="561" t="s">
        <v>710</v>
      </c>
      <c r="D333" s="561" t="s">
        <v>1004</v>
      </c>
      <c r="E333" s="561" t="s">
        <v>2</v>
      </c>
      <c r="F333" s="735">
        <v>339358.22</v>
      </c>
      <c r="G333" s="749">
        <v>1</v>
      </c>
      <c r="H333" s="749"/>
      <c r="I333" s="735">
        <v>334397.99</v>
      </c>
      <c r="J333" s="735">
        <v>4960.2299999999996</v>
      </c>
      <c r="K333" s="735">
        <v>339358.22</v>
      </c>
      <c r="L333" s="750">
        <v>339358.22</v>
      </c>
    </row>
    <row r="334" spans="1:12" ht="21" x14ac:dyDescent="0.25">
      <c r="A334" s="561" t="s">
        <v>83</v>
      </c>
      <c r="B334" s="749">
        <v>2023</v>
      </c>
      <c r="C334" s="561" t="s">
        <v>712</v>
      </c>
      <c r="D334" s="561" t="s">
        <v>1005</v>
      </c>
      <c r="E334" s="561" t="s">
        <v>3</v>
      </c>
      <c r="F334" s="735">
        <v>87431.31</v>
      </c>
      <c r="G334" s="749">
        <v>1</v>
      </c>
      <c r="H334" s="749"/>
      <c r="I334" s="735">
        <v>85945.67</v>
      </c>
      <c r="J334" s="735">
        <v>1485.64</v>
      </c>
      <c r="K334" s="735">
        <v>87431.31</v>
      </c>
      <c r="L334" s="750">
        <v>87431.31</v>
      </c>
    </row>
    <row r="335" spans="1:12" ht="21" x14ac:dyDescent="0.25">
      <c r="A335" s="561" t="s">
        <v>83</v>
      </c>
      <c r="B335" s="749">
        <v>2023</v>
      </c>
      <c r="C335" s="561" t="s">
        <v>714</v>
      </c>
      <c r="D335" s="561" t="s">
        <v>1006</v>
      </c>
      <c r="E335" s="561" t="s">
        <v>38</v>
      </c>
      <c r="F335" s="735">
        <v>40021.61</v>
      </c>
      <c r="G335" s="749">
        <v>1</v>
      </c>
      <c r="H335" s="749"/>
      <c r="I335" s="735">
        <v>39876.81</v>
      </c>
      <c r="J335" s="735">
        <v>144.80000000000001</v>
      </c>
      <c r="K335" s="735">
        <v>40021.61</v>
      </c>
      <c r="L335" s="750">
        <v>40021.61</v>
      </c>
    </row>
    <row r="336" spans="1:12" x14ac:dyDescent="0.25">
      <c r="A336" s="561" t="s">
        <v>83</v>
      </c>
      <c r="B336" s="749">
        <v>2023</v>
      </c>
      <c r="C336" s="561" t="s">
        <v>716</v>
      </c>
      <c r="D336" s="561" t="s">
        <v>1007</v>
      </c>
      <c r="E336" s="561" t="s">
        <v>66</v>
      </c>
      <c r="F336" s="735">
        <v>-143376.17000000001</v>
      </c>
      <c r="G336" s="749">
        <v>1</v>
      </c>
      <c r="H336" s="749"/>
      <c r="I336" s="735">
        <v>-140246.62</v>
      </c>
      <c r="J336" s="735">
        <v>-3129.55</v>
      </c>
      <c r="K336" s="735">
        <v>-143376.17000000001</v>
      </c>
      <c r="L336" s="750">
        <v>-143376.17000000001</v>
      </c>
    </row>
    <row r="337" spans="1:12" ht="21" x14ac:dyDescent="0.25">
      <c r="A337" s="561" t="s">
        <v>83</v>
      </c>
      <c r="B337" s="749">
        <v>2023</v>
      </c>
      <c r="C337" s="561" t="s">
        <v>718</v>
      </c>
      <c r="D337" s="561" t="s">
        <v>1008</v>
      </c>
      <c r="E337" s="561" t="s">
        <v>720</v>
      </c>
      <c r="F337" s="735">
        <v>0</v>
      </c>
      <c r="G337" s="749">
        <v>0</v>
      </c>
      <c r="H337" s="749"/>
      <c r="I337" s="733"/>
      <c r="J337" s="733"/>
      <c r="K337" s="735">
        <v>0</v>
      </c>
      <c r="L337" s="750">
        <v>0</v>
      </c>
    </row>
    <row r="338" spans="1:12" ht="31.5" x14ac:dyDescent="0.25">
      <c r="A338" s="561" t="s">
        <v>83</v>
      </c>
      <c r="B338" s="749">
        <v>2023</v>
      </c>
      <c r="C338" s="561" t="s">
        <v>721</v>
      </c>
      <c r="D338" s="561" t="s">
        <v>1010</v>
      </c>
      <c r="E338" s="561" t="s">
        <v>724</v>
      </c>
      <c r="F338" s="735">
        <v>0</v>
      </c>
      <c r="G338" s="749">
        <v>1</v>
      </c>
      <c r="H338" s="749"/>
      <c r="I338" s="733"/>
      <c r="J338" s="733"/>
      <c r="K338" s="735">
        <v>0</v>
      </c>
      <c r="L338" s="750">
        <v>0</v>
      </c>
    </row>
    <row r="339" spans="1:12" ht="31.5" x14ac:dyDescent="0.25">
      <c r="A339" s="561" t="s">
        <v>83</v>
      </c>
      <c r="B339" s="749">
        <v>2023</v>
      </c>
      <c r="C339" s="561" t="s">
        <v>721</v>
      </c>
      <c r="D339" s="561" t="s">
        <v>1011</v>
      </c>
      <c r="E339" s="561" t="s">
        <v>55</v>
      </c>
      <c r="F339" s="735">
        <v>0</v>
      </c>
      <c r="G339" s="749">
        <v>1</v>
      </c>
      <c r="H339" s="749"/>
      <c r="I339" s="733"/>
      <c r="J339" s="733"/>
      <c r="K339" s="735">
        <v>0</v>
      </c>
      <c r="L339" s="750">
        <v>0</v>
      </c>
    </row>
    <row r="340" spans="1:12" ht="31.5" x14ac:dyDescent="0.25">
      <c r="A340" s="561" t="s">
        <v>83</v>
      </c>
      <c r="B340" s="749">
        <v>2023</v>
      </c>
      <c r="C340" s="561" t="s">
        <v>721</v>
      </c>
      <c r="D340" s="561" t="s">
        <v>1012</v>
      </c>
      <c r="E340" s="561" t="s">
        <v>56</v>
      </c>
      <c r="F340" s="735">
        <v>0</v>
      </c>
      <c r="G340" s="749">
        <v>1</v>
      </c>
      <c r="H340" s="749"/>
      <c r="I340" s="733"/>
      <c r="J340" s="733"/>
      <c r="K340" s="735">
        <v>0</v>
      </c>
      <c r="L340" s="750">
        <v>0</v>
      </c>
    </row>
    <row r="341" spans="1:12" ht="31.5" x14ac:dyDescent="0.25">
      <c r="A341" s="561" t="s">
        <v>83</v>
      </c>
      <c r="B341" s="749">
        <v>2023</v>
      </c>
      <c r="C341" s="561" t="s">
        <v>721</v>
      </c>
      <c r="D341" s="561" t="s">
        <v>1013</v>
      </c>
      <c r="E341" s="561" t="s">
        <v>728</v>
      </c>
      <c r="F341" s="735">
        <v>0</v>
      </c>
      <c r="G341" s="749">
        <v>1</v>
      </c>
      <c r="H341" s="749"/>
      <c r="I341" s="733"/>
      <c r="J341" s="733"/>
      <c r="K341" s="735">
        <v>0</v>
      </c>
      <c r="L341" s="750">
        <v>0</v>
      </c>
    </row>
    <row r="342" spans="1:12" ht="31.5" x14ac:dyDescent="0.25">
      <c r="A342" s="561" t="s">
        <v>83</v>
      </c>
      <c r="B342" s="749">
        <v>2023</v>
      </c>
      <c r="C342" s="561" t="s">
        <v>721</v>
      </c>
      <c r="D342" s="561" t="s">
        <v>1014</v>
      </c>
      <c r="E342" s="561" t="s">
        <v>730</v>
      </c>
      <c r="F342" s="735">
        <v>0</v>
      </c>
      <c r="G342" s="749">
        <v>1</v>
      </c>
      <c r="H342" s="749"/>
      <c r="I342" s="733"/>
      <c r="J342" s="733"/>
      <c r="K342" s="735">
        <v>0</v>
      </c>
      <c r="L342" s="750">
        <v>0</v>
      </c>
    </row>
    <row r="343" spans="1:12" ht="31.5" x14ac:dyDescent="0.25">
      <c r="A343" s="561" t="s">
        <v>83</v>
      </c>
      <c r="B343" s="749">
        <v>2023</v>
      </c>
      <c r="C343" s="561" t="s">
        <v>721</v>
      </c>
      <c r="D343" s="561" t="s">
        <v>1015</v>
      </c>
      <c r="E343" s="561" t="s">
        <v>142</v>
      </c>
      <c r="F343" s="735">
        <v>0</v>
      </c>
      <c r="G343" s="749">
        <v>1</v>
      </c>
      <c r="H343" s="749"/>
      <c r="I343" s="733"/>
      <c r="J343" s="733"/>
      <c r="K343" s="735">
        <v>0</v>
      </c>
      <c r="L343" s="750">
        <v>0</v>
      </c>
    </row>
    <row r="344" spans="1:12" ht="31.5" x14ac:dyDescent="0.25">
      <c r="A344" s="561" t="s">
        <v>83</v>
      </c>
      <c r="B344" s="749">
        <v>2023</v>
      </c>
      <c r="C344" s="561" t="s">
        <v>721</v>
      </c>
      <c r="D344" s="561" t="s">
        <v>1016</v>
      </c>
      <c r="E344" s="561" t="s">
        <v>143</v>
      </c>
      <c r="F344" s="735">
        <v>0</v>
      </c>
      <c r="G344" s="749">
        <v>1</v>
      </c>
      <c r="H344" s="749"/>
      <c r="I344" s="733"/>
      <c r="J344" s="733"/>
      <c r="K344" s="735">
        <v>0</v>
      </c>
      <c r="L344" s="750">
        <v>0</v>
      </c>
    </row>
    <row r="345" spans="1:12" ht="31.5" x14ac:dyDescent="0.25">
      <c r="A345" s="561" t="s">
        <v>83</v>
      </c>
      <c r="B345" s="749">
        <v>2023</v>
      </c>
      <c r="C345" s="561" t="s">
        <v>721</v>
      </c>
      <c r="D345" s="561" t="s">
        <v>1017</v>
      </c>
      <c r="E345" s="561" t="s">
        <v>182</v>
      </c>
      <c r="F345" s="735">
        <v>0</v>
      </c>
      <c r="G345" s="749">
        <v>1</v>
      </c>
      <c r="H345" s="749"/>
      <c r="I345" s="733"/>
      <c r="J345" s="733"/>
      <c r="K345" s="735">
        <v>0</v>
      </c>
      <c r="L345" s="750">
        <v>0</v>
      </c>
    </row>
    <row r="346" spans="1:12" ht="31.5" x14ac:dyDescent="0.25">
      <c r="A346" s="561" t="s">
        <v>83</v>
      </c>
      <c r="B346" s="749">
        <v>2023</v>
      </c>
      <c r="C346" s="561" t="s">
        <v>721</v>
      </c>
      <c r="D346" s="561" t="s">
        <v>1018</v>
      </c>
      <c r="E346" s="561" t="s">
        <v>394</v>
      </c>
      <c r="F346" s="735">
        <v>0</v>
      </c>
      <c r="G346" s="749">
        <v>1</v>
      </c>
      <c r="H346" s="749"/>
      <c r="I346" s="733"/>
      <c r="J346" s="733"/>
      <c r="K346" s="735">
        <v>0</v>
      </c>
      <c r="L346" s="750">
        <v>0</v>
      </c>
    </row>
    <row r="347" spans="1:12" ht="31.5" x14ac:dyDescent="0.25">
      <c r="A347" s="561" t="s">
        <v>83</v>
      </c>
      <c r="B347" s="749">
        <v>2023</v>
      </c>
      <c r="C347" s="561" t="s">
        <v>721</v>
      </c>
      <c r="D347" s="561" t="s">
        <v>1019</v>
      </c>
      <c r="E347" s="561" t="s">
        <v>423</v>
      </c>
      <c r="F347" s="735">
        <v>0</v>
      </c>
      <c r="G347" s="749">
        <v>1</v>
      </c>
      <c r="H347" s="749"/>
      <c r="I347" s="733"/>
      <c r="J347" s="733"/>
      <c r="K347" s="735">
        <v>0</v>
      </c>
      <c r="L347" s="750">
        <v>0</v>
      </c>
    </row>
    <row r="348" spans="1:12" ht="31.5" x14ac:dyDescent="0.25">
      <c r="A348" s="561" t="s">
        <v>83</v>
      </c>
      <c r="B348" s="749">
        <v>2023</v>
      </c>
      <c r="C348" s="561" t="s">
        <v>721</v>
      </c>
      <c r="D348" s="561" t="s">
        <v>3079</v>
      </c>
      <c r="E348" s="561" t="s">
        <v>441</v>
      </c>
      <c r="F348" s="735">
        <v>0</v>
      </c>
      <c r="G348" s="749">
        <v>1</v>
      </c>
      <c r="H348" s="749"/>
      <c r="I348" s="735">
        <v>33310.29</v>
      </c>
      <c r="J348" s="735">
        <v>-9548.51</v>
      </c>
      <c r="K348" s="735">
        <v>23761.78</v>
      </c>
      <c r="L348" s="750">
        <v>23761.78</v>
      </c>
    </row>
    <row r="349" spans="1:12" ht="31.5" x14ac:dyDescent="0.25">
      <c r="A349" s="561" t="s">
        <v>83</v>
      </c>
      <c r="B349" s="749">
        <v>2023</v>
      </c>
      <c r="C349" s="561" t="s">
        <v>721</v>
      </c>
      <c r="D349" s="561" t="s">
        <v>3480</v>
      </c>
      <c r="E349" s="561" t="s">
        <v>3016</v>
      </c>
      <c r="F349" s="735">
        <v>0</v>
      </c>
      <c r="G349" s="749">
        <v>1</v>
      </c>
      <c r="H349" s="749"/>
      <c r="I349" s="735">
        <v>-12830.26</v>
      </c>
      <c r="J349" s="735">
        <v>8467.6</v>
      </c>
      <c r="K349" s="735">
        <v>-4362.66</v>
      </c>
      <c r="L349" s="750">
        <v>-4362.66</v>
      </c>
    </row>
    <row r="350" spans="1:12" ht="31.5" x14ac:dyDescent="0.25">
      <c r="A350" s="561" t="s">
        <v>83</v>
      </c>
      <c r="B350" s="749">
        <v>2023</v>
      </c>
      <c r="C350" s="561" t="s">
        <v>721</v>
      </c>
      <c r="D350" s="561" t="s">
        <v>3481</v>
      </c>
      <c r="E350" s="561" t="s">
        <v>3058</v>
      </c>
      <c r="F350" s="735">
        <v>0</v>
      </c>
      <c r="G350" s="749">
        <v>1</v>
      </c>
      <c r="H350" s="749"/>
      <c r="I350" s="735">
        <v>-3643.93</v>
      </c>
      <c r="J350" s="735">
        <v>1260.47</v>
      </c>
      <c r="K350" s="735">
        <v>-2383.46</v>
      </c>
      <c r="L350" s="750">
        <v>-2383.46</v>
      </c>
    </row>
    <row r="351" spans="1:12" ht="31.5" x14ac:dyDescent="0.25">
      <c r="A351" s="561" t="s">
        <v>83</v>
      </c>
      <c r="B351" s="749">
        <v>2023</v>
      </c>
      <c r="C351" s="561" t="s">
        <v>721</v>
      </c>
      <c r="D351" s="561" t="s">
        <v>3482</v>
      </c>
      <c r="E351" s="561" t="s">
        <v>3063</v>
      </c>
      <c r="F351" s="735">
        <v>0</v>
      </c>
      <c r="G351" s="749">
        <v>1</v>
      </c>
      <c r="H351" s="749"/>
      <c r="I351" s="733"/>
      <c r="J351" s="733"/>
      <c r="K351" s="735">
        <v>0</v>
      </c>
      <c r="L351" s="750">
        <v>0</v>
      </c>
    </row>
    <row r="352" spans="1:12" ht="31.5" x14ac:dyDescent="0.25">
      <c r="A352" s="561" t="s">
        <v>83</v>
      </c>
      <c r="B352" s="749">
        <v>2023</v>
      </c>
      <c r="C352" s="561" t="s">
        <v>721</v>
      </c>
      <c r="D352" s="561" t="s">
        <v>3704</v>
      </c>
      <c r="E352" s="561" t="s">
        <v>3425</v>
      </c>
      <c r="F352" s="735">
        <v>0</v>
      </c>
      <c r="G352" s="749">
        <v>1</v>
      </c>
      <c r="H352" s="749"/>
      <c r="I352" s="735">
        <v>-11651.88</v>
      </c>
      <c r="J352" s="735">
        <v>6335.12</v>
      </c>
      <c r="K352" s="735">
        <v>-5316.76</v>
      </c>
      <c r="L352" s="750">
        <v>-5316.76</v>
      </c>
    </row>
    <row r="353" spans="1:12" ht="42" x14ac:dyDescent="0.25">
      <c r="A353" s="561" t="s">
        <v>83</v>
      </c>
      <c r="B353" s="749">
        <v>2023</v>
      </c>
      <c r="C353" s="561" t="s">
        <v>721</v>
      </c>
      <c r="D353" s="561" t="s">
        <v>3705</v>
      </c>
      <c r="E353" s="561" t="s">
        <v>737</v>
      </c>
      <c r="F353" s="735">
        <v>11698.9</v>
      </c>
      <c r="G353" s="749">
        <v>0</v>
      </c>
      <c r="H353" s="749"/>
      <c r="I353" s="733"/>
      <c r="J353" s="733"/>
      <c r="K353" s="735">
        <v>0</v>
      </c>
      <c r="L353" s="750">
        <v>11698.9</v>
      </c>
    </row>
    <row r="354" spans="1:12" x14ac:dyDescent="0.25">
      <c r="A354" s="561" t="s">
        <v>83</v>
      </c>
      <c r="B354" s="749">
        <v>2023</v>
      </c>
      <c r="C354" s="561" t="s">
        <v>738</v>
      </c>
      <c r="D354" s="561" t="s">
        <v>1021</v>
      </c>
      <c r="E354" s="561" t="s">
        <v>7</v>
      </c>
      <c r="F354" s="735">
        <v>0</v>
      </c>
      <c r="G354" s="749">
        <v>0</v>
      </c>
      <c r="H354" s="749"/>
      <c r="I354" s="733"/>
      <c r="J354" s="733"/>
      <c r="K354" s="735">
        <v>0</v>
      </c>
      <c r="L354" s="750">
        <v>0</v>
      </c>
    </row>
    <row r="355" spans="1:12" x14ac:dyDescent="0.25">
      <c r="A355" s="561" t="s">
        <v>84</v>
      </c>
      <c r="B355" s="749">
        <v>2023</v>
      </c>
      <c r="C355" s="561" t="s">
        <v>647</v>
      </c>
      <c r="D355" s="561" t="s">
        <v>1022</v>
      </c>
      <c r="E355" s="561" t="s">
        <v>649</v>
      </c>
      <c r="F355" s="735">
        <v>-7818.47</v>
      </c>
      <c r="G355" s="749">
        <v>0</v>
      </c>
      <c r="H355" s="749"/>
      <c r="I355" s="733"/>
      <c r="J355" s="733"/>
      <c r="K355" s="735">
        <v>0</v>
      </c>
      <c r="L355" s="750">
        <v>-7818.47</v>
      </c>
    </row>
    <row r="356" spans="1:12" ht="21" x14ac:dyDescent="0.25">
      <c r="A356" s="561" t="s">
        <v>84</v>
      </c>
      <c r="B356" s="749">
        <v>2023</v>
      </c>
      <c r="C356" s="561" t="s">
        <v>3691</v>
      </c>
      <c r="D356" s="561" t="s">
        <v>3628</v>
      </c>
      <c r="E356" s="561" t="s">
        <v>3675</v>
      </c>
      <c r="F356" s="735">
        <v>0</v>
      </c>
      <c r="G356" s="749">
        <v>0</v>
      </c>
      <c r="H356" s="749"/>
      <c r="I356" s="733"/>
      <c r="J356" s="733"/>
      <c r="K356" s="735">
        <v>0</v>
      </c>
      <c r="L356" s="750">
        <v>0</v>
      </c>
    </row>
    <row r="357" spans="1:12" x14ac:dyDescent="0.25">
      <c r="A357" s="561" t="s">
        <v>84</v>
      </c>
      <c r="B357" s="749">
        <v>2023</v>
      </c>
      <c r="C357" s="561" t="s">
        <v>651</v>
      </c>
      <c r="D357" s="561" t="s">
        <v>1023</v>
      </c>
      <c r="E357" s="561" t="s">
        <v>653</v>
      </c>
      <c r="F357" s="735">
        <v>-2495.12</v>
      </c>
      <c r="G357" s="749">
        <v>0</v>
      </c>
      <c r="H357" s="749"/>
      <c r="I357" s="733"/>
      <c r="J357" s="733"/>
      <c r="K357" s="735">
        <v>0</v>
      </c>
      <c r="L357" s="750">
        <v>-2495.12</v>
      </c>
    </row>
    <row r="358" spans="1:12" ht="31.5" x14ac:dyDescent="0.25">
      <c r="A358" s="561" t="s">
        <v>84</v>
      </c>
      <c r="B358" s="749">
        <v>2023</v>
      </c>
      <c r="C358" s="561" t="s">
        <v>654</v>
      </c>
      <c r="D358" s="561" t="s">
        <v>1024</v>
      </c>
      <c r="E358" s="561" t="s">
        <v>445</v>
      </c>
      <c r="F358" s="735">
        <v>0</v>
      </c>
      <c r="G358" s="749">
        <v>0</v>
      </c>
      <c r="H358" s="749"/>
      <c r="I358" s="733"/>
      <c r="J358" s="733"/>
      <c r="K358" s="735">
        <v>0</v>
      </c>
      <c r="L358" s="750">
        <v>0</v>
      </c>
    </row>
    <row r="359" spans="1:12" ht="21" x14ac:dyDescent="0.25">
      <c r="A359" s="561" t="s">
        <v>84</v>
      </c>
      <c r="B359" s="749">
        <v>2023</v>
      </c>
      <c r="C359" s="561" t="s">
        <v>656</v>
      </c>
      <c r="D359" s="561" t="s">
        <v>1025</v>
      </c>
      <c r="E359" s="561" t="s">
        <v>658</v>
      </c>
      <c r="F359" s="735">
        <v>0</v>
      </c>
      <c r="G359" s="749">
        <v>0</v>
      </c>
      <c r="H359" s="749"/>
      <c r="I359" s="733"/>
      <c r="J359" s="733"/>
      <c r="K359" s="735">
        <v>0</v>
      </c>
      <c r="L359" s="750">
        <v>0</v>
      </c>
    </row>
    <row r="360" spans="1:12" ht="21" x14ac:dyDescent="0.25">
      <c r="A360" s="561" t="s">
        <v>84</v>
      </c>
      <c r="B360" s="749">
        <v>2023</v>
      </c>
      <c r="C360" s="561" t="s">
        <v>659</v>
      </c>
      <c r="D360" s="561" t="s">
        <v>1026</v>
      </c>
      <c r="E360" s="561" t="s">
        <v>661</v>
      </c>
      <c r="F360" s="735">
        <v>0</v>
      </c>
      <c r="G360" s="749">
        <v>0</v>
      </c>
      <c r="H360" s="749"/>
      <c r="I360" s="733"/>
      <c r="J360" s="733"/>
      <c r="K360" s="735">
        <v>0</v>
      </c>
      <c r="L360" s="750">
        <v>0</v>
      </c>
    </row>
    <row r="361" spans="1:12" ht="21" x14ac:dyDescent="0.25">
      <c r="A361" s="561" t="s">
        <v>84</v>
      </c>
      <c r="B361" s="749">
        <v>2023</v>
      </c>
      <c r="C361" s="561" t="s">
        <v>662</v>
      </c>
      <c r="D361" s="561" t="s">
        <v>1027</v>
      </c>
      <c r="E361" s="561" t="s">
        <v>664</v>
      </c>
      <c r="F361" s="735">
        <v>0</v>
      </c>
      <c r="G361" s="749">
        <v>0</v>
      </c>
      <c r="H361" s="749"/>
      <c r="I361" s="733"/>
      <c r="J361" s="733"/>
      <c r="K361" s="735">
        <v>0</v>
      </c>
      <c r="L361" s="750">
        <v>0</v>
      </c>
    </row>
    <row r="362" spans="1:12" ht="31.5" x14ac:dyDescent="0.25">
      <c r="A362" s="561" t="s">
        <v>84</v>
      </c>
      <c r="B362" s="749">
        <v>2023</v>
      </c>
      <c r="C362" s="561" t="s">
        <v>665</v>
      </c>
      <c r="D362" s="561" t="s">
        <v>1028</v>
      </c>
      <c r="E362" s="561" t="s">
        <v>667</v>
      </c>
      <c r="F362" s="735">
        <v>0</v>
      </c>
      <c r="G362" s="749">
        <v>0</v>
      </c>
      <c r="H362" s="749"/>
      <c r="I362" s="733"/>
      <c r="J362" s="733"/>
      <c r="K362" s="735">
        <v>0</v>
      </c>
      <c r="L362" s="750">
        <v>0</v>
      </c>
    </row>
    <row r="363" spans="1:12" ht="21" x14ac:dyDescent="0.25">
      <c r="A363" s="561" t="s">
        <v>84</v>
      </c>
      <c r="B363" s="749">
        <v>2023</v>
      </c>
      <c r="C363" s="561" t="s">
        <v>668</v>
      </c>
      <c r="D363" s="561" t="s">
        <v>1029</v>
      </c>
      <c r="E363" s="561" t="s">
        <v>12</v>
      </c>
      <c r="F363" s="735">
        <v>0</v>
      </c>
      <c r="G363" s="749">
        <v>0</v>
      </c>
      <c r="H363" s="749"/>
      <c r="I363" s="733"/>
      <c r="J363" s="733"/>
      <c r="K363" s="735">
        <v>0</v>
      </c>
      <c r="L363" s="750">
        <v>0</v>
      </c>
    </row>
    <row r="364" spans="1:12" ht="21" x14ac:dyDescent="0.25">
      <c r="A364" s="561" t="s">
        <v>84</v>
      </c>
      <c r="B364" s="749">
        <v>2023</v>
      </c>
      <c r="C364" s="561" t="s">
        <v>670</v>
      </c>
      <c r="D364" s="561" t="s">
        <v>1030</v>
      </c>
      <c r="E364" s="561" t="s">
        <v>13</v>
      </c>
      <c r="F364" s="735">
        <v>0</v>
      </c>
      <c r="G364" s="749">
        <v>0</v>
      </c>
      <c r="H364" s="749"/>
      <c r="I364" s="733"/>
      <c r="J364" s="733"/>
      <c r="K364" s="735">
        <v>0</v>
      </c>
      <c r="L364" s="750">
        <v>0</v>
      </c>
    </row>
    <row r="365" spans="1:12" ht="21" x14ac:dyDescent="0.25">
      <c r="A365" s="561" t="s">
        <v>84</v>
      </c>
      <c r="B365" s="749">
        <v>2023</v>
      </c>
      <c r="C365" s="561" t="s">
        <v>672</v>
      </c>
      <c r="D365" s="561" t="s">
        <v>1031</v>
      </c>
      <c r="E365" s="561" t="s">
        <v>15</v>
      </c>
      <c r="F365" s="735">
        <v>0</v>
      </c>
      <c r="G365" s="749">
        <v>0</v>
      </c>
      <c r="H365" s="749"/>
      <c r="I365" s="733"/>
      <c r="J365" s="733"/>
      <c r="K365" s="735">
        <v>0</v>
      </c>
      <c r="L365" s="750">
        <v>0</v>
      </c>
    </row>
    <row r="366" spans="1:12" x14ac:dyDescent="0.25">
      <c r="A366" s="561" t="s">
        <v>84</v>
      </c>
      <c r="B366" s="749">
        <v>2023</v>
      </c>
      <c r="C366" s="561" t="s">
        <v>674</v>
      </c>
      <c r="D366" s="561" t="s">
        <v>1032</v>
      </c>
      <c r="E366" s="561" t="s">
        <v>676</v>
      </c>
      <c r="F366" s="735">
        <v>0</v>
      </c>
      <c r="G366" s="749">
        <v>0</v>
      </c>
      <c r="H366" s="749"/>
      <c r="I366" s="733"/>
      <c r="J366" s="733"/>
      <c r="K366" s="735">
        <v>0</v>
      </c>
      <c r="L366" s="750">
        <v>0</v>
      </c>
    </row>
    <row r="367" spans="1:12" x14ac:dyDescent="0.25">
      <c r="A367" s="561" t="s">
        <v>84</v>
      </c>
      <c r="B367" s="749">
        <v>2023</v>
      </c>
      <c r="C367" s="561" t="s">
        <v>677</v>
      </c>
      <c r="D367" s="561" t="s">
        <v>1033</v>
      </c>
      <c r="E367" s="561" t="s">
        <v>23</v>
      </c>
      <c r="F367" s="735">
        <v>17089.71</v>
      </c>
      <c r="G367" s="749">
        <v>1</v>
      </c>
      <c r="H367" s="749"/>
      <c r="I367" s="735">
        <v>16115.6</v>
      </c>
      <c r="J367" s="735">
        <v>974.11</v>
      </c>
      <c r="K367" s="735">
        <v>17089.71</v>
      </c>
      <c r="L367" s="750">
        <v>17089.71</v>
      </c>
    </row>
    <row r="368" spans="1:12" ht="21" x14ac:dyDescent="0.25">
      <c r="A368" s="561" t="s">
        <v>84</v>
      </c>
      <c r="B368" s="749">
        <v>2023</v>
      </c>
      <c r="C368" s="561" t="s">
        <v>679</v>
      </c>
      <c r="D368" s="561" t="s">
        <v>1034</v>
      </c>
      <c r="E368" s="561" t="s">
        <v>131</v>
      </c>
      <c r="F368" s="735">
        <v>-4018.57</v>
      </c>
      <c r="G368" s="749">
        <v>1</v>
      </c>
      <c r="H368" s="749"/>
      <c r="I368" s="735">
        <v>-3789.51</v>
      </c>
      <c r="J368" s="735">
        <v>-229.06</v>
      </c>
      <c r="K368" s="735">
        <v>-4018.57</v>
      </c>
      <c r="L368" s="750">
        <v>-4018.57</v>
      </c>
    </row>
    <row r="369" spans="1:12" ht="31.5" x14ac:dyDescent="0.25">
      <c r="A369" s="561" t="s">
        <v>84</v>
      </c>
      <c r="B369" s="749">
        <v>2023</v>
      </c>
      <c r="C369" s="561" t="s">
        <v>681</v>
      </c>
      <c r="D369" s="561" t="s">
        <v>1035</v>
      </c>
      <c r="E369" s="561" t="s">
        <v>683</v>
      </c>
      <c r="F369" s="735">
        <v>4438.32</v>
      </c>
      <c r="G369" s="749">
        <v>0</v>
      </c>
      <c r="H369" s="749"/>
      <c r="I369" s="733"/>
      <c r="J369" s="733"/>
      <c r="K369" s="735">
        <v>0</v>
      </c>
      <c r="L369" s="750">
        <v>4438.32</v>
      </c>
    </row>
    <row r="370" spans="1:12" ht="21" x14ac:dyDescent="0.25">
      <c r="A370" s="561" t="s">
        <v>84</v>
      </c>
      <c r="B370" s="749">
        <v>2023</v>
      </c>
      <c r="C370" s="561" t="s">
        <v>681</v>
      </c>
      <c r="D370" s="561" t="s">
        <v>1035</v>
      </c>
      <c r="E370" s="561" t="s">
        <v>684</v>
      </c>
      <c r="F370" s="735">
        <v>0</v>
      </c>
      <c r="G370" s="749">
        <v>0</v>
      </c>
      <c r="H370" s="749"/>
      <c r="I370" s="733"/>
      <c r="J370" s="733"/>
      <c r="K370" s="735">
        <v>0</v>
      </c>
      <c r="L370" s="751">
        <v>0</v>
      </c>
    </row>
    <row r="371" spans="1:12" x14ac:dyDescent="0.25">
      <c r="A371" s="561" t="s">
        <v>84</v>
      </c>
      <c r="B371" s="749">
        <v>2023</v>
      </c>
      <c r="C371" s="561" t="s">
        <v>685</v>
      </c>
      <c r="D371" s="561" t="s">
        <v>1036</v>
      </c>
      <c r="E371" s="561" t="s">
        <v>687</v>
      </c>
      <c r="F371" s="735">
        <v>0</v>
      </c>
      <c r="G371" s="749">
        <v>0</v>
      </c>
      <c r="H371" s="749"/>
      <c r="I371" s="733"/>
      <c r="J371" s="733"/>
      <c r="K371" s="735">
        <v>0</v>
      </c>
      <c r="L371" s="750">
        <v>0</v>
      </c>
    </row>
    <row r="372" spans="1:12" x14ac:dyDescent="0.25">
      <c r="A372" s="561" t="s">
        <v>84</v>
      </c>
      <c r="B372" s="749">
        <v>2023</v>
      </c>
      <c r="C372" s="561" t="s">
        <v>688</v>
      </c>
      <c r="D372" s="561" t="s">
        <v>1037</v>
      </c>
      <c r="E372" s="561" t="s">
        <v>50</v>
      </c>
      <c r="F372" s="735">
        <v>0</v>
      </c>
      <c r="G372" s="749">
        <v>0</v>
      </c>
      <c r="H372" s="749"/>
      <c r="I372" s="733"/>
      <c r="J372" s="733"/>
      <c r="K372" s="735">
        <v>0</v>
      </c>
      <c r="L372" s="750">
        <v>0</v>
      </c>
    </row>
    <row r="373" spans="1:12" x14ac:dyDescent="0.25">
      <c r="A373" s="561" t="s">
        <v>84</v>
      </c>
      <c r="B373" s="749">
        <v>2023</v>
      </c>
      <c r="C373" s="561" t="s">
        <v>690</v>
      </c>
      <c r="D373" s="561" t="s">
        <v>1038</v>
      </c>
      <c r="E373" s="561" t="s">
        <v>692</v>
      </c>
      <c r="F373" s="735">
        <v>0</v>
      </c>
      <c r="G373" s="749">
        <v>0</v>
      </c>
      <c r="H373" s="749"/>
      <c r="I373" s="733"/>
      <c r="J373" s="733"/>
      <c r="K373" s="735">
        <v>0</v>
      </c>
      <c r="L373" s="750">
        <v>0</v>
      </c>
    </row>
    <row r="374" spans="1:12" ht="21" x14ac:dyDescent="0.25">
      <c r="A374" s="561" t="s">
        <v>84</v>
      </c>
      <c r="B374" s="749">
        <v>2023</v>
      </c>
      <c r="C374" s="561" t="s">
        <v>693</v>
      </c>
      <c r="D374" s="561" t="s">
        <v>1039</v>
      </c>
      <c r="E374" s="561" t="s">
        <v>6</v>
      </c>
      <c r="F374" s="735">
        <v>0</v>
      </c>
      <c r="G374" s="749">
        <v>0</v>
      </c>
      <c r="H374" s="749"/>
      <c r="I374" s="733"/>
      <c r="J374" s="733"/>
      <c r="K374" s="735">
        <v>0</v>
      </c>
      <c r="L374" s="750">
        <v>0</v>
      </c>
    </row>
    <row r="375" spans="1:12" ht="21" x14ac:dyDescent="0.25">
      <c r="A375" s="561" t="s">
        <v>84</v>
      </c>
      <c r="B375" s="749">
        <v>2023</v>
      </c>
      <c r="C375" s="561" t="s">
        <v>695</v>
      </c>
      <c r="D375" s="561" t="s">
        <v>1040</v>
      </c>
      <c r="E375" s="561" t="s">
        <v>697</v>
      </c>
      <c r="F375" s="735">
        <v>0</v>
      </c>
      <c r="G375" s="749">
        <v>0</v>
      </c>
      <c r="H375" s="749"/>
      <c r="I375" s="733"/>
      <c r="J375" s="733"/>
      <c r="K375" s="735">
        <v>0</v>
      </c>
      <c r="L375" s="750">
        <v>0</v>
      </c>
    </row>
    <row r="376" spans="1:12" x14ac:dyDescent="0.25">
      <c r="A376" s="561" t="s">
        <v>84</v>
      </c>
      <c r="B376" s="749">
        <v>2023</v>
      </c>
      <c r="C376" s="561" t="s">
        <v>698</v>
      </c>
      <c r="D376" s="561" t="s">
        <v>1041</v>
      </c>
      <c r="E376" s="561" t="s">
        <v>700</v>
      </c>
      <c r="F376" s="735">
        <v>33497</v>
      </c>
      <c r="G376" s="749">
        <v>0</v>
      </c>
      <c r="H376" s="749"/>
      <c r="I376" s="733"/>
      <c r="J376" s="733"/>
      <c r="K376" s="735">
        <v>0</v>
      </c>
      <c r="L376" s="750">
        <v>33497</v>
      </c>
    </row>
    <row r="377" spans="1:12" ht="21" x14ac:dyDescent="0.25">
      <c r="A377" s="561" t="s">
        <v>84</v>
      </c>
      <c r="B377" s="749">
        <v>2023</v>
      </c>
      <c r="C377" s="561" t="s">
        <v>701</v>
      </c>
      <c r="D377" s="561" t="s">
        <v>1042</v>
      </c>
      <c r="E377" s="561" t="s">
        <v>1</v>
      </c>
      <c r="F377" s="735">
        <v>53789.81</v>
      </c>
      <c r="G377" s="749">
        <v>1</v>
      </c>
      <c r="H377" s="749"/>
      <c r="I377" s="735">
        <v>50723.79</v>
      </c>
      <c r="J377" s="735">
        <v>3066.02</v>
      </c>
      <c r="K377" s="735">
        <v>53789.81</v>
      </c>
      <c r="L377" s="750">
        <v>53789.81</v>
      </c>
    </row>
    <row r="378" spans="1:12" ht="21" x14ac:dyDescent="0.25">
      <c r="A378" s="561" t="s">
        <v>84</v>
      </c>
      <c r="B378" s="749">
        <v>2023</v>
      </c>
      <c r="C378" s="561" t="s">
        <v>701</v>
      </c>
      <c r="D378" s="561" t="s">
        <v>1042</v>
      </c>
      <c r="E378" s="561" t="s">
        <v>703</v>
      </c>
      <c r="F378" s="735">
        <v>0</v>
      </c>
      <c r="G378" s="749">
        <v>0</v>
      </c>
      <c r="H378" s="749"/>
      <c r="I378" s="733"/>
      <c r="J378" s="733"/>
      <c r="K378" s="735">
        <v>0</v>
      </c>
      <c r="L378" s="751">
        <v>0</v>
      </c>
    </row>
    <row r="379" spans="1:12" ht="21" x14ac:dyDescent="0.25">
      <c r="A379" s="561" t="s">
        <v>84</v>
      </c>
      <c r="B379" s="749">
        <v>2023</v>
      </c>
      <c r="C379" s="561" t="s">
        <v>701</v>
      </c>
      <c r="D379" s="561" t="s">
        <v>1042</v>
      </c>
      <c r="E379" s="561" t="s">
        <v>704</v>
      </c>
      <c r="F379" s="735">
        <v>0</v>
      </c>
      <c r="G379" s="749">
        <v>0</v>
      </c>
      <c r="H379" s="749"/>
      <c r="I379" s="733"/>
      <c r="J379" s="733"/>
      <c r="K379" s="735">
        <v>0</v>
      </c>
      <c r="L379" s="751">
        <v>0</v>
      </c>
    </row>
    <row r="380" spans="1:12" ht="21" x14ac:dyDescent="0.25">
      <c r="A380" s="561" t="s">
        <v>84</v>
      </c>
      <c r="B380" s="749">
        <v>2023</v>
      </c>
      <c r="C380" s="561" t="s">
        <v>701</v>
      </c>
      <c r="D380" s="561" t="s">
        <v>1042</v>
      </c>
      <c r="E380" s="561" t="s">
        <v>705</v>
      </c>
      <c r="F380" s="735">
        <v>0</v>
      </c>
      <c r="G380" s="749">
        <v>0</v>
      </c>
      <c r="H380" s="749"/>
      <c r="I380" s="733"/>
      <c r="J380" s="733"/>
      <c r="K380" s="735">
        <v>0</v>
      </c>
      <c r="L380" s="751">
        <v>0</v>
      </c>
    </row>
    <row r="381" spans="1:12" ht="21" x14ac:dyDescent="0.25">
      <c r="A381" s="561" t="s">
        <v>84</v>
      </c>
      <c r="B381" s="749">
        <v>2023</v>
      </c>
      <c r="C381" s="561" t="s">
        <v>701</v>
      </c>
      <c r="D381" s="561" t="s">
        <v>1042</v>
      </c>
      <c r="E381" s="561" t="s">
        <v>706</v>
      </c>
      <c r="F381" s="735">
        <v>0</v>
      </c>
      <c r="G381" s="749">
        <v>0</v>
      </c>
      <c r="H381" s="749"/>
      <c r="I381" s="733"/>
      <c r="J381" s="733"/>
      <c r="K381" s="735">
        <v>0</v>
      </c>
      <c r="L381" s="751">
        <v>0</v>
      </c>
    </row>
    <row r="382" spans="1:12" x14ac:dyDescent="0.25">
      <c r="A382" s="561" t="s">
        <v>84</v>
      </c>
      <c r="B382" s="749">
        <v>2023</v>
      </c>
      <c r="C382" s="561" t="s">
        <v>707</v>
      </c>
      <c r="D382" s="561" t="s">
        <v>1043</v>
      </c>
      <c r="E382" s="561" t="s">
        <v>709</v>
      </c>
      <c r="F382" s="735">
        <v>0</v>
      </c>
      <c r="G382" s="749">
        <v>0</v>
      </c>
      <c r="H382" s="749"/>
      <c r="I382" s="733"/>
      <c r="J382" s="733"/>
      <c r="K382" s="735">
        <v>0</v>
      </c>
      <c r="L382" s="750">
        <v>0</v>
      </c>
    </row>
    <row r="383" spans="1:12" ht="21" x14ac:dyDescent="0.25">
      <c r="A383" s="561" t="s">
        <v>84</v>
      </c>
      <c r="B383" s="749">
        <v>2023</v>
      </c>
      <c r="C383" s="561" t="s">
        <v>710</v>
      </c>
      <c r="D383" s="561" t="s">
        <v>1044</v>
      </c>
      <c r="E383" s="561" t="s">
        <v>2</v>
      </c>
      <c r="F383" s="735">
        <v>15529.24</v>
      </c>
      <c r="G383" s="749">
        <v>1</v>
      </c>
      <c r="H383" s="749"/>
      <c r="I383" s="735">
        <v>14644.07</v>
      </c>
      <c r="J383" s="735">
        <v>885.17</v>
      </c>
      <c r="K383" s="735">
        <v>15529.24</v>
      </c>
      <c r="L383" s="750">
        <v>15529.24</v>
      </c>
    </row>
    <row r="384" spans="1:12" ht="21" x14ac:dyDescent="0.25">
      <c r="A384" s="561" t="s">
        <v>84</v>
      </c>
      <c r="B384" s="749">
        <v>2023</v>
      </c>
      <c r="C384" s="561" t="s">
        <v>712</v>
      </c>
      <c r="D384" s="561" t="s">
        <v>1045</v>
      </c>
      <c r="E384" s="561" t="s">
        <v>3</v>
      </c>
      <c r="F384" s="735">
        <v>-4817.6899999999996</v>
      </c>
      <c r="G384" s="749">
        <v>1</v>
      </c>
      <c r="H384" s="749"/>
      <c r="I384" s="735">
        <v>-4543.08</v>
      </c>
      <c r="J384" s="735">
        <v>-274.61</v>
      </c>
      <c r="K384" s="735">
        <v>-4817.6899999999996</v>
      </c>
      <c r="L384" s="750">
        <v>-4817.6899999999996</v>
      </c>
    </row>
    <row r="385" spans="1:12" ht="21" x14ac:dyDescent="0.25">
      <c r="A385" s="561" t="s">
        <v>84</v>
      </c>
      <c r="B385" s="749">
        <v>2023</v>
      </c>
      <c r="C385" s="561" t="s">
        <v>714</v>
      </c>
      <c r="D385" s="561" t="s">
        <v>1046</v>
      </c>
      <c r="E385" s="561" t="s">
        <v>38</v>
      </c>
      <c r="F385" s="735">
        <v>-3298.11</v>
      </c>
      <c r="G385" s="749">
        <v>1</v>
      </c>
      <c r="H385" s="749"/>
      <c r="I385" s="735">
        <v>-3110.12</v>
      </c>
      <c r="J385" s="735">
        <v>-187.99</v>
      </c>
      <c r="K385" s="735">
        <v>-3298.11</v>
      </c>
      <c r="L385" s="750">
        <v>-3298.11</v>
      </c>
    </row>
    <row r="386" spans="1:12" x14ac:dyDescent="0.25">
      <c r="A386" s="561" t="s">
        <v>84</v>
      </c>
      <c r="B386" s="749">
        <v>2023</v>
      </c>
      <c r="C386" s="561" t="s">
        <v>716</v>
      </c>
      <c r="D386" s="561" t="s">
        <v>1047</v>
      </c>
      <c r="E386" s="561" t="s">
        <v>66</v>
      </c>
      <c r="F386" s="735">
        <v>13099.73</v>
      </c>
      <c r="G386" s="749">
        <v>1</v>
      </c>
      <c r="H386" s="749"/>
      <c r="I386" s="735">
        <v>12353.05</v>
      </c>
      <c r="J386" s="735">
        <v>746.68</v>
      </c>
      <c r="K386" s="735">
        <v>13099.73</v>
      </c>
      <c r="L386" s="750">
        <v>13099.73</v>
      </c>
    </row>
    <row r="387" spans="1:12" ht="21" x14ac:dyDescent="0.25">
      <c r="A387" s="561" t="s">
        <v>84</v>
      </c>
      <c r="B387" s="749">
        <v>2023</v>
      </c>
      <c r="C387" s="561" t="s">
        <v>718</v>
      </c>
      <c r="D387" s="561" t="s">
        <v>1048</v>
      </c>
      <c r="E387" s="561" t="s">
        <v>720</v>
      </c>
      <c r="F387" s="735">
        <v>0</v>
      </c>
      <c r="G387" s="749">
        <v>0</v>
      </c>
      <c r="H387" s="749"/>
      <c r="I387" s="733"/>
      <c r="J387" s="733"/>
      <c r="K387" s="735">
        <v>0</v>
      </c>
      <c r="L387" s="750">
        <v>0</v>
      </c>
    </row>
    <row r="388" spans="1:12" ht="31.5" x14ac:dyDescent="0.25">
      <c r="A388" s="561" t="s">
        <v>84</v>
      </c>
      <c r="B388" s="749">
        <v>2023</v>
      </c>
      <c r="C388" s="561" t="s">
        <v>721</v>
      </c>
      <c r="D388" s="561" t="s">
        <v>1050</v>
      </c>
      <c r="E388" s="561" t="s">
        <v>724</v>
      </c>
      <c r="F388" s="735">
        <v>0</v>
      </c>
      <c r="G388" s="749">
        <v>1</v>
      </c>
      <c r="H388" s="749"/>
      <c r="I388" s="733"/>
      <c r="J388" s="733"/>
      <c r="K388" s="735">
        <v>0</v>
      </c>
      <c r="L388" s="750">
        <v>0</v>
      </c>
    </row>
    <row r="389" spans="1:12" ht="31.5" x14ac:dyDescent="0.25">
      <c r="A389" s="561" t="s">
        <v>84</v>
      </c>
      <c r="B389" s="749">
        <v>2023</v>
      </c>
      <c r="C389" s="561" t="s">
        <v>721</v>
      </c>
      <c r="D389" s="561" t="s">
        <v>1051</v>
      </c>
      <c r="E389" s="561" t="s">
        <v>55</v>
      </c>
      <c r="F389" s="735">
        <v>0</v>
      </c>
      <c r="G389" s="749">
        <v>1</v>
      </c>
      <c r="H389" s="749"/>
      <c r="I389" s="733"/>
      <c r="J389" s="733"/>
      <c r="K389" s="735">
        <v>0</v>
      </c>
      <c r="L389" s="750">
        <v>0</v>
      </c>
    </row>
    <row r="390" spans="1:12" ht="31.5" x14ac:dyDescent="0.25">
      <c r="A390" s="561" t="s">
        <v>84</v>
      </c>
      <c r="B390" s="749">
        <v>2023</v>
      </c>
      <c r="C390" s="561" t="s">
        <v>721</v>
      </c>
      <c r="D390" s="561" t="s">
        <v>1052</v>
      </c>
      <c r="E390" s="561" t="s">
        <v>56</v>
      </c>
      <c r="F390" s="735">
        <v>0</v>
      </c>
      <c r="G390" s="749">
        <v>1</v>
      </c>
      <c r="H390" s="749"/>
      <c r="I390" s="733"/>
      <c r="J390" s="733"/>
      <c r="K390" s="735">
        <v>0</v>
      </c>
      <c r="L390" s="750">
        <v>0</v>
      </c>
    </row>
    <row r="391" spans="1:12" ht="31.5" x14ac:dyDescent="0.25">
      <c r="A391" s="561" t="s">
        <v>84</v>
      </c>
      <c r="B391" s="749">
        <v>2023</v>
      </c>
      <c r="C391" s="561" t="s">
        <v>721</v>
      </c>
      <c r="D391" s="561" t="s">
        <v>1053</v>
      </c>
      <c r="E391" s="561" t="s">
        <v>728</v>
      </c>
      <c r="F391" s="735">
        <v>0</v>
      </c>
      <c r="G391" s="749">
        <v>1</v>
      </c>
      <c r="H391" s="749"/>
      <c r="I391" s="733"/>
      <c r="J391" s="733"/>
      <c r="K391" s="735">
        <v>0</v>
      </c>
      <c r="L391" s="750">
        <v>0</v>
      </c>
    </row>
    <row r="392" spans="1:12" ht="31.5" x14ac:dyDescent="0.25">
      <c r="A392" s="561" t="s">
        <v>84</v>
      </c>
      <c r="B392" s="749">
        <v>2023</v>
      </c>
      <c r="C392" s="561" t="s">
        <v>721</v>
      </c>
      <c r="D392" s="561" t="s">
        <v>1054</v>
      </c>
      <c r="E392" s="561" t="s">
        <v>730</v>
      </c>
      <c r="F392" s="735">
        <v>0</v>
      </c>
      <c r="G392" s="749">
        <v>1</v>
      </c>
      <c r="H392" s="749"/>
      <c r="I392" s="733"/>
      <c r="J392" s="733"/>
      <c r="K392" s="735">
        <v>0</v>
      </c>
      <c r="L392" s="750">
        <v>0</v>
      </c>
    </row>
    <row r="393" spans="1:12" ht="31.5" x14ac:dyDescent="0.25">
      <c r="A393" s="561" t="s">
        <v>84</v>
      </c>
      <c r="B393" s="749">
        <v>2023</v>
      </c>
      <c r="C393" s="561" t="s">
        <v>721</v>
      </c>
      <c r="D393" s="561" t="s">
        <v>1055</v>
      </c>
      <c r="E393" s="561" t="s">
        <v>142</v>
      </c>
      <c r="F393" s="735">
        <v>0</v>
      </c>
      <c r="G393" s="749">
        <v>1</v>
      </c>
      <c r="H393" s="749"/>
      <c r="I393" s="733"/>
      <c r="J393" s="733"/>
      <c r="K393" s="735">
        <v>0</v>
      </c>
      <c r="L393" s="750">
        <v>0</v>
      </c>
    </row>
    <row r="394" spans="1:12" ht="31.5" x14ac:dyDescent="0.25">
      <c r="A394" s="561" t="s">
        <v>84</v>
      </c>
      <c r="B394" s="749">
        <v>2023</v>
      </c>
      <c r="C394" s="561" t="s">
        <v>721</v>
      </c>
      <c r="D394" s="561" t="s">
        <v>1056</v>
      </c>
      <c r="E394" s="561" t="s">
        <v>143</v>
      </c>
      <c r="F394" s="735">
        <v>0</v>
      </c>
      <c r="G394" s="749">
        <v>1</v>
      </c>
      <c r="H394" s="749"/>
      <c r="I394" s="733"/>
      <c r="J394" s="733"/>
      <c r="K394" s="735">
        <v>0</v>
      </c>
      <c r="L394" s="750">
        <v>0</v>
      </c>
    </row>
    <row r="395" spans="1:12" ht="31.5" x14ac:dyDescent="0.25">
      <c r="A395" s="561" t="s">
        <v>84</v>
      </c>
      <c r="B395" s="749">
        <v>2023</v>
      </c>
      <c r="C395" s="561" t="s">
        <v>721</v>
      </c>
      <c r="D395" s="561" t="s">
        <v>1057</v>
      </c>
      <c r="E395" s="561" t="s">
        <v>182</v>
      </c>
      <c r="F395" s="735">
        <v>0</v>
      </c>
      <c r="G395" s="749">
        <v>1</v>
      </c>
      <c r="H395" s="749"/>
      <c r="I395" s="733"/>
      <c r="J395" s="733"/>
      <c r="K395" s="735">
        <v>0</v>
      </c>
      <c r="L395" s="750">
        <v>0</v>
      </c>
    </row>
    <row r="396" spans="1:12" ht="31.5" x14ac:dyDescent="0.25">
      <c r="A396" s="561" t="s">
        <v>84</v>
      </c>
      <c r="B396" s="749">
        <v>2023</v>
      </c>
      <c r="C396" s="561" t="s">
        <v>721</v>
      </c>
      <c r="D396" s="561" t="s">
        <v>1058</v>
      </c>
      <c r="E396" s="561" t="s">
        <v>394</v>
      </c>
      <c r="F396" s="735">
        <v>0</v>
      </c>
      <c r="G396" s="749">
        <v>1</v>
      </c>
      <c r="H396" s="749"/>
      <c r="I396" s="733"/>
      <c r="J396" s="733"/>
      <c r="K396" s="735">
        <v>0</v>
      </c>
      <c r="L396" s="750">
        <v>0</v>
      </c>
    </row>
    <row r="397" spans="1:12" ht="31.5" x14ac:dyDescent="0.25">
      <c r="A397" s="561" t="s">
        <v>84</v>
      </c>
      <c r="B397" s="749">
        <v>2023</v>
      </c>
      <c r="C397" s="561" t="s">
        <v>721</v>
      </c>
      <c r="D397" s="561" t="s">
        <v>1059</v>
      </c>
      <c r="E397" s="561" t="s">
        <v>423</v>
      </c>
      <c r="F397" s="735">
        <v>0</v>
      </c>
      <c r="G397" s="749">
        <v>1</v>
      </c>
      <c r="H397" s="749"/>
      <c r="I397" s="733"/>
      <c r="J397" s="733"/>
      <c r="K397" s="735">
        <v>0</v>
      </c>
      <c r="L397" s="750">
        <v>0</v>
      </c>
    </row>
    <row r="398" spans="1:12" ht="31.5" x14ac:dyDescent="0.25">
      <c r="A398" s="561" t="s">
        <v>84</v>
      </c>
      <c r="B398" s="749">
        <v>2023</v>
      </c>
      <c r="C398" s="561" t="s">
        <v>721</v>
      </c>
      <c r="D398" s="561" t="s">
        <v>3080</v>
      </c>
      <c r="E398" s="561" t="s">
        <v>441</v>
      </c>
      <c r="F398" s="735">
        <v>0</v>
      </c>
      <c r="G398" s="749">
        <v>1</v>
      </c>
      <c r="H398" s="749"/>
      <c r="I398" s="733"/>
      <c r="J398" s="733"/>
      <c r="K398" s="735">
        <v>0</v>
      </c>
      <c r="L398" s="750">
        <v>0</v>
      </c>
    </row>
    <row r="399" spans="1:12" ht="31.5" x14ac:dyDescent="0.25">
      <c r="A399" s="561" t="s">
        <v>84</v>
      </c>
      <c r="B399" s="749">
        <v>2023</v>
      </c>
      <c r="C399" s="561" t="s">
        <v>721</v>
      </c>
      <c r="D399" s="561" t="s">
        <v>3483</v>
      </c>
      <c r="E399" s="561" t="s">
        <v>3016</v>
      </c>
      <c r="F399" s="735">
        <v>0</v>
      </c>
      <c r="G399" s="749">
        <v>1</v>
      </c>
      <c r="H399" s="749"/>
      <c r="I399" s="733"/>
      <c r="J399" s="733"/>
      <c r="K399" s="735">
        <v>0</v>
      </c>
      <c r="L399" s="750">
        <v>0</v>
      </c>
    </row>
    <row r="400" spans="1:12" ht="31.5" x14ac:dyDescent="0.25">
      <c r="A400" s="561" t="s">
        <v>84</v>
      </c>
      <c r="B400" s="749">
        <v>2023</v>
      </c>
      <c r="C400" s="561" t="s">
        <v>721</v>
      </c>
      <c r="D400" s="561" t="s">
        <v>3484</v>
      </c>
      <c r="E400" s="561" t="s">
        <v>3058</v>
      </c>
      <c r="F400" s="735">
        <v>0</v>
      </c>
      <c r="G400" s="749">
        <v>1</v>
      </c>
      <c r="H400" s="749"/>
      <c r="I400" s="733"/>
      <c r="J400" s="733"/>
      <c r="K400" s="735">
        <v>0</v>
      </c>
      <c r="L400" s="750">
        <v>0</v>
      </c>
    </row>
    <row r="401" spans="1:12" ht="31.5" x14ac:dyDescent="0.25">
      <c r="A401" s="561" t="s">
        <v>84</v>
      </c>
      <c r="B401" s="749">
        <v>2023</v>
      </c>
      <c r="C401" s="561" t="s">
        <v>721</v>
      </c>
      <c r="D401" s="561" t="s">
        <v>3485</v>
      </c>
      <c r="E401" s="561" t="s">
        <v>3063</v>
      </c>
      <c r="F401" s="735">
        <v>0</v>
      </c>
      <c r="G401" s="749">
        <v>1</v>
      </c>
      <c r="H401" s="749"/>
      <c r="I401" s="733"/>
      <c r="J401" s="733"/>
      <c r="K401" s="735">
        <v>0</v>
      </c>
      <c r="L401" s="750">
        <v>0</v>
      </c>
    </row>
    <row r="402" spans="1:12" ht="31.5" x14ac:dyDescent="0.25">
      <c r="A402" s="561" t="s">
        <v>84</v>
      </c>
      <c r="B402" s="749">
        <v>2023</v>
      </c>
      <c r="C402" s="561" t="s">
        <v>721</v>
      </c>
      <c r="D402" s="561" t="s">
        <v>3706</v>
      </c>
      <c r="E402" s="561" t="s">
        <v>3425</v>
      </c>
      <c r="F402" s="735">
        <v>0</v>
      </c>
      <c r="G402" s="749">
        <v>1</v>
      </c>
      <c r="H402" s="749"/>
      <c r="I402" s="735">
        <v>26842.16</v>
      </c>
      <c r="J402" s="735">
        <v>1622.48</v>
      </c>
      <c r="K402" s="735">
        <v>28464.639999999999</v>
      </c>
      <c r="L402" s="750">
        <v>28464.639999999999</v>
      </c>
    </row>
    <row r="403" spans="1:12" ht="42" x14ac:dyDescent="0.25">
      <c r="A403" s="561" t="s">
        <v>84</v>
      </c>
      <c r="B403" s="749">
        <v>2023</v>
      </c>
      <c r="C403" s="561" t="s">
        <v>721</v>
      </c>
      <c r="D403" s="561" t="s">
        <v>3707</v>
      </c>
      <c r="E403" s="561" t="s">
        <v>737</v>
      </c>
      <c r="F403" s="735">
        <v>28464.639999999999</v>
      </c>
      <c r="G403" s="749">
        <v>0</v>
      </c>
      <c r="H403" s="749"/>
      <c r="I403" s="733"/>
      <c r="J403" s="733"/>
      <c r="K403" s="735">
        <v>0</v>
      </c>
      <c r="L403" s="750">
        <v>28464.639999999999</v>
      </c>
    </row>
    <row r="404" spans="1:12" x14ac:dyDescent="0.25">
      <c r="A404" s="561" t="s">
        <v>84</v>
      </c>
      <c r="B404" s="749">
        <v>2023</v>
      </c>
      <c r="C404" s="561" t="s">
        <v>738</v>
      </c>
      <c r="D404" s="561" t="s">
        <v>1061</v>
      </c>
      <c r="E404" s="561" t="s">
        <v>7</v>
      </c>
      <c r="F404" s="735">
        <v>0</v>
      </c>
      <c r="G404" s="749">
        <v>0</v>
      </c>
      <c r="H404" s="749"/>
      <c r="I404" s="733"/>
      <c r="J404" s="733"/>
      <c r="K404" s="735">
        <v>0</v>
      </c>
      <c r="L404" s="750">
        <v>0</v>
      </c>
    </row>
    <row r="405" spans="1:12" x14ac:dyDescent="0.25">
      <c r="A405" s="561" t="s">
        <v>85</v>
      </c>
      <c r="B405" s="749">
        <v>2023</v>
      </c>
      <c r="C405" s="561" t="s">
        <v>647</v>
      </c>
      <c r="D405" s="561" t="s">
        <v>1062</v>
      </c>
      <c r="E405" s="561" t="s">
        <v>649</v>
      </c>
      <c r="F405" s="735">
        <v>-19285.12</v>
      </c>
      <c r="G405" s="749">
        <v>0</v>
      </c>
      <c r="H405" s="749"/>
      <c r="I405" s="733"/>
      <c r="J405" s="733"/>
      <c r="K405" s="735">
        <v>0</v>
      </c>
      <c r="L405" s="750">
        <v>-19285.12</v>
      </c>
    </row>
    <row r="406" spans="1:12" ht="21" x14ac:dyDescent="0.25">
      <c r="A406" s="561" t="s">
        <v>85</v>
      </c>
      <c r="B406" s="749">
        <v>2023</v>
      </c>
      <c r="C406" s="561" t="s">
        <v>3691</v>
      </c>
      <c r="D406" s="561" t="s">
        <v>3629</v>
      </c>
      <c r="E406" s="561" t="s">
        <v>3675</v>
      </c>
      <c r="F406" s="735">
        <v>0</v>
      </c>
      <c r="G406" s="749">
        <v>0</v>
      </c>
      <c r="H406" s="749"/>
      <c r="I406" s="733"/>
      <c r="J406" s="733"/>
      <c r="K406" s="735">
        <v>0</v>
      </c>
      <c r="L406" s="750">
        <v>0</v>
      </c>
    </row>
    <row r="407" spans="1:12" x14ac:dyDescent="0.25">
      <c r="A407" s="561" t="s">
        <v>85</v>
      </c>
      <c r="B407" s="749">
        <v>2023</v>
      </c>
      <c r="C407" s="561" t="s">
        <v>651</v>
      </c>
      <c r="D407" s="561" t="s">
        <v>1063</v>
      </c>
      <c r="E407" s="561" t="s">
        <v>653</v>
      </c>
      <c r="F407" s="735">
        <v>0</v>
      </c>
      <c r="G407" s="749">
        <v>0</v>
      </c>
      <c r="H407" s="749"/>
      <c r="I407" s="733"/>
      <c r="J407" s="733"/>
      <c r="K407" s="735">
        <v>0</v>
      </c>
      <c r="L407" s="750">
        <v>0</v>
      </c>
    </row>
    <row r="408" spans="1:12" ht="31.5" x14ac:dyDescent="0.25">
      <c r="A408" s="561" t="s">
        <v>85</v>
      </c>
      <c r="B408" s="749">
        <v>2023</v>
      </c>
      <c r="C408" s="561" t="s">
        <v>654</v>
      </c>
      <c r="D408" s="561" t="s">
        <v>1064</v>
      </c>
      <c r="E408" s="561" t="s">
        <v>445</v>
      </c>
      <c r="F408" s="735">
        <v>0</v>
      </c>
      <c r="G408" s="749">
        <v>0</v>
      </c>
      <c r="H408" s="749"/>
      <c r="I408" s="733"/>
      <c r="J408" s="733"/>
      <c r="K408" s="735">
        <v>0</v>
      </c>
      <c r="L408" s="750">
        <v>0</v>
      </c>
    </row>
    <row r="409" spans="1:12" ht="21" x14ac:dyDescent="0.25">
      <c r="A409" s="561" t="s">
        <v>85</v>
      </c>
      <c r="B409" s="749">
        <v>2023</v>
      </c>
      <c r="C409" s="561" t="s">
        <v>656</v>
      </c>
      <c r="D409" s="561" t="s">
        <v>1065</v>
      </c>
      <c r="E409" s="561" t="s">
        <v>658</v>
      </c>
      <c r="F409" s="735">
        <v>0</v>
      </c>
      <c r="G409" s="749">
        <v>0</v>
      </c>
      <c r="H409" s="749"/>
      <c r="I409" s="733"/>
      <c r="J409" s="733"/>
      <c r="K409" s="735">
        <v>0</v>
      </c>
      <c r="L409" s="750">
        <v>0</v>
      </c>
    </row>
    <row r="410" spans="1:12" ht="21" x14ac:dyDescent="0.25">
      <c r="A410" s="561" t="s">
        <v>85</v>
      </c>
      <c r="B410" s="749">
        <v>2023</v>
      </c>
      <c r="C410" s="561" t="s">
        <v>659</v>
      </c>
      <c r="D410" s="561" t="s">
        <v>1066</v>
      </c>
      <c r="E410" s="561" t="s">
        <v>661</v>
      </c>
      <c r="F410" s="735">
        <v>0</v>
      </c>
      <c r="G410" s="749">
        <v>0</v>
      </c>
      <c r="H410" s="749"/>
      <c r="I410" s="733"/>
      <c r="J410" s="733"/>
      <c r="K410" s="735">
        <v>0</v>
      </c>
      <c r="L410" s="750">
        <v>0</v>
      </c>
    </row>
    <row r="411" spans="1:12" ht="21" x14ac:dyDescent="0.25">
      <c r="A411" s="561" t="s">
        <v>85</v>
      </c>
      <c r="B411" s="749">
        <v>2023</v>
      </c>
      <c r="C411" s="561" t="s">
        <v>662</v>
      </c>
      <c r="D411" s="561" t="s">
        <v>1067</v>
      </c>
      <c r="E411" s="561" t="s">
        <v>664</v>
      </c>
      <c r="F411" s="735">
        <v>0</v>
      </c>
      <c r="G411" s="749">
        <v>0</v>
      </c>
      <c r="H411" s="749"/>
      <c r="I411" s="733"/>
      <c r="J411" s="733"/>
      <c r="K411" s="735">
        <v>0</v>
      </c>
      <c r="L411" s="750">
        <v>0</v>
      </c>
    </row>
    <row r="412" spans="1:12" ht="31.5" x14ac:dyDescent="0.25">
      <c r="A412" s="561" t="s">
        <v>85</v>
      </c>
      <c r="B412" s="749">
        <v>2023</v>
      </c>
      <c r="C412" s="561" t="s">
        <v>665</v>
      </c>
      <c r="D412" s="561" t="s">
        <v>1068</v>
      </c>
      <c r="E412" s="561" t="s">
        <v>667</v>
      </c>
      <c r="F412" s="735">
        <v>0</v>
      </c>
      <c r="G412" s="749">
        <v>0</v>
      </c>
      <c r="H412" s="749"/>
      <c r="I412" s="733"/>
      <c r="J412" s="733"/>
      <c r="K412" s="735">
        <v>0</v>
      </c>
      <c r="L412" s="750">
        <v>0</v>
      </c>
    </row>
    <row r="413" spans="1:12" ht="21" x14ac:dyDescent="0.25">
      <c r="A413" s="561" t="s">
        <v>85</v>
      </c>
      <c r="B413" s="749">
        <v>2023</v>
      </c>
      <c r="C413" s="561" t="s">
        <v>668</v>
      </c>
      <c r="D413" s="561" t="s">
        <v>1069</v>
      </c>
      <c r="E413" s="561" t="s">
        <v>12</v>
      </c>
      <c r="F413" s="735">
        <v>0</v>
      </c>
      <c r="G413" s="749">
        <v>0</v>
      </c>
      <c r="H413" s="749"/>
      <c r="I413" s="733"/>
      <c r="J413" s="733"/>
      <c r="K413" s="735">
        <v>0</v>
      </c>
      <c r="L413" s="750">
        <v>0</v>
      </c>
    </row>
    <row r="414" spans="1:12" ht="21" x14ac:dyDescent="0.25">
      <c r="A414" s="561" t="s">
        <v>85</v>
      </c>
      <c r="B414" s="749">
        <v>2023</v>
      </c>
      <c r="C414" s="561" t="s">
        <v>670</v>
      </c>
      <c r="D414" s="561" t="s">
        <v>1070</v>
      </c>
      <c r="E414" s="561" t="s">
        <v>13</v>
      </c>
      <c r="F414" s="735">
        <v>0</v>
      </c>
      <c r="G414" s="749">
        <v>0</v>
      </c>
      <c r="H414" s="749"/>
      <c r="I414" s="733"/>
      <c r="J414" s="733"/>
      <c r="K414" s="735">
        <v>0</v>
      </c>
      <c r="L414" s="750">
        <v>0</v>
      </c>
    </row>
    <row r="415" spans="1:12" ht="21" x14ac:dyDescent="0.25">
      <c r="A415" s="561" t="s">
        <v>85</v>
      </c>
      <c r="B415" s="749">
        <v>2023</v>
      </c>
      <c r="C415" s="561" t="s">
        <v>672</v>
      </c>
      <c r="D415" s="561" t="s">
        <v>1071</v>
      </c>
      <c r="E415" s="561" t="s">
        <v>15</v>
      </c>
      <c r="F415" s="735">
        <v>0</v>
      </c>
      <c r="G415" s="749">
        <v>0</v>
      </c>
      <c r="H415" s="749"/>
      <c r="I415" s="733"/>
      <c r="J415" s="733"/>
      <c r="K415" s="735">
        <v>0</v>
      </c>
      <c r="L415" s="750">
        <v>0</v>
      </c>
    </row>
    <row r="416" spans="1:12" x14ac:dyDescent="0.25">
      <c r="A416" s="561" t="s">
        <v>85</v>
      </c>
      <c r="B416" s="749">
        <v>2023</v>
      </c>
      <c r="C416" s="561" t="s">
        <v>674</v>
      </c>
      <c r="D416" s="561" t="s">
        <v>1072</v>
      </c>
      <c r="E416" s="561" t="s">
        <v>676</v>
      </c>
      <c r="F416" s="735">
        <v>0</v>
      </c>
      <c r="G416" s="749">
        <v>0</v>
      </c>
      <c r="H416" s="749"/>
      <c r="I416" s="733"/>
      <c r="J416" s="733"/>
      <c r="K416" s="735">
        <v>0</v>
      </c>
      <c r="L416" s="750">
        <v>0</v>
      </c>
    </row>
    <row r="417" spans="1:12" x14ac:dyDescent="0.25">
      <c r="A417" s="561" t="s">
        <v>85</v>
      </c>
      <c r="B417" s="749">
        <v>2023</v>
      </c>
      <c r="C417" s="561" t="s">
        <v>677</v>
      </c>
      <c r="D417" s="561" t="s">
        <v>1073</v>
      </c>
      <c r="E417" s="561" t="s">
        <v>23</v>
      </c>
      <c r="F417" s="735">
        <v>50202.42</v>
      </c>
      <c r="G417" s="749">
        <v>1</v>
      </c>
      <c r="H417" s="749"/>
      <c r="I417" s="735">
        <v>49416.17</v>
      </c>
      <c r="J417" s="735">
        <v>786.25</v>
      </c>
      <c r="K417" s="735">
        <v>50202.42</v>
      </c>
      <c r="L417" s="750">
        <v>50202.42</v>
      </c>
    </row>
    <row r="418" spans="1:12" ht="21" x14ac:dyDescent="0.25">
      <c r="A418" s="561" t="s">
        <v>85</v>
      </c>
      <c r="B418" s="749">
        <v>2023</v>
      </c>
      <c r="C418" s="561" t="s">
        <v>679</v>
      </c>
      <c r="D418" s="561" t="s">
        <v>1074</v>
      </c>
      <c r="E418" s="561" t="s">
        <v>131</v>
      </c>
      <c r="F418" s="735">
        <v>-8609.34</v>
      </c>
      <c r="G418" s="749">
        <v>1</v>
      </c>
      <c r="H418" s="749"/>
      <c r="I418" s="735">
        <v>-8508.7900000000009</v>
      </c>
      <c r="J418" s="735">
        <v>-100.55</v>
      </c>
      <c r="K418" s="735">
        <v>-8609.34</v>
      </c>
      <c r="L418" s="750">
        <v>-8609.34</v>
      </c>
    </row>
    <row r="419" spans="1:12" ht="31.5" x14ac:dyDescent="0.25">
      <c r="A419" s="561" t="s">
        <v>85</v>
      </c>
      <c r="B419" s="749">
        <v>2023</v>
      </c>
      <c r="C419" s="561" t="s">
        <v>681</v>
      </c>
      <c r="D419" s="561" t="s">
        <v>1075</v>
      </c>
      <c r="E419" s="561" t="s">
        <v>683</v>
      </c>
      <c r="F419" s="735">
        <v>0</v>
      </c>
      <c r="G419" s="749">
        <v>0</v>
      </c>
      <c r="H419" s="749"/>
      <c r="I419" s="733"/>
      <c r="J419" s="733"/>
      <c r="K419" s="735">
        <v>0</v>
      </c>
      <c r="L419" s="750">
        <v>0</v>
      </c>
    </row>
    <row r="420" spans="1:12" ht="21" x14ac:dyDescent="0.25">
      <c r="A420" s="561" t="s">
        <v>85</v>
      </c>
      <c r="B420" s="749">
        <v>2023</v>
      </c>
      <c r="C420" s="561" t="s">
        <v>681</v>
      </c>
      <c r="D420" s="561" t="s">
        <v>1075</v>
      </c>
      <c r="E420" s="561" t="s">
        <v>684</v>
      </c>
      <c r="F420" s="735">
        <v>0</v>
      </c>
      <c r="G420" s="749">
        <v>0</v>
      </c>
      <c r="H420" s="749"/>
      <c r="I420" s="733"/>
      <c r="J420" s="733"/>
      <c r="K420" s="735">
        <v>0</v>
      </c>
      <c r="L420" s="751">
        <v>0</v>
      </c>
    </row>
    <row r="421" spans="1:12" x14ac:dyDescent="0.25">
      <c r="A421" s="561" t="s">
        <v>85</v>
      </c>
      <c r="B421" s="749">
        <v>2023</v>
      </c>
      <c r="C421" s="561" t="s">
        <v>685</v>
      </c>
      <c r="D421" s="561" t="s">
        <v>1076</v>
      </c>
      <c r="E421" s="561" t="s">
        <v>687</v>
      </c>
      <c r="F421" s="735">
        <v>0</v>
      </c>
      <c r="G421" s="749">
        <v>0</v>
      </c>
      <c r="H421" s="749"/>
      <c r="I421" s="733"/>
      <c r="J421" s="733"/>
      <c r="K421" s="735">
        <v>0</v>
      </c>
      <c r="L421" s="750">
        <v>0</v>
      </c>
    </row>
    <row r="422" spans="1:12" x14ac:dyDescent="0.25">
      <c r="A422" s="561" t="s">
        <v>85</v>
      </c>
      <c r="B422" s="749">
        <v>2023</v>
      </c>
      <c r="C422" s="561" t="s">
        <v>688</v>
      </c>
      <c r="D422" s="561" t="s">
        <v>1077</v>
      </c>
      <c r="E422" s="561" t="s">
        <v>50</v>
      </c>
      <c r="F422" s="735">
        <v>-2224.71</v>
      </c>
      <c r="G422" s="749">
        <v>0</v>
      </c>
      <c r="H422" s="749"/>
      <c r="I422" s="733"/>
      <c r="J422" s="733"/>
      <c r="K422" s="735">
        <v>0</v>
      </c>
      <c r="L422" s="750">
        <v>-2224.71</v>
      </c>
    </row>
    <row r="423" spans="1:12" x14ac:dyDescent="0.25">
      <c r="A423" s="561" t="s">
        <v>85</v>
      </c>
      <c r="B423" s="749">
        <v>2023</v>
      </c>
      <c r="C423" s="561" t="s">
        <v>690</v>
      </c>
      <c r="D423" s="561" t="s">
        <v>1078</v>
      </c>
      <c r="E423" s="561" t="s">
        <v>692</v>
      </c>
      <c r="F423" s="735">
        <v>0</v>
      </c>
      <c r="G423" s="749">
        <v>0</v>
      </c>
      <c r="H423" s="749"/>
      <c r="I423" s="733"/>
      <c r="J423" s="733"/>
      <c r="K423" s="735">
        <v>0</v>
      </c>
      <c r="L423" s="750">
        <v>0</v>
      </c>
    </row>
    <row r="424" spans="1:12" ht="21" x14ac:dyDescent="0.25">
      <c r="A424" s="561" t="s">
        <v>85</v>
      </c>
      <c r="B424" s="749">
        <v>2023</v>
      </c>
      <c r="C424" s="561" t="s">
        <v>693</v>
      </c>
      <c r="D424" s="561" t="s">
        <v>1079</v>
      </c>
      <c r="E424" s="561" t="s">
        <v>6</v>
      </c>
      <c r="F424" s="735">
        <v>0</v>
      </c>
      <c r="G424" s="749">
        <v>0</v>
      </c>
      <c r="H424" s="749"/>
      <c r="I424" s="733"/>
      <c r="J424" s="733"/>
      <c r="K424" s="735">
        <v>0</v>
      </c>
      <c r="L424" s="750">
        <v>0</v>
      </c>
    </row>
    <row r="425" spans="1:12" ht="21" x14ac:dyDescent="0.25">
      <c r="A425" s="561" t="s">
        <v>85</v>
      </c>
      <c r="B425" s="749">
        <v>2023</v>
      </c>
      <c r="C425" s="561" t="s">
        <v>695</v>
      </c>
      <c r="D425" s="561" t="s">
        <v>1080</v>
      </c>
      <c r="E425" s="561" t="s">
        <v>697</v>
      </c>
      <c r="F425" s="735">
        <v>0</v>
      </c>
      <c r="G425" s="749">
        <v>0</v>
      </c>
      <c r="H425" s="749"/>
      <c r="I425" s="733"/>
      <c r="J425" s="733"/>
      <c r="K425" s="735">
        <v>0</v>
      </c>
      <c r="L425" s="750">
        <v>0</v>
      </c>
    </row>
    <row r="426" spans="1:12" x14ac:dyDescent="0.25">
      <c r="A426" s="561" t="s">
        <v>85</v>
      </c>
      <c r="B426" s="749">
        <v>2023</v>
      </c>
      <c r="C426" s="561" t="s">
        <v>698</v>
      </c>
      <c r="D426" s="561" t="s">
        <v>1081</v>
      </c>
      <c r="E426" s="561" t="s">
        <v>700</v>
      </c>
      <c r="F426" s="735">
        <v>0</v>
      </c>
      <c r="G426" s="749">
        <v>0</v>
      </c>
      <c r="H426" s="749"/>
      <c r="I426" s="733"/>
      <c r="J426" s="733"/>
      <c r="K426" s="735">
        <v>0</v>
      </c>
      <c r="L426" s="750">
        <v>0</v>
      </c>
    </row>
    <row r="427" spans="1:12" ht="21" x14ac:dyDescent="0.25">
      <c r="A427" s="561" t="s">
        <v>85</v>
      </c>
      <c r="B427" s="749">
        <v>2023</v>
      </c>
      <c r="C427" s="561" t="s">
        <v>701</v>
      </c>
      <c r="D427" s="561" t="s">
        <v>1082</v>
      </c>
      <c r="E427" s="561" t="s">
        <v>1</v>
      </c>
      <c r="F427" s="735">
        <v>-10107.85</v>
      </c>
      <c r="G427" s="749">
        <v>1</v>
      </c>
      <c r="H427" s="749"/>
      <c r="I427" s="735">
        <v>-9663.0300000000007</v>
      </c>
      <c r="J427" s="735">
        <v>-444.82</v>
      </c>
      <c r="K427" s="735">
        <v>-10107.85</v>
      </c>
      <c r="L427" s="750">
        <v>-10107.85</v>
      </c>
    </row>
    <row r="428" spans="1:12" ht="21" x14ac:dyDescent="0.25">
      <c r="A428" s="561" t="s">
        <v>85</v>
      </c>
      <c r="B428" s="749">
        <v>2023</v>
      </c>
      <c r="C428" s="561" t="s">
        <v>701</v>
      </c>
      <c r="D428" s="561" t="s">
        <v>1082</v>
      </c>
      <c r="E428" s="561" t="s">
        <v>703</v>
      </c>
      <c r="F428" s="735">
        <v>0</v>
      </c>
      <c r="G428" s="749">
        <v>0</v>
      </c>
      <c r="H428" s="749"/>
      <c r="I428" s="733"/>
      <c r="J428" s="733"/>
      <c r="K428" s="735">
        <v>0</v>
      </c>
      <c r="L428" s="751">
        <v>0</v>
      </c>
    </row>
    <row r="429" spans="1:12" ht="21" x14ac:dyDescent="0.25">
      <c r="A429" s="561" t="s">
        <v>85</v>
      </c>
      <c r="B429" s="749">
        <v>2023</v>
      </c>
      <c r="C429" s="561" t="s">
        <v>701</v>
      </c>
      <c r="D429" s="561" t="s">
        <v>1082</v>
      </c>
      <c r="E429" s="561" t="s">
        <v>704</v>
      </c>
      <c r="F429" s="735">
        <v>0</v>
      </c>
      <c r="G429" s="749">
        <v>0</v>
      </c>
      <c r="H429" s="749"/>
      <c r="I429" s="733"/>
      <c r="J429" s="733"/>
      <c r="K429" s="735">
        <v>0</v>
      </c>
      <c r="L429" s="751">
        <v>0</v>
      </c>
    </row>
    <row r="430" spans="1:12" ht="21" x14ac:dyDescent="0.25">
      <c r="A430" s="561" t="s">
        <v>85</v>
      </c>
      <c r="B430" s="749">
        <v>2023</v>
      </c>
      <c r="C430" s="561" t="s">
        <v>701</v>
      </c>
      <c r="D430" s="561" t="s">
        <v>1082</v>
      </c>
      <c r="E430" s="561" t="s">
        <v>705</v>
      </c>
      <c r="F430" s="735">
        <v>0</v>
      </c>
      <c r="G430" s="749">
        <v>0</v>
      </c>
      <c r="H430" s="749"/>
      <c r="I430" s="733"/>
      <c r="J430" s="733"/>
      <c r="K430" s="735">
        <v>0</v>
      </c>
      <c r="L430" s="751">
        <v>-1.49</v>
      </c>
    </row>
    <row r="431" spans="1:12" ht="21" x14ac:dyDescent="0.25">
      <c r="A431" s="561" t="s">
        <v>85</v>
      </c>
      <c r="B431" s="749">
        <v>2023</v>
      </c>
      <c r="C431" s="561" t="s">
        <v>701</v>
      </c>
      <c r="D431" s="561" t="s">
        <v>1082</v>
      </c>
      <c r="E431" s="561" t="s">
        <v>706</v>
      </c>
      <c r="F431" s="735">
        <v>0</v>
      </c>
      <c r="G431" s="749">
        <v>0</v>
      </c>
      <c r="H431" s="749"/>
      <c r="I431" s="733"/>
      <c r="J431" s="733"/>
      <c r="K431" s="735">
        <v>0</v>
      </c>
      <c r="L431" s="751">
        <v>-122.19</v>
      </c>
    </row>
    <row r="432" spans="1:12" x14ac:dyDescent="0.25">
      <c r="A432" s="561" t="s">
        <v>85</v>
      </c>
      <c r="B432" s="749">
        <v>2023</v>
      </c>
      <c r="C432" s="561" t="s">
        <v>707</v>
      </c>
      <c r="D432" s="561" t="s">
        <v>1083</v>
      </c>
      <c r="E432" s="561" t="s">
        <v>709</v>
      </c>
      <c r="F432" s="735">
        <v>0</v>
      </c>
      <c r="G432" s="749">
        <v>0</v>
      </c>
      <c r="H432" s="749"/>
      <c r="I432" s="733"/>
      <c r="J432" s="733"/>
      <c r="K432" s="735">
        <v>0</v>
      </c>
      <c r="L432" s="750">
        <v>0</v>
      </c>
    </row>
    <row r="433" spans="1:12" ht="21" x14ac:dyDescent="0.25">
      <c r="A433" s="561" t="s">
        <v>85</v>
      </c>
      <c r="B433" s="749">
        <v>2023</v>
      </c>
      <c r="C433" s="561" t="s">
        <v>710</v>
      </c>
      <c r="D433" s="561" t="s">
        <v>1084</v>
      </c>
      <c r="E433" s="561" t="s">
        <v>2</v>
      </c>
      <c r="F433" s="735">
        <v>64232.21</v>
      </c>
      <c r="G433" s="749">
        <v>1</v>
      </c>
      <c r="H433" s="749"/>
      <c r="I433" s="735">
        <v>63384.01</v>
      </c>
      <c r="J433" s="735">
        <v>848.2</v>
      </c>
      <c r="K433" s="735">
        <v>64232.21</v>
      </c>
      <c r="L433" s="750">
        <v>64232.21</v>
      </c>
    </row>
    <row r="434" spans="1:12" ht="21" x14ac:dyDescent="0.25">
      <c r="A434" s="561" t="s">
        <v>85</v>
      </c>
      <c r="B434" s="749">
        <v>2023</v>
      </c>
      <c r="C434" s="561" t="s">
        <v>712</v>
      </c>
      <c r="D434" s="561" t="s">
        <v>1085</v>
      </c>
      <c r="E434" s="561" t="s">
        <v>3</v>
      </c>
      <c r="F434" s="735">
        <v>11539.41</v>
      </c>
      <c r="G434" s="749">
        <v>1</v>
      </c>
      <c r="H434" s="749"/>
      <c r="I434" s="735">
        <v>11364.64</v>
      </c>
      <c r="J434" s="735">
        <v>174.77</v>
      </c>
      <c r="K434" s="735">
        <v>11539.41</v>
      </c>
      <c r="L434" s="750">
        <v>11539.41</v>
      </c>
    </row>
    <row r="435" spans="1:12" ht="21" x14ac:dyDescent="0.25">
      <c r="A435" s="561" t="s">
        <v>85</v>
      </c>
      <c r="B435" s="749">
        <v>2023</v>
      </c>
      <c r="C435" s="561" t="s">
        <v>714</v>
      </c>
      <c r="D435" s="561" t="s">
        <v>1086</v>
      </c>
      <c r="E435" s="561" t="s">
        <v>38</v>
      </c>
      <c r="F435" s="735">
        <v>-67385.84</v>
      </c>
      <c r="G435" s="749">
        <v>1</v>
      </c>
      <c r="H435" s="749"/>
      <c r="I435" s="735">
        <v>-66987</v>
      </c>
      <c r="J435" s="735">
        <v>-398.84</v>
      </c>
      <c r="K435" s="735">
        <v>-67385.84</v>
      </c>
      <c r="L435" s="750">
        <v>-67385.84</v>
      </c>
    </row>
    <row r="436" spans="1:12" x14ac:dyDescent="0.25">
      <c r="A436" s="561" t="s">
        <v>85</v>
      </c>
      <c r="B436" s="749">
        <v>2023</v>
      </c>
      <c r="C436" s="561" t="s">
        <v>716</v>
      </c>
      <c r="D436" s="561" t="s">
        <v>1087</v>
      </c>
      <c r="E436" s="561" t="s">
        <v>66</v>
      </c>
      <c r="F436" s="735">
        <v>-9882.9599999999991</v>
      </c>
      <c r="G436" s="749">
        <v>1</v>
      </c>
      <c r="H436" s="749"/>
      <c r="I436" s="735">
        <v>-9642.18</v>
      </c>
      <c r="J436" s="735">
        <v>-240.78</v>
      </c>
      <c r="K436" s="735">
        <v>-9882.9599999999991</v>
      </c>
      <c r="L436" s="750">
        <v>-9882.9599999999991</v>
      </c>
    </row>
    <row r="437" spans="1:12" ht="21" x14ac:dyDescent="0.25">
      <c r="A437" s="561" t="s">
        <v>85</v>
      </c>
      <c r="B437" s="749">
        <v>2023</v>
      </c>
      <c r="C437" s="561" t="s">
        <v>718</v>
      </c>
      <c r="D437" s="561" t="s">
        <v>1088</v>
      </c>
      <c r="E437" s="561" t="s">
        <v>720</v>
      </c>
      <c r="F437" s="735">
        <v>104384.44</v>
      </c>
      <c r="G437" s="749">
        <v>0</v>
      </c>
      <c r="H437" s="749"/>
      <c r="I437" s="733"/>
      <c r="J437" s="733"/>
      <c r="K437" s="735">
        <v>0</v>
      </c>
      <c r="L437" s="750">
        <v>104384.44</v>
      </c>
    </row>
    <row r="438" spans="1:12" ht="31.5" x14ac:dyDescent="0.25">
      <c r="A438" s="561" t="s">
        <v>85</v>
      </c>
      <c r="B438" s="749">
        <v>2023</v>
      </c>
      <c r="C438" s="561" t="s">
        <v>721</v>
      </c>
      <c r="D438" s="561" t="s">
        <v>1090</v>
      </c>
      <c r="E438" s="561" t="s">
        <v>724</v>
      </c>
      <c r="F438" s="735">
        <v>0</v>
      </c>
      <c r="G438" s="749">
        <v>1</v>
      </c>
      <c r="H438" s="749"/>
      <c r="I438" s="733"/>
      <c r="J438" s="733"/>
      <c r="K438" s="735">
        <v>0</v>
      </c>
      <c r="L438" s="750">
        <v>0</v>
      </c>
    </row>
    <row r="439" spans="1:12" ht="31.5" x14ac:dyDescent="0.25">
      <c r="A439" s="561" t="s">
        <v>85</v>
      </c>
      <c r="B439" s="749">
        <v>2023</v>
      </c>
      <c r="C439" s="561" t="s">
        <v>721</v>
      </c>
      <c r="D439" s="561" t="s">
        <v>1091</v>
      </c>
      <c r="E439" s="561" t="s">
        <v>55</v>
      </c>
      <c r="F439" s="735">
        <v>0</v>
      </c>
      <c r="G439" s="749">
        <v>1</v>
      </c>
      <c r="H439" s="749"/>
      <c r="I439" s="733"/>
      <c r="J439" s="733"/>
      <c r="K439" s="735">
        <v>0</v>
      </c>
      <c r="L439" s="750">
        <v>0</v>
      </c>
    </row>
    <row r="440" spans="1:12" ht="31.5" x14ac:dyDescent="0.25">
      <c r="A440" s="561" t="s">
        <v>85</v>
      </c>
      <c r="B440" s="749">
        <v>2023</v>
      </c>
      <c r="C440" s="561" t="s">
        <v>721</v>
      </c>
      <c r="D440" s="561" t="s">
        <v>1092</v>
      </c>
      <c r="E440" s="561" t="s">
        <v>56</v>
      </c>
      <c r="F440" s="735">
        <v>0</v>
      </c>
      <c r="G440" s="749">
        <v>1</v>
      </c>
      <c r="H440" s="749"/>
      <c r="I440" s="733"/>
      <c r="J440" s="733"/>
      <c r="K440" s="735">
        <v>0</v>
      </c>
      <c r="L440" s="750">
        <v>0</v>
      </c>
    </row>
    <row r="441" spans="1:12" ht="31.5" x14ac:dyDescent="0.25">
      <c r="A441" s="561" t="s">
        <v>85</v>
      </c>
      <c r="B441" s="749">
        <v>2023</v>
      </c>
      <c r="C441" s="561" t="s">
        <v>721</v>
      </c>
      <c r="D441" s="561" t="s">
        <v>1093</v>
      </c>
      <c r="E441" s="561" t="s">
        <v>728</v>
      </c>
      <c r="F441" s="735">
        <v>0</v>
      </c>
      <c r="G441" s="749">
        <v>1</v>
      </c>
      <c r="H441" s="749"/>
      <c r="I441" s="733"/>
      <c r="J441" s="733"/>
      <c r="K441" s="735">
        <v>0</v>
      </c>
      <c r="L441" s="750">
        <v>0</v>
      </c>
    </row>
    <row r="442" spans="1:12" ht="31.5" x14ac:dyDescent="0.25">
      <c r="A442" s="561" t="s">
        <v>85</v>
      </c>
      <c r="B442" s="749">
        <v>2023</v>
      </c>
      <c r="C442" s="561" t="s">
        <v>721</v>
      </c>
      <c r="D442" s="561" t="s">
        <v>1094</v>
      </c>
      <c r="E442" s="561" t="s">
        <v>730</v>
      </c>
      <c r="F442" s="735">
        <v>0</v>
      </c>
      <c r="G442" s="749">
        <v>1</v>
      </c>
      <c r="H442" s="749"/>
      <c r="I442" s="733"/>
      <c r="J442" s="733"/>
      <c r="K442" s="735">
        <v>0</v>
      </c>
      <c r="L442" s="750">
        <v>0</v>
      </c>
    </row>
    <row r="443" spans="1:12" ht="31.5" x14ac:dyDescent="0.25">
      <c r="A443" s="561" t="s">
        <v>85</v>
      </c>
      <c r="B443" s="749">
        <v>2023</v>
      </c>
      <c r="C443" s="561" t="s">
        <v>721</v>
      </c>
      <c r="D443" s="561" t="s">
        <v>1095</v>
      </c>
      <c r="E443" s="561" t="s">
        <v>142</v>
      </c>
      <c r="F443" s="735">
        <v>0</v>
      </c>
      <c r="G443" s="749">
        <v>1</v>
      </c>
      <c r="H443" s="749"/>
      <c r="I443" s="733"/>
      <c r="J443" s="733"/>
      <c r="K443" s="735">
        <v>0</v>
      </c>
      <c r="L443" s="750">
        <v>0</v>
      </c>
    </row>
    <row r="444" spans="1:12" ht="31.5" x14ac:dyDescent="0.25">
      <c r="A444" s="561" t="s">
        <v>85</v>
      </c>
      <c r="B444" s="749">
        <v>2023</v>
      </c>
      <c r="C444" s="561" t="s">
        <v>721</v>
      </c>
      <c r="D444" s="561" t="s">
        <v>1096</v>
      </c>
      <c r="E444" s="561" t="s">
        <v>143</v>
      </c>
      <c r="F444" s="735">
        <v>0</v>
      </c>
      <c r="G444" s="749">
        <v>1</v>
      </c>
      <c r="H444" s="749"/>
      <c r="I444" s="733"/>
      <c r="J444" s="733"/>
      <c r="K444" s="735">
        <v>0</v>
      </c>
      <c r="L444" s="750">
        <v>0</v>
      </c>
    </row>
    <row r="445" spans="1:12" ht="31.5" x14ac:dyDescent="0.25">
      <c r="A445" s="561" t="s">
        <v>85</v>
      </c>
      <c r="B445" s="749">
        <v>2023</v>
      </c>
      <c r="C445" s="561" t="s">
        <v>721</v>
      </c>
      <c r="D445" s="561" t="s">
        <v>1097</v>
      </c>
      <c r="E445" s="561" t="s">
        <v>182</v>
      </c>
      <c r="F445" s="735">
        <v>0</v>
      </c>
      <c r="G445" s="749">
        <v>1</v>
      </c>
      <c r="H445" s="749"/>
      <c r="I445" s="733"/>
      <c r="J445" s="733"/>
      <c r="K445" s="735">
        <v>0</v>
      </c>
      <c r="L445" s="750">
        <v>0</v>
      </c>
    </row>
    <row r="446" spans="1:12" ht="31.5" x14ac:dyDescent="0.25">
      <c r="A446" s="561" t="s">
        <v>85</v>
      </c>
      <c r="B446" s="749">
        <v>2023</v>
      </c>
      <c r="C446" s="561" t="s">
        <v>721</v>
      </c>
      <c r="D446" s="561" t="s">
        <v>1098</v>
      </c>
      <c r="E446" s="561" t="s">
        <v>394</v>
      </c>
      <c r="F446" s="735">
        <v>0</v>
      </c>
      <c r="G446" s="749">
        <v>1</v>
      </c>
      <c r="H446" s="749"/>
      <c r="I446" s="735">
        <v>5894.54</v>
      </c>
      <c r="J446" s="735">
        <v>4837.6899999999996</v>
      </c>
      <c r="K446" s="735">
        <v>10732.23</v>
      </c>
      <c r="L446" s="750">
        <v>10732.23</v>
      </c>
    </row>
    <row r="447" spans="1:12" ht="31.5" x14ac:dyDescent="0.25">
      <c r="A447" s="561" t="s">
        <v>85</v>
      </c>
      <c r="B447" s="749">
        <v>2023</v>
      </c>
      <c r="C447" s="561" t="s">
        <v>721</v>
      </c>
      <c r="D447" s="561" t="s">
        <v>1099</v>
      </c>
      <c r="E447" s="561" t="s">
        <v>423</v>
      </c>
      <c r="F447" s="735">
        <v>0</v>
      </c>
      <c r="G447" s="749">
        <v>1</v>
      </c>
      <c r="H447" s="749"/>
      <c r="I447" s="735">
        <v>-760.05</v>
      </c>
      <c r="J447" s="735">
        <v>614.11</v>
      </c>
      <c r="K447" s="735">
        <v>-145.94</v>
      </c>
      <c r="L447" s="750">
        <v>-145.94</v>
      </c>
    </row>
    <row r="448" spans="1:12" ht="31.5" x14ac:dyDescent="0.25">
      <c r="A448" s="561" t="s">
        <v>85</v>
      </c>
      <c r="B448" s="749">
        <v>2023</v>
      </c>
      <c r="C448" s="561" t="s">
        <v>721</v>
      </c>
      <c r="D448" s="561" t="s">
        <v>3081</v>
      </c>
      <c r="E448" s="561" t="s">
        <v>441</v>
      </c>
      <c r="F448" s="735">
        <v>0</v>
      </c>
      <c r="G448" s="749">
        <v>1</v>
      </c>
      <c r="H448" s="749"/>
      <c r="I448" s="735">
        <v>4652.18</v>
      </c>
      <c r="J448" s="735">
        <v>0</v>
      </c>
      <c r="K448" s="735">
        <v>4652.18</v>
      </c>
      <c r="L448" s="750">
        <v>4652.18</v>
      </c>
    </row>
    <row r="449" spans="1:12" ht="31.5" x14ac:dyDescent="0.25">
      <c r="A449" s="561" t="s">
        <v>85</v>
      </c>
      <c r="B449" s="749">
        <v>2023</v>
      </c>
      <c r="C449" s="561" t="s">
        <v>721</v>
      </c>
      <c r="D449" s="561" t="s">
        <v>3486</v>
      </c>
      <c r="E449" s="561" t="s">
        <v>3016</v>
      </c>
      <c r="F449" s="735">
        <v>0</v>
      </c>
      <c r="G449" s="749">
        <v>1</v>
      </c>
      <c r="H449" s="749"/>
      <c r="I449" s="733"/>
      <c r="J449" s="733"/>
      <c r="K449" s="735">
        <v>0</v>
      </c>
      <c r="L449" s="750">
        <v>0</v>
      </c>
    </row>
    <row r="450" spans="1:12" ht="31.5" x14ac:dyDescent="0.25">
      <c r="A450" s="561" t="s">
        <v>85</v>
      </c>
      <c r="B450" s="749">
        <v>2023</v>
      </c>
      <c r="C450" s="561" t="s">
        <v>721</v>
      </c>
      <c r="D450" s="561" t="s">
        <v>3487</v>
      </c>
      <c r="E450" s="561" t="s">
        <v>3058</v>
      </c>
      <c r="F450" s="735">
        <v>0</v>
      </c>
      <c r="G450" s="749">
        <v>1</v>
      </c>
      <c r="H450" s="749"/>
      <c r="I450" s="733"/>
      <c r="J450" s="733"/>
      <c r="K450" s="735">
        <v>0</v>
      </c>
      <c r="L450" s="750">
        <v>0</v>
      </c>
    </row>
    <row r="451" spans="1:12" ht="31.5" x14ac:dyDescent="0.25">
      <c r="A451" s="561" t="s">
        <v>85</v>
      </c>
      <c r="B451" s="749">
        <v>2023</v>
      </c>
      <c r="C451" s="561" t="s">
        <v>721</v>
      </c>
      <c r="D451" s="561" t="s">
        <v>3488</v>
      </c>
      <c r="E451" s="561" t="s">
        <v>3063</v>
      </c>
      <c r="F451" s="735">
        <v>0</v>
      </c>
      <c r="G451" s="749">
        <v>1</v>
      </c>
      <c r="H451" s="749"/>
      <c r="I451" s="733"/>
      <c r="J451" s="733"/>
      <c r="K451" s="735">
        <v>0</v>
      </c>
      <c r="L451" s="750">
        <v>0</v>
      </c>
    </row>
    <row r="452" spans="1:12" ht="31.5" x14ac:dyDescent="0.25">
      <c r="A452" s="561" t="s">
        <v>85</v>
      </c>
      <c r="B452" s="749">
        <v>2023</v>
      </c>
      <c r="C452" s="561" t="s">
        <v>721</v>
      </c>
      <c r="D452" s="561" t="s">
        <v>3708</v>
      </c>
      <c r="E452" s="561" t="s">
        <v>3425</v>
      </c>
      <c r="F452" s="735">
        <v>0</v>
      </c>
      <c r="G452" s="749">
        <v>1</v>
      </c>
      <c r="H452" s="749"/>
      <c r="I452" s="735">
        <v>-9077.5400000000009</v>
      </c>
      <c r="J452" s="735">
        <v>-275.35000000000002</v>
      </c>
      <c r="K452" s="735">
        <v>-9352.89</v>
      </c>
      <c r="L452" s="750">
        <v>-9352.89</v>
      </c>
    </row>
    <row r="453" spans="1:12" ht="42" x14ac:dyDescent="0.25">
      <c r="A453" s="561" t="s">
        <v>85</v>
      </c>
      <c r="B453" s="749">
        <v>2023</v>
      </c>
      <c r="C453" s="561" t="s">
        <v>721</v>
      </c>
      <c r="D453" s="561" t="s">
        <v>3709</v>
      </c>
      <c r="E453" s="561" t="s">
        <v>737</v>
      </c>
      <c r="F453" s="735">
        <v>5885.58</v>
      </c>
      <c r="G453" s="749">
        <v>0</v>
      </c>
      <c r="H453" s="749"/>
      <c r="I453" s="733"/>
      <c r="J453" s="733"/>
      <c r="K453" s="735">
        <v>0</v>
      </c>
      <c r="L453" s="750">
        <v>5885.58</v>
      </c>
    </row>
    <row r="454" spans="1:12" x14ac:dyDescent="0.25">
      <c r="A454" s="561" t="s">
        <v>85</v>
      </c>
      <c r="B454" s="749">
        <v>2023</v>
      </c>
      <c r="C454" s="561" t="s">
        <v>738</v>
      </c>
      <c r="D454" s="561" t="s">
        <v>1101</v>
      </c>
      <c r="E454" s="561" t="s">
        <v>7</v>
      </c>
      <c r="F454" s="735">
        <v>0</v>
      </c>
      <c r="G454" s="749">
        <v>0</v>
      </c>
      <c r="H454" s="749"/>
      <c r="I454" s="733"/>
      <c r="J454" s="733"/>
      <c r="K454" s="735">
        <v>0</v>
      </c>
      <c r="L454" s="750">
        <v>0</v>
      </c>
    </row>
    <row r="455" spans="1:12" ht="21" x14ac:dyDescent="0.25">
      <c r="A455" s="561" t="s">
        <v>3379</v>
      </c>
      <c r="B455" s="749">
        <v>2023</v>
      </c>
      <c r="C455" s="561" t="s">
        <v>647</v>
      </c>
      <c r="D455" s="561" t="s">
        <v>3380</v>
      </c>
      <c r="E455" s="561" t="s">
        <v>649</v>
      </c>
      <c r="F455" s="735">
        <v>0</v>
      </c>
      <c r="G455" s="749">
        <v>0</v>
      </c>
      <c r="H455" s="749"/>
      <c r="I455" s="733"/>
      <c r="J455" s="733"/>
      <c r="K455" s="735">
        <v>0</v>
      </c>
      <c r="L455" s="750">
        <v>0</v>
      </c>
    </row>
    <row r="456" spans="1:12" ht="21" x14ac:dyDescent="0.25">
      <c r="A456" s="561" t="s">
        <v>3379</v>
      </c>
      <c r="B456" s="749">
        <v>2023</v>
      </c>
      <c r="C456" s="561" t="s">
        <v>3691</v>
      </c>
      <c r="D456" s="561" t="s">
        <v>3630</v>
      </c>
      <c r="E456" s="561" t="s">
        <v>3675</v>
      </c>
      <c r="F456" s="735">
        <v>0</v>
      </c>
      <c r="G456" s="749">
        <v>0</v>
      </c>
      <c r="H456" s="749"/>
      <c r="I456" s="733"/>
      <c r="J456" s="733"/>
      <c r="K456" s="735">
        <v>0</v>
      </c>
      <c r="L456" s="750">
        <v>0</v>
      </c>
    </row>
    <row r="457" spans="1:12" ht="21" x14ac:dyDescent="0.25">
      <c r="A457" s="561" t="s">
        <v>3379</v>
      </c>
      <c r="B457" s="749">
        <v>2023</v>
      </c>
      <c r="C457" s="561" t="s">
        <v>651</v>
      </c>
      <c r="D457" s="561" t="s">
        <v>3381</v>
      </c>
      <c r="E457" s="561" t="s">
        <v>653</v>
      </c>
      <c r="F457" s="735">
        <v>0</v>
      </c>
      <c r="G457" s="749">
        <v>0</v>
      </c>
      <c r="H457" s="749"/>
      <c r="I457" s="733"/>
      <c r="J457" s="733"/>
      <c r="K457" s="735">
        <v>0</v>
      </c>
      <c r="L457" s="750">
        <v>0</v>
      </c>
    </row>
    <row r="458" spans="1:12" ht="31.5" x14ac:dyDescent="0.25">
      <c r="A458" s="561" t="s">
        <v>3379</v>
      </c>
      <c r="B458" s="749">
        <v>2023</v>
      </c>
      <c r="C458" s="561" t="s">
        <v>654</v>
      </c>
      <c r="D458" s="561" t="s">
        <v>3382</v>
      </c>
      <c r="E458" s="561" t="s">
        <v>445</v>
      </c>
      <c r="F458" s="735">
        <v>0</v>
      </c>
      <c r="G458" s="749">
        <v>0</v>
      </c>
      <c r="H458" s="749"/>
      <c r="I458" s="733"/>
      <c r="J458" s="733"/>
      <c r="K458" s="735">
        <v>0</v>
      </c>
      <c r="L458" s="750">
        <v>0</v>
      </c>
    </row>
    <row r="459" spans="1:12" ht="21" x14ac:dyDescent="0.25">
      <c r="A459" s="561" t="s">
        <v>3379</v>
      </c>
      <c r="B459" s="749">
        <v>2023</v>
      </c>
      <c r="C459" s="561" t="s">
        <v>656</v>
      </c>
      <c r="D459" s="561" t="s">
        <v>3383</v>
      </c>
      <c r="E459" s="561" t="s">
        <v>658</v>
      </c>
      <c r="F459" s="735">
        <v>0</v>
      </c>
      <c r="G459" s="749">
        <v>0</v>
      </c>
      <c r="H459" s="749"/>
      <c r="I459" s="733"/>
      <c r="J459" s="733"/>
      <c r="K459" s="735">
        <v>0</v>
      </c>
      <c r="L459" s="750">
        <v>0</v>
      </c>
    </row>
    <row r="460" spans="1:12" ht="21" x14ac:dyDescent="0.25">
      <c r="A460" s="561" t="s">
        <v>3379</v>
      </c>
      <c r="B460" s="749">
        <v>2023</v>
      </c>
      <c r="C460" s="561" t="s">
        <v>659</v>
      </c>
      <c r="D460" s="561" t="s">
        <v>3384</v>
      </c>
      <c r="E460" s="561" t="s">
        <v>661</v>
      </c>
      <c r="F460" s="735">
        <v>0</v>
      </c>
      <c r="G460" s="749">
        <v>0</v>
      </c>
      <c r="H460" s="749"/>
      <c r="I460" s="733"/>
      <c r="J460" s="733"/>
      <c r="K460" s="735">
        <v>0</v>
      </c>
      <c r="L460" s="750">
        <v>0</v>
      </c>
    </row>
    <row r="461" spans="1:12" ht="21" x14ac:dyDescent="0.25">
      <c r="A461" s="561" t="s">
        <v>3379</v>
      </c>
      <c r="B461" s="749">
        <v>2023</v>
      </c>
      <c r="C461" s="561" t="s">
        <v>662</v>
      </c>
      <c r="D461" s="561" t="s">
        <v>3385</v>
      </c>
      <c r="E461" s="561" t="s">
        <v>664</v>
      </c>
      <c r="F461" s="735">
        <v>0</v>
      </c>
      <c r="G461" s="749">
        <v>0</v>
      </c>
      <c r="H461" s="749"/>
      <c r="I461" s="733"/>
      <c r="J461" s="733"/>
      <c r="K461" s="735">
        <v>0</v>
      </c>
      <c r="L461" s="750">
        <v>0</v>
      </c>
    </row>
    <row r="462" spans="1:12" ht="31.5" x14ac:dyDescent="0.25">
      <c r="A462" s="561" t="s">
        <v>3379</v>
      </c>
      <c r="B462" s="749">
        <v>2023</v>
      </c>
      <c r="C462" s="561" t="s">
        <v>665</v>
      </c>
      <c r="D462" s="561" t="s">
        <v>3386</v>
      </c>
      <c r="E462" s="561" t="s">
        <v>667</v>
      </c>
      <c r="F462" s="735">
        <v>0</v>
      </c>
      <c r="G462" s="749">
        <v>0</v>
      </c>
      <c r="H462" s="749"/>
      <c r="I462" s="733"/>
      <c r="J462" s="733"/>
      <c r="K462" s="735">
        <v>0</v>
      </c>
      <c r="L462" s="750">
        <v>0</v>
      </c>
    </row>
    <row r="463" spans="1:12" ht="21" x14ac:dyDescent="0.25">
      <c r="A463" s="561" t="s">
        <v>3379</v>
      </c>
      <c r="B463" s="749">
        <v>2023</v>
      </c>
      <c r="C463" s="561" t="s">
        <v>668</v>
      </c>
      <c r="D463" s="561" t="s">
        <v>3387</v>
      </c>
      <c r="E463" s="561" t="s">
        <v>12</v>
      </c>
      <c r="F463" s="735">
        <v>0</v>
      </c>
      <c r="G463" s="749">
        <v>0</v>
      </c>
      <c r="H463" s="749"/>
      <c r="I463" s="733"/>
      <c r="J463" s="733"/>
      <c r="K463" s="735">
        <v>0</v>
      </c>
      <c r="L463" s="750">
        <v>0</v>
      </c>
    </row>
    <row r="464" spans="1:12" ht="21" x14ac:dyDescent="0.25">
      <c r="A464" s="561" t="s">
        <v>3379</v>
      </c>
      <c r="B464" s="749">
        <v>2023</v>
      </c>
      <c r="C464" s="561" t="s">
        <v>670</v>
      </c>
      <c r="D464" s="561" t="s">
        <v>3388</v>
      </c>
      <c r="E464" s="561" t="s">
        <v>749</v>
      </c>
      <c r="F464" s="735">
        <v>0</v>
      </c>
      <c r="G464" s="749">
        <v>0</v>
      </c>
      <c r="H464" s="749"/>
      <c r="I464" s="733"/>
      <c r="J464" s="733"/>
      <c r="K464" s="735">
        <v>0</v>
      </c>
      <c r="L464" s="750">
        <v>0</v>
      </c>
    </row>
    <row r="465" spans="1:12" ht="21" x14ac:dyDescent="0.25">
      <c r="A465" s="561" t="s">
        <v>3379</v>
      </c>
      <c r="B465" s="749">
        <v>2023</v>
      </c>
      <c r="C465" s="561" t="s">
        <v>672</v>
      </c>
      <c r="D465" s="561" t="s">
        <v>3389</v>
      </c>
      <c r="E465" s="561" t="s">
        <v>15</v>
      </c>
      <c r="F465" s="735">
        <v>0</v>
      </c>
      <c r="G465" s="749">
        <v>0</v>
      </c>
      <c r="H465" s="749"/>
      <c r="I465" s="733"/>
      <c r="J465" s="733"/>
      <c r="K465" s="735">
        <v>0</v>
      </c>
      <c r="L465" s="750">
        <v>0</v>
      </c>
    </row>
    <row r="466" spans="1:12" ht="21" x14ac:dyDescent="0.25">
      <c r="A466" s="561" t="s">
        <v>3379</v>
      </c>
      <c r="B466" s="749">
        <v>2023</v>
      </c>
      <c r="C466" s="561" t="s">
        <v>674</v>
      </c>
      <c r="D466" s="561" t="s">
        <v>3390</v>
      </c>
      <c r="E466" s="561" t="s">
        <v>676</v>
      </c>
      <c r="F466" s="735">
        <v>0</v>
      </c>
      <c r="G466" s="749">
        <v>0</v>
      </c>
      <c r="H466" s="749"/>
      <c r="I466" s="733"/>
      <c r="J466" s="733"/>
      <c r="K466" s="735">
        <v>0</v>
      </c>
      <c r="L466" s="750">
        <v>0</v>
      </c>
    </row>
    <row r="467" spans="1:12" ht="21" x14ac:dyDescent="0.25">
      <c r="A467" s="561" t="s">
        <v>3379</v>
      </c>
      <c r="B467" s="749">
        <v>2023</v>
      </c>
      <c r="C467" s="561" t="s">
        <v>677</v>
      </c>
      <c r="D467" s="561" t="s">
        <v>3391</v>
      </c>
      <c r="E467" s="561" t="s">
        <v>23</v>
      </c>
      <c r="F467" s="735">
        <v>0</v>
      </c>
      <c r="G467" s="749">
        <v>1</v>
      </c>
      <c r="H467" s="749"/>
      <c r="I467" s="733"/>
      <c r="J467" s="733"/>
      <c r="K467" s="735">
        <v>0</v>
      </c>
      <c r="L467" s="750">
        <v>0</v>
      </c>
    </row>
    <row r="468" spans="1:12" ht="21" x14ac:dyDescent="0.25">
      <c r="A468" s="561" t="s">
        <v>3379</v>
      </c>
      <c r="B468" s="749">
        <v>2023</v>
      </c>
      <c r="C468" s="561" t="s">
        <v>679</v>
      </c>
      <c r="D468" s="561" t="s">
        <v>3392</v>
      </c>
      <c r="E468" s="561" t="s">
        <v>131</v>
      </c>
      <c r="F468" s="735">
        <v>0</v>
      </c>
      <c r="G468" s="749">
        <v>1</v>
      </c>
      <c r="H468" s="749"/>
      <c r="I468" s="733"/>
      <c r="J468" s="733"/>
      <c r="K468" s="735">
        <v>0</v>
      </c>
      <c r="L468" s="750">
        <v>0</v>
      </c>
    </row>
    <row r="469" spans="1:12" ht="31.5" x14ac:dyDescent="0.25">
      <c r="A469" s="561" t="s">
        <v>3379</v>
      </c>
      <c r="B469" s="749">
        <v>2023</v>
      </c>
      <c r="C469" s="561" t="s">
        <v>681</v>
      </c>
      <c r="D469" s="561" t="s">
        <v>3393</v>
      </c>
      <c r="E469" s="561" t="s">
        <v>683</v>
      </c>
      <c r="F469" s="735">
        <v>0</v>
      </c>
      <c r="G469" s="749">
        <v>0</v>
      </c>
      <c r="H469" s="749"/>
      <c r="I469" s="733"/>
      <c r="J469" s="733"/>
      <c r="K469" s="735">
        <v>0</v>
      </c>
      <c r="L469" s="750">
        <v>0</v>
      </c>
    </row>
    <row r="470" spans="1:12" ht="21" x14ac:dyDescent="0.25">
      <c r="A470" s="561" t="s">
        <v>3379</v>
      </c>
      <c r="B470" s="749">
        <v>2023</v>
      </c>
      <c r="C470" s="561" t="s">
        <v>681</v>
      </c>
      <c r="D470" s="561" t="s">
        <v>3393</v>
      </c>
      <c r="E470" s="561" t="s">
        <v>684</v>
      </c>
      <c r="F470" s="735">
        <v>0</v>
      </c>
      <c r="G470" s="749">
        <v>0</v>
      </c>
      <c r="H470" s="749"/>
      <c r="I470" s="733"/>
      <c r="J470" s="733"/>
      <c r="K470" s="735">
        <v>0</v>
      </c>
      <c r="L470" s="751">
        <v>0</v>
      </c>
    </row>
    <row r="471" spans="1:12" ht="21" x14ac:dyDescent="0.25">
      <c r="A471" s="561" t="s">
        <v>3379</v>
      </c>
      <c r="B471" s="749">
        <v>2023</v>
      </c>
      <c r="C471" s="561" t="s">
        <v>685</v>
      </c>
      <c r="D471" s="561" t="s">
        <v>3394</v>
      </c>
      <c r="E471" s="561" t="s">
        <v>687</v>
      </c>
      <c r="F471" s="735">
        <v>0</v>
      </c>
      <c r="G471" s="749">
        <v>0</v>
      </c>
      <c r="H471" s="749"/>
      <c r="I471" s="733"/>
      <c r="J471" s="733"/>
      <c r="K471" s="735">
        <v>0</v>
      </c>
      <c r="L471" s="750">
        <v>0</v>
      </c>
    </row>
    <row r="472" spans="1:12" ht="21" x14ac:dyDescent="0.25">
      <c r="A472" s="561" t="s">
        <v>3379</v>
      </c>
      <c r="B472" s="749">
        <v>2023</v>
      </c>
      <c r="C472" s="561" t="s">
        <v>688</v>
      </c>
      <c r="D472" s="561" t="s">
        <v>3395</v>
      </c>
      <c r="E472" s="561" t="s">
        <v>50</v>
      </c>
      <c r="F472" s="735">
        <v>0</v>
      </c>
      <c r="G472" s="749">
        <v>0</v>
      </c>
      <c r="H472" s="749"/>
      <c r="I472" s="733"/>
      <c r="J472" s="733"/>
      <c r="K472" s="735">
        <v>0</v>
      </c>
      <c r="L472" s="750">
        <v>0</v>
      </c>
    </row>
    <row r="473" spans="1:12" ht="21" x14ac:dyDescent="0.25">
      <c r="A473" s="561" t="s">
        <v>3379</v>
      </c>
      <c r="B473" s="749">
        <v>2023</v>
      </c>
      <c r="C473" s="561" t="s">
        <v>690</v>
      </c>
      <c r="D473" s="561" t="s">
        <v>3396</v>
      </c>
      <c r="E473" s="561" t="s">
        <v>692</v>
      </c>
      <c r="F473" s="735">
        <v>0</v>
      </c>
      <c r="G473" s="749">
        <v>0</v>
      </c>
      <c r="H473" s="749"/>
      <c r="I473" s="733"/>
      <c r="J473" s="733"/>
      <c r="K473" s="735">
        <v>0</v>
      </c>
      <c r="L473" s="750">
        <v>0</v>
      </c>
    </row>
    <row r="474" spans="1:12" ht="21" x14ac:dyDescent="0.25">
      <c r="A474" s="561" t="s">
        <v>3379</v>
      </c>
      <c r="B474" s="749">
        <v>2023</v>
      </c>
      <c r="C474" s="561" t="s">
        <v>693</v>
      </c>
      <c r="D474" s="561" t="s">
        <v>3397</v>
      </c>
      <c r="E474" s="561" t="s">
        <v>6</v>
      </c>
      <c r="F474" s="735">
        <v>0</v>
      </c>
      <c r="G474" s="749">
        <v>0</v>
      </c>
      <c r="H474" s="749"/>
      <c r="I474" s="733"/>
      <c r="J474" s="733"/>
      <c r="K474" s="735">
        <v>0</v>
      </c>
      <c r="L474" s="750">
        <v>0</v>
      </c>
    </row>
    <row r="475" spans="1:12" ht="21" x14ac:dyDescent="0.25">
      <c r="A475" s="561" t="s">
        <v>3379</v>
      </c>
      <c r="B475" s="749">
        <v>2023</v>
      </c>
      <c r="C475" s="561" t="s">
        <v>695</v>
      </c>
      <c r="D475" s="561" t="s">
        <v>3398</v>
      </c>
      <c r="E475" s="561" t="s">
        <v>697</v>
      </c>
      <c r="F475" s="735">
        <v>0</v>
      </c>
      <c r="G475" s="749">
        <v>0</v>
      </c>
      <c r="H475" s="749"/>
      <c r="I475" s="733"/>
      <c r="J475" s="733"/>
      <c r="K475" s="735">
        <v>0</v>
      </c>
      <c r="L475" s="750">
        <v>0</v>
      </c>
    </row>
    <row r="476" spans="1:12" ht="21" x14ac:dyDescent="0.25">
      <c r="A476" s="561" t="s">
        <v>3379</v>
      </c>
      <c r="B476" s="749">
        <v>2023</v>
      </c>
      <c r="C476" s="561" t="s">
        <v>698</v>
      </c>
      <c r="D476" s="561" t="s">
        <v>3399</v>
      </c>
      <c r="E476" s="561" t="s">
        <v>700</v>
      </c>
      <c r="F476" s="735">
        <v>0</v>
      </c>
      <c r="G476" s="749">
        <v>0</v>
      </c>
      <c r="H476" s="749"/>
      <c r="I476" s="733"/>
      <c r="J476" s="733"/>
      <c r="K476" s="735">
        <v>0</v>
      </c>
      <c r="L476" s="750">
        <v>0</v>
      </c>
    </row>
    <row r="477" spans="1:12" ht="21" x14ac:dyDescent="0.25">
      <c r="A477" s="561" t="s">
        <v>3379</v>
      </c>
      <c r="B477" s="749">
        <v>2023</v>
      </c>
      <c r="C477" s="561" t="s">
        <v>701</v>
      </c>
      <c r="D477" s="561" t="s">
        <v>3400</v>
      </c>
      <c r="E477" s="561" t="s">
        <v>1</v>
      </c>
      <c r="F477" s="735">
        <v>0</v>
      </c>
      <c r="G477" s="749">
        <v>1</v>
      </c>
      <c r="H477" s="749"/>
      <c r="I477" s="733"/>
      <c r="J477" s="733"/>
      <c r="K477" s="735">
        <v>0</v>
      </c>
      <c r="L477" s="750">
        <v>0</v>
      </c>
    </row>
    <row r="478" spans="1:12" ht="21" x14ac:dyDescent="0.25">
      <c r="A478" s="561" t="s">
        <v>3379</v>
      </c>
      <c r="B478" s="749">
        <v>2023</v>
      </c>
      <c r="C478" s="561" t="s">
        <v>701</v>
      </c>
      <c r="D478" s="561" t="s">
        <v>3400</v>
      </c>
      <c r="E478" s="561" t="s">
        <v>703</v>
      </c>
      <c r="F478" s="735">
        <v>0</v>
      </c>
      <c r="G478" s="749">
        <v>0</v>
      </c>
      <c r="H478" s="749"/>
      <c r="I478" s="733"/>
      <c r="J478" s="733"/>
      <c r="K478" s="735">
        <v>0</v>
      </c>
      <c r="L478" s="751">
        <v>0</v>
      </c>
    </row>
    <row r="479" spans="1:12" ht="21" x14ac:dyDescent="0.25">
      <c r="A479" s="561" t="s">
        <v>3379</v>
      </c>
      <c r="B479" s="749">
        <v>2023</v>
      </c>
      <c r="C479" s="561" t="s">
        <v>701</v>
      </c>
      <c r="D479" s="561" t="s">
        <v>3400</v>
      </c>
      <c r="E479" s="561" t="s">
        <v>704</v>
      </c>
      <c r="F479" s="735">
        <v>0</v>
      </c>
      <c r="G479" s="749">
        <v>0</v>
      </c>
      <c r="H479" s="749"/>
      <c r="I479" s="733"/>
      <c r="J479" s="733"/>
      <c r="K479" s="735">
        <v>0</v>
      </c>
      <c r="L479" s="751">
        <v>0</v>
      </c>
    </row>
    <row r="480" spans="1:12" ht="21" x14ac:dyDescent="0.25">
      <c r="A480" s="561" t="s">
        <v>3379</v>
      </c>
      <c r="B480" s="749">
        <v>2023</v>
      </c>
      <c r="C480" s="561" t="s">
        <v>701</v>
      </c>
      <c r="D480" s="561" t="s">
        <v>3400</v>
      </c>
      <c r="E480" s="561" t="s">
        <v>705</v>
      </c>
      <c r="F480" s="735">
        <v>0</v>
      </c>
      <c r="G480" s="749">
        <v>0</v>
      </c>
      <c r="H480" s="749"/>
      <c r="I480" s="733"/>
      <c r="J480" s="733"/>
      <c r="K480" s="735">
        <v>0</v>
      </c>
      <c r="L480" s="751">
        <v>0</v>
      </c>
    </row>
    <row r="481" spans="1:12" ht="21" x14ac:dyDescent="0.25">
      <c r="A481" s="561" t="s">
        <v>3379</v>
      </c>
      <c r="B481" s="749">
        <v>2023</v>
      </c>
      <c r="C481" s="561" t="s">
        <v>701</v>
      </c>
      <c r="D481" s="561" t="s">
        <v>3400</v>
      </c>
      <c r="E481" s="561" t="s">
        <v>706</v>
      </c>
      <c r="F481" s="735">
        <v>0</v>
      </c>
      <c r="G481" s="749">
        <v>0</v>
      </c>
      <c r="H481" s="749"/>
      <c r="I481" s="733"/>
      <c r="J481" s="733"/>
      <c r="K481" s="735">
        <v>0</v>
      </c>
      <c r="L481" s="751">
        <v>0</v>
      </c>
    </row>
    <row r="482" spans="1:12" ht="21" x14ac:dyDescent="0.25">
      <c r="A482" s="561" t="s">
        <v>3379</v>
      </c>
      <c r="B482" s="749">
        <v>2023</v>
      </c>
      <c r="C482" s="561" t="s">
        <v>707</v>
      </c>
      <c r="D482" s="561" t="s">
        <v>3401</v>
      </c>
      <c r="E482" s="561" t="s">
        <v>709</v>
      </c>
      <c r="F482" s="735">
        <v>0</v>
      </c>
      <c r="G482" s="749">
        <v>0</v>
      </c>
      <c r="H482" s="749"/>
      <c r="I482" s="733"/>
      <c r="J482" s="733"/>
      <c r="K482" s="735">
        <v>0</v>
      </c>
      <c r="L482" s="750">
        <v>0</v>
      </c>
    </row>
    <row r="483" spans="1:12" ht="21" x14ac:dyDescent="0.25">
      <c r="A483" s="561" t="s">
        <v>3379</v>
      </c>
      <c r="B483" s="749">
        <v>2023</v>
      </c>
      <c r="C483" s="561" t="s">
        <v>710</v>
      </c>
      <c r="D483" s="561" t="s">
        <v>3402</v>
      </c>
      <c r="E483" s="561" t="s">
        <v>2</v>
      </c>
      <c r="F483" s="735">
        <v>0</v>
      </c>
      <c r="G483" s="749">
        <v>1</v>
      </c>
      <c r="H483" s="749"/>
      <c r="I483" s="733"/>
      <c r="J483" s="733"/>
      <c r="K483" s="735">
        <v>0</v>
      </c>
      <c r="L483" s="750">
        <v>0</v>
      </c>
    </row>
    <row r="484" spans="1:12" ht="21" x14ac:dyDescent="0.25">
      <c r="A484" s="561" t="s">
        <v>3379</v>
      </c>
      <c r="B484" s="749">
        <v>2023</v>
      </c>
      <c r="C484" s="561" t="s">
        <v>712</v>
      </c>
      <c r="D484" s="561" t="s">
        <v>3403</v>
      </c>
      <c r="E484" s="561" t="s">
        <v>3</v>
      </c>
      <c r="F484" s="735">
        <v>0</v>
      </c>
      <c r="G484" s="749">
        <v>1</v>
      </c>
      <c r="H484" s="749"/>
      <c r="I484" s="733"/>
      <c r="J484" s="733"/>
      <c r="K484" s="735">
        <v>0</v>
      </c>
      <c r="L484" s="750">
        <v>0</v>
      </c>
    </row>
    <row r="485" spans="1:12" ht="21" x14ac:dyDescent="0.25">
      <c r="A485" s="561" t="s">
        <v>3379</v>
      </c>
      <c r="B485" s="749">
        <v>2023</v>
      </c>
      <c r="C485" s="561" t="s">
        <v>714</v>
      </c>
      <c r="D485" s="561" t="s">
        <v>3404</v>
      </c>
      <c r="E485" s="561" t="s">
        <v>38</v>
      </c>
      <c r="F485" s="735">
        <v>0</v>
      </c>
      <c r="G485" s="749">
        <v>1</v>
      </c>
      <c r="H485" s="749"/>
      <c r="I485" s="733"/>
      <c r="J485" s="733"/>
      <c r="K485" s="735">
        <v>0</v>
      </c>
      <c r="L485" s="750">
        <v>0</v>
      </c>
    </row>
    <row r="486" spans="1:12" ht="21" x14ac:dyDescent="0.25">
      <c r="A486" s="561" t="s">
        <v>3379</v>
      </c>
      <c r="B486" s="749">
        <v>2023</v>
      </c>
      <c r="C486" s="561" t="s">
        <v>716</v>
      </c>
      <c r="D486" s="561" t="s">
        <v>3405</v>
      </c>
      <c r="E486" s="561" t="s">
        <v>66</v>
      </c>
      <c r="F486" s="735">
        <v>0</v>
      </c>
      <c r="G486" s="749">
        <v>1</v>
      </c>
      <c r="H486" s="749"/>
      <c r="I486" s="733"/>
      <c r="J486" s="733"/>
      <c r="K486" s="735">
        <v>0</v>
      </c>
      <c r="L486" s="750">
        <v>0</v>
      </c>
    </row>
    <row r="487" spans="1:12" ht="21" x14ac:dyDescent="0.25">
      <c r="A487" s="561" t="s">
        <v>3379</v>
      </c>
      <c r="B487" s="749">
        <v>2023</v>
      </c>
      <c r="C487" s="561" t="s">
        <v>718</v>
      </c>
      <c r="D487" s="561" t="s">
        <v>3406</v>
      </c>
      <c r="E487" s="561" t="s">
        <v>768</v>
      </c>
      <c r="F487" s="735">
        <v>0</v>
      </c>
      <c r="G487" s="749">
        <v>0</v>
      </c>
      <c r="H487" s="749"/>
      <c r="I487" s="733"/>
      <c r="J487" s="733"/>
      <c r="K487" s="735">
        <v>0</v>
      </c>
      <c r="L487" s="750">
        <v>0</v>
      </c>
    </row>
    <row r="488" spans="1:12" ht="31.5" x14ac:dyDescent="0.25">
      <c r="A488" s="561" t="s">
        <v>3379</v>
      </c>
      <c r="B488" s="749">
        <v>2023</v>
      </c>
      <c r="C488" s="561" t="s">
        <v>721</v>
      </c>
      <c r="D488" s="561" t="s">
        <v>3408</v>
      </c>
      <c r="E488" s="561" t="s">
        <v>724</v>
      </c>
      <c r="F488" s="735">
        <v>0</v>
      </c>
      <c r="G488" s="749">
        <v>1</v>
      </c>
      <c r="H488" s="749"/>
      <c r="I488" s="733"/>
      <c r="J488" s="733"/>
      <c r="K488" s="735">
        <v>0</v>
      </c>
      <c r="L488" s="750">
        <v>0</v>
      </c>
    </row>
    <row r="489" spans="1:12" ht="31.5" x14ac:dyDescent="0.25">
      <c r="A489" s="561" t="s">
        <v>3379</v>
      </c>
      <c r="B489" s="749">
        <v>2023</v>
      </c>
      <c r="C489" s="561" t="s">
        <v>721</v>
      </c>
      <c r="D489" s="561" t="s">
        <v>3409</v>
      </c>
      <c r="E489" s="561" t="s">
        <v>55</v>
      </c>
      <c r="F489" s="735">
        <v>0</v>
      </c>
      <c r="G489" s="749">
        <v>1</v>
      </c>
      <c r="H489" s="749"/>
      <c r="I489" s="733"/>
      <c r="J489" s="733"/>
      <c r="K489" s="735">
        <v>0</v>
      </c>
      <c r="L489" s="750">
        <v>0</v>
      </c>
    </row>
    <row r="490" spans="1:12" ht="31.5" x14ac:dyDescent="0.25">
      <c r="A490" s="561" t="s">
        <v>3379</v>
      </c>
      <c r="B490" s="749">
        <v>2023</v>
      </c>
      <c r="C490" s="561" t="s">
        <v>721</v>
      </c>
      <c r="D490" s="561" t="s">
        <v>3410</v>
      </c>
      <c r="E490" s="561" t="s">
        <v>56</v>
      </c>
      <c r="F490" s="735">
        <v>0</v>
      </c>
      <c r="G490" s="749">
        <v>1</v>
      </c>
      <c r="H490" s="749"/>
      <c r="I490" s="733"/>
      <c r="J490" s="733"/>
      <c r="K490" s="735">
        <v>0</v>
      </c>
      <c r="L490" s="750">
        <v>0</v>
      </c>
    </row>
    <row r="491" spans="1:12" ht="31.5" x14ac:dyDescent="0.25">
      <c r="A491" s="561" t="s">
        <v>3379</v>
      </c>
      <c r="B491" s="749">
        <v>2023</v>
      </c>
      <c r="C491" s="561" t="s">
        <v>721</v>
      </c>
      <c r="D491" s="561" t="s">
        <v>3411</v>
      </c>
      <c r="E491" s="561" t="s">
        <v>728</v>
      </c>
      <c r="F491" s="735">
        <v>0</v>
      </c>
      <c r="G491" s="749">
        <v>1</v>
      </c>
      <c r="H491" s="749"/>
      <c r="I491" s="733"/>
      <c r="J491" s="733"/>
      <c r="K491" s="735">
        <v>0</v>
      </c>
      <c r="L491" s="750">
        <v>0</v>
      </c>
    </row>
    <row r="492" spans="1:12" ht="31.5" x14ac:dyDescent="0.25">
      <c r="A492" s="561" t="s">
        <v>3379</v>
      </c>
      <c r="B492" s="749">
        <v>2023</v>
      </c>
      <c r="C492" s="561" t="s">
        <v>721</v>
      </c>
      <c r="D492" s="561" t="s">
        <v>3412</v>
      </c>
      <c r="E492" s="561" t="s">
        <v>730</v>
      </c>
      <c r="F492" s="735">
        <v>0</v>
      </c>
      <c r="G492" s="749">
        <v>1</v>
      </c>
      <c r="H492" s="749"/>
      <c r="I492" s="733"/>
      <c r="J492" s="733"/>
      <c r="K492" s="735">
        <v>0</v>
      </c>
      <c r="L492" s="750">
        <v>0</v>
      </c>
    </row>
    <row r="493" spans="1:12" ht="31.5" x14ac:dyDescent="0.25">
      <c r="A493" s="561" t="s">
        <v>3379</v>
      </c>
      <c r="B493" s="749">
        <v>2023</v>
      </c>
      <c r="C493" s="561" t="s">
        <v>721</v>
      </c>
      <c r="D493" s="561" t="s">
        <v>3413</v>
      </c>
      <c r="E493" s="561" t="s">
        <v>142</v>
      </c>
      <c r="F493" s="735">
        <v>0</v>
      </c>
      <c r="G493" s="749">
        <v>1</v>
      </c>
      <c r="H493" s="749"/>
      <c r="I493" s="733"/>
      <c r="J493" s="733"/>
      <c r="K493" s="735">
        <v>0</v>
      </c>
      <c r="L493" s="750">
        <v>0</v>
      </c>
    </row>
    <row r="494" spans="1:12" ht="31.5" x14ac:dyDescent="0.25">
      <c r="A494" s="561" t="s">
        <v>3379</v>
      </c>
      <c r="B494" s="749">
        <v>2023</v>
      </c>
      <c r="C494" s="561" t="s">
        <v>721</v>
      </c>
      <c r="D494" s="561" t="s">
        <v>3414</v>
      </c>
      <c r="E494" s="561" t="s">
        <v>143</v>
      </c>
      <c r="F494" s="735">
        <v>0</v>
      </c>
      <c r="G494" s="749">
        <v>1</v>
      </c>
      <c r="H494" s="749"/>
      <c r="I494" s="733"/>
      <c r="J494" s="733"/>
      <c r="K494" s="735">
        <v>0</v>
      </c>
      <c r="L494" s="750">
        <v>0</v>
      </c>
    </row>
    <row r="495" spans="1:12" ht="31.5" x14ac:dyDescent="0.25">
      <c r="A495" s="561" t="s">
        <v>3379</v>
      </c>
      <c r="B495" s="749">
        <v>2023</v>
      </c>
      <c r="C495" s="561" t="s">
        <v>721</v>
      </c>
      <c r="D495" s="561" t="s">
        <v>3415</v>
      </c>
      <c r="E495" s="561" t="s">
        <v>182</v>
      </c>
      <c r="F495" s="735">
        <v>0</v>
      </c>
      <c r="G495" s="749">
        <v>1</v>
      </c>
      <c r="H495" s="749"/>
      <c r="I495" s="733"/>
      <c r="J495" s="733"/>
      <c r="K495" s="735">
        <v>0</v>
      </c>
      <c r="L495" s="750">
        <v>0</v>
      </c>
    </row>
    <row r="496" spans="1:12" ht="31.5" x14ac:dyDescent="0.25">
      <c r="A496" s="561" t="s">
        <v>3379</v>
      </c>
      <c r="B496" s="749">
        <v>2023</v>
      </c>
      <c r="C496" s="561" t="s">
        <v>721</v>
      </c>
      <c r="D496" s="561" t="s">
        <v>3416</v>
      </c>
      <c r="E496" s="561" t="s">
        <v>394</v>
      </c>
      <c r="F496" s="735">
        <v>0</v>
      </c>
      <c r="G496" s="749">
        <v>1</v>
      </c>
      <c r="H496" s="749"/>
      <c r="I496" s="733"/>
      <c r="J496" s="733"/>
      <c r="K496" s="735">
        <v>0</v>
      </c>
      <c r="L496" s="750">
        <v>0</v>
      </c>
    </row>
    <row r="497" spans="1:12" ht="31.5" x14ac:dyDescent="0.25">
      <c r="A497" s="561" t="s">
        <v>3379</v>
      </c>
      <c r="B497" s="749">
        <v>2023</v>
      </c>
      <c r="C497" s="561" t="s">
        <v>721</v>
      </c>
      <c r="D497" s="561" t="s">
        <v>3417</v>
      </c>
      <c r="E497" s="561" t="s">
        <v>423</v>
      </c>
      <c r="F497" s="735">
        <v>0</v>
      </c>
      <c r="G497" s="749">
        <v>1</v>
      </c>
      <c r="H497" s="749"/>
      <c r="I497" s="733"/>
      <c r="J497" s="733"/>
      <c r="K497" s="735">
        <v>0</v>
      </c>
      <c r="L497" s="750">
        <v>0</v>
      </c>
    </row>
    <row r="498" spans="1:12" ht="31.5" x14ac:dyDescent="0.25">
      <c r="A498" s="561" t="s">
        <v>3379</v>
      </c>
      <c r="B498" s="749">
        <v>2023</v>
      </c>
      <c r="C498" s="561" t="s">
        <v>721</v>
      </c>
      <c r="D498" s="561" t="s">
        <v>3418</v>
      </c>
      <c r="E498" s="561" t="s">
        <v>441</v>
      </c>
      <c r="F498" s="735">
        <v>0</v>
      </c>
      <c r="G498" s="749">
        <v>1</v>
      </c>
      <c r="H498" s="749"/>
      <c r="I498" s="733"/>
      <c r="J498" s="733"/>
      <c r="K498" s="735">
        <v>0</v>
      </c>
      <c r="L498" s="750">
        <v>0</v>
      </c>
    </row>
    <row r="499" spans="1:12" ht="31.5" x14ac:dyDescent="0.25">
      <c r="A499" s="561" t="s">
        <v>3379</v>
      </c>
      <c r="B499" s="749">
        <v>2023</v>
      </c>
      <c r="C499" s="561" t="s">
        <v>721</v>
      </c>
      <c r="D499" s="561" t="s">
        <v>3489</v>
      </c>
      <c r="E499" s="561" t="s">
        <v>3016</v>
      </c>
      <c r="F499" s="735">
        <v>0</v>
      </c>
      <c r="G499" s="749">
        <v>1</v>
      </c>
      <c r="H499" s="749"/>
      <c r="I499" s="733"/>
      <c r="J499" s="733"/>
      <c r="K499" s="735">
        <v>0</v>
      </c>
      <c r="L499" s="750">
        <v>0</v>
      </c>
    </row>
    <row r="500" spans="1:12" ht="31.5" x14ac:dyDescent="0.25">
      <c r="A500" s="561" t="s">
        <v>3379</v>
      </c>
      <c r="B500" s="749">
        <v>2023</v>
      </c>
      <c r="C500" s="561" t="s">
        <v>721</v>
      </c>
      <c r="D500" s="561" t="s">
        <v>3490</v>
      </c>
      <c r="E500" s="561" t="s">
        <v>3058</v>
      </c>
      <c r="F500" s="735">
        <v>0</v>
      </c>
      <c r="G500" s="749">
        <v>1</v>
      </c>
      <c r="H500" s="749"/>
      <c r="I500" s="733"/>
      <c r="J500" s="733"/>
      <c r="K500" s="735">
        <v>0</v>
      </c>
      <c r="L500" s="750">
        <v>0</v>
      </c>
    </row>
    <row r="501" spans="1:12" ht="31.5" x14ac:dyDescent="0.25">
      <c r="A501" s="561" t="s">
        <v>3379</v>
      </c>
      <c r="B501" s="749">
        <v>2023</v>
      </c>
      <c r="C501" s="561" t="s">
        <v>721</v>
      </c>
      <c r="D501" s="561" t="s">
        <v>3491</v>
      </c>
      <c r="E501" s="561" t="s">
        <v>3063</v>
      </c>
      <c r="F501" s="735">
        <v>0</v>
      </c>
      <c r="G501" s="749">
        <v>1</v>
      </c>
      <c r="H501" s="749"/>
      <c r="I501" s="733"/>
      <c r="J501" s="733"/>
      <c r="K501" s="735">
        <v>0</v>
      </c>
      <c r="L501" s="750">
        <v>0</v>
      </c>
    </row>
    <row r="502" spans="1:12" ht="31.5" x14ac:dyDescent="0.25">
      <c r="A502" s="561" t="s">
        <v>3379</v>
      </c>
      <c r="B502" s="749">
        <v>2023</v>
      </c>
      <c r="C502" s="561" t="s">
        <v>721</v>
      </c>
      <c r="D502" s="561" t="s">
        <v>3710</v>
      </c>
      <c r="E502" s="561" t="s">
        <v>3425</v>
      </c>
      <c r="F502" s="735">
        <v>0</v>
      </c>
      <c r="G502" s="749">
        <v>1</v>
      </c>
      <c r="H502" s="749"/>
      <c r="I502" s="733"/>
      <c r="J502" s="733"/>
      <c r="K502" s="735">
        <v>0</v>
      </c>
      <c r="L502" s="750">
        <v>0</v>
      </c>
    </row>
    <row r="503" spans="1:12" ht="42" x14ac:dyDescent="0.25">
      <c r="A503" s="561" t="s">
        <v>3379</v>
      </c>
      <c r="B503" s="749">
        <v>2023</v>
      </c>
      <c r="C503" s="561" t="s">
        <v>721</v>
      </c>
      <c r="D503" s="561" t="s">
        <v>3711</v>
      </c>
      <c r="E503" s="561" t="s">
        <v>737</v>
      </c>
      <c r="F503" s="735">
        <v>0</v>
      </c>
      <c r="G503" s="749">
        <v>0</v>
      </c>
      <c r="H503" s="749"/>
      <c r="I503" s="733"/>
      <c r="J503" s="733"/>
      <c r="K503" s="735">
        <v>0</v>
      </c>
      <c r="L503" s="750">
        <v>0</v>
      </c>
    </row>
    <row r="504" spans="1:12" ht="21" x14ac:dyDescent="0.25">
      <c r="A504" s="561" t="s">
        <v>3379</v>
      </c>
      <c r="B504" s="749">
        <v>2023</v>
      </c>
      <c r="C504" s="561" t="s">
        <v>738</v>
      </c>
      <c r="D504" s="561" t="s">
        <v>3420</v>
      </c>
      <c r="E504" s="561" t="s">
        <v>7</v>
      </c>
      <c r="F504" s="735">
        <v>0</v>
      </c>
      <c r="G504" s="749">
        <v>0</v>
      </c>
      <c r="H504" s="749"/>
      <c r="I504" s="733"/>
      <c r="J504" s="733"/>
      <c r="K504" s="735">
        <v>0</v>
      </c>
      <c r="L504" s="750">
        <v>0</v>
      </c>
    </row>
    <row r="505" spans="1:12" x14ac:dyDescent="0.25">
      <c r="A505" s="561" t="s">
        <v>86</v>
      </c>
      <c r="B505" s="749">
        <v>2023</v>
      </c>
      <c r="C505" s="561" t="s">
        <v>647</v>
      </c>
      <c r="D505" s="561" t="s">
        <v>1102</v>
      </c>
      <c r="E505" s="561" t="s">
        <v>649</v>
      </c>
      <c r="F505" s="735">
        <v>475484.45</v>
      </c>
      <c r="G505" s="749">
        <v>0</v>
      </c>
      <c r="H505" s="749"/>
      <c r="I505" s="733"/>
      <c r="J505" s="733"/>
      <c r="K505" s="735">
        <v>0</v>
      </c>
      <c r="L505" s="750">
        <v>475484.45</v>
      </c>
    </row>
    <row r="506" spans="1:12" ht="21" x14ac:dyDescent="0.25">
      <c r="A506" s="561" t="s">
        <v>86</v>
      </c>
      <c r="B506" s="749">
        <v>2023</v>
      </c>
      <c r="C506" s="561" t="s">
        <v>3691</v>
      </c>
      <c r="D506" s="561" t="s">
        <v>3631</v>
      </c>
      <c r="E506" s="561" t="s">
        <v>3675</v>
      </c>
      <c r="F506" s="735">
        <v>38158.080000000002</v>
      </c>
      <c r="G506" s="749">
        <v>0</v>
      </c>
      <c r="H506" s="749"/>
      <c r="I506" s="733"/>
      <c r="J506" s="733"/>
      <c r="K506" s="735">
        <v>0</v>
      </c>
      <c r="L506" s="750">
        <v>38158.080000000002</v>
      </c>
    </row>
    <row r="507" spans="1:12" x14ac:dyDescent="0.25">
      <c r="A507" s="561" t="s">
        <v>86</v>
      </c>
      <c r="B507" s="749">
        <v>2023</v>
      </c>
      <c r="C507" s="561" t="s">
        <v>651</v>
      </c>
      <c r="D507" s="561" t="s">
        <v>1103</v>
      </c>
      <c r="E507" s="561" t="s">
        <v>653</v>
      </c>
      <c r="F507" s="735">
        <v>-1809.52</v>
      </c>
      <c r="G507" s="749">
        <v>0</v>
      </c>
      <c r="H507" s="749"/>
      <c r="I507" s="733"/>
      <c r="J507" s="733"/>
      <c r="K507" s="735">
        <v>0</v>
      </c>
      <c r="L507" s="750">
        <v>-1809.52</v>
      </c>
    </row>
    <row r="508" spans="1:12" ht="31.5" x14ac:dyDescent="0.25">
      <c r="A508" s="561" t="s">
        <v>86</v>
      </c>
      <c r="B508" s="749">
        <v>2023</v>
      </c>
      <c r="C508" s="561" t="s">
        <v>654</v>
      </c>
      <c r="D508" s="561" t="s">
        <v>1104</v>
      </c>
      <c r="E508" s="561" t="s">
        <v>445</v>
      </c>
      <c r="F508" s="735">
        <v>0</v>
      </c>
      <c r="G508" s="749">
        <v>0</v>
      </c>
      <c r="H508" s="749"/>
      <c r="I508" s="733"/>
      <c r="J508" s="733"/>
      <c r="K508" s="735">
        <v>0</v>
      </c>
      <c r="L508" s="750">
        <v>0</v>
      </c>
    </row>
    <row r="509" spans="1:12" ht="21" x14ac:dyDescent="0.25">
      <c r="A509" s="561" t="s">
        <v>86</v>
      </c>
      <c r="B509" s="749">
        <v>2023</v>
      </c>
      <c r="C509" s="561" t="s">
        <v>656</v>
      </c>
      <c r="D509" s="561" t="s">
        <v>1105</v>
      </c>
      <c r="E509" s="561" t="s">
        <v>658</v>
      </c>
      <c r="F509" s="735">
        <v>0.15</v>
      </c>
      <c r="G509" s="749">
        <v>0</v>
      </c>
      <c r="H509" s="749"/>
      <c r="I509" s="733"/>
      <c r="J509" s="733"/>
      <c r="K509" s="735">
        <v>0</v>
      </c>
      <c r="L509" s="750">
        <v>0.15</v>
      </c>
    </row>
    <row r="510" spans="1:12" ht="21" x14ac:dyDescent="0.25">
      <c r="A510" s="561" t="s">
        <v>86</v>
      </c>
      <c r="B510" s="749">
        <v>2023</v>
      </c>
      <c r="C510" s="561" t="s">
        <v>659</v>
      </c>
      <c r="D510" s="561" t="s">
        <v>1106</v>
      </c>
      <c r="E510" s="561" t="s">
        <v>661</v>
      </c>
      <c r="F510" s="735">
        <v>176493</v>
      </c>
      <c r="G510" s="749">
        <v>0</v>
      </c>
      <c r="H510" s="749"/>
      <c r="I510" s="733"/>
      <c r="J510" s="733"/>
      <c r="K510" s="735">
        <v>0</v>
      </c>
      <c r="L510" s="750">
        <v>176493</v>
      </c>
    </row>
    <row r="511" spans="1:12" ht="21" x14ac:dyDescent="0.25">
      <c r="A511" s="561" t="s">
        <v>86</v>
      </c>
      <c r="B511" s="749">
        <v>2023</v>
      </c>
      <c r="C511" s="561" t="s">
        <v>662</v>
      </c>
      <c r="D511" s="561" t="s">
        <v>1107</v>
      </c>
      <c r="E511" s="561" t="s">
        <v>664</v>
      </c>
      <c r="F511" s="735">
        <v>0</v>
      </c>
      <c r="G511" s="749">
        <v>0</v>
      </c>
      <c r="H511" s="749"/>
      <c r="I511" s="733"/>
      <c r="J511" s="733"/>
      <c r="K511" s="735">
        <v>0</v>
      </c>
      <c r="L511" s="750">
        <v>0</v>
      </c>
    </row>
    <row r="512" spans="1:12" ht="31.5" x14ac:dyDescent="0.25">
      <c r="A512" s="561" t="s">
        <v>86</v>
      </c>
      <c r="B512" s="749">
        <v>2023</v>
      </c>
      <c r="C512" s="561" t="s">
        <v>665</v>
      </c>
      <c r="D512" s="561" t="s">
        <v>1108</v>
      </c>
      <c r="E512" s="561" t="s">
        <v>667</v>
      </c>
      <c r="F512" s="735">
        <v>0</v>
      </c>
      <c r="G512" s="749">
        <v>0</v>
      </c>
      <c r="H512" s="749"/>
      <c r="I512" s="733"/>
      <c r="J512" s="733"/>
      <c r="K512" s="735">
        <v>0</v>
      </c>
      <c r="L512" s="750">
        <v>0</v>
      </c>
    </row>
    <row r="513" spans="1:12" ht="21" x14ac:dyDescent="0.25">
      <c r="A513" s="561" t="s">
        <v>86</v>
      </c>
      <c r="B513" s="749">
        <v>2023</v>
      </c>
      <c r="C513" s="561" t="s">
        <v>668</v>
      </c>
      <c r="D513" s="561" t="s">
        <v>1109</v>
      </c>
      <c r="E513" s="561" t="s">
        <v>12</v>
      </c>
      <c r="F513" s="735">
        <v>0</v>
      </c>
      <c r="G513" s="749">
        <v>0</v>
      </c>
      <c r="H513" s="749"/>
      <c r="I513" s="733"/>
      <c r="J513" s="733"/>
      <c r="K513" s="735">
        <v>0</v>
      </c>
      <c r="L513" s="750">
        <v>0</v>
      </c>
    </row>
    <row r="514" spans="1:12" ht="21" x14ac:dyDescent="0.25">
      <c r="A514" s="561" t="s">
        <v>86</v>
      </c>
      <c r="B514" s="749">
        <v>2023</v>
      </c>
      <c r="C514" s="561" t="s">
        <v>670</v>
      </c>
      <c r="D514" s="561" t="s">
        <v>1110</v>
      </c>
      <c r="E514" s="561" t="s">
        <v>13</v>
      </c>
      <c r="F514" s="735">
        <v>0</v>
      </c>
      <c r="G514" s="749">
        <v>0</v>
      </c>
      <c r="H514" s="749"/>
      <c r="I514" s="733"/>
      <c r="J514" s="733"/>
      <c r="K514" s="735">
        <v>0</v>
      </c>
      <c r="L514" s="750">
        <v>0</v>
      </c>
    </row>
    <row r="515" spans="1:12" ht="21" x14ac:dyDescent="0.25">
      <c r="A515" s="561" t="s">
        <v>86</v>
      </c>
      <c r="B515" s="749">
        <v>2023</v>
      </c>
      <c r="C515" s="561" t="s">
        <v>672</v>
      </c>
      <c r="D515" s="561" t="s">
        <v>1111</v>
      </c>
      <c r="E515" s="561" t="s">
        <v>15</v>
      </c>
      <c r="F515" s="735">
        <v>0</v>
      </c>
      <c r="G515" s="749">
        <v>0</v>
      </c>
      <c r="H515" s="749"/>
      <c r="I515" s="733"/>
      <c r="J515" s="733"/>
      <c r="K515" s="735">
        <v>0</v>
      </c>
      <c r="L515" s="750">
        <v>0</v>
      </c>
    </row>
    <row r="516" spans="1:12" x14ac:dyDescent="0.25">
      <c r="A516" s="561" t="s">
        <v>86</v>
      </c>
      <c r="B516" s="749">
        <v>2023</v>
      </c>
      <c r="C516" s="561" t="s">
        <v>674</v>
      </c>
      <c r="D516" s="561" t="s">
        <v>1112</v>
      </c>
      <c r="E516" s="561" t="s">
        <v>676</v>
      </c>
      <c r="F516" s="735">
        <v>681.01</v>
      </c>
      <c r="G516" s="749">
        <v>0</v>
      </c>
      <c r="H516" s="749"/>
      <c r="I516" s="733"/>
      <c r="J516" s="733"/>
      <c r="K516" s="735">
        <v>0</v>
      </c>
      <c r="L516" s="750">
        <v>681.01</v>
      </c>
    </row>
    <row r="517" spans="1:12" x14ac:dyDescent="0.25">
      <c r="A517" s="561" t="s">
        <v>86</v>
      </c>
      <c r="B517" s="749">
        <v>2023</v>
      </c>
      <c r="C517" s="561" t="s">
        <v>677</v>
      </c>
      <c r="D517" s="561" t="s">
        <v>1113</v>
      </c>
      <c r="E517" s="561" t="s">
        <v>23</v>
      </c>
      <c r="F517" s="735">
        <v>825981.57</v>
      </c>
      <c r="G517" s="749">
        <v>1</v>
      </c>
      <c r="H517" s="749"/>
      <c r="I517" s="735">
        <v>809792.01</v>
      </c>
      <c r="J517" s="735">
        <v>16189.56</v>
      </c>
      <c r="K517" s="735">
        <v>825981.57</v>
      </c>
      <c r="L517" s="750">
        <v>825981.57</v>
      </c>
    </row>
    <row r="518" spans="1:12" ht="21" x14ac:dyDescent="0.25">
      <c r="A518" s="561" t="s">
        <v>86</v>
      </c>
      <c r="B518" s="749">
        <v>2023</v>
      </c>
      <c r="C518" s="561" t="s">
        <v>679</v>
      </c>
      <c r="D518" s="561" t="s">
        <v>1114</v>
      </c>
      <c r="E518" s="561" t="s">
        <v>131</v>
      </c>
      <c r="F518" s="735">
        <v>-43593.37</v>
      </c>
      <c r="G518" s="749">
        <v>1</v>
      </c>
      <c r="H518" s="749"/>
      <c r="I518" s="735">
        <v>-43593.37</v>
      </c>
      <c r="J518" s="733"/>
      <c r="K518" s="735">
        <v>-43593.37</v>
      </c>
      <c r="L518" s="750">
        <v>-43593.37</v>
      </c>
    </row>
    <row r="519" spans="1:12" ht="31.5" x14ac:dyDescent="0.25">
      <c r="A519" s="561" t="s">
        <v>86</v>
      </c>
      <c r="B519" s="749">
        <v>2023</v>
      </c>
      <c r="C519" s="561" t="s">
        <v>681</v>
      </c>
      <c r="D519" s="561" t="s">
        <v>1115</v>
      </c>
      <c r="E519" s="561" t="s">
        <v>683</v>
      </c>
      <c r="F519" s="735">
        <v>-11.15</v>
      </c>
      <c r="G519" s="749">
        <v>0</v>
      </c>
      <c r="H519" s="749"/>
      <c r="I519" s="733"/>
      <c r="J519" s="733"/>
      <c r="K519" s="735">
        <v>0</v>
      </c>
      <c r="L519" s="750">
        <v>-11.15</v>
      </c>
    </row>
    <row r="520" spans="1:12" ht="21" x14ac:dyDescent="0.25">
      <c r="A520" s="561" t="s">
        <v>86</v>
      </c>
      <c r="B520" s="749">
        <v>2023</v>
      </c>
      <c r="C520" s="561" t="s">
        <v>681</v>
      </c>
      <c r="D520" s="561" t="s">
        <v>1115</v>
      </c>
      <c r="E520" s="561" t="s">
        <v>684</v>
      </c>
      <c r="F520" s="735">
        <v>0</v>
      </c>
      <c r="G520" s="749">
        <v>0</v>
      </c>
      <c r="H520" s="749"/>
      <c r="I520" s="733"/>
      <c r="J520" s="733"/>
      <c r="K520" s="735">
        <v>0</v>
      </c>
      <c r="L520" s="751">
        <v>0</v>
      </c>
    </row>
    <row r="521" spans="1:12" x14ac:dyDescent="0.25">
      <c r="A521" s="561" t="s">
        <v>86</v>
      </c>
      <c r="B521" s="749">
        <v>2023</v>
      </c>
      <c r="C521" s="561" t="s">
        <v>685</v>
      </c>
      <c r="D521" s="561" t="s">
        <v>1116</v>
      </c>
      <c r="E521" s="561" t="s">
        <v>687</v>
      </c>
      <c r="F521" s="735">
        <v>0</v>
      </c>
      <c r="G521" s="749">
        <v>0</v>
      </c>
      <c r="H521" s="749"/>
      <c r="I521" s="733"/>
      <c r="J521" s="733"/>
      <c r="K521" s="735">
        <v>0</v>
      </c>
      <c r="L521" s="750">
        <v>0</v>
      </c>
    </row>
    <row r="522" spans="1:12" x14ac:dyDescent="0.25">
      <c r="A522" s="561" t="s">
        <v>86</v>
      </c>
      <c r="B522" s="749">
        <v>2023</v>
      </c>
      <c r="C522" s="561" t="s">
        <v>688</v>
      </c>
      <c r="D522" s="561" t="s">
        <v>1117</v>
      </c>
      <c r="E522" s="561" t="s">
        <v>50</v>
      </c>
      <c r="F522" s="735">
        <v>0</v>
      </c>
      <c r="G522" s="749">
        <v>0</v>
      </c>
      <c r="H522" s="749"/>
      <c r="I522" s="733"/>
      <c r="J522" s="733"/>
      <c r="K522" s="735">
        <v>0</v>
      </c>
      <c r="L522" s="750">
        <v>0</v>
      </c>
    </row>
    <row r="523" spans="1:12" x14ac:dyDescent="0.25">
      <c r="A523" s="561" t="s">
        <v>86</v>
      </c>
      <c r="B523" s="749">
        <v>2023</v>
      </c>
      <c r="C523" s="561" t="s">
        <v>690</v>
      </c>
      <c r="D523" s="561" t="s">
        <v>1118</v>
      </c>
      <c r="E523" s="561" t="s">
        <v>692</v>
      </c>
      <c r="F523" s="735">
        <v>0</v>
      </c>
      <c r="G523" s="749">
        <v>0</v>
      </c>
      <c r="H523" s="749"/>
      <c r="I523" s="733"/>
      <c r="J523" s="733"/>
      <c r="K523" s="735">
        <v>0</v>
      </c>
      <c r="L523" s="750">
        <v>0</v>
      </c>
    </row>
    <row r="524" spans="1:12" ht="21" x14ac:dyDescent="0.25">
      <c r="A524" s="561" t="s">
        <v>86</v>
      </c>
      <c r="B524" s="749">
        <v>2023</v>
      </c>
      <c r="C524" s="561" t="s">
        <v>693</v>
      </c>
      <c r="D524" s="561" t="s">
        <v>1119</v>
      </c>
      <c r="E524" s="561" t="s">
        <v>6</v>
      </c>
      <c r="F524" s="735">
        <v>0</v>
      </c>
      <c r="G524" s="749">
        <v>0</v>
      </c>
      <c r="H524" s="749"/>
      <c r="I524" s="733"/>
      <c r="J524" s="733"/>
      <c r="K524" s="735">
        <v>0</v>
      </c>
      <c r="L524" s="750">
        <v>0</v>
      </c>
    </row>
    <row r="525" spans="1:12" ht="21" x14ac:dyDescent="0.25">
      <c r="A525" s="561" t="s">
        <v>86</v>
      </c>
      <c r="B525" s="749">
        <v>2023</v>
      </c>
      <c r="C525" s="561" t="s">
        <v>695</v>
      </c>
      <c r="D525" s="561" t="s">
        <v>1120</v>
      </c>
      <c r="E525" s="561" t="s">
        <v>697</v>
      </c>
      <c r="F525" s="735">
        <v>21600.83</v>
      </c>
      <c r="G525" s="749">
        <v>0</v>
      </c>
      <c r="H525" s="749"/>
      <c r="I525" s="733"/>
      <c r="J525" s="733"/>
      <c r="K525" s="735">
        <v>0</v>
      </c>
      <c r="L525" s="750">
        <v>21600.83</v>
      </c>
    </row>
    <row r="526" spans="1:12" x14ac:dyDescent="0.25">
      <c r="A526" s="561" t="s">
        <v>86</v>
      </c>
      <c r="B526" s="749">
        <v>2023</v>
      </c>
      <c r="C526" s="561" t="s">
        <v>698</v>
      </c>
      <c r="D526" s="561" t="s">
        <v>1121</v>
      </c>
      <c r="E526" s="561" t="s">
        <v>700</v>
      </c>
      <c r="F526" s="735">
        <v>-0.61</v>
      </c>
      <c r="G526" s="749">
        <v>0</v>
      </c>
      <c r="H526" s="749"/>
      <c r="I526" s="733"/>
      <c r="J526" s="733"/>
      <c r="K526" s="735">
        <v>0</v>
      </c>
      <c r="L526" s="750">
        <v>-0.61</v>
      </c>
    </row>
    <row r="527" spans="1:12" ht="21" x14ac:dyDescent="0.25">
      <c r="A527" s="561" t="s">
        <v>86</v>
      </c>
      <c r="B527" s="749">
        <v>2023</v>
      </c>
      <c r="C527" s="561" t="s">
        <v>701</v>
      </c>
      <c r="D527" s="561" t="s">
        <v>1122</v>
      </c>
      <c r="E527" s="561" t="s">
        <v>1</v>
      </c>
      <c r="F527" s="735">
        <v>630905.21</v>
      </c>
      <c r="G527" s="749">
        <v>1</v>
      </c>
      <c r="H527" s="749"/>
      <c r="I527" s="735">
        <v>621710.94999999995</v>
      </c>
      <c r="J527" s="735">
        <v>9194.26</v>
      </c>
      <c r="K527" s="735">
        <v>630905.21</v>
      </c>
      <c r="L527" s="750">
        <v>630905.21</v>
      </c>
    </row>
    <row r="528" spans="1:12" ht="21" x14ac:dyDescent="0.25">
      <c r="A528" s="561" t="s">
        <v>86</v>
      </c>
      <c r="B528" s="749">
        <v>2023</v>
      </c>
      <c r="C528" s="561" t="s">
        <v>701</v>
      </c>
      <c r="D528" s="561" t="s">
        <v>1122</v>
      </c>
      <c r="E528" s="561" t="s">
        <v>703</v>
      </c>
      <c r="F528" s="735">
        <v>0</v>
      </c>
      <c r="G528" s="749">
        <v>0</v>
      </c>
      <c r="H528" s="749"/>
      <c r="I528" s="733"/>
      <c r="J528" s="733"/>
      <c r="K528" s="735">
        <v>0</v>
      </c>
      <c r="L528" s="751">
        <v>0</v>
      </c>
    </row>
    <row r="529" spans="1:12" ht="21" x14ac:dyDescent="0.25">
      <c r="A529" s="561" t="s">
        <v>86</v>
      </c>
      <c r="B529" s="749">
        <v>2023</v>
      </c>
      <c r="C529" s="561" t="s">
        <v>701</v>
      </c>
      <c r="D529" s="561" t="s">
        <v>1122</v>
      </c>
      <c r="E529" s="561" t="s">
        <v>704</v>
      </c>
      <c r="F529" s="735">
        <v>0</v>
      </c>
      <c r="G529" s="749">
        <v>0</v>
      </c>
      <c r="H529" s="749"/>
      <c r="I529" s="733"/>
      <c r="J529" s="733"/>
      <c r="K529" s="735">
        <v>0</v>
      </c>
      <c r="L529" s="751">
        <v>0</v>
      </c>
    </row>
    <row r="530" spans="1:12" ht="21" x14ac:dyDescent="0.25">
      <c r="A530" s="561" t="s">
        <v>86</v>
      </c>
      <c r="B530" s="749">
        <v>2023</v>
      </c>
      <c r="C530" s="561" t="s">
        <v>701</v>
      </c>
      <c r="D530" s="561" t="s">
        <v>1122</v>
      </c>
      <c r="E530" s="561" t="s">
        <v>705</v>
      </c>
      <c r="F530" s="735">
        <v>0</v>
      </c>
      <c r="G530" s="749">
        <v>0</v>
      </c>
      <c r="H530" s="749"/>
      <c r="I530" s="733"/>
      <c r="J530" s="733"/>
      <c r="K530" s="735">
        <v>0</v>
      </c>
      <c r="L530" s="751">
        <v>0</v>
      </c>
    </row>
    <row r="531" spans="1:12" ht="21" x14ac:dyDescent="0.25">
      <c r="A531" s="561" t="s">
        <v>86</v>
      </c>
      <c r="B531" s="749">
        <v>2023</v>
      </c>
      <c r="C531" s="561" t="s">
        <v>701</v>
      </c>
      <c r="D531" s="561" t="s">
        <v>1122</v>
      </c>
      <c r="E531" s="561" t="s">
        <v>706</v>
      </c>
      <c r="F531" s="735">
        <v>0</v>
      </c>
      <c r="G531" s="749">
        <v>0</v>
      </c>
      <c r="H531" s="749"/>
      <c r="I531" s="733"/>
      <c r="J531" s="733"/>
      <c r="K531" s="735">
        <v>0</v>
      </c>
      <c r="L531" s="751">
        <v>0</v>
      </c>
    </row>
    <row r="532" spans="1:12" x14ac:dyDescent="0.25">
      <c r="A532" s="561" t="s">
        <v>86</v>
      </c>
      <c r="B532" s="749">
        <v>2023</v>
      </c>
      <c r="C532" s="561" t="s">
        <v>707</v>
      </c>
      <c r="D532" s="561" t="s">
        <v>1123</v>
      </c>
      <c r="E532" s="561" t="s">
        <v>709</v>
      </c>
      <c r="F532" s="735">
        <v>0</v>
      </c>
      <c r="G532" s="749">
        <v>0</v>
      </c>
      <c r="H532" s="749"/>
      <c r="I532" s="733"/>
      <c r="J532" s="733"/>
      <c r="K532" s="735">
        <v>0</v>
      </c>
      <c r="L532" s="750">
        <v>0</v>
      </c>
    </row>
    <row r="533" spans="1:12" ht="21" x14ac:dyDescent="0.25">
      <c r="A533" s="561" t="s">
        <v>86</v>
      </c>
      <c r="B533" s="749">
        <v>2023</v>
      </c>
      <c r="C533" s="561" t="s">
        <v>710</v>
      </c>
      <c r="D533" s="561" t="s">
        <v>1124</v>
      </c>
      <c r="E533" s="561" t="s">
        <v>2</v>
      </c>
      <c r="F533" s="735">
        <v>-105334.81</v>
      </c>
      <c r="G533" s="749">
        <v>1</v>
      </c>
      <c r="H533" s="749"/>
      <c r="I533" s="735">
        <v>-104234.94</v>
      </c>
      <c r="J533" s="735">
        <v>-1099.8699999999999</v>
      </c>
      <c r="K533" s="735">
        <v>-105334.81</v>
      </c>
      <c r="L533" s="750">
        <v>-105334.81</v>
      </c>
    </row>
    <row r="534" spans="1:12" ht="21" x14ac:dyDescent="0.25">
      <c r="A534" s="561" t="s">
        <v>86</v>
      </c>
      <c r="B534" s="749">
        <v>2023</v>
      </c>
      <c r="C534" s="561" t="s">
        <v>712</v>
      </c>
      <c r="D534" s="561" t="s">
        <v>1125</v>
      </c>
      <c r="E534" s="561" t="s">
        <v>3</v>
      </c>
      <c r="F534" s="735">
        <v>53258.99</v>
      </c>
      <c r="G534" s="749">
        <v>1</v>
      </c>
      <c r="H534" s="749"/>
      <c r="I534" s="735">
        <v>53258.99</v>
      </c>
      <c r="J534" s="733"/>
      <c r="K534" s="735">
        <v>53258.99</v>
      </c>
      <c r="L534" s="750">
        <v>53258.99</v>
      </c>
    </row>
    <row r="535" spans="1:12" ht="21" x14ac:dyDescent="0.25">
      <c r="A535" s="561" t="s">
        <v>86</v>
      </c>
      <c r="B535" s="749">
        <v>2023</v>
      </c>
      <c r="C535" s="561" t="s">
        <v>714</v>
      </c>
      <c r="D535" s="561" t="s">
        <v>1126</v>
      </c>
      <c r="E535" s="561" t="s">
        <v>38</v>
      </c>
      <c r="F535" s="735">
        <v>-3746911.08</v>
      </c>
      <c r="G535" s="749">
        <v>1</v>
      </c>
      <c r="H535" s="749"/>
      <c r="I535" s="735">
        <v>-3568503.45</v>
      </c>
      <c r="J535" s="735">
        <v>-178407.63</v>
      </c>
      <c r="K535" s="735">
        <v>-3746911.08</v>
      </c>
      <c r="L535" s="750">
        <v>-3746911.08</v>
      </c>
    </row>
    <row r="536" spans="1:12" x14ac:dyDescent="0.25">
      <c r="A536" s="561" t="s">
        <v>86</v>
      </c>
      <c r="B536" s="749">
        <v>2023</v>
      </c>
      <c r="C536" s="561" t="s">
        <v>716</v>
      </c>
      <c r="D536" s="561" t="s">
        <v>1127</v>
      </c>
      <c r="E536" s="561" t="s">
        <v>66</v>
      </c>
      <c r="F536" s="735">
        <v>0</v>
      </c>
      <c r="G536" s="749">
        <v>1</v>
      </c>
      <c r="H536" s="749"/>
      <c r="I536" s="733"/>
      <c r="J536" s="733"/>
      <c r="K536" s="735">
        <v>0</v>
      </c>
      <c r="L536" s="750">
        <v>0</v>
      </c>
    </row>
    <row r="537" spans="1:12" ht="21" x14ac:dyDescent="0.25">
      <c r="A537" s="561" t="s">
        <v>86</v>
      </c>
      <c r="B537" s="749">
        <v>2023</v>
      </c>
      <c r="C537" s="561" t="s">
        <v>718</v>
      </c>
      <c r="D537" s="561" t="s">
        <v>1128</v>
      </c>
      <c r="E537" s="561" t="s">
        <v>720</v>
      </c>
      <c r="F537" s="735">
        <v>440306</v>
      </c>
      <c r="G537" s="749">
        <v>0</v>
      </c>
      <c r="H537" s="749"/>
      <c r="I537" s="733"/>
      <c r="J537" s="733"/>
      <c r="K537" s="735">
        <v>0</v>
      </c>
      <c r="L537" s="750">
        <v>440306</v>
      </c>
    </row>
    <row r="538" spans="1:12" ht="31.5" x14ac:dyDescent="0.25">
      <c r="A538" s="561" t="s">
        <v>86</v>
      </c>
      <c r="B538" s="749">
        <v>2023</v>
      </c>
      <c r="C538" s="561" t="s">
        <v>721</v>
      </c>
      <c r="D538" s="561" t="s">
        <v>1130</v>
      </c>
      <c r="E538" s="561" t="s">
        <v>724</v>
      </c>
      <c r="F538" s="735">
        <v>0</v>
      </c>
      <c r="G538" s="749">
        <v>1</v>
      </c>
      <c r="H538" s="749"/>
      <c r="I538" s="733"/>
      <c r="J538" s="733"/>
      <c r="K538" s="735">
        <v>0</v>
      </c>
      <c r="L538" s="750">
        <v>0</v>
      </c>
    </row>
    <row r="539" spans="1:12" ht="31.5" x14ac:dyDescent="0.25">
      <c r="A539" s="561" t="s">
        <v>86</v>
      </c>
      <c r="B539" s="749">
        <v>2023</v>
      </c>
      <c r="C539" s="561" t="s">
        <v>721</v>
      </c>
      <c r="D539" s="561" t="s">
        <v>1131</v>
      </c>
      <c r="E539" s="561" t="s">
        <v>55</v>
      </c>
      <c r="F539" s="735">
        <v>0</v>
      </c>
      <c r="G539" s="749">
        <v>1</v>
      </c>
      <c r="H539" s="749"/>
      <c r="I539" s="733"/>
      <c r="J539" s="733"/>
      <c r="K539" s="735">
        <v>0</v>
      </c>
      <c r="L539" s="750">
        <v>0</v>
      </c>
    </row>
    <row r="540" spans="1:12" ht="31.5" x14ac:dyDescent="0.25">
      <c r="A540" s="561" t="s">
        <v>86</v>
      </c>
      <c r="B540" s="749">
        <v>2023</v>
      </c>
      <c r="C540" s="561" t="s">
        <v>721</v>
      </c>
      <c r="D540" s="561" t="s">
        <v>1132</v>
      </c>
      <c r="E540" s="561" t="s">
        <v>56</v>
      </c>
      <c r="F540" s="735">
        <v>0</v>
      </c>
      <c r="G540" s="749">
        <v>1</v>
      </c>
      <c r="H540" s="749"/>
      <c r="I540" s="733"/>
      <c r="J540" s="733"/>
      <c r="K540" s="735">
        <v>0</v>
      </c>
      <c r="L540" s="750">
        <v>0</v>
      </c>
    </row>
    <row r="541" spans="1:12" ht="31.5" x14ac:dyDescent="0.25">
      <c r="A541" s="561" t="s">
        <v>86</v>
      </c>
      <c r="B541" s="749">
        <v>2023</v>
      </c>
      <c r="C541" s="561" t="s">
        <v>721</v>
      </c>
      <c r="D541" s="561" t="s">
        <v>1133</v>
      </c>
      <c r="E541" s="561" t="s">
        <v>728</v>
      </c>
      <c r="F541" s="735">
        <v>0</v>
      </c>
      <c r="G541" s="749">
        <v>1</v>
      </c>
      <c r="H541" s="749"/>
      <c r="I541" s="733"/>
      <c r="J541" s="733"/>
      <c r="K541" s="735">
        <v>0</v>
      </c>
      <c r="L541" s="750">
        <v>0</v>
      </c>
    </row>
    <row r="542" spans="1:12" ht="31.5" x14ac:dyDescent="0.25">
      <c r="A542" s="561" t="s">
        <v>86</v>
      </c>
      <c r="B542" s="749">
        <v>2023</v>
      </c>
      <c r="C542" s="561" t="s">
        <v>721</v>
      </c>
      <c r="D542" s="561" t="s">
        <v>1134</v>
      </c>
      <c r="E542" s="561" t="s">
        <v>730</v>
      </c>
      <c r="F542" s="735">
        <v>0</v>
      </c>
      <c r="G542" s="749">
        <v>1</v>
      </c>
      <c r="H542" s="749"/>
      <c r="I542" s="733"/>
      <c r="J542" s="733"/>
      <c r="K542" s="735">
        <v>0</v>
      </c>
      <c r="L542" s="750">
        <v>0</v>
      </c>
    </row>
    <row r="543" spans="1:12" ht="31.5" x14ac:dyDescent="0.25">
      <c r="A543" s="561" t="s">
        <v>86</v>
      </c>
      <c r="B543" s="749">
        <v>2023</v>
      </c>
      <c r="C543" s="561" t="s">
        <v>721</v>
      </c>
      <c r="D543" s="561" t="s">
        <v>1135</v>
      </c>
      <c r="E543" s="561" t="s">
        <v>142</v>
      </c>
      <c r="F543" s="735">
        <v>0</v>
      </c>
      <c r="G543" s="749">
        <v>1</v>
      </c>
      <c r="H543" s="749"/>
      <c r="I543" s="733"/>
      <c r="J543" s="733"/>
      <c r="K543" s="735">
        <v>0</v>
      </c>
      <c r="L543" s="750">
        <v>0</v>
      </c>
    </row>
    <row r="544" spans="1:12" ht="31.5" x14ac:dyDescent="0.25">
      <c r="A544" s="561" t="s">
        <v>86</v>
      </c>
      <c r="B544" s="749">
        <v>2023</v>
      </c>
      <c r="C544" s="561" t="s">
        <v>721</v>
      </c>
      <c r="D544" s="561" t="s">
        <v>1136</v>
      </c>
      <c r="E544" s="561" t="s">
        <v>143</v>
      </c>
      <c r="F544" s="735">
        <v>0</v>
      </c>
      <c r="G544" s="749">
        <v>1</v>
      </c>
      <c r="H544" s="749"/>
      <c r="I544" s="733"/>
      <c r="J544" s="733"/>
      <c r="K544" s="735">
        <v>0</v>
      </c>
      <c r="L544" s="750">
        <v>0</v>
      </c>
    </row>
    <row r="545" spans="1:12" ht="31.5" x14ac:dyDescent="0.25">
      <c r="A545" s="561" t="s">
        <v>86</v>
      </c>
      <c r="B545" s="749">
        <v>2023</v>
      </c>
      <c r="C545" s="561" t="s">
        <v>721</v>
      </c>
      <c r="D545" s="561" t="s">
        <v>1137</v>
      </c>
      <c r="E545" s="561" t="s">
        <v>182</v>
      </c>
      <c r="F545" s="735">
        <v>0</v>
      </c>
      <c r="G545" s="749">
        <v>1</v>
      </c>
      <c r="H545" s="749"/>
      <c r="I545" s="733"/>
      <c r="J545" s="733"/>
      <c r="K545" s="735">
        <v>0</v>
      </c>
      <c r="L545" s="750">
        <v>0</v>
      </c>
    </row>
    <row r="546" spans="1:12" ht="31.5" x14ac:dyDescent="0.25">
      <c r="A546" s="561" t="s">
        <v>86</v>
      </c>
      <c r="B546" s="749">
        <v>2023</v>
      </c>
      <c r="C546" s="561" t="s">
        <v>721</v>
      </c>
      <c r="D546" s="561" t="s">
        <v>1138</v>
      </c>
      <c r="E546" s="561" t="s">
        <v>394</v>
      </c>
      <c r="F546" s="735">
        <v>0</v>
      </c>
      <c r="G546" s="749">
        <v>1</v>
      </c>
      <c r="H546" s="749"/>
      <c r="I546" s="733"/>
      <c r="J546" s="733"/>
      <c r="K546" s="735">
        <v>0</v>
      </c>
      <c r="L546" s="750">
        <v>0</v>
      </c>
    </row>
    <row r="547" spans="1:12" ht="31.5" x14ac:dyDescent="0.25">
      <c r="A547" s="561" t="s">
        <v>86</v>
      </c>
      <c r="B547" s="749">
        <v>2023</v>
      </c>
      <c r="C547" s="561" t="s">
        <v>721</v>
      </c>
      <c r="D547" s="561" t="s">
        <v>1139</v>
      </c>
      <c r="E547" s="561" t="s">
        <v>423</v>
      </c>
      <c r="F547" s="735">
        <v>0</v>
      </c>
      <c r="G547" s="749">
        <v>1</v>
      </c>
      <c r="H547" s="749"/>
      <c r="I547" s="733"/>
      <c r="J547" s="733"/>
      <c r="K547" s="735">
        <v>0</v>
      </c>
      <c r="L547" s="750">
        <v>0</v>
      </c>
    </row>
    <row r="548" spans="1:12" ht="31.5" x14ac:dyDescent="0.25">
      <c r="A548" s="561" t="s">
        <v>86</v>
      </c>
      <c r="B548" s="749">
        <v>2023</v>
      </c>
      <c r="C548" s="561" t="s">
        <v>721</v>
      </c>
      <c r="D548" s="561" t="s">
        <v>3082</v>
      </c>
      <c r="E548" s="561" t="s">
        <v>441</v>
      </c>
      <c r="F548" s="735">
        <v>0</v>
      </c>
      <c r="G548" s="749">
        <v>1</v>
      </c>
      <c r="H548" s="749"/>
      <c r="I548" s="733"/>
      <c r="J548" s="733"/>
      <c r="K548" s="735">
        <v>0</v>
      </c>
      <c r="L548" s="750">
        <v>0</v>
      </c>
    </row>
    <row r="549" spans="1:12" ht="31.5" x14ac:dyDescent="0.25">
      <c r="A549" s="561" t="s">
        <v>86</v>
      </c>
      <c r="B549" s="749">
        <v>2023</v>
      </c>
      <c r="C549" s="561" t="s">
        <v>721</v>
      </c>
      <c r="D549" s="561" t="s">
        <v>3492</v>
      </c>
      <c r="E549" s="561" t="s">
        <v>3016</v>
      </c>
      <c r="F549" s="735">
        <v>0</v>
      </c>
      <c r="G549" s="749">
        <v>1</v>
      </c>
      <c r="H549" s="749"/>
      <c r="I549" s="733"/>
      <c r="J549" s="733"/>
      <c r="K549" s="735">
        <v>0</v>
      </c>
      <c r="L549" s="750">
        <v>0</v>
      </c>
    </row>
    <row r="550" spans="1:12" ht="31.5" x14ac:dyDescent="0.25">
      <c r="A550" s="561" t="s">
        <v>86</v>
      </c>
      <c r="B550" s="749">
        <v>2023</v>
      </c>
      <c r="C550" s="561" t="s">
        <v>721</v>
      </c>
      <c r="D550" s="561" t="s">
        <v>3493</v>
      </c>
      <c r="E550" s="561" t="s">
        <v>3058</v>
      </c>
      <c r="F550" s="735">
        <v>0</v>
      </c>
      <c r="G550" s="749">
        <v>1</v>
      </c>
      <c r="H550" s="749"/>
      <c r="I550" s="733"/>
      <c r="J550" s="733"/>
      <c r="K550" s="735">
        <v>0</v>
      </c>
      <c r="L550" s="750">
        <v>0</v>
      </c>
    </row>
    <row r="551" spans="1:12" ht="31.5" x14ac:dyDescent="0.25">
      <c r="A551" s="561" t="s">
        <v>86</v>
      </c>
      <c r="B551" s="749">
        <v>2023</v>
      </c>
      <c r="C551" s="561" t="s">
        <v>721</v>
      </c>
      <c r="D551" s="561" t="s">
        <v>3494</v>
      </c>
      <c r="E551" s="561" t="s">
        <v>3063</v>
      </c>
      <c r="F551" s="735">
        <v>0</v>
      </c>
      <c r="G551" s="749">
        <v>1</v>
      </c>
      <c r="H551" s="749"/>
      <c r="I551" s="733"/>
      <c r="J551" s="733"/>
      <c r="K551" s="735">
        <v>0</v>
      </c>
      <c r="L551" s="750">
        <v>0</v>
      </c>
    </row>
    <row r="552" spans="1:12" ht="31.5" x14ac:dyDescent="0.25">
      <c r="A552" s="561" t="s">
        <v>86</v>
      </c>
      <c r="B552" s="749">
        <v>2023</v>
      </c>
      <c r="C552" s="561" t="s">
        <v>721</v>
      </c>
      <c r="D552" s="561" t="s">
        <v>3712</v>
      </c>
      <c r="E552" s="561" t="s">
        <v>3425</v>
      </c>
      <c r="F552" s="735">
        <v>0</v>
      </c>
      <c r="G552" s="749">
        <v>1</v>
      </c>
      <c r="H552" s="749"/>
      <c r="I552" s="735">
        <v>-1010577.48</v>
      </c>
      <c r="J552" s="733"/>
      <c r="K552" s="735">
        <v>-1010577.48</v>
      </c>
      <c r="L552" s="750">
        <v>-1010577.48</v>
      </c>
    </row>
    <row r="553" spans="1:12" ht="42" x14ac:dyDescent="0.25">
      <c r="A553" s="561" t="s">
        <v>86</v>
      </c>
      <c r="B553" s="749">
        <v>2023</v>
      </c>
      <c r="C553" s="561" t="s">
        <v>721</v>
      </c>
      <c r="D553" s="561" t="s">
        <v>3713</v>
      </c>
      <c r="E553" s="561" t="s">
        <v>737</v>
      </c>
      <c r="F553" s="735">
        <v>-1010577.48</v>
      </c>
      <c r="G553" s="749">
        <v>0</v>
      </c>
      <c r="H553" s="749"/>
      <c r="I553" s="733"/>
      <c r="J553" s="733"/>
      <c r="K553" s="735">
        <v>0</v>
      </c>
      <c r="L553" s="750">
        <v>-1010577.48</v>
      </c>
    </row>
    <row r="554" spans="1:12" x14ac:dyDescent="0.25">
      <c r="A554" s="561" t="s">
        <v>86</v>
      </c>
      <c r="B554" s="749">
        <v>2023</v>
      </c>
      <c r="C554" s="561" t="s">
        <v>738</v>
      </c>
      <c r="D554" s="561" t="s">
        <v>1141</v>
      </c>
      <c r="E554" s="561" t="s">
        <v>7</v>
      </c>
      <c r="F554" s="735">
        <v>0</v>
      </c>
      <c r="G554" s="749">
        <v>0</v>
      </c>
      <c r="H554" s="749"/>
      <c r="I554" s="733"/>
      <c r="J554" s="733"/>
      <c r="K554" s="735">
        <v>0</v>
      </c>
      <c r="L554" s="750">
        <v>0</v>
      </c>
    </row>
    <row r="555" spans="1:12" x14ac:dyDescent="0.25">
      <c r="A555" s="561" t="s">
        <v>3167</v>
      </c>
      <c r="B555" s="749">
        <v>2023</v>
      </c>
      <c r="C555" s="561" t="s">
        <v>647</v>
      </c>
      <c r="D555" s="561" t="s">
        <v>3168</v>
      </c>
      <c r="E555" s="561" t="s">
        <v>649</v>
      </c>
      <c r="F555" s="735">
        <v>42897670.759999998</v>
      </c>
      <c r="G555" s="749">
        <v>0</v>
      </c>
      <c r="H555" s="749"/>
      <c r="I555" s="733"/>
      <c r="J555" s="733"/>
      <c r="K555" s="735">
        <v>0</v>
      </c>
      <c r="L555" s="750">
        <v>42897670.759999998</v>
      </c>
    </row>
    <row r="556" spans="1:12" ht="21" x14ac:dyDescent="0.25">
      <c r="A556" s="561" t="s">
        <v>3167</v>
      </c>
      <c r="B556" s="749">
        <v>2023</v>
      </c>
      <c r="C556" s="561" t="s">
        <v>3691</v>
      </c>
      <c r="D556" s="561" t="s">
        <v>3635</v>
      </c>
      <c r="E556" s="561" t="s">
        <v>3675</v>
      </c>
      <c r="F556" s="735">
        <v>4968738.7</v>
      </c>
      <c r="G556" s="749">
        <v>0</v>
      </c>
      <c r="H556" s="749"/>
      <c r="I556" s="733"/>
      <c r="J556" s="733"/>
      <c r="K556" s="735">
        <v>0</v>
      </c>
      <c r="L556" s="750">
        <v>4968738.7</v>
      </c>
    </row>
    <row r="557" spans="1:12" x14ac:dyDescent="0.25">
      <c r="A557" s="561" t="s">
        <v>3167</v>
      </c>
      <c r="B557" s="749">
        <v>2023</v>
      </c>
      <c r="C557" s="561" t="s">
        <v>651</v>
      </c>
      <c r="D557" s="561" t="s">
        <v>3169</v>
      </c>
      <c r="E557" s="561" t="s">
        <v>653</v>
      </c>
      <c r="F557" s="735">
        <v>608277.98</v>
      </c>
      <c r="G557" s="749">
        <v>0</v>
      </c>
      <c r="H557" s="749"/>
      <c r="I557" s="733"/>
      <c r="J557" s="733"/>
      <c r="K557" s="735">
        <v>0</v>
      </c>
      <c r="L557" s="750">
        <v>608277.98</v>
      </c>
    </row>
    <row r="558" spans="1:12" ht="31.5" x14ac:dyDescent="0.25">
      <c r="A558" s="561" t="s">
        <v>3167</v>
      </c>
      <c r="B558" s="749">
        <v>2023</v>
      </c>
      <c r="C558" s="561" t="s">
        <v>654</v>
      </c>
      <c r="D558" s="561" t="s">
        <v>3170</v>
      </c>
      <c r="E558" s="561" t="s">
        <v>445</v>
      </c>
      <c r="F558" s="735">
        <v>0</v>
      </c>
      <c r="G558" s="749">
        <v>0</v>
      </c>
      <c r="H558" s="749"/>
      <c r="I558" s="733"/>
      <c r="J558" s="733"/>
      <c r="K558" s="735">
        <v>0</v>
      </c>
      <c r="L558" s="750">
        <v>0</v>
      </c>
    </row>
    <row r="559" spans="1:12" ht="21" x14ac:dyDescent="0.25">
      <c r="A559" s="561" t="s">
        <v>3167</v>
      </c>
      <c r="B559" s="749">
        <v>2023</v>
      </c>
      <c r="C559" s="561" t="s">
        <v>656</v>
      </c>
      <c r="D559" s="561" t="s">
        <v>3171</v>
      </c>
      <c r="E559" s="561" t="s">
        <v>658</v>
      </c>
      <c r="F559" s="735">
        <v>-122756.75</v>
      </c>
      <c r="G559" s="749">
        <v>0</v>
      </c>
      <c r="H559" s="749"/>
      <c r="I559" s="733"/>
      <c r="J559" s="733"/>
      <c r="K559" s="735">
        <v>0</v>
      </c>
      <c r="L559" s="750">
        <v>-122756.75</v>
      </c>
    </row>
    <row r="560" spans="1:12" ht="21" x14ac:dyDescent="0.25">
      <c r="A560" s="561" t="s">
        <v>3167</v>
      </c>
      <c r="B560" s="749">
        <v>2023</v>
      </c>
      <c r="C560" s="561" t="s">
        <v>659</v>
      </c>
      <c r="D560" s="561" t="s">
        <v>3172</v>
      </c>
      <c r="E560" s="561" t="s">
        <v>661</v>
      </c>
      <c r="F560" s="735">
        <v>0</v>
      </c>
      <c r="G560" s="749">
        <v>0</v>
      </c>
      <c r="H560" s="749"/>
      <c r="I560" s="733"/>
      <c r="J560" s="733"/>
      <c r="K560" s="735">
        <v>0</v>
      </c>
      <c r="L560" s="750">
        <v>0</v>
      </c>
    </row>
    <row r="561" spans="1:12" ht="21" x14ac:dyDescent="0.25">
      <c r="A561" s="561" t="s">
        <v>3167</v>
      </c>
      <c r="B561" s="749">
        <v>2023</v>
      </c>
      <c r="C561" s="561" t="s">
        <v>662</v>
      </c>
      <c r="D561" s="561" t="s">
        <v>3173</v>
      </c>
      <c r="E561" s="561" t="s">
        <v>664</v>
      </c>
      <c r="F561" s="735">
        <v>0</v>
      </c>
      <c r="G561" s="749">
        <v>0</v>
      </c>
      <c r="H561" s="749"/>
      <c r="I561" s="733"/>
      <c r="J561" s="733"/>
      <c r="K561" s="735">
        <v>0</v>
      </c>
      <c r="L561" s="750">
        <v>0</v>
      </c>
    </row>
    <row r="562" spans="1:12" ht="31.5" x14ac:dyDescent="0.25">
      <c r="A562" s="561" t="s">
        <v>3167</v>
      </c>
      <c r="B562" s="749">
        <v>2023</v>
      </c>
      <c r="C562" s="561" t="s">
        <v>665</v>
      </c>
      <c r="D562" s="561" t="s">
        <v>3174</v>
      </c>
      <c r="E562" s="561" t="s">
        <v>667</v>
      </c>
      <c r="F562" s="735">
        <v>0</v>
      </c>
      <c r="G562" s="749">
        <v>0</v>
      </c>
      <c r="H562" s="749"/>
      <c r="I562" s="733"/>
      <c r="J562" s="733"/>
      <c r="K562" s="735">
        <v>0</v>
      </c>
      <c r="L562" s="750">
        <v>0</v>
      </c>
    </row>
    <row r="563" spans="1:12" ht="21" x14ac:dyDescent="0.25">
      <c r="A563" s="561" t="s">
        <v>3167</v>
      </c>
      <c r="B563" s="749">
        <v>2023</v>
      </c>
      <c r="C563" s="561" t="s">
        <v>668</v>
      </c>
      <c r="D563" s="561" t="s">
        <v>3175</v>
      </c>
      <c r="E563" s="561" t="s">
        <v>12</v>
      </c>
      <c r="F563" s="735">
        <v>0</v>
      </c>
      <c r="G563" s="749">
        <v>0</v>
      </c>
      <c r="H563" s="749"/>
      <c r="I563" s="733"/>
      <c r="J563" s="733"/>
      <c r="K563" s="735">
        <v>0</v>
      </c>
      <c r="L563" s="750">
        <v>0</v>
      </c>
    </row>
    <row r="564" spans="1:12" ht="21" x14ac:dyDescent="0.25">
      <c r="A564" s="561" t="s">
        <v>3167</v>
      </c>
      <c r="B564" s="749">
        <v>2023</v>
      </c>
      <c r="C564" s="561" t="s">
        <v>670</v>
      </c>
      <c r="D564" s="561" t="s">
        <v>3176</v>
      </c>
      <c r="E564" s="561" t="s">
        <v>13</v>
      </c>
      <c r="F564" s="735">
        <v>0</v>
      </c>
      <c r="G564" s="749">
        <v>0</v>
      </c>
      <c r="H564" s="749"/>
      <c r="I564" s="733"/>
      <c r="J564" s="733"/>
      <c r="K564" s="735">
        <v>0</v>
      </c>
      <c r="L564" s="750">
        <v>0</v>
      </c>
    </row>
    <row r="565" spans="1:12" ht="21" x14ac:dyDescent="0.25">
      <c r="A565" s="561" t="s">
        <v>3167</v>
      </c>
      <c r="B565" s="749">
        <v>2023</v>
      </c>
      <c r="C565" s="561" t="s">
        <v>672</v>
      </c>
      <c r="D565" s="561" t="s">
        <v>3177</v>
      </c>
      <c r="E565" s="561" t="s">
        <v>15</v>
      </c>
      <c r="F565" s="735">
        <v>0</v>
      </c>
      <c r="G565" s="749">
        <v>0</v>
      </c>
      <c r="H565" s="749"/>
      <c r="I565" s="733"/>
      <c r="J565" s="733"/>
      <c r="K565" s="735">
        <v>0</v>
      </c>
      <c r="L565" s="750">
        <v>0</v>
      </c>
    </row>
    <row r="566" spans="1:12" x14ac:dyDescent="0.25">
      <c r="A566" s="561" t="s">
        <v>3167</v>
      </c>
      <c r="B566" s="749">
        <v>2023</v>
      </c>
      <c r="C566" s="561" t="s">
        <v>674</v>
      </c>
      <c r="D566" s="561" t="s">
        <v>3178</v>
      </c>
      <c r="E566" s="561" t="s">
        <v>676</v>
      </c>
      <c r="F566" s="735">
        <v>117595.17</v>
      </c>
      <c r="G566" s="749">
        <v>0</v>
      </c>
      <c r="H566" s="749"/>
      <c r="I566" s="733"/>
      <c r="J566" s="733"/>
      <c r="K566" s="735">
        <v>0</v>
      </c>
      <c r="L566" s="750">
        <v>117595.17</v>
      </c>
    </row>
    <row r="567" spans="1:12" x14ac:dyDescent="0.25">
      <c r="A567" s="561" t="s">
        <v>3167</v>
      </c>
      <c r="B567" s="749">
        <v>2023</v>
      </c>
      <c r="C567" s="561" t="s">
        <v>677</v>
      </c>
      <c r="D567" s="561" t="s">
        <v>3179</v>
      </c>
      <c r="E567" s="561" t="s">
        <v>23</v>
      </c>
      <c r="F567" s="735">
        <v>5285937.1900000004</v>
      </c>
      <c r="G567" s="749">
        <v>1</v>
      </c>
      <c r="H567" s="749"/>
      <c r="I567" s="735">
        <v>5182077.2699999996</v>
      </c>
      <c r="J567" s="735">
        <v>103859.92</v>
      </c>
      <c r="K567" s="735">
        <v>5285937.1900000004</v>
      </c>
      <c r="L567" s="750">
        <v>5285937.1900000004</v>
      </c>
    </row>
    <row r="568" spans="1:12" ht="21" x14ac:dyDescent="0.25">
      <c r="A568" s="561" t="s">
        <v>3167</v>
      </c>
      <c r="B568" s="749">
        <v>2023</v>
      </c>
      <c r="C568" s="561" t="s">
        <v>679</v>
      </c>
      <c r="D568" s="561" t="s">
        <v>3180</v>
      </c>
      <c r="E568" s="561" t="s">
        <v>131</v>
      </c>
      <c r="F568" s="735">
        <v>-612352.52</v>
      </c>
      <c r="G568" s="749">
        <v>1</v>
      </c>
      <c r="H568" s="749"/>
      <c r="I568" s="735">
        <v>-606260.76</v>
      </c>
      <c r="J568" s="735">
        <v>-6091.76</v>
      </c>
      <c r="K568" s="735">
        <v>-612352.52</v>
      </c>
      <c r="L568" s="750">
        <v>-612352.52</v>
      </c>
    </row>
    <row r="569" spans="1:12" ht="31.5" x14ac:dyDescent="0.25">
      <c r="A569" s="561" t="s">
        <v>3167</v>
      </c>
      <c r="B569" s="749">
        <v>2023</v>
      </c>
      <c r="C569" s="561" t="s">
        <v>681</v>
      </c>
      <c r="D569" s="561" t="s">
        <v>3181</v>
      </c>
      <c r="E569" s="561" t="s">
        <v>683</v>
      </c>
      <c r="F569" s="735">
        <v>-28054.03</v>
      </c>
      <c r="G569" s="749">
        <v>0</v>
      </c>
      <c r="H569" s="749"/>
      <c r="I569" s="733"/>
      <c r="J569" s="733"/>
      <c r="K569" s="735">
        <v>0</v>
      </c>
      <c r="L569" s="750">
        <v>-28054.03</v>
      </c>
    </row>
    <row r="570" spans="1:12" ht="21" x14ac:dyDescent="0.25">
      <c r="A570" s="561" t="s">
        <v>3167</v>
      </c>
      <c r="B570" s="749">
        <v>2023</v>
      </c>
      <c r="C570" s="561" t="s">
        <v>681</v>
      </c>
      <c r="D570" s="561" t="s">
        <v>3181</v>
      </c>
      <c r="E570" s="561" t="s">
        <v>684</v>
      </c>
      <c r="F570" s="735">
        <v>0</v>
      </c>
      <c r="G570" s="749">
        <v>0</v>
      </c>
      <c r="H570" s="749"/>
      <c r="I570" s="733"/>
      <c r="J570" s="733"/>
      <c r="K570" s="735">
        <v>0</v>
      </c>
      <c r="L570" s="751">
        <v>-28054.03</v>
      </c>
    </row>
    <row r="571" spans="1:12" x14ac:dyDescent="0.25">
      <c r="A571" s="561" t="s">
        <v>3167</v>
      </c>
      <c r="B571" s="749">
        <v>2023</v>
      </c>
      <c r="C571" s="561" t="s">
        <v>685</v>
      </c>
      <c r="D571" s="561" t="s">
        <v>3182</v>
      </c>
      <c r="E571" s="561" t="s">
        <v>687</v>
      </c>
      <c r="F571" s="735">
        <v>0</v>
      </c>
      <c r="G571" s="749">
        <v>0</v>
      </c>
      <c r="H571" s="749"/>
      <c r="I571" s="733"/>
      <c r="J571" s="733"/>
      <c r="K571" s="735">
        <v>0</v>
      </c>
      <c r="L571" s="750">
        <v>0</v>
      </c>
    </row>
    <row r="572" spans="1:12" x14ac:dyDescent="0.25">
      <c r="A572" s="561" t="s">
        <v>3167</v>
      </c>
      <c r="B572" s="749">
        <v>2023</v>
      </c>
      <c r="C572" s="561" t="s">
        <v>688</v>
      </c>
      <c r="D572" s="561" t="s">
        <v>3183</v>
      </c>
      <c r="E572" s="561" t="s">
        <v>50</v>
      </c>
      <c r="F572" s="735">
        <v>3688802</v>
      </c>
      <c r="G572" s="749">
        <v>0</v>
      </c>
      <c r="H572" s="749"/>
      <c r="I572" s="733"/>
      <c r="J572" s="733"/>
      <c r="K572" s="735">
        <v>0</v>
      </c>
      <c r="L572" s="750">
        <v>3688802</v>
      </c>
    </row>
    <row r="573" spans="1:12" x14ac:dyDescent="0.25">
      <c r="A573" s="561" t="s">
        <v>3167</v>
      </c>
      <c r="B573" s="749">
        <v>2023</v>
      </c>
      <c r="C573" s="561" t="s">
        <v>690</v>
      </c>
      <c r="D573" s="561" t="s">
        <v>3184</v>
      </c>
      <c r="E573" s="561" t="s">
        <v>692</v>
      </c>
      <c r="F573" s="735">
        <v>4489209.9400000004</v>
      </c>
      <c r="G573" s="749">
        <v>0</v>
      </c>
      <c r="H573" s="749"/>
      <c r="I573" s="733"/>
      <c r="J573" s="733"/>
      <c r="K573" s="735">
        <v>0</v>
      </c>
      <c r="L573" s="750">
        <v>4489209.9400000004</v>
      </c>
    </row>
    <row r="574" spans="1:12" ht="21" x14ac:dyDescent="0.25">
      <c r="A574" s="561" t="s">
        <v>3167</v>
      </c>
      <c r="B574" s="749">
        <v>2023</v>
      </c>
      <c r="C574" s="561" t="s">
        <v>693</v>
      </c>
      <c r="D574" s="561" t="s">
        <v>3185</v>
      </c>
      <c r="E574" s="561" t="s">
        <v>6</v>
      </c>
      <c r="F574" s="735">
        <v>0</v>
      </c>
      <c r="G574" s="749">
        <v>0</v>
      </c>
      <c r="H574" s="749"/>
      <c r="I574" s="733"/>
      <c r="J574" s="733"/>
      <c r="K574" s="735">
        <v>0</v>
      </c>
      <c r="L574" s="750">
        <v>0</v>
      </c>
    </row>
    <row r="575" spans="1:12" ht="21" x14ac:dyDescent="0.25">
      <c r="A575" s="561" t="s">
        <v>3167</v>
      </c>
      <c r="B575" s="749">
        <v>2023</v>
      </c>
      <c r="C575" s="561" t="s">
        <v>695</v>
      </c>
      <c r="D575" s="561" t="s">
        <v>3186</v>
      </c>
      <c r="E575" s="561" t="s">
        <v>697</v>
      </c>
      <c r="F575" s="735">
        <v>4027804.72</v>
      </c>
      <c r="G575" s="749">
        <v>0</v>
      </c>
      <c r="H575" s="749"/>
      <c r="I575" s="733"/>
      <c r="J575" s="733"/>
      <c r="K575" s="735">
        <v>0</v>
      </c>
      <c r="L575" s="750">
        <v>4027804.72</v>
      </c>
    </row>
    <row r="576" spans="1:12" x14ac:dyDescent="0.25">
      <c r="A576" s="561" t="s">
        <v>3167</v>
      </c>
      <c r="B576" s="749">
        <v>2023</v>
      </c>
      <c r="C576" s="561" t="s">
        <v>698</v>
      </c>
      <c r="D576" s="561" t="s">
        <v>3187</v>
      </c>
      <c r="E576" s="561" t="s">
        <v>700</v>
      </c>
      <c r="F576" s="735">
        <v>0</v>
      </c>
      <c r="G576" s="749">
        <v>0</v>
      </c>
      <c r="H576" s="749"/>
      <c r="I576" s="733"/>
      <c r="J576" s="733"/>
      <c r="K576" s="735">
        <v>0</v>
      </c>
      <c r="L576" s="750">
        <v>0</v>
      </c>
    </row>
    <row r="577" spans="1:12" ht="21" x14ac:dyDescent="0.25">
      <c r="A577" s="561" t="s">
        <v>3167</v>
      </c>
      <c r="B577" s="749">
        <v>2023</v>
      </c>
      <c r="C577" s="561" t="s">
        <v>701</v>
      </c>
      <c r="D577" s="561" t="s">
        <v>3188</v>
      </c>
      <c r="E577" s="561" t="s">
        <v>1</v>
      </c>
      <c r="F577" s="735">
        <v>9463973.9199999999</v>
      </c>
      <c r="G577" s="749">
        <v>1</v>
      </c>
      <c r="H577" s="749"/>
      <c r="I577" s="735">
        <v>9309831.4499999993</v>
      </c>
      <c r="J577" s="735">
        <v>154142.47</v>
      </c>
      <c r="K577" s="735">
        <v>9463973.9199999999</v>
      </c>
      <c r="L577" s="750">
        <v>9463973.9199999999</v>
      </c>
    </row>
    <row r="578" spans="1:12" ht="21" x14ac:dyDescent="0.25">
      <c r="A578" s="561" t="s">
        <v>3167</v>
      </c>
      <c r="B578" s="749">
        <v>2023</v>
      </c>
      <c r="C578" s="561" t="s">
        <v>701</v>
      </c>
      <c r="D578" s="561" t="s">
        <v>3188</v>
      </c>
      <c r="E578" s="561" t="s">
        <v>703</v>
      </c>
      <c r="F578" s="735">
        <v>0</v>
      </c>
      <c r="G578" s="749">
        <v>0</v>
      </c>
      <c r="H578" s="749"/>
      <c r="I578" s="733"/>
      <c r="J578" s="733"/>
      <c r="K578" s="735">
        <v>0</v>
      </c>
      <c r="L578" s="751">
        <v>0</v>
      </c>
    </row>
    <row r="579" spans="1:12" ht="21" x14ac:dyDescent="0.25">
      <c r="A579" s="561" t="s">
        <v>3167</v>
      </c>
      <c r="B579" s="749">
        <v>2023</v>
      </c>
      <c r="C579" s="561" t="s">
        <v>701</v>
      </c>
      <c r="D579" s="561" t="s">
        <v>3188</v>
      </c>
      <c r="E579" s="561" t="s">
        <v>704</v>
      </c>
      <c r="F579" s="735">
        <v>0</v>
      </c>
      <c r="G579" s="749">
        <v>0</v>
      </c>
      <c r="H579" s="749"/>
      <c r="I579" s="733"/>
      <c r="J579" s="733"/>
      <c r="K579" s="735">
        <v>0</v>
      </c>
      <c r="L579" s="751">
        <v>0</v>
      </c>
    </row>
    <row r="580" spans="1:12" ht="21" x14ac:dyDescent="0.25">
      <c r="A580" s="561" t="s">
        <v>3167</v>
      </c>
      <c r="B580" s="749">
        <v>2023</v>
      </c>
      <c r="C580" s="561" t="s">
        <v>701</v>
      </c>
      <c r="D580" s="561" t="s">
        <v>3188</v>
      </c>
      <c r="E580" s="561" t="s">
        <v>705</v>
      </c>
      <c r="F580" s="735">
        <v>0</v>
      </c>
      <c r="G580" s="749">
        <v>0</v>
      </c>
      <c r="H580" s="749"/>
      <c r="I580" s="733"/>
      <c r="J580" s="733"/>
      <c r="K580" s="735">
        <v>0</v>
      </c>
      <c r="L580" s="751">
        <v>-14641.47</v>
      </c>
    </row>
    <row r="581" spans="1:12" ht="21" x14ac:dyDescent="0.25">
      <c r="A581" s="561" t="s">
        <v>3167</v>
      </c>
      <c r="B581" s="749">
        <v>2023</v>
      </c>
      <c r="C581" s="561" t="s">
        <v>701</v>
      </c>
      <c r="D581" s="561" t="s">
        <v>3188</v>
      </c>
      <c r="E581" s="561" t="s">
        <v>706</v>
      </c>
      <c r="F581" s="735">
        <v>0</v>
      </c>
      <c r="G581" s="749">
        <v>0</v>
      </c>
      <c r="H581" s="749"/>
      <c r="I581" s="733"/>
      <c r="J581" s="733"/>
      <c r="K581" s="735">
        <v>0</v>
      </c>
      <c r="L581" s="751">
        <v>-721329.76</v>
      </c>
    </row>
    <row r="582" spans="1:12" x14ac:dyDescent="0.25">
      <c r="A582" s="561" t="s">
        <v>3167</v>
      </c>
      <c r="B582" s="749">
        <v>2023</v>
      </c>
      <c r="C582" s="561" t="s">
        <v>707</v>
      </c>
      <c r="D582" s="561" t="s">
        <v>3189</v>
      </c>
      <c r="E582" s="561" t="s">
        <v>709</v>
      </c>
      <c r="F582" s="735">
        <v>0</v>
      </c>
      <c r="G582" s="749">
        <v>0</v>
      </c>
      <c r="H582" s="749"/>
      <c r="I582" s="733"/>
      <c r="J582" s="733"/>
      <c r="K582" s="735">
        <v>0</v>
      </c>
      <c r="L582" s="750">
        <v>0</v>
      </c>
    </row>
    <row r="583" spans="1:12" ht="21" x14ac:dyDescent="0.25">
      <c r="A583" s="561" t="s">
        <v>3167</v>
      </c>
      <c r="B583" s="749">
        <v>2023</v>
      </c>
      <c r="C583" s="561" t="s">
        <v>710</v>
      </c>
      <c r="D583" s="561" t="s">
        <v>3190</v>
      </c>
      <c r="E583" s="561" t="s">
        <v>2</v>
      </c>
      <c r="F583" s="735">
        <v>9690164.3499999996</v>
      </c>
      <c r="G583" s="749">
        <v>1</v>
      </c>
      <c r="H583" s="749"/>
      <c r="I583" s="735">
        <v>9530110.8200000003</v>
      </c>
      <c r="J583" s="735">
        <v>160053.53</v>
      </c>
      <c r="K583" s="735">
        <v>9690164.3499999996</v>
      </c>
      <c r="L583" s="750">
        <v>9690164.3499999996</v>
      </c>
    </row>
    <row r="584" spans="1:12" ht="21" x14ac:dyDescent="0.25">
      <c r="A584" s="561" t="s">
        <v>3167</v>
      </c>
      <c r="B584" s="749">
        <v>2023</v>
      </c>
      <c r="C584" s="561" t="s">
        <v>712</v>
      </c>
      <c r="D584" s="561" t="s">
        <v>3191</v>
      </c>
      <c r="E584" s="561" t="s">
        <v>3</v>
      </c>
      <c r="F584" s="735">
        <v>3017117.82</v>
      </c>
      <c r="G584" s="749">
        <v>1</v>
      </c>
      <c r="H584" s="749"/>
      <c r="I584" s="735">
        <v>2972534.78</v>
      </c>
      <c r="J584" s="735">
        <v>44583.040000000001</v>
      </c>
      <c r="K584" s="735">
        <v>3017117.82</v>
      </c>
      <c r="L584" s="750">
        <v>3017117.82</v>
      </c>
    </row>
    <row r="585" spans="1:12" ht="21" x14ac:dyDescent="0.25">
      <c r="A585" s="561" t="s">
        <v>3167</v>
      </c>
      <c r="B585" s="749">
        <v>2023</v>
      </c>
      <c r="C585" s="561" t="s">
        <v>714</v>
      </c>
      <c r="D585" s="561" t="s">
        <v>3192</v>
      </c>
      <c r="E585" s="561" t="s">
        <v>38</v>
      </c>
      <c r="F585" s="735">
        <v>-1282452.8500000001</v>
      </c>
      <c r="G585" s="749">
        <v>1</v>
      </c>
      <c r="H585" s="749"/>
      <c r="I585" s="735">
        <v>-1273707.54</v>
      </c>
      <c r="J585" s="735">
        <v>-8745.31</v>
      </c>
      <c r="K585" s="735">
        <v>-1282452.8500000001</v>
      </c>
      <c r="L585" s="750">
        <v>-1282452.8500000001</v>
      </c>
    </row>
    <row r="586" spans="1:12" x14ac:dyDescent="0.25">
      <c r="A586" s="561" t="s">
        <v>3167</v>
      </c>
      <c r="B586" s="749">
        <v>2023</v>
      </c>
      <c r="C586" s="561" t="s">
        <v>716</v>
      </c>
      <c r="D586" s="561" t="s">
        <v>3193</v>
      </c>
      <c r="E586" s="561" t="s">
        <v>66</v>
      </c>
      <c r="F586" s="735">
        <v>-3049625.8</v>
      </c>
      <c r="G586" s="749">
        <v>1</v>
      </c>
      <c r="H586" s="749"/>
      <c r="I586" s="735">
        <v>-3040141.65</v>
      </c>
      <c r="J586" s="735">
        <v>-9484.15</v>
      </c>
      <c r="K586" s="735">
        <v>-3049625.8</v>
      </c>
      <c r="L586" s="750">
        <v>-3049625.8</v>
      </c>
    </row>
    <row r="587" spans="1:12" ht="21" x14ac:dyDescent="0.25">
      <c r="A587" s="561" t="s">
        <v>3167</v>
      </c>
      <c r="B587" s="749">
        <v>2023</v>
      </c>
      <c r="C587" s="561" t="s">
        <v>718</v>
      </c>
      <c r="D587" s="561" t="s">
        <v>3194</v>
      </c>
      <c r="E587" s="561" t="s">
        <v>720</v>
      </c>
      <c r="F587" s="735">
        <v>-5956665.8300000001</v>
      </c>
      <c r="G587" s="749">
        <v>0</v>
      </c>
      <c r="H587" s="749"/>
      <c r="I587" s="733"/>
      <c r="J587" s="733"/>
      <c r="K587" s="735">
        <v>0</v>
      </c>
      <c r="L587" s="750">
        <v>-5956665.8300000001</v>
      </c>
    </row>
    <row r="588" spans="1:12" ht="31.5" x14ac:dyDescent="0.25">
      <c r="A588" s="561" t="s">
        <v>3167</v>
      </c>
      <c r="B588" s="749">
        <v>2023</v>
      </c>
      <c r="C588" s="561" t="s">
        <v>721</v>
      </c>
      <c r="D588" s="561" t="s">
        <v>3196</v>
      </c>
      <c r="E588" s="561" t="s">
        <v>724</v>
      </c>
      <c r="F588" s="735">
        <v>0</v>
      </c>
      <c r="G588" s="749">
        <v>1</v>
      </c>
      <c r="H588" s="749"/>
      <c r="I588" s="733"/>
      <c r="J588" s="733"/>
      <c r="K588" s="735">
        <v>0</v>
      </c>
      <c r="L588" s="750">
        <v>0</v>
      </c>
    </row>
    <row r="589" spans="1:12" ht="31.5" x14ac:dyDescent="0.25">
      <c r="A589" s="561" t="s">
        <v>3167</v>
      </c>
      <c r="B589" s="749">
        <v>2023</v>
      </c>
      <c r="C589" s="561" t="s">
        <v>721</v>
      </c>
      <c r="D589" s="561" t="s">
        <v>3197</v>
      </c>
      <c r="E589" s="561" t="s">
        <v>55</v>
      </c>
      <c r="F589" s="735">
        <v>0</v>
      </c>
      <c r="G589" s="749">
        <v>1</v>
      </c>
      <c r="H589" s="749"/>
      <c r="I589" s="733"/>
      <c r="J589" s="733"/>
      <c r="K589" s="735">
        <v>0</v>
      </c>
      <c r="L589" s="750">
        <v>0</v>
      </c>
    </row>
    <row r="590" spans="1:12" ht="31.5" x14ac:dyDescent="0.25">
      <c r="A590" s="561" t="s">
        <v>3167</v>
      </c>
      <c r="B590" s="749">
        <v>2023</v>
      </c>
      <c r="C590" s="561" t="s">
        <v>721</v>
      </c>
      <c r="D590" s="561" t="s">
        <v>3198</v>
      </c>
      <c r="E590" s="561" t="s">
        <v>56</v>
      </c>
      <c r="F590" s="735">
        <v>0</v>
      </c>
      <c r="G590" s="749">
        <v>1</v>
      </c>
      <c r="H590" s="749"/>
      <c r="I590" s="733"/>
      <c r="J590" s="733"/>
      <c r="K590" s="735">
        <v>0</v>
      </c>
      <c r="L590" s="750">
        <v>0</v>
      </c>
    </row>
    <row r="591" spans="1:12" ht="31.5" x14ac:dyDescent="0.25">
      <c r="A591" s="561" t="s">
        <v>3167</v>
      </c>
      <c r="B591" s="749">
        <v>2023</v>
      </c>
      <c r="C591" s="561" t="s">
        <v>721</v>
      </c>
      <c r="D591" s="561" t="s">
        <v>3199</v>
      </c>
      <c r="E591" s="561" t="s">
        <v>728</v>
      </c>
      <c r="F591" s="735">
        <v>0</v>
      </c>
      <c r="G591" s="749">
        <v>1</v>
      </c>
      <c r="H591" s="749"/>
      <c r="I591" s="733"/>
      <c r="J591" s="733"/>
      <c r="K591" s="735">
        <v>0</v>
      </c>
      <c r="L591" s="750">
        <v>0</v>
      </c>
    </row>
    <row r="592" spans="1:12" ht="31.5" x14ac:dyDescent="0.25">
      <c r="A592" s="561" t="s">
        <v>3167</v>
      </c>
      <c r="B592" s="749">
        <v>2023</v>
      </c>
      <c r="C592" s="561" t="s">
        <v>721</v>
      </c>
      <c r="D592" s="561" t="s">
        <v>3200</v>
      </c>
      <c r="E592" s="561" t="s">
        <v>730</v>
      </c>
      <c r="F592" s="735">
        <v>0</v>
      </c>
      <c r="G592" s="749">
        <v>1</v>
      </c>
      <c r="H592" s="749"/>
      <c r="I592" s="733"/>
      <c r="J592" s="733"/>
      <c r="K592" s="735">
        <v>0</v>
      </c>
      <c r="L592" s="750">
        <v>0</v>
      </c>
    </row>
    <row r="593" spans="1:12" ht="31.5" x14ac:dyDescent="0.25">
      <c r="A593" s="561" t="s">
        <v>3167</v>
      </c>
      <c r="B593" s="749">
        <v>2023</v>
      </c>
      <c r="C593" s="561" t="s">
        <v>721</v>
      </c>
      <c r="D593" s="561" t="s">
        <v>3201</v>
      </c>
      <c r="E593" s="561" t="s">
        <v>142</v>
      </c>
      <c r="F593" s="735">
        <v>0</v>
      </c>
      <c r="G593" s="749">
        <v>1</v>
      </c>
      <c r="H593" s="749"/>
      <c r="I593" s="733"/>
      <c r="J593" s="733"/>
      <c r="K593" s="735">
        <v>0</v>
      </c>
      <c r="L593" s="750">
        <v>0</v>
      </c>
    </row>
    <row r="594" spans="1:12" ht="31.5" x14ac:dyDescent="0.25">
      <c r="A594" s="561" t="s">
        <v>3167</v>
      </c>
      <c r="B594" s="749">
        <v>2023</v>
      </c>
      <c r="C594" s="561" t="s">
        <v>721</v>
      </c>
      <c r="D594" s="561" t="s">
        <v>3202</v>
      </c>
      <c r="E594" s="561" t="s">
        <v>143</v>
      </c>
      <c r="F594" s="735">
        <v>0</v>
      </c>
      <c r="G594" s="749">
        <v>1</v>
      </c>
      <c r="H594" s="749"/>
      <c r="I594" s="733"/>
      <c r="J594" s="733"/>
      <c r="K594" s="735">
        <v>0</v>
      </c>
      <c r="L594" s="750">
        <v>0</v>
      </c>
    </row>
    <row r="595" spans="1:12" ht="31.5" x14ac:dyDescent="0.25">
      <c r="A595" s="561" t="s">
        <v>3167</v>
      </c>
      <c r="B595" s="749">
        <v>2023</v>
      </c>
      <c r="C595" s="561" t="s">
        <v>721</v>
      </c>
      <c r="D595" s="561" t="s">
        <v>3203</v>
      </c>
      <c r="E595" s="561" t="s">
        <v>182</v>
      </c>
      <c r="F595" s="735">
        <v>0</v>
      </c>
      <c r="G595" s="749">
        <v>1</v>
      </c>
      <c r="H595" s="749"/>
      <c r="I595" s="733"/>
      <c r="J595" s="733"/>
      <c r="K595" s="735">
        <v>0</v>
      </c>
      <c r="L595" s="750">
        <v>0</v>
      </c>
    </row>
    <row r="596" spans="1:12" ht="31.5" x14ac:dyDescent="0.25">
      <c r="A596" s="561" t="s">
        <v>3167</v>
      </c>
      <c r="B596" s="749">
        <v>2023</v>
      </c>
      <c r="C596" s="561" t="s">
        <v>721</v>
      </c>
      <c r="D596" s="561" t="s">
        <v>3204</v>
      </c>
      <c r="E596" s="561" t="s">
        <v>394</v>
      </c>
      <c r="F596" s="735">
        <v>0</v>
      </c>
      <c r="G596" s="749">
        <v>1</v>
      </c>
      <c r="H596" s="749"/>
      <c r="I596" s="733"/>
      <c r="J596" s="733"/>
      <c r="K596" s="735">
        <v>0</v>
      </c>
      <c r="L596" s="750">
        <v>0</v>
      </c>
    </row>
    <row r="597" spans="1:12" ht="31.5" x14ac:dyDescent="0.25">
      <c r="A597" s="561" t="s">
        <v>3167</v>
      </c>
      <c r="B597" s="749">
        <v>2023</v>
      </c>
      <c r="C597" s="561" t="s">
        <v>721</v>
      </c>
      <c r="D597" s="561" t="s">
        <v>3205</v>
      </c>
      <c r="E597" s="561" t="s">
        <v>423</v>
      </c>
      <c r="F597" s="735">
        <v>0</v>
      </c>
      <c r="G597" s="749">
        <v>1</v>
      </c>
      <c r="H597" s="749"/>
      <c r="I597" s="733"/>
      <c r="J597" s="733"/>
      <c r="K597" s="735">
        <v>0</v>
      </c>
      <c r="L597" s="750">
        <v>0</v>
      </c>
    </row>
    <row r="598" spans="1:12" ht="31.5" x14ac:dyDescent="0.25">
      <c r="A598" s="561" t="s">
        <v>3167</v>
      </c>
      <c r="B598" s="749">
        <v>2023</v>
      </c>
      <c r="C598" s="561" t="s">
        <v>721</v>
      </c>
      <c r="D598" s="561" t="s">
        <v>3206</v>
      </c>
      <c r="E598" s="561" t="s">
        <v>441</v>
      </c>
      <c r="F598" s="735">
        <v>0</v>
      </c>
      <c r="G598" s="749">
        <v>1</v>
      </c>
      <c r="H598" s="749"/>
      <c r="I598" s="735">
        <v>-12422.29</v>
      </c>
      <c r="J598" s="735">
        <v>-27649.18</v>
      </c>
      <c r="K598" s="735">
        <v>-40071.47</v>
      </c>
      <c r="L598" s="750">
        <v>-40071.47</v>
      </c>
    </row>
    <row r="599" spans="1:12" ht="31.5" x14ac:dyDescent="0.25">
      <c r="A599" s="561" t="s">
        <v>3167</v>
      </c>
      <c r="B599" s="749">
        <v>2023</v>
      </c>
      <c r="C599" s="561" t="s">
        <v>721</v>
      </c>
      <c r="D599" s="561" t="s">
        <v>3504</v>
      </c>
      <c r="E599" s="561" t="s">
        <v>3016</v>
      </c>
      <c r="F599" s="735">
        <v>0</v>
      </c>
      <c r="G599" s="749">
        <v>1</v>
      </c>
      <c r="H599" s="749"/>
      <c r="I599" s="735">
        <v>70112.84</v>
      </c>
      <c r="J599" s="735">
        <v>54541.99</v>
      </c>
      <c r="K599" s="735">
        <v>124654.83</v>
      </c>
      <c r="L599" s="750">
        <v>124654.83</v>
      </c>
    </row>
    <row r="600" spans="1:12" ht="31.5" x14ac:dyDescent="0.25">
      <c r="A600" s="561" t="s">
        <v>3167</v>
      </c>
      <c r="B600" s="749">
        <v>2023</v>
      </c>
      <c r="C600" s="561" t="s">
        <v>721</v>
      </c>
      <c r="D600" s="561" t="s">
        <v>3505</v>
      </c>
      <c r="E600" s="561" t="s">
        <v>3058</v>
      </c>
      <c r="F600" s="735">
        <v>0</v>
      </c>
      <c r="G600" s="749">
        <v>1</v>
      </c>
      <c r="H600" s="749"/>
      <c r="I600" s="735">
        <v>-54502.77</v>
      </c>
      <c r="J600" s="735">
        <v>19612.84</v>
      </c>
      <c r="K600" s="735">
        <v>-34889.93</v>
      </c>
      <c r="L600" s="750">
        <v>-34889.93</v>
      </c>
    </row>
    <row r="601" spans="1:12" ht="31.5" x14ac:dyDescent="0.25">
      <c r="A601" s="561" t="s">
        <v>3167</v>
      </c>
      <c r="B601" s="749">
        <v>2023</v>
      </c>
      <c r="C601" s="561" t="s">
        <v>721</v>
      </c>
      <c r="D601" s="561" t="s">
        <v>3506</v>
      </c>
      <c r="E601" s="561" t="s">
        <v>3063</v>
      </c>
      <c r="F601" s="735">
        <v>0</v>
      </c>
      <c r="G601" s="749">
        <v>1</v>
      </c>
      <c r="H601" s="749"/>
      <c r="I601" s="735">
        <v>-15894.08</v>
      </c>
      <c r="J601" s="735">
        <v>73535.56</v>
      </c>
      <c r="K601" s="735">
        <v>57641.48</v>
      </c>
      <c r="L601" s="750">
        <v>57641.48</v>
      </c>
    </row>
    <row r="602" spans="1:12" ht="31.5" x14ac:dyDescent="0.25">
      <c r="A602" s="561" t="s">
        <v>3167</v>
      </c>
      <c r="B602" s="749">
        <v>2023</v>
      </c>
      <c r="C602" s="561" t="s">
        <v>721</v>
      </c>
      <c r="D602" s="561" t="s">
        <v>3714</v>
      </c>
      <c r="E602" s="561" t="s">
        <v>3425</v>
      </c>
      <c r="F602" s="735">
        <v>0</v>
      </c>
      <c r="G602" s="749">
        <v>1</v>
      </c>
      <c r="H602" s="749"/>
      <c r="I602" s="735">
        <v>-78250.37</v>
      </c>
      <c r="J602" s="735">
        <v>2338.3000000000002</v>
      </c>
      <c r="K602" s="735">
        <v>-75912.070000000007</v>
      </c>
      <c r="L602" s="750">
        <v>-75912.070000000007</v>
      </c>
    </row>
    <row r="603" spans="1:12" ht="42" x14ac:dyDescent="0.25">
      <c r="A603" s="561" t="s">
        <v>3167</v>
      </c>
      <c r="B603" s="749">
        <v>2023</v>
      </c>
      <c r="C603" s="561" t="s">
        <v>721</v>
      </c>
      <c r="D603" s="561" t="s">
        <v>3715</v>
      </c>
      <c r="E603" s="561" t="s">
        <v>737</v>
      </c>
      <c r="F603" s="735">
        <v>31422.84</v>
      </c>
      <c r="G603" s="749">
        <v>0</v>
      </c>
      <c r="H603" s="749"/>
      <c r="I603" s="733"/>
      <c r="J603" s="733"/>
      <c r="K603" s="735">
        <v>0</v>
      </c>
      <c r="L603" s="750">
        <v>31422.84</v>
      </c>
    </row>
    <row r="604" spans="1:12" x14ac:dyDescent="0.25">
      <c r="A604" s="561" t="s">
        <v>3167</v>
      </c>
      <c r="B604" s="749">
        <v>2023</v>
      </c>
      <c r="C604" s="561" t="s">
        <v>738</v>
      </c>
      <c r="D604" s="561" t="s">
        <v>3208</v>
      </c>
      <c r="E604" s="561" t="s">
        <v>7</v>
      </c>
      <c r="F604" s="735">
        <v>0</v>
      </c>
      <c r="G604" s="749">
        <v>0</v>
      </c>
      <c r="H604" s="749"/>
      <c r="I604" s="733"/>
      <c r="J604" s="733"/>
      <c r="K604" s="735">
        <v>0</v>
      </c>
      <c r="L604" s="750">
        <v>0</v>
      </c>
    </row>
    <row r="605" spans="1:12" x14ac:dyDescent="0.25">
      <c r="A605" s="561" t="s">
        <v>3716</v>
      </c>
      <c r="B605" s="749">
        <v>2023</v>
      </c>
      <c r="C605" s="561" t="s">
        <v>647</v>
      </c>
      <c r="D605" s="561" t="s">
        <v>3717</v>
      </c>
      <c r="E605" s="561" t="s">
        <v>649</v>
      </c>
      <c r="F605" s="735">
        <v>278024.28999999998</v>
      </c>
      <c r="G605" s="749">
        <v>0</v>
      </c>
      <c r="H605" s="749"/>
      <c r="I605" s="733"/>
      <c r="J605" s="733"/>
      <c r="K605" s="735">
        <v>0</v>
      </c>
      <c r="L605" s="750">
        <v>278024.28999999998</v>
      </c>
    </row>
    <row r="606" spans="1:12" ht="21" x14ac:dyDescent="0.25">
      <c r="A606" s="561" t="s">
        <v>3716</v>
      </c>
      <c r="B606" s="749">
        <v>2023</v>
      </c>
      <c r="C606" s="561" t="s">
        <v>3691</v>
      </c>
      <c r="D606" s="561" t="s">
        <v>3718</v>
      </c>
      <c r="E606" s="561" t="s">
        <v>3675</v>
      </c>
      <c r="F606" s="735">
        <v>28251.7</v>
      </c>
      <c r="G606" s="749">
        <v>0</v>
      </c>
      <c r="H606" s="749"/>
      <c r="I606" s="733"/>
      <c r="J606" s="733"/>
      <c r="K606" s="735">
        <v>0</v>
      </c>
      <c r="L606" s="750">
        <v>28251.7</v>
      </c>
    </row>
    <row r="607" spans="1:12" x14ac:dyDescent="0.25">
      <c r="A607" s="561" t="s">
        <v>3716</v>
      </c>
      <c r="B607" s="749">
        <v>2023</v>
      </c>
      <c r="C607" s="561" t="s">
        <v>651</v>
      </c>
      <c r="D607" s="561" t="s">
        <v>3719</v>
      </c>
      <c r="E607" s="561" t="s">
        <v>653</v>
      </c>
      <c r="F607" s="735">
        <v>0</v>
      </c>
      <c r="G607" s="749">
        <v>0</v>
      </c>
      <c r="H607" s="749"/>
      <c r="I607" s="733"/>
      <c r="J607" s="733"/>
      <c r="K607" s="735">
        <v>0</v>
      </c>
      <c r="L607" s="750">
        <v>0</v>
      </c>
    </row>
    <row r="608" spans="1:12" ht="31.5" x14ac:dyDescent="0.25">
      <c r="A608" s="561" t="s">
        <v>3716</v>
      </c>
      <c r="B608" s="749">
        <v>2023</v>
      </c>
      <c r="C608" s="561" t="s">
        <v>654</v>
      </c>
      <c r="D608" s="561" t="s">
        <v>3720</v>
      </c>
      <c r="E608" s="561" t="s">
        <v>445</v>
      </c>
      <c r="F608" s="735">
        <v>-13735.57</v>
      </c>
      <c r="G608" s="749">
        <v>0</v>
      </c>
      <c r="H608" s="749"/>
      <c r="I608" s="733"/>
      <c r="J608" s="733"/>
      <c r="K608" s="735">
        <v>0</v>
      </c>
      <c r="L608" s="750">
        <v>-13735.57</v>
      </c>
    </row>
    <row r="609" spans="1:12" ht="21" x14ac:dyDescent="0.25">
      <c r="A609" s="561" t="s">
        <v>3716</v>
      </c>
      <c r="B609" s="749">
        <v>2023</v>
      </c>
      <c r="C609" s="561" t="s">
        <v>656</v>
      </c>
      <c r="D609" s="561" t="s">
        <v>3721</v>
      </c>
      <c r="E609" s="561" t="s">
        <v>658</v>
      </c>
      <c r="F609" s="735">
        <v>0</v>
      </c>
      <c r="G609" s="749">
        <v>0</v>
      </c>
      <c r="H609" s="749"/>
      <c r="I609" s="733"/>
      <c r="J609" s="733"/>
      <c r="K609" s="735">
        <v>0</v>
      </c>
      <c r="L609" s="750">
        <v>0</v>
      </c>
    </row>
    <row r="610" spans="1:12" ht="21" x14ac:dyDescent="0.25">
      <c r="A610" s="561" t="s">
        <v>3716</v>
      </c>
      <c r="B610" s="749">
        <v>2023</v>
      </c>
      <c r="C610" s="561" t="s">
        <v>659</v>
      </c>
      <c r="D610" s="561" t="s">
        <v>3722</v>
      </c>
      <c r="E610" s="561" t="s">
        <v>661</v>
      </c>
      <c r="F610" s="735">
        <v>0</v>
      </c>
      <c r="G610" s="749">
        <v>0</v>
      </c>
      <c r="H610" s="749"/>
      <c r="I610" s="733"/>
      <c r="J610" s="733"/>
      <c r="K610" s="735">
        <v>0</v>
      </c>
      <c r="L610" s="750">
        <v>0</v>
      </c>
    </row>
    <row r="611" spans="1:12" ht="21" x14ac:dyDescent="0.25">
      <c r="A611" s="561" t="s">
        <v>3716</v>
      </c>
      <c r="B611" s="749">
        <v>2023</v>
      </c>
      <c r="C611" s="561" t="s">
        <v>662</v>
      </c>
      <c r="D611" s="561" t="s">
        <v>3723</v>
      </c>
      <c r="E611" s="561" t="s">
        <v>664</v>
      </c>
      <c r="F611" s="735">
        <v>0</v>
      </c>
      <c r="G611" s="749">
        <v>0</v>
      </c>
      <c r="H611" s="749"/>
      <c r="I611" s="733"/>
      <c r="J611" s="733"/>
      <c r="K611" s="735">
        <v>0</v>
      </c>
      <c r="L611" s="750">
        <v>0</v>
      </c>
    </row>
    <row r="612" spans="1:12" ht="31.5" x14ac:dyDescent="0.25">
      <c r="A612" s="561" t="s">
        <v>3716</v>
      </c>
      <c r="B612" s="749">
        <v>2023</v>
      </c>
      <c r="C612" s="561" t="s">
        <v>665</v>
      </c>
      <c r="D612" s="561" t="s">
        <v>3724</v>
      </c>
      <c r="E612" s="561" t="s">
        <v>667</v>
      </c>
      <c r="F612" s="735">
        <v>0</v>
      </c>
      <c r="G612" s="749">
        <v>0</v>
      </c>
      <c r="H612" s="749"/>
      <c r="I612" s="733"/>
      <c r="J612" s="733"/>
      <c r="K612" s="735">
        <v>0</v>
      </c>
      <c r="L612" s="750">
        <v>0</v>
      </c>
    </row>
    <row r="613" spans="1:12" ht="21" x14ac:dyDescent="0.25">
      <c r="A613" s="561" t="s">
        <v>3716</v>
      </c>
      <c r="B613" s="749">
        <v>2023</v>
      </c>
      <c r="C613" s="561" t="s">
        <v>668</v>
      </c>
      <c r="D613" s="561" t="s">
        <v>3725</v>
      </c>
      <c r="E613" s="561" t="s">
        <v>12</v>
      </c>
      <c r="F613" s="735">
        <v>0</v>
      </c>
      <c r="G613" s="749">
        <v>0</v>
      </c>
      <c r="H613" s="749"/>
      <c r="I613" s="733"/>
      <c r="J613" s="733"/>
      <c r="K613" s="735">
        <v>0</v>
      </c>
      <c r="L613" s="750">
        <v>0</v>
      </c>
    </row>
    <row r="614" spans="1:12" ht="21" x14ac:dyDescent="0.25">
      <c r="A614" s="561" t="s">
        <v>3716</v>
      </c>
      <c r="B614" s="749">
        <v>2023</v>
      </c>
      <c r="C614" s="561" t="s">
        <v>670</v>
      </c>
      <c r="D614" s="561" t="s">
        <v>3726</v>
      </c>
      <c r="E614" s="561" t="s">
        <v>13</v>
      </c>
      <c r="F614" s="735">
        <v>0</v>
      </c>
      <c r="G614" s="749">
        <v>0</v>
      </c>
      <c r="H614" s="749"/>
      <c r="I614" s="733"/>
      <c r="J614" s="733"/>
      <c r="K614" s="735">
        <v>0</v>
      </c>
      <c r="L614" s="750">
        <v>0</v>
      </c>
    </row>
    <row r="615" spans="1:12" ht="21" x14ac:dyDescent="0.25">
      <c r="A615" s="561" t="s">
        <v>3716</v>
      </c>
      <c r="B615" s="749">
        <v>2023</v>
      </c>
      <c r="C615" s="561" t="s">
        <v>672</v>
      </c>
      <c r="D615" s="561" t="s">
        <v>3727</v>
      </c>
      <c r="E615" s="561" t="s">
        <v>15</v>
      </c>
      <c r="F615" s="735">
        <v>0</v>
      </c>
      <c r="G615" s="749">
        <v>0</v>
      </c>
      <c r="H615" s="749"/>
      <c r="I615" s="733"/>
      <c r="J615" s="733"/>
      <c r="K615" s="735">
        <v>0</v>
      </c>
      <c r="L615" s="750">
        <v>0</v>
      </c>
    </row>
    <row r="616" spans="1:12" x14ac:dyDescent="0.25">
      <c r="A616" s="561" t="s">
        <v>3716</v>
      </c>
      <c r="B616" s="749">
        <v>2023</v>
      </c>
      <c r="C616" s="561" t="s">
        <v>674</v>
      </c>
      <c r="D616" s="561" t="s">
        <v>3728</v>
      </c>
      <c r="E616" s="561" t="s">
        <v>676</v>
      </c>
      <c r="F616" s="735">
        <v>0</v>
      </c>
      <c r="G616" s="749">
        <v>0</v>
      </c>
      <c r="H616" s="749"/>
      <c r="I616" s="733"/>
      <c r="J616" s="733"/>
      <c r="K616" s="735">
        <v>0</v>
      </c>
      <c r="L616" s="750">
        <v>0</v>
      </c>
    </row>
    <row r="617" spans="1:12" x14ac:dyDescent="0.25">
      <c r="A617" s="561" t="s">
        <v>3716</v>
      </c>
      <c r="B617" s="749">
        <v>2023</v>
      </c>
      <c r="C617" s="561" t="s">
        <v>677</v>
      </c>
      <c r="D617" s="561" t="s">
        <v>3729</v>
      </c>
      <c r="E617" s="561" t="s">
        <v>23</v>
      </c>
      <c r="F617" s="735">
        <v>324089.23</v>
      </c>
      <c r="G617" s="749">
        <v>1</v>
      </c>
      <c r="H617" s="749"/>
      <c r="I617" s="735">
        <v>318846.27</v>
      </c>
      <c r="J617" s="735">
        <v>5242.96</v>
      </c>
      <c r="K617" s="735">
        <v>324089.23</v>
      </c>
      <c r="L617" s="750">
        <v>324089.23</v>
      </c>
    </row>
    <row r="618" spans="1:12" ht="21" x14ac:dyDescent="0.25">
      <c r="A618" s="561" t="s">
        <v>3716</v>
      </c>
      <c r="B618" s="749">
        <v>2023</v>
      </c>
      <c r="C618" s="561" t="s">
        <v>679</v>
      </c>
      <c r="D618" s="561" t="s">
        <v>3730</v>
      </c>
      <c r="E618" s="561" t="s">
        <v>131</v>
      </c>
      <c r="F618" s="735">
        <v>-525951.32999999996</v>
      </c>
      <c r="G618" s="749">
        <v>1</v>
      </c>
      <c r="H618" s="749"/>
      <c r="I618" s="735">
        <v>-521121.1</v>
      </c>
      <c r="J618" s="735">
        <v>-4830.2299999999996</v>
      </c>
      <c r="K618" s="735">
        <v>-525951.32999999996</v>
      </c>
      <c r="L618" s="750">
        <v>-525951.32999999996</v>
      </c>
    </row>
    <row r="619" spans="1:12" ht="31.5" x14ac:dyDescent="0.25">
      <c r="A619" s="561" t="s">
        <v>3716</v>
      </c>
      <c r="B619" s="749">
        <v>2023</v>
      </c>
      <c r="C619" s="561" t="s">
        <v>681</v>
      </c>
      <c r="D619" s="561" t="s">
        <v>3731</v>
      </c>
      <c r="E619" s="561" t="s">
        <v>683</v>
      </c>
      <c r="F619" s="735">
        <v>0</v>
      </c>
      <c r="G619" s="749">
        <v>0</v>
      </c>
      <c r="H619" s="749"/>
      <c r="I619" s="733"/>
      <c r="J619" s="733"/>
      <c r="K619" s="735">
        <v>0</v>
      </c>
      <c r="L619" s="750">
        <v>0</v>
      </c>
    </row>
    <row r="620" spans="1:12" ht="21" x14ac:dyDescent="0.25">
      <c r="A620" s="561" t="s">
        <v>3716</v>
      </c>
      <c r="B620" s="749">
        <v>2023</v>
      </c>
      <c r="C620" s="561" t="s">
        <v>681</v>
      </c>
      <c r="D620" s="561" t="s">
        <v>3731</v>
      </c>
      <c r="E620" s="561" t="s">
        <v>684</v>
      </c>
      <c r="F620" s="735">
        <v>0</v>
      </c>
      <c r="G620" s="749">
        <v>0</v>
      </c>
      <c r="H620" s="749"/>
      <c r="I620" s="733"/>
      <c r="J620" s="733"/>
      <c r="K620" s="735">
        <v>0</v>
      </c>
      <c r="L620" s="751">
        <v>0</v>
      </c>
    </row>
    <row r="621" spans="1:12" x14ac:dyDescent="0.25">
      <c r="A621" s="561" t="s">
        <v>3716</v>
      </c>
      <c r="B621" s="749">
        <v>2023</v>
      </c>
      <c r="C621" s="561" t="s">
        <v>685</v>
      </c>
      <c r="D621" s="561" t="s">
        <v>3732</v>
      </c>
      <c r="E621" s="561" t="s">
        <v>687</v>
      </c>
      <c r="F621" s="735">
        <v>0</v>
      </c>
      <c r="G621" s="749">
        <v>0</v>
      </c>
      <c r="H621" s="749"/>
      <c r="I621" s="733"/>
      <c r="J621" s="733"/>
      <c r="K621" s="735">
        <v>0</v>
      </c>
      <c r="L621" s="750">
        <v>0</v>
      </c>
    </row>
    <row r="622" spans="1:12" x14ac:dyDescent="0.25">
      <c r="A622" s="561" t="s">
        <v>3716</v>
      </c>
      <c r="B622" s="749">
        <v>2023</v>
      </c>
      <c r="C622" s="561" t="s">
        <v>688</v>
      </c>
      <c r="D622" s="561" t="s">
        <v>3733</v>
      </c>
      <c r="E622" s="561" t="s">
        <v>50</v>
      </c>
      <c r="F622" s="735">
        <v>0</v>
      </c>
      <c r="G622" s="749">
        <v>0</v>
      </c>
      <c r="H622" s="749"/>
      <c r="I622" s="733"/>
      <c r="J622" s="733"/>
      <c r="K622" s="735">
        <v>0</v>
      </c>
      <c r="L622" s="750">
        <v>0</v>
      </c>
    </row>
    <row r="623" spans="1:12" x14ac:dyDescent="0.25">
      <c r="A623" s="561" t="s">
        <v>3716</v>
      </c>
      <c r="B623" s="749">
        <v>2023</v>
      </c>
      <c r="C623" s="561" t="s">
        <v>690</v>
      </c>
      <c r="D623" s="561" t="s">
        <v>3734</v>
      </c>
      <c r="E623" s="561" t="s">
        <v>692</v>
      </c>
      <c r="F623" s="735">
        <v>0</v>
      </c>
      <c r="G623" s="749">
        <v>0</v>
      </c>
      <c r="H623" s="749"/>
      <c r="I623" s="733"/>
      <c r="J623" s="733"/>
      <c r="K623" s="735">
        <v>0</v>
      </c>
      <c r="L623" s="750">
        <v>0</v>
      </c>
    </row>
    <row r="624" spans="1:12" ht="21" x14ac:dyDescent="0.25">
      <c r="A624" s="561" t="s">
        <v>3716</v>
      </c>
      <c r="B624" s="749">
        <v>2023</v>
      </c>
      <c r="C624" s="561" t="s">
        <v>693</v>
      </c>
      <c r="D624" s="561" t="s">
        <v>3735</v>
      </c>
      <c r="E624" s="561" t="s">
        <v>6</v>
      </c>
      <c r="F624" s="735">
        <v>0</v>
      </c>
      <c r="G624" s="749">
        <v>0</v>
      </c>
      <c r="H624" s="749"/>
      <c r="I624" s="733"/>
      <c r="J624" s="733"/>
      <c r="K624" s="735">
        <v>0</v>
      </c>
      <c r="L624" s="750">
        <v>0</v>
      </c>
    </row>
    <row r="625" spans="1:12" ht="21" x14ac:dyDescent="0.25">
      <c r="A625" s="561" t="s">
        <v>3716</v>
      </c>
      <c r="B625" s="749">
        <v>2023</v>
      </c>
      <c r="C625" s="561" t="s">
        <v>695</v>
      </c>
      <c r="D625" s="561" t="s">
        <v>3736</v>
      </c>
      <c r="E625" s="561" t="s">
        <v>697</v>
      </c>
      <c r="F625" s="735">
        <v>0</v>
      </c>
      <c r="G625" s="749">
        <v>0</v>
      </c>
      <c r="H625" s="749"/>
      <c r="I625" s="733"/>
      <c r="J625" s="733"/>
      <c r="K625" s="735">
        <v>0</v>
      </c>
      <c r="L625" s="750">
        <v>0</v>
      </c>
    </row>
    <row r="626" spans="1:12" x14ac:dyDescent="0.25">
      <c r="A626" s="561" t="s">
        <v>3716</v>
      </c>
      <c r="B626" s="749">
        <v>2023</v>
      </c>
      <c r="C626" s="561" t="s">
        <v>698</v>
      </c>
      <c r="D626" s="561" t="s">
        <v>3737</v>
      </c>
      <c r="E626" s="561" t="s">
        <v>700</v>
      </c>
      <c r="F626" s="735">
        <v>0</v>
      </c>
      <c r="G626" s="749">
        <v>0</v>
      </c>
      <c r="H626" s="749"/>
      <c r="I626" s="733"/>
      <c r="J626" s="733"/>
      <c r="K626" s="735">
        <v>0</v>
      </c>
      <c r="L626" s="750">
        <v>0</v>
      </c>
    </row>
    <row r="627" spans="1:12" ht="21" x14ac:dyDescent="0.25">
      <c r="A627" s="561" t="s">
        <v>3716</v>
      </c>
      <c r="B627" s="749">
        <v>2023</v>
      </c>
      <c r="C627" s="561" t="s">
        <v>701</v>
      </c>
      <c r="D627" s="561" t="s">
        <v>3738</v>
      </c>
      <c r="E627" s="561" t="s">
        <v>1</v>
      </c>
      <c r="F627" s="735">
        <v>9106665.8100000005</v>
      </c>
      <c r="G627" s="749">
        <v>1</v>
      </c>
      <c r="H627" s="749"/>
      <c r="I627" s="735">
        <v>8964783.4399999995</v>
      </c>
      <c r="J627" s="735">
        <v>141882.37</v>
      </c>
      <c r="K627" s="735">
        <v>9106665.8100000005</v>
      </c>
      <c r="L627" s="750">
        <v>9106665.8100000005</v>
      </c>
    </row>
    <row r="628" spans="1:12" ht="21" x14ac:dyDescent="0.25">
      <c r="A628" s="561" t="s">
        <v>3716</v>
      </c>
      <c r="B628" s="749">
        <v>2023</v>
      </c>
      <c r="C628" s="561" t="s">
        <v>701</v>
      </c>
      <c r="D628" s="561" t="s">
        <v>3738</v>
      </c>
      <c r="E628" s="561" t="s">
        <v>703</v>
      </c>
      <c r="F628" s="735">
        <v>0</v>
      </c>
      <c r="G628" s="749">
        <v>0</v>
      </c>
      <c r="H628" s="749"/>
      <c r="I628" s="733"/>
      <c r="J628" s="733"/>
      <c r="K628" s="735">
        <v>0</v>
      </c>
      <c r="L628" s="751">
        <v>0</v>
      </c>
    </row>
    <row r="629" spans="1:12" ht="21" x14ac:dyDescent="0.25">
      <c r="A629" s="561" t="s">
        <v>3716</v>
      </c>
      <c r="B629" s="749">
        <v>2023</v>
      </c>
      <c r="C629" s="561" t="s">
        <v>701</v>
      </c>
      <c r="D629" s="561" t="s">
        <v>3738</v>
      </c>
      <c r="E629" s="561" t="s">
        <v>704</v>
      </c>
      <c r="F629" s="735">
        <v>0</v>
      </c>
      <c r="G629" s="749">
        <v>0</v>
      </c>
      <c r="H629" s="749"/>
      <c r="I629" s="733"/>
      <c r="J629" s="733"/>
      <c r="K629" s="735">
        <v>0</v>
      </c>
      <c r="L629" s="751">
        <v>0</v>
      </c>
    </row>
    <row r="630" spans="1:12" ht="21" x14ac:dyDescent="0.25">
      <c r="A630" s="561" t="s">
        <v>3716</v>
      </c>
      <c r="B630" s="749">
        <v>2023</v>
      </c>
      <c r="C630" s="561" t="s">
        <v>701</v>
      </c>
      <c r="D630" s="561" t="s">
        <v>3738</v>
      </c>
      <c r="E630" s="561" t="s">
        <v>705</v>
      </c>
      <c r="F630" s="735">
        <v>0</v>
      </c>
      <c r="G630" s="749">
        <v>0</v>
      </c>
      <c r="H630" s="749"/>
      <c r="I630" s="733"/>
      <c r="J630" s="733"/>
      <c r="K630" s="735">
        <v>0</v>
      </c>
      <c r="L630" s="751">
        <v>-18211.07</v>
      </c>
    </row>
    <row r="631" spans="1:12" ht="21" x14ac:dyDescent="0.25">
      <c r="A631" s="561" t="s">
        <v>3716</v>
      </c>
      <c r="B631" s="749">
        <v>2023</v>
      </c>
      <c r="C631" s="561" t="s">
        <v>701</v>
      </c>
      <c r="D631" s="561" t="s">
        <v>3738</v>
      </c>
      <c r="E631" s="561" t="s">
        <v>706</v>
      </c>
      <c r="F631" s="735">
        <v>0</v>
      </c>
      <c r="G631" s="749">
        <v>0</v>
      </c>
      <c r="H631" s="749"/>
      <c r="I631" s="733"/>
      <c r="J631" s="733"/>
      <c r="K631" s="735">
        <v>0</v>
      </c>
      <c r="L631" s="751">
        <v>-895063.65</v>
      </c>
    </row>
    <row r="632" spans="1:12" x14ac:dyDescent="0.25">
      <c r="A632" s="561" t="s">
        <v>3716</v>
      </c>
      <c r="B632" s="749">
        <v>2023</v>
      </c>
      <c r="C632" s="561" t="s">
        <v>707</v>
      </c>
      <c r="D632" s="561" t="s">
        <v>3739</v>
      </c>
      <c r="E632" s="561" t="s">
        <v>709</v>
      </c>
      <c r="F632" s="735">
        <v>0</v>
      </c>
      <c r="G632" s="749">
        <v>0</v>
      </c>
      <c r="H632" s="749"/>
      <c r="I632" s="733"/>
      <c r="J632" s="733"/>
      <c r="K632" s="735">
        <v>0</v>
      </c>
      <c r="L632" s="750">
        <v>0</v>
      </c>
    </row>
    <row r="633" spans="1:12" ht="21" x14ac:dyDescent="0.25">
      <c r="A633" s="561" t="s">
        <v>3716</v>
      </c>
      <c r="B633" s="749">
        <v>2023</v>
      </c>
      <c r="C633" s="561" t="s">
        <v>710</v>
      </c>
      <c r="D633" s="561" t="s">
        <v>3740</v>
      </c>
      <c r="E633" s="561" t="s">
        <v>2</v>
      </c>
      <c r="F633" s="735">
        <v>7820379</v>
      </c>
      <c r="G633" s="749">
        <v>1</v>
      </c>
      <c r="H633" s="749"/>
      <c r="I633" s="735">
        <v>7683237.4000000004</v>
      </c>
      <c r="J633" s="735">
        <v>137141.6</v>
      </c>
      <c r="K633" s="735">
        <v>7820379</v>
      </c>
      <c r="L633" s="750">
        <v>7820379</v>
      </c>
    </row>
    <row r="634" spans="1:12" ht="21" x14ac:dyDescent="0.25">
      <c r="A634" s="561" t="s">
        <v>3716</v>
      </c>
      <c r="B634" s="749">
        <v>2023</v>
      </c>
      <c r="C634" s="561" t="s">
        <v>712</v>
      </c>
      <c r="D634" s="561" t="s">
        <v>3741</v>
      </c>
      <c r="E634" s="561" t="s">
        <v>3</v>
      </c>
      <c r="F634" s="735">
        <v>-272730.48</v>
      </c>
      <c r="G634" s="749">
        <v>1</v>
      </c>
      <c r="H634" s="749"/>
      <c r="I634" s="735">
        <v>-264129.89</v>
      </c>
      <c r="J634" s="735">
        <v>-8600.59</v>
      </c>
      <c r="K634" s="735">
        <v>-272730.48</v>
      </c>
      <c r="L634" s="750">
        <v>-272730.48</v>
      </c>
    </row>
    <row r="635" spans="1:12" ht="21" x14ac:dyDescent="0.25">
      <c r="A635" s="561" t="s">
        <v>3716</v>
      </c>
      <c r="B635" s="749">
        <v>2023</v>
      </c>
      <c r="C635" s="561" t="s">
        <v>714</v>
      </c>
      <c r="D635" s="561" t="s">
        <v>3742</v>
      </c>
      <c r="E635" s="561" t="s">
        <v>38</v>
      </c>
      <c r="F635" s="735">
        <v>-509564.44</v>
      </c>
      <c r="G635" s="749">
        <v>1</v>
      </c>
      <c r="H635" s="749"/>
      <c r="I635" s="735">
        <v>-480339.61</v>
      </c>
      <c r="J635" s="735">
        <v>-29224.83</v>
      </c>
      <c r="K635" s="735">
        <v>-509564.44</v>
      </c>
      <c r="L635" s="750">
        <v>-509564.44</v>
      </c>
    </row>
    <row r="636" spans="1:12" x14ac:dyDescent="0.25">
      <c r="A636" s="561" t="s">
        <v>3716</v>
      </c>
      <c r="B636" s="749">
        <v>2023</v>
      </c>
      <c r="C636" s="561" t="s">
        <v>716</v>
      </c>
      <c r="D636" s="561" t="s">
        <v>3743</v>
      </c>
      <c r="E636" s="561" t="s">
        <v>66</v>
      </c>
      <c r="F636" s="735">
        <v>-3281426.71</v>
      </c>
      <c r="G636" s="749">
        <v>1</v>
      </c>
      <c r="H636" s="749"/>
      <c r="I636" s="735">
        <v>-3108030.99</v>
      </c>
      <c r="J636" s="735">
        <v>-173395.72</v>
      </c>
      <c r="K636" s="735">
        <v>-3281426.71</v>
      </c>
      <c r="L636" s="750">
        <v>-3281426.71</v>
      </c>
    </row>
    <row r="637" spans="1:12" ht="21" x14ac:dyDescent="0.25">
      <c r="A637" s="561" t="s">
        <v>3716</v>
      </c>
      <c r="B637" s="749">
        <v>2023</v>
      </c>
      <c r="C637" s="561" t="s">
        <v>718</v>
      </c>
      <c r="D637" s="561" t="s">
        <v>3744</v>
      </c>
      <c r="E637" s="561" t="s">
        <v>720</v>
      </c>
      <c r="F637" s="735">
        <v>-554594.29</v>
      </c>
      <c r="G637" s="749">
        <v>0</v>
      </c>
      <c r="H637" s="749"/>
      <c r="I637" s="733"/>
      <c r="J637" s="733"/>
      <c r="K637" s="735">
        <v>0</v>
      </c>
      <c r="L637" s="750">
        <v>-554594.29</v>
      </c>
    </row>
    <row r="638" spans="1:12" ht="31.5" x14ac:dyDescent="0.25">
      <c r="A638" s="561" t="s">
        <v>3716</v>
      </c>
      <c r="B638" s="749">
        <v>2023</v>
      </c>
      <c r="C638" s="561" t="s">
        <v>721</v>
      </c>
      <c r="D638" s="561" t="s">
        <v>3745</v>
      </c>
      <c r="E638" s="561" t="s">
        <v>724</v>
      </c>
      <c r="F638" s="735">
        <v>0</v>
      </c>
      <c r="G638" s="749">
        <v>1</v>
      </c>
      <c r="H638" s="749"/>
      <c r="I638" s="733"/>
      <c r="J638" s="733"/>
      <c r="K638" s="735">
        <v>0</v>
      </c>
      <c r="L638" s="750">
        <v>0</v>
      </c>
    </row>
    <row r="639" spans="1:12" ht="31.5" x14ac:dyDescent="0.25">
      <c r="A639" s="561" t="s">
        <v>3716</v>
      </c>
      <c r="B639" s="749">
        <v>2023</v>
      </c>
      <c r="C639" s="561" t="s">
        <v>721</v>
      </c>
      <c r="D639" s="561" t="s">
        <v>3746</v>
      </c>
      <c r="E639" s="561" t="s">
        <v>55</v>
      </c>
      <c r="F639" s="735">
        <v>0</v>
      </c>
      <c r="G639" s="749">
        <v>1</v>
      </c>
      <c r="H639" s="749"/>
      <c r="I639" s="733"/>
      <c r="J639" s="733"/>
      <c r="K639" s="735">
        <v>0</v>
      </c>
      <c r="L639" s="750">
        <v>0</v>
      </c>
    </row>
    <row r="640" spans="1:12" ht="31.5" x14ac:dyDescent="0.25">
      <c r="A640" s="561" t="s">
        <v>3716</v>
      </c>
      <c r="B640" s="749">
        <v>2023</v>
      </c>
      <c r="C640" s="561" t="s">
        <v>721</v>
      </c>
      <c r="D640" s="561" t="s">
        <v>3747</v>
      </c>
      <c r="E640" s="561" t="s">
        <v>56</v>
      </c>
      <c r="F640" s="735">
        <v>0</v>
      </c>
      <c r="G640" s="749">
        <v>1</v>
      </c>
      <c r="H640" s="749"/>
      <c r="I640" s="733"/>
      <c r="J640" s="733"/>
      <c r="K640" s="735">
        <v>0</v>
      </c>
      <c r="L640" s="750">
        <v>0</v>
      </c>
    </row>
    <row r="641" spans="1:12" ht="31.5" x14ac:dyDescent="0.25">
      <c r="A641" s="561" t="s">
        <v>3716</v>
      </c>
      <c r="B641" s="749">
        <v>2023</v>
      </c>
      <c r="C641" s="561" t="s">
        <v>721</v>
      </c>
      <c r="D641" s="561" t="s">
        <v>3748</v>
      </c>
      <c r="E641" s="561" t="s">
        <v>728</v>
      </c>
      <c r="F641" s="735">
        <v>0</v>
      </c>
      <c r="G641" s="749">
        <v>1</v>
      </c>
      <c r="H641" s="749"/>
      <c r="I641" s="733"/>
      <c r="J641" s="733"/>
      <c r="K641" s="735">
        <v>0</v>
      </c>
      <c r="L641" s="750">
        <v>0</v>
      </c>
    </row>
    <row r="642" spans="1:12" ht="31.5" x14ac:dyDescent="0.25">
      <c r="A642" s="561" t="s">
        <v>3716</v>
      </c>
      <c r="B642" s="749">
        <v>2023</v>
      </c>
      <c r="C642" s="561" t="s">
        <v>721</v>
      </c>
      <c r="D642" s="561" t="s">
        <v>3749</v>
      </c>
      <c r="E642" s="561" t="s">
        <v>730</v>
      </c>
      <c r="F642" s="735">
        <v>0</v>
      </c>
      <c r="G642" s="749">
        <v>1</v>
      </c>
      <c r="H642" s="749"/>
      <c r="I642" s="733"/>
      <c r="J642" s="733"/>
      <c r="K642" s="735">
        <v>0</v>
      </c>
      <c r="L642" s="750">
        <v>0</v>
      </c>
    </row>
    <row r="643" spans="1:12" ht="31.5" x14ac:dyDescent="0.25">
      <c r="A643" s="561" t="s">
        <v>3716</v>
      </c>
      <c r="B643" s="749">
        <v>2023</v>
      </c>
      <c r="C643" s="561" t="s">
        <v>721</v>
      </c>
      <c r="D643" s="561" t="s">
        <v>3750</v>
      </c>
      <c r="E643" s="561" t="s">
        <v>142</v>
      </c>
      <c r="F643" s="735">
        <v>0</v>
      </c>
      <c r="G643" s="749">
        <v>1</v>
      </c>
      <c r="H643" s="749"/>
      <c r="I643" s="733"/>
      <c r="J643" s="733"/>
      <c r="K643" s="735">
        <v>0</v>
      </c>
      <c r="L643" s="750">
        <v>0</v>
      </c>
    </row>
    <row r="644" spans="1:12" ht="31.5" x14ac:dyDescent="0.25">
      <c r="A644" s="561" t="s">
        <v>3716</v>
      </c>
      <c r="B644" s="749">
        <v>2023</v>
      </c>
      <c r="C644" s="561" t="s">
        <v>721</v>
      </c>
      <c r="D644" s="561" t="s">
        <v>3751</v>
      </c>
      <c r="E644" s="561" t="s">
        <v>143</v>
      </c>
      <c r="F644" s="735">
        <v>0</v>
      </c>
      <c r="G644" s="749">
        <v>1</v>
      </c>
      <c r="H644" s="749"/>
      <c r="I644" s="733"/>
      <c r="J644" s="733"/>
      <c r="K644" s="735">
        <v>0</v>
      </c>
      <c r="L644" s="750">
        <v>0</v>
      </c>
    </row>
    <row r="645" spans="1:12" ht="31.5" x14ac:dyDescent="0.25">
      <c r="A645" s="561" t="s">
        <v>3716</v>
      </c>
      <c r="B645" s="749">
        <v>2023</v>
      </c>
      <c r="C645" s="561" t="s">
        <v>721</v>
      </c>
      <c r="D645" s="561" t="s">
        <v>3752</v>
      </c>
      <c r="E645" s="561" t="s">
        <v>182</v>
      </c>
      <c r="F645" s="735">
        <v>0</v>
      </c>
      <c r="G645" s="749">
        <v>1</v>
      </c>
      <c r="H645" s="749"/>
      <c r="I645" s="733"/>
      <c r="J645" s="733"/>
      <c r="K645" s="735">
        <v>0</v>
      </c>
      <c r="L645" s="750">
        <v>0</v>
      </c>
    </row>
    <row r="646" spans="1:12" ht="31.5" x14ac:dyDescent="0.25">
      <c r="A646" s="561" t="s">
        <v>3716</v>
      </c>
      <c r="B646" s="749">
        <v>2023</v>
      </c>
      <c r="C646" s="561" t="s">
        <v>721</v>
      </c>
      <c r="D646" s="561" t="s">
        <v>3753</v>
      </c>
      <c r="E646" s="561" t="s">
        <v>394</v>
      </c>
      <c r="F646" s="735">
        <v>0</v>
      </c>
      <c r="G646" s="749">
        <v>1</v>
      </c>
      <c r="H646" s="749"/>
      <c r="I646" s="733"/>
      <c r="J646" s="733"/>
      <c r="K646" s="735">
        <v>0</v>
      </c>
      <c r="L646" s="750">
        <v>0</v>
      </c>
    </row>
    <row r="647" spans="1:12" ht="31.5" x14ac:dyDescent="0.25">
      <c r="A647" s="561" t="s">
        <v>3716</v>
      </c>
      <c r="B647" s="749">
        <v>2023</v>
      </c>
      <c r="C647" s="561" t="s">
        <v>721</v>
      </c>
      <c r="D647" s="561" t="s">
        <v>3754</v>
      </c>
      <c r="E647" s="561" t="s">
        <v>423</v>
      </c>
      <c r="F647" s="735">
        <v>0</v>
      </c>
      <c r="G647" s="749">
        <v>1</v>
      </c>
      <c r="H647" s="749"/>
      <c r="I647" s="733"/>
      <c r="J647" s="733"/>
      <c r="K647" s="735">
        <v>0</v>
      </c>
      <c r="L647" s="750">
        <v>0</v>
      </c>
    </row>
    <row r="648" spans="1:12" ht="31.5" x14ac:dyDescent="0.25">
      <c r="A648" s="561" t="s">
        <v>3716</v>
      </c>
      <c r="B648" s="749">
        <v>2023</v>
      </c>
      <c r="C648" s="561" t="s">
        <v>721</v>
      </c>
      <c r="D648" s="561" t="s">
        <v>3755</v>
      </c>
      <c r="E648" s="561" t="s">
        <v>441</v>
      </c>
      <c r="F648" s="735">
        <v>0</v>
      </c>
      <c r="G648" s="749">
        <v>1</v>
      </c>
      <c r="H648" s="749"/>
      <c r="I648" s="735">
        <v>842475.52000000002</v>
      </c>
      <c r="J648" s="735">
        <v>-6109.62</v>
      </c>
      <c r="K648" s="735">
        <v>836365.9</v>
      </c>
      <c r="L648" s="750">
        <v>836365.9</v>
      </c>
    </row>
    <row r="649" spans="1:12" ht="31.5" x14ac:dyDescent="0.25">
      <c r="A649" s="561" t="s">
        <v>3716</v>
      </c>
      <c r="B649" s="749">
        <v>2023</v>
      </c>
      <c r="C649" s="561" t="s">
        <v>721</v>
      </c>
      <c r="D649" s="561" t="s">
        <v>3756</v>
      </c>
      <c r="E649" s="561" t="s">
        <v>3016</v>
      </c>
      <c r="F649" s="735">
        <v>0</v>
      </c>
      <c r="G649" s="749">
        <v>1</v>
      </c>
      <c r="H649" s="749"/>
      <c r="I649" s="735">
        <v>75609.17</v>
      </c>
      <c r="J649" s="735">
        <v>37288.33</v>
      </c>
      <c r="K649" s="735">
        <v>112897.5</v>
      </c>
      <c r="L649" s="750">
        <v>112897.5</v>
      </c>
    </row>
    <row r="650" spans="1:12" ht="31.5" x14ac:dyDescent="0.25">
      <c r="A650" s="561" t="s">
        <v>3716</v>
      </c>
      <c r="B650" s="749">
        <v>2023</v>
      </c>
      <c r="C650" s="561" t="s">
        <v>721</v>
      </c>
      <c r="D650" s="561" t="s">
        <v>3757</v>
      </c>
      <c r="E650" s="561" t="s">
        <v>3058</v>
      </c>
      <c r="F650" s="735">
        <v>0</v>
      </c>
      <c r="G650" s="749">
        <v>1</v>
      </c>
      <c r="H650" s="749"/>
      <c r="I650" s="735">
        <v>-61985.01</v>
      </c>
      <c r="J650" s="735">
        <v>10700.13</v>
      </c>
      <c r="K650" s="735">
        <v>-51284.88</v>
      </c>
      <c r="L650" s="750">
        <v>-51284.88</v>
      </c>
    </row>
    <row r="651" spans="1:12" ht="31.5" x14ac:dyDescent="0.25">
      <c r="A651" s="561" t="s">
        <v>3716</v>
      </c>
      <c r="B651" s="749">
        <v>2023</v>
      </c>
      <c r="C651" s="561" t="s">
        <v>721</v>
      </c>
      <c r="D651" s="561" t="s">
        <v>3758</v>
      </c>
      <c r="E651" s="561" t="s">
        <v>3063</v>
      </c>
      <c r="F651" s="735">
        <v>0</v>
      </c>
      <c r="G651" s="749">
        <v>1</v>
      </c>
      <c r="H651" s="749"/>
      <c r="I651" s="735">
        <v>-25492.240000000002</v>
      </c>
      <c r="J651" s="735">
        <v>764.62</v>
      </c>
      <c r="K651" s="735">
        <v>-24727.62</v>
      </c>
      <c r="L651" s="750">
        <v>-24727.62</v>
      </c>
    </row>
    <row r="652" spans="1:12" ht="31.5" x14ac:dyDescent="0.25">
      <c r="A652" s="561" t="s">
        <v>3716</v>
      </c>
      <c r="B652" s="749">
        <v>2023</v>
      </c>
      <c r="C652" s="561" t="s">
        <v>721</v>
      </c>
      <c r="D652" s="561" t="s">
        <v>3759</v>
      </c>
      <c r="E652" s="561" t="s">
        <v>3425</v>
      </c>
      <c r="F652" s="735">
        <v>0</v>
      </c>
      <c r="G652" s="749">
        <v>1</v>
      </c>
      <c r="H652" s="749"/>
      <c r="I652" s="735">
        <v>-144332.07</v>
      </c>
      <c r="J652" s="735">
        <v>48984.959999999999</v>
      </c>
      <c r="K652" s="735">
        <v>-95347.11</v>
      </c>
      <c r="L652" s="750">
        <v>-95347.11</v>
      </c>
    </row>
    <row r="653" spans="1:12" ht="42" x14ac:dyDescent="0.25">
      <c r="A653" s="561" t="s">
        <v>3716</v>
      </c>
      <c r="B653" s="749">
        <v>2023</v>
      </c>
      <c r="C653" s="561" t="s">
        <v>721</v>
      </c>
      <c r="D653" s="561" t="s">
        <v>3760</v>
      </c>
      <c r="E653" s="561" t="s">
        <v>737</v>
      </c>
      <c r="F653" s="735">
        <v>777903.79</v>
      </c>
      <c r="G653" s="749">
        <v>0</v>
      </c>
      <c r="H653" s="749"/>
      <c r="I653" s="733"/>
      <c r="J653" s="733"/>
      <c r="K653" s="735">
        <v>0</v>
      </c>
      <c r="L653" s="750">
        <v>777903.79</v>
      </c>
    </row>
    <row r="654" spans="1:12" x14ac:dyDescent="0.25">
      <c r="A654" s="561" t="s">
        <v>3716</v>
      </c>
      <c r="B654" s="749">
        <v>2023</v>
      </c>
      <c r="C654" s="561" t="s">
        <v>738</v>
      </c>
      <c r="D654" s="561" t="s">
        <v>3761</v>
      </c>
      <c r="E654" s="561" t="s">
        <v>7</v>
      </c>
      <c r="F654" s="735">
        <v>0</v>
      </c>
      <c r="G654" s="749">
        <v>0</v>
      </c>
      <c r="H654" s="749"/>
      <c r="I654" s="733"/>
      <c r="J654" s="733"/>
      <c r="K654" s="735">
        <v>0</v>
      </c>
      <c r="L654" s="750">
        <v>0</v>
      </c>
    </row>
    <row r="655" spans="1:12" x14ac:dyDescent="0.25">
      <c r="A655" s="561" t="s">
        <v>87</v>
      </c>
      <c r="B655" s="749">
        <v>2023</v>
      </c>
      <c r="C655" s="561" t="s">
        <v>647</v>
      </c>
      <c r="D655" s="561" t="s">
        <v>1222</v>
      </c>
      <c r="E655" s="561" t="s">
        <v>649</v>
      </c>
      <c r="F655" s="735">
        <v>-577924.43999999994</v>
      </c>
      <c r="G655" s="749">
        <v>0</v>
      </c>
      <c r="H655" s="749"/>
      <c r="I655" s="733"/>
      <c r="J655" s="733"/>
      <c r="K655" s="735">
        <v>0</v>
      </c>
      <c r="L655" s="750">
        <v>-577924.43999999994</v>
      </c>
    </row>
    <row r="656" spans="1:12" ht="21" x14ac:dyDescent="0.25">
      <c r="A656" s="561" t="s">
        <v>87</v>
      </c>
      <c r="B656" s="749">
        <v>2023</v>
      </c>
      <c r="C656" s="561" t="s">
        <v>3691</v>
      </c>
      <c r="D656" s="561" t="s">
        <v>3636</v>
      </c>
      <c r="E656" s="561" t="s">
        <v>3675</v>
      </c>
      <c r="F656" s="735">
        <v>0</v>
      </c>
      <c r="G656" s="749">
        <v>0</v>
      </c>
      <c r="H656" s="749"/>
      <c r="I656" s="733"/>
      <c r="J656" s="733"/>
      <c r="K656" s="735">
        <v>0</v>
      </c>
      <c r="L656" s="750">
        <v>0</v>
      </c>
    </row>
    <row r="657" spans="1:12" x14ac:dyDescent="0.25">
      <c r="A657" s="561" t="s">
        <v>87</v>
      </c>
      <c r="B657" s="749">
        <v>2023</v>
      </c>
      <c r="C657" s="561" t="s">
        <v>651</v>
      </c>
      <c r="D657" s="561" t="s">
        <v>1223</v>
      </c>
      <c r="E657" s="561" t="s">
        <v>653</v>
      </c>
      <c r="F657" s="735">
        <v>72442.38</v>
      </c>
      <c r="G657" s="749">
        <v>0</v>
      </c>
      <c r="H657" s="749"/>
      <c r="I657" s="733"/>
      <c r="J657" s="733"/>
      <c r="K657" s="735">
        <v>0</v>
      </c>
      <c r="L657" s="750">
        <v>72442.38</v>
      </c>
    </row>
    <row r="658" spans="1:12" ht="31.5" x14ac:dyDescent="0.25">
      <c r="A658" s="561" t="s">
        <v>87</v>
      </c>
      <c r="B658" s="749">
        <v>2023</v>
      </c>
      <c r="C658" s="561" t="s">
        <v>654</v>
      </c>
      <c r="D658" s="561" t="s">
        <v>1224</v>
      </c>
      <c r="E658" s="561" t="s">
        <v>445</v>
      </c>
      <c r="F658" s="735">
        <v>0</v>
      </c>
      <c r="G658" s="749">
        <v>0</v>
      </c>
      <c r="H658" s="749"/>
      <c r="I658" s="733"/>
      <c r="J658" s="733"/>
      <c r="K658" s="735">
        <v>0</v>
      </c>
      <c r="L658" s="750">
        <v>0</v>
      </c>
    </row>
    <row r="659" spans="1:12" ht="21" x14ac:dyDescent="0.25">
      <c r="A659" s="561" t="s">
        <v>87</v>
      </c>
      <c r="B659" s="749">
        <v>2023</v>
      </c>
      <c r="C659" s="561" t="s">
        <v>656</v>
      </c>
      <c r="D659" s="561" t="s">
        <v>1225</v>
      </c>
      <c r="E659" s="561" t="s">
        <v>658</v>
      </c>
      <c r="F659" s="735">
        <v>0</v>
      </c>
      <c r="G659" s="749">
        <v>0</v>
      </c>
      <c r="H659" s="749"/>
      <c r="I659" s="733"/>
      <c r="J659" s="733"/>
      <c r="K659" s="735">
        <v>0</v>
      </c>
      <c r="L659" s="750">
        <v>0</v>
      </c>
    </row>
    <row r="660" spans="1:12" ht="21" x14ac:dyDescent="0.25">
      <c r="A660" s="561" t="s">
        <v>87</v>
      </c>
      <c r="B660" s="749">
        <v>2023</v>
      </c>
      <c r="C660" s="561" t="s">
        <v>659</v>
      </c>
      <c r="D660" s="561" t="s">
        <v>1226</v>
      </c>
      <c r="E660" s="561" t="s">
        <v>661</v>
      </c>
      <c r="F660" s="735">
        <v>0</v>
      </c>
      <c r="G660" s="749">
        <v>0</v>
      </c>
      <c r="H660" s="749"/>
      <c r="I660" s="733"/>
      <c r="J660" s="733"/>
      <c r="K660" s="735">
        <v>0</v>
      </c>
      <c r="L660" s="750">
        <v>0</v>
      </c>
    </row>
    <row r="661" spans="1:12" ht="21" x14ac:dyDescent="0.25">
      <c r="A661" s="561" t="s">
        <v>87</v>
      </c>
      <c r="B661" s="749">
        <v>2023</v>
      </c>
      <c r="C661" s="561" t="s">
        <v>662</v>
      </c>
      <c r="D661" s="561" t="s">
        <v>1227</v>
      </c>
      <c r="E661" s="561" t="s">
        <v>664</v>
      </c>
      <c r="F661" s="735">
        <v>0</v>
      </c>
      <c r="G661" s="749">
        <v>0</v>
      </c>
      <c r="H661" s="749"/>
      <c r="I661" s="733"/>
      <c r="J661" s="733"/>
      <c r="K661" s="735">
        <v>0</v>
      </c>
      <c r="L661" s="750">
        <v>0</v>
      </c>
    </row>
    <row r="662" spans="1:12" ht="31.5" x14ac:dyDescent="0.25">
      <c r="A662" s="561" t="s">
        <v>87</v>
      </c>
      <c r="B662" s="749">
        <v>2023</v>
      </c>
      <c r="C662" s="561" t="s">
        <v>665</v>
      </c>
      <c r="D662" s="561" t="s">
        <v>1228</v>
      </c>
      <c r="E662" s="561" t="s">
        <v>667</v>
      </c>
      <c r="F662" s="735">
        <v>0</v>
      </c>
      <c r="G662" s="749">
        <v>0</v>
      </c>
      <c r="H662" s="749"/>
      <c r="I662" s="733"/>
      <c r="J662" s="733"/>
      <c r="K662" s="735">
        <v>0</v>
      </c>
      <c r="L662" s="750">
        <v>0</v>
      </c>
    </row>
    <row r="663" spans="1:12" ht="21" x14ac:dyDescent="0.25">
      <c r="A663" s="561" t="s">
        <v>87</v>
      </c>
      <c r="B663" s="749">
        <v>2023</v>
      </c>
      <c r="C663" s="561" t="s">
        <v>668</v>
      </c>
      <c r="D663" s="561" t="s">
        <v>1229</v>
      </c>
      <c r="E663" s="561" t="s">
        <v>12</v>
      </c>
      <c r="F663" s="735">
        <v>0</v>
      </c>
      <c r="G663" s="749">
        <v>0</v>
      </c>
      <c r="H663" s="749"/>
      <c r="I663" s="733"/>
      <c r="J663" s="733"/>
      <c r="K663" s="735">
        <v>0</v>
      </c>
      <c r="L663" s="750">
        <v>0</v>
      </c>
    </row>
    <row r="664" spans="1:12" ht="21" x14ac:dyDescent="0.25">
      <c r="A664" s="561" t="s">
        <v>87</v>
      </c>
      <c r="B664" s="749">
        <v>2023</v>
      </c>
      <c r="C664" s="561" t="s">
        <v>670</v>
      </c>
      <c r="D664" s="561" t="s">
        <v>1230</v>
      </c>
      <c r="E664" s="561" t="s">
        <v>13</v>
      </c>
      <c r="F664" s="735">
        <v>0</v>
      </c>
      <c r="G664" s="749">
        <v>0</v>
      </c>
      <c r="H664" s="749"/>
      <c r="I664" s="733"/>
      <c r="J664" s="733"/>
      <c r="K664" s="735">
        <v>0</v>
      </c>
      <c r="L664" s="750">
        <v>0</v>
      </c>
    </row>
    <row r="665" spans="1:12" ht="21" x14ac:dyDescent="0.25">
      <c r="A665" s="561" t="s">
        <v>87</v>
      </c>
      <c r="B665" s="749">
        <v>2023</v>
      </c>
      <c r="C665" s="561" t="s">
        <v>672</v>
      </c>
      <c r="D665" s="561" t="s">
        <v>1231</v>
      </c>
      <c r="E665" s="561" t="s">
        <v>15</v>
      </c>
      <c r="F665" s="735">
        <v>0</v>
      </c>
      <c r="G665" s="749">
        <v>0</v>
      </c>
      <c r="H665" s="749"/>
      <c r="I665" s="733"/>
      <c r="J665" s="733"/>
      <c r="K665" s="735">
        <v>0</v>
      </c>
      <c r="L665" s="750">
        <v>0</v>
      </c>
    </row>
    <row r="666" spans="1:12" x14ac:dyDescent="0.25">
      <c r="A666" s="561" t="s">
        <v>87</v>
      </c>
      <c r="B666" s="749">
        <v>2023</v>
      </c>
      <c r="C666" s="561" t="s">
        <v>674</v>
      </c>
      <c r="D666" s="561" t="s">
        <v>1232</v>
      </c>
      <c r="E666" s="561" t="s">
        <v>676</v>
      </c>
      <c r="F666" s="735">
        <v>87927.28</v>
      </c>
      <c r="G666" s="749">
        <v>0</v>
      </c>
      <c r="H666" s="749"/>
      <c r="I666" s="733"/>
      <c r="J666" s="733"/>
      <c r="K666" s="735">
        <v>0</v>
      </c>
      <c r="L666" s="750">
        <v>87927.28</v>
      </c>
    </row>
    <row r="667" spans="1:12" x14ac:dyDescent="0.25">
      <c r="A667" s="561" t="s">
        <v>87</v>
      </c>
      <c r="B667" s="749">
        <v>2023</v>
      </c>
      <c r="C667" s="561" t="s">
        <v>677</v>
      </c>
      <c r="D667" s="561" t="s">
        <v>1233</v>
      </c>
      <c r="E667" s="561" t="s">
        <v>23</v>
      </c>
      <c r="F667" s="735">
        <v>3011203.03</v>
      </c>
      <c r="G667" s="749">
        <v>1</v>
      </c>
      <c r="H667" s="749"/>
      <c r="I667" s="735">
        <v>2943862.18</v>
      </c>
      <c r="J667" s="735">
        <v>67340.850000000006</v>
      </c>
      <c r="K667" s="735">
        <v>3011203.03</v>
      </c>
      <c r="L667" s="750">
        <v>3011203.03</v>
      </c>
    </row>
    <row r="668" spans="1:12" ht="21" x14ac:dyDescent="0.25">
      <c r="A668" s="561" t="s">
        <v>87</v>
      </c>
      <c r="B668" s="749">
        <v>2023</v>
      </c>
      <c r="C668" s="561" t="s">
        <v>679</v>
      </c>
      <c r="D668" s="561" t="s">
        <v>1234</v>
      </c>
      <c r="E668" s="561" t="s">
        <v>131</v>
      </c>
      <c r="F668" s="735">
        <v>-213133.55</v>
      </c>
      <c r="G668" s="749">
        <v>1</v>
      </c>
      <c r="H668" s="749"/>
      <c r="I668" s="735">
        <v>-210772.17</v>
      </c>
      <c r="J668" s="735">
        <v>-2361.38</v>
      </c>
      <c r="K668" s="735">
        <v>-213133.55</v>
      </c>
      <c r="L668" s="750">
        <v>-213133.55</v>
      </c>
    </row>
    <row r="669" spans="1:12" ht="31.5" x14ac:dyDescent="0.25">
      <c r="A669" s="561" t="s">
        <v>87</v>
      </c>
      <c r="B669" s="749">
        <v>2023</v>
      </c>
      <c r="C669" s="561" t="s">
        <v>681</v>
      </c>
      <c r="D669" s="561" t="s">
        <v>1235</v>
      </c>
      <c r="E669" s="561" t="s">
        <v>683</v>
      </c>
      <c r="F669" s="735">
        <v>-9204.84</v>
      </c>
      <c r="G669" s="749">
        <v>0</v>
      </c>
      <c r="H669" s="749"/>
      <c r="I669" s="733"/>
      <c r="J669" s="733"/>
      <c r="K669" s="735">
        <v>0</v>
      </c>
      <c r="L669" s="750">
        <v>-9204.84</v>
      </c>
    </row>
    <row r="670" spans="1:12" ht="21" x14ac:dyDescent="0.25">
      <c r="A670" s="561" t="s">
        <v>87</v>
      </c>
      <c r="B670" s="749">
        <v>2023</v>
      </c>
      <c r="C670" s="561" t="s">
        <v>681</v>
      </c>
      <c r="D670" s="561" t="s">
        <v>1235</v>
      </c>
      <c r="E670" s="561" t="s">
        <v>684</v>
      </c>
      <c r="F670" s="735">
        <v>0</v>
      </c>
      <c r="G670" s="749">
        <v>0</v>
      </c>
      <c r="H670" s="749"/>
      <c r="I670" s="733"/>
      <c r="J670" s="733"/>
      <c r="K670" s="735">
        <v>0</v>
      </c>
      <c r="L670" s="751">
        <v>0</v>
      </c>
    </row>
    <row r="671" spans="1:12" x14ac:dyDescent="0.25">
      <c r="A671" s="561" t="s">
        <v>87</v>
      </c>
      <c r="B671" s="749">
        <v>2023</v>
      </c>
      <c r="C671" s="561" t="s">
        <v>685</v>
      </c>
      <c r="D671" s="561" t="s">
        <v>1236</v>
      </c>
      <c r="E671" s="561" t="s">
        <v>687</v>
      </c>
      <c r="F671" s="735">
        <v>0</v>
      </c>
      <c r="G671" s="749">
        <v>0</v>
      </c>
      <c r="H671" s="749"/>
      <c r="I671" s="733"/>
      <c r="J671" s="733"/>
      <c r="K671" s="735">
        <v>0</v>
      </c>
      <c r="L671" s="750">
        <v>0</v>
      </c>
    </row>
    <row r="672" spans="1:12" x14ac:dyDescent="0.25">
      <c r="A672" s="561" t="s">
        <v>87</v>
      </c>
      <c r="B672" s="749">
        <v>2023</v>
      </c>
      <c r="C672" s="561" t="s">
        <v>688</v>
      </c>
      <c r="D672" s="561" t="s">
        <v>1237</v>
      </c>
      <c r="E672" s="561" t="s">
        <v>50</v>
      </c>
      <c r="F672" s="735">
        <v>392744.12</v>
      </c>
      <c r="G672" s="749">
        <v>0</v>
      </c>
      <c r="H672" s="749"/>
      <c r="I672" s="733"/>
      <c r="J672" s="733"/>
      <c r="K672" s="735">
        <v>0</v>
      </c>
      <c r="L672" s="750">
        <v>392744.12</v>
      </c>
    </row>
    <row r="673" spans="1:12" x14ac:dyDescent="0.25">
      <c r="A673" s="561" t="s">
        <v>87</v>
      </c>
      <c r="B673" s="749">
        <v>2023</v>
      </c>
      <c r="C673" s="561" t="s">
        <v>690</v>
      </c>
      <c r="D673" s="561" t="s">
        <v>1238</v>
      </c>
      <c r="E673" s="561" t="s">
        <v>692</v>
      </c>
      <c r="F673" s="735">
        <v>0</v>
      </c>
      <c r="G673" s="749">
        <v>0</v>
      </c>
      <c r="H673" s="749"/>
      <c r="I673" s="733"/>
      <c r="J673" s="733"/>
      <c r="K673" s="735">
        <v>0</v>
      </c>
      <c r="L673" s="750">
        <v>0</v>
      </c>
    </row>
    <row r="674" spans="1:12" ht="21" x14ac:dyDescent="0.25">
      <c r="A674" s="561" t="s">
        <v>87</v>
      </c>
      <c r="B674" s="749">
        <v>2023</v>
      </c>
      <c r="C674" s="561" t="s">
        <v>693</v>
      </c>
      <c r="D674" s="561" t="s">
        <v>1239</v>
      </c>
      <c r="E674" s="561" t="s">
        <v>6</v>
      </c>
      <c r="F674" s="735">
        <v>0</v>
      </c>
      <c r="G674" s="749">
        <v>0</v>
      </c>
      <c r="H674" s="749"/>
      <c r="I674" s="733"/>
      <c r="J674" s="733"/>
      <c r="K674" s="735">
        <v>0</v>
      </c>
      <c r="L674" s="750">
        <v>0</v>
      </c>
    </row>
    <row r="675" spans="1:12" ht="21" x14ac:dyDescent="0.25">
      <c r="A675" s="561" t="s">
        <v>87</v>
      </c>
      <c r="B675" s="749">
        <v>2023</v>
      </c>
      <c r="C675" s="561" t="s">
        <v>695</v>
      </c>
      <c r="D675" s="561" t="s">
        <v>1240</v>
      </c>
      <c r="E675" s="561" t="s">
        <v>697</v>
      </c>
      <c r="F675" s="735">
        <v>0</v>
      </c>
      <c r="G675" s="749">
        <v>0</v>
      </c>
      <c r="H675" s="749"/>
      <c r="I675" s="733"/>
      <c r="J675" s="733"/>
      <c r="K675" s="735">
        <v>0</v>
      </c>
      <c r="L675" s="750">
        <v>0</v>
      </c>
    </row>
    <row r="676" spans="1:12" x14ac:dyDescent="0.25">
      <c r="A676" s="561" t="s">
        <v>87</v>
      </c>
      <c r="B676" s="749">
        <v>2023</v>
      </c>
      <c r="C676" s="561" t="s">
        <v>698</v>
      </c>
      <c r="D676" s="561" t="s">
        <v>1241</v>
      </c>
      <c r="E676" s="561" t="s">
        <v>700</v>
      </c>
      <c r="F676" s="735">
        <v>-95664.73</v>
      </c>
      <c r="G676" s="749">
        <v>0</v>
      </c>
      <c r="H676" s="749"/>
      <c r="I676" s="733"/>
      <c r="J676" s="733"/>
      <c r="K676" s="735">
        <v>0</v>
      </c>
      <c r="L676" s="750">
        <v>-95664.73</v>
      </c>
    </row>
    <row r="677" spans="1:12" ht="21" x14ac:dyDescent="0.25">
      <c r="A677" s="561" t="s">
        <v>87</v>
      </c>
      <c r="B677" s="749">
        <v>2023</v>
      </c>
      <c r="C677" s="561" t="s">
        <v>701</v>
      </c>
      <c r="D677" s="561" t="s">
        <v>1242</v>
      </c>
      <c r="E677" s="561" t="s">
        <v>1</v>
      </c>
      <c r="F677" s="735">
        <v>3029275.47</v>
      </c>
      <c r="G677" s="749">
        <v>1</v>
      </c>
      <c r="H677" s="749"/>
      <c r="I677" s="735">
        <v>2989864.01</v>
      </c>
      <c r="J677" s="735">
        <v>39411.46</v>
      </c>
      <c r="K677" s="735">
        <v>3029275.47</v>
      </c>
      <c r="L677" s="750">
        <v>3029275.47</v>
      </c>
    </row>
    <row r="678" spans="1:12" ht="21" x14ac:dyDescent="0.25">
      <c r="A678" s="561" t="s">
        <v>87</v>
      </c>
      <c r="B678" s="749">
        <v>2023</v>
      </c>
      <c r="C678" s="561" t="s">
        <v>701</v>
      </c>
      <c r="D678" s="561" t="s">
        <v>1242</v>
      </c>
      <c r="E678" s="561" t="s">
        <v>703</v>
      </c>
      <c r="F678" s="735">
        <v>0</v>
      </c>
      <c r="G678" s="749">
        <v>0</v>
      </c>
      <c r="H678" s="749"/>
      <c r="I678" s="733"/>
      <c r="J678" s="733"/>
      <c r="K678" s="735">
        <v>0</v>
      </c>
      <c r="L678" s="751">
        <v>0</v>
      </c>
    </row>
    <row r="679" spans="1:12" ht="21" x14ac:dyDescent="0.25">
      <c r="A679" s="561" t="s">
        <v>87</v>
      </c>
      <c r="B679" s="749">
        <v>2023</v>
      </c>
      <c r="C679" s="561" t="s">
        <v>701</v>
      </c>
      <c r="D679" s="561" t="s">
        <v>1242</v>
      </c>
      <c r="E679" s="561" t="s">
        <v>704</v>
      </c>
      <c r="F679" s="735">
        <v>0</v>
      </c>
      <c r="G679" s="749">
        <v>0</v>
      </c>
      <c r="H679" s="749"/>
      <c r="I679" s="733"/>
      <c r="J679" s="733"/>
      <c r="K679" s="735">
        <v>0</v>
      </c>
      <c r="L679" s="751">
        <v>0</v>
      </c>
    </row>
    <row r="680" spans="1:12" ht="21" x14ac:dyDescent="0.25">
      <c r="A680" s="561" t="s">
        <v>87</v>
      </c>
      <c r="B680" s="749">
        <v>2023</v>
      </c>
      <c r="C680" s="561" t="s">
        <v>701</v>
      </c>
      <c r="D680" s="561" t="s">
        <v>1242</v>
      </c>
      <c r="E680" s="561" t="s">
        <v>705</v>
      </c>
      <c r="F680" s="735">
        <v>0</v>
      </c>
      <c r="G680" s="749">
        <v>0</v>
      </c>
      <c r="H680" s="749"/>
      <c r="I680" s="733"/>
      <c r="J680" s="733"/>
      <c r="K680" s="735">
        <v>0</v>
      </c>
      <c r="L680" s="751">
        <v>-6827.76</v>
      </c>
    </row>
    <row r="681" spans="1:12" ht="21" x14ac:dyDescent="0.25">
      <c r="A681" s="561" t="s">
        <v>87</v>
      </c>
      <c r="B681" s="749">
        <v>2023</v>
      </c>
      <c r="C681" s="561" t="s">
        <v>701</v>
      </c>
      <c r="D681" s="561" t="s">
        <v>1242</v>
      </c>
      <c r="E681" s="561" t="s">
        <v>706</v>
      </c>
      <c r="F681" s="735">
        <v>0</v>
      </c>
      <c r="G681" s="749">
        <v>0</v>
      </c>
      <c r="H681" s="749"/>
      <c r="I681" s="733"/>
      <c r="J681" s="733"/>
      <c r="K681" s="735">
        <v>0</v>
      </c>
      <c r="L681" s="751">
        <v>-240971.97</v>
      </c>
    </row>
    <row r="682" spans="1:12" x14ac:dyDescent="0.25">
      <c r="A682" s="561" t="s">
        <v>87</v>
      </c>
      <c r="B682" s="749">
        <v>2023</v>
      </c>
      <c r="C682" s="561" t="s">
        <v>707</v>
      </c>
      <c r="D682" s="561" t="s">
        <v>1243</v>
      </c>
      <c r="E682" s="561" t="s">
        <v>709</v>
      </c>
      <c r="F682" s="735">
        <v>118.91</v>
      </c>
      <c r="G682" s="749">
        <v>0</v>
      </c>
      <c r="H682" s="749"/>
      <c r="I682" s="733"/>
      <c r="J682" s="733"/>
      <c r="K682" s="735">
        <v>0</v>
      </c>
      <c r="L682" s="750">
        <v>118.91</v>
      </c>
    </row>
    <row r="683" spans="1:12" ht="21" x14ac:dyDescent="0.25">
      <c r="A683" s="561" t="s">
        <v>87</v>
      </c>
      <c r="B683" s="749">
        <v>2023</v>
      </c>
      <c r="C683" s="561" t="s">
        <v>710</v>
      </c>
      <c r="D683" s="561" t="s">
        <v>1244</v>
      </c>
      <c r="E683" s="561" t="s">
        <v>2</v>
      </c>
      <c r="F683" s="735">
        <v>4208567.8</v>
      </c>
      <c r="G683" s="749">
        <v>1</v>
      </c>
      <c r="H683" s="749"/>
      <c r="I683" s="735">
        <v>4131552.83</v>
      </c>
      <c r="J683" s="735">
        <v>77014.97</v>
      </c>
      <c r="K683" s="735">
        <v>4208567.8</v>
      </c>
      <c r="L683" s="750">
        <v>4208567.8</v>
      </c>
    </row>
    <row r="684" spans="1:12" ht="21" x14ac:dyDescent="0.25">
      <c r="A684" s="561" t="s">
        <v>87</v>
      </c>
      <c r="B684" s="749">
        <v>2023</v>
      </c>
      <c r="C684" s="561" t="s">
        <v>712</v>
      </c>
      <c r="D684" s="561" t="s">
        <v>1245</v>
      </c>
      <c r="E684" s="561" t="s">
        <v>3</v>
      </c>
      <c r="F684" s="735">
        <v>805900.51</v>
      </c>
      <c r="G684" s="749">
        <v>1</v>
      </c>
      <c r="H684" s="749"/>
      <c r="I684" s="735">
        <v>793506.48</v>
      </c>
      <c r="J684" s="735">
        <v>12394.03</v>
      </c>
      <c r="K684" s="735">
        <v>805900.51</v>
      </c>
      <c r="L684" s="750">
        <v>805900.51</v>
      </c>
    </row>
    <row r="685" spans="1:12" ht="21" x14ac:dyDescent="0.25">
      <c r="A685" s="561" t="s">
        <v>87</v>
      </c>
      <c r="B685" s="749">
        <v>2023</v>
      </c>
      <c r="C685" s="561" t="s">
        <v>714</v>
      </c>
      <c r="D685" s="561" t="s">
        <v>1246</v>
      </c>
      <c r="E685" s="561" t="s">
        <v>38</v>
      </c>
      <c r="F685" s="735">
        <v>365306.25</v>
      </c>
      <c r="G685" s="749">
        <v>1</v>
      </c>
      <c r="H685" s="749"/>
      <c r="I685" s="735">
        <v>351794.73</v>
      </c>
      <c r="J685" s="735">
        <v>13511.52</v>
      </c>
      <c r="K685" s="735">
        <v>365306.25</v>
      </c>
      <c r="L685" s="750">
        <v>365306.25</v>
      </c>
    </row>
    <row r="686" spans="1:12" x14ac:dyDescent="0.25">
      <c r="A686" s="561" t="s">
        <v>87</v>
      </c>
      <c r="B686" s="749">
        <v>2023</v>
      </c>
      <c r="C686" s="561" t="s">
        <v>716</v>
      </c>
      <c r="D686" s="561" t="s">
        <v>1247</v>
      </c>
      <c r="E686" s="561" t="s">
        <v>66</v>
      </c>
      <c r="F686" s="735">
        <v>-1026181.22</v>
      </c>
      <c r="G686" s="749">
        <v>1</v>
      </c>
      <c r="H686" s="749"/>
      <c r="I686" s="735">
        <v>-1015961.14</v>
      </c>
      <c r="J686" s="735">
        <v>-10220.08</v>
      </c>
      <c r="K686" s="735">
        <v>-1026181.22</v>
      </c>
      <c r="L686" s="750">
        <v>-1026181.22</v>
      </c>
    </row>
    <row r="687" spans="1:12" ht="21" x14ac:dyDescent="0.25">
      <c r="A687" s="561" t="s">
        <v>87</v>
      </c>
      <c r="B687" s="749">
        <v>2023</v>
      </c>
      <c r="C687" s="561" t="s">
        <v>718</v>
      </c>
      <c r="D687" s="561" t="s">
        <v>1248</v>
      </c>
      <c r="E687" s="561" t="s">
        <v>720</v>
      </c>
      <c r="F687" s="735">
        <v>-1747852</v>
      </c>
      <c r="G687" s="749">
        <v>0</v>
      </c>
      <c r="H687" s="749"/>
      <c r="I687" s="733"/>
      <c r="J687" s="733"/>
      <c r="K687" s="735">
        <v>0</v>
      </c>
      <c r="L687" s="750">
        <v>-1747852</v>
      </c>
    </row>
    <row r="688" spans="1:12" ht="31.5" x14ac:dyDescent="0.25">
      <c r="A688" s="561" t="s">
        <v>87</v>
      </c>
      <c r="B688" s="749">
        <v>2023</v>
      </c>
      <c r="C688" s="561" t="s">
        <v>721</v>
      </c>
      <c r="D688" s="561" t="s">
        <v>1250</v>
      </c>
      <c r="E688" s="561" t="s">
        <v>724</v>
      </c>
      <c r="F688" s="735">
        <v>0</v>
      </c>
      <c r="G688" s="749">
        <v>1</v>
      </c>
      <c r="H688" s="749"/>
      <c r="I688" s="733"/>
      <c r="J688" s="733"/>
      <c r="K688" s="735">
        <v>0</v>
      </c>
      <c r="L688" s="750">
        <v>0</v>
      </c>
    </row>
    <row r="689" spans="1:12" ht="31.5" x14ac:dyDescent="0.25">
      <c r="A689" s="561" t="s">
        <v>87</v>
      </c>
      <c r="B689" s="749">
        <v>2023</v>
      </c>
      <c r="C689" s="561" t="s">
        <v>721</v>
      </c>
      <c r="D689" s="561" t="s">
        <v>1251</v>
      </c>
      <c r="E689" s="561" t="s">
        <v>55</v>
      </c>
      <c r="F689" s="735">
        <v>0</v>
      </c>
      <c r="G689" s="749">
        <v>1</v>
      </c>
      <c r="H689" s="749"/>
      <c r="I689" s="733"/>
      <c r="J689" s="733"/>
      <c r="K689" s="735">
        <v>0</v>
      </c>
      <c r="L689" s="750">
        <v>0</v>
      </c>
    </row>
    <row r="690" spans="1:12" ht="31.5" x14ac:dyDescent="0.25">
      <c r="A690" s="561" t="s">
        <v>87</v>
      </c>
      <c r="B690" s="749">
        <v>2023</v>
      </c>
      <c r="C690" s="561" t="s">
        <v>721</v>
      </c>
      <c r="D690" s="561" t="s">
        <v>1252</v>
      </c>
      <c r="E690" s="561" t="s">
        <v>56</v>
      </c>
      <c r="F690" s="735">
        <v>0</v>
      </c>
      <c r="G690" s="749">
        <v>1</v>
      </c>
      <c r="H690" s="749"/>
      <c r="I690" s="733"/>
      <c r="J690" s="733"/>
      <c r="K690" s="735">
        <v>0</v>
      </c>
      <c r="L690" s="750">
        <v>0</v>
      </c>
    </row>
    <row r="691" spans="1:12" ht="31.5" x14ac:dyDescent="0.25">
      <c r="A691" s="561" t="s">
        <v>87</v>
      </c>
      <c r="B691" s="749">
        <v>2023</v>
      </c>
      <c r="C691" s="561" t="s">
        <v>721</v>
      </c>
      <c r="D691" s="561" t="s">
        <v>1253</v>
      </c>
      <c r="E691" s="561" t="s">
        <v>728</v>
      </c>
      <c r="F691" s="735">
        <v>0</v>
      </c>
      <c r="G691" s="749">
        <v>1</v>
      </c>
      <c r="H691" s="749"/>
      <c r="I691" s="733"/>
      <c r="J691" s="733"/>
      <c r="K691" s="735">
        <v>0</v>
      </c>
      <c r="L691" s="750">
        <v>0</v>
      </c>
    </row>
    <row r="692" spans="1:12" ht="31.5" x14ac:dyDescent="0.25">
      <c r="A692" s="561" t="s">
        <v>87</v>
      </c>
      <c r="B692" s="749">
        <v>2023</v>
      </c>
      <c r="C692" s="561" t="s">
        <v>721</v>
      </c>
      <c r="D692" s="561" t="s">
        <v>1254</v>
      </c>
      <c r="E692" s="561" t="s">
        <v>730</v>
      </c>
      <c r="F692" s="735">
        <v>0</v>
      </c>
      <c r="G692" s="749">
        <v>1</v>
      </c>
      <c r="H692" s="749"/>
      <c r="I692" s="733"/>
      <c r="J692" s="733"/>
      <c r="K692" s="735">
        <v>0</v>
      </c>
      <c r="L692" s="750">
        <v>0</v>
      </c>
    </row>
    <row r="693" spans="1:12" ht="31.5" x14ac:dyDescent="0.25">
      <c r="A693" s="561" t="s">
        <v>87</v>
      </c>
      <c r="B693" s="749">
        <v>2023</v>
      </c>
      <c r="C693" s="561" t="s">
        <v>721</v>
      </c>
      <c r="D693" s="561" t="s">
        <v>1255</v>
      </c>
      <c r="E693" s="561" t="s">
        <v>142</v>
      </c>
      <c r="F693" s="735">
        <v>0</v>
      </c>
      <c r="G693" s="749">
        <v>1</v>
      </c>
      <c r="H693" s="749"/>
      <c r="I693" s="733"/>
      <c r="J693" s="733"/>
      <c r="K693" s="735">
        <v>0</v>
      </c>
      <c r="L693" s="750">
        <v>0</v>
      </c>
    </row>
    <row r="694" spans="1:12" ht="31.5" x14ac:dyDescent="0.25">
      <c r="A694" s="561" t="s">
        <v>87</v>
      </c>
      <c r="B694" s="749">
        <v>2023</v>
      </c>
      <c r="C694" s="561" t="s">
        <v>721</v>
      </c>
      <c r="D694" s="561" t="s">
        <v>1256</v>
      </c>
      <c r="E694" s="561" t="s">
        <v>143</v>
      </c>
      <c r="F694" s="735">
        <v>0</v>
      </c>
      <c r="G694" s="749">
        <v>1</v>
      </c>
      <c r="H694" s="749"/>
      <c r="I694" s="733"/>
      <c r="J694" s="733"/>
      <c r="K694" s="735">
        <v>0</v>
      </c>
      <c r="L694" s="750">
        <v>0</v>
      </c>
    </row>
    <row r="695" spans="1:12" ht="31.5" x14ac:dyDescent="0.25">
      <c r="A695" s="561" t="s">
        <v>87</v>
      </c>
      <c r="B695" s="749">
        <v>2023</v>
      </c>
      <c r="C695" s="561" t="s">
        <v>721</v>
      </c>
      <c r="D695" s="561" t="s">
        <v>1257</v>
      </c>
      <c r="E695" s="561" t="s">
        <v>182</v>
      </c>
      <c r="F695" s="735">
        <v>0</v>
      </c>
      <c r="G695" s="749">
        <v>1</v>
      </c>
      <c r="H695" s="749"/>
      <c r="I695" s="733"/>
      <c r="J695" s="733"/>
      <c r="K695" s="735">
        <v>0</v>
      </c>
      <c r="L695" s="750">
        <v>0</v>
      </c>
    </row>
    <row r="696" spans="1:12" ht="31.5" x14ac:dyDescent="0.25">
      <c r="A696" s="561" t="s">
        <v>87</v>
      </c>
      <c r="B696" s="749">
        <v>2023</v>
      </c>
      <c r="C696" s="561" t="s">
        <v>721</v>
      </c>
      <c r="D696" s="561" t="s">
        <v>1258</v>
      </c>
      <c r="E696" s="561" t="s">
        <v>394</v>
      </c>
      <c r="F696" s="735">
        <v>0</v>
      </c>
      <c r="G696" s="749">
        <v>1</v>
      </c>
      <c r="H696" s="749"/>
      <c r="I696" s="733"/>
      <c r="J696" s="733"/>
      <c r="K696" s="735">
        <v>0</v>
      </c>
      <c r="L696" s="750">
        <v>0</v>
      </c>
    </row>
    <row r="697" spans="1:12" ht="31.5" x14ac:dyDescent="0.25">
      <c r="A697" s="561" t="s">
        <v>87</v>
      </c>
      <c r="B697" s="749">
        <v>2023</v>
      </c>
      <c r="C697" s="561" t="s">
        <v>721</v>
      </c>
      <c r="D697" s="561" t="s">
        <v>1259</v>
      </c>
      <c r="E697" s="561" t="s">
        <v>423</v>
      </c>
      <c r="F697" s="735">
        <v>0</v>
      </c>
      <c r="G697" s="749">
        <v>1</v>
      </c>
      <c r="H697" s="749"/>
      <c r="I697" s="733"/>
      <c r="J697" s="733"/>
      <c r="K697" s="735">
        <v>0</v>
      </c>
      <c r="L697" s="750">
        <v>0</v>
      </c>
    </row>
    <row r="698" spans="1:12" ht="31.5" x14ac:dyDescent="0.25">
      <c r="A698" s="561" t="s">
        <v>87</v>
      </c>
      <c r="B698" s="749">
        <v>2023</v>
      </c>
      <c r="C698" s="561" t="s">
        <v>721</v>
      </c>
      <c r="D698" s="561" t="s">
        <v>3210</v>
      </c>
      <c r="E698" s="561" t="s">
        <v>441</v>
      </c>
      <c r="F698" s="735">
        <v>0</v>
      </c>
      <c r="G698" s="749">
        <v>1</v>
      </c>
      <c r="H698" s="749"/>
      <c r="I698" s="735">
        <v>279131.89</v>
      </c>
      <c r="J698" s="735">
        <v>29887.48</v>
      </c>
      <c r="K698" s="735">
        <v>309019.37</v>
      </c>
      <c r="L698" s="750">
        <v>309019.37</v>
      </c>
    </row>
    <row r="699" spans="1:12" ht="31.5" x14ac:dyDescent="0.25">
      <c r="A699" s="561" t="s">
        <v>87</v>
      </c>
      <c r="B699" s="749">
        <v>2023</v>
      </c>
      <c r="C699" s="561" t="s">
        <v>721</v>
      </c>
      <c r="D699" s="561" t="s">
        <v>3507</v>
      </c>
      <c r="E699" s="561" t="s">
        <v>3016</v>
      </c>
      <c r="F699" s="735">
        <v>0</v>
      </c>
      <c r="G699" s="749">
        <v>1</v>
      </c>
      <c r="H699" s="749"/>
      <c r="I699" s="735">
        <v>15068.38</v>
      </c>
      <c r="J699" s="735">
        <v>7630.3</v>
      </c>
      <c r="K699" s="735">
        <v>22698.68</v>
      </c>
      <c r="L699" s="750">
        <v>22698.68</v>
      </c>
    </row>
    <row r="700" spans="1:12" ht="31.5" x14ac:dyDescent="0.25">
      <c r="A700" s="561" t="s">
        <v>87</v>
      </c>
      <c r="B700" s="749">
        <v>2023</v>
      </c>
      <c r="C700" s="561" t="s">
        <v>721</v>
      </c>
      <c r="D700" s="561" t="s">
        <v>3508</v>
      </c>
      <c r="E700" s="561" t="s">
        <v>3058</v>
      </c>
      <c r="F700" s="735">
        <v>0</v>
      </c>
      <c r="G700" s="749">
        <v>1</v>
      </c>
      <c r="H700" s="749"/>
      <c r="I700" s="735">
        <v>54734.59</v>
      </c>
      <c r="J700" s="735">
        <v>-1093.17</v>
      </c>
      <c r="K700" s="735">
        <v>53641.42</v>
      </c>
      <c r="L700" s="750">
        <v>53641.42</v>
      </c>
    </row>
    <row r="701" spans="1:12" ht="31.5" x14ac:dyDescent="0.25">
      <c r="A701" s="561" t="s">
        <v>87</v>
      </c>
      <c r="B701" s="749">
        <v>2023</v>
      </c>
      <c r="C701" s="561" t="s">
        <v>721</v>
      </c>
      <c r="D701" s="561" t="s">
        <v>3509</v>
      </c>
      <c r="E701" s="561" t="s">
        <v>3063</v>
      </c>
      <c r="F701" s="735">
        <v>0</v>
      </c>
      <c r="G701" s="749">
        <v>1</v>
      </c>
      <c r="H701" s="749"/>
      <c r="I701" s="735">
        <v>-1402.22</v>
      </c>
      <c r="J701" s="735">
        <v>3131.15</v>
      </c>
      <c r="K701" s="735">
        <v>1728.93</v>
      </c>
      <c r="L701" s="750">
        <v>1728.93</v>
      </c>
    </row>
    <row r="702" spans="1:12" ht="31.5" x14ac:dyDescent="0.25">
      <c r="A702" s="561" t="s">
        <v>87</v>
      </c>
      <c r="B702" s="749">
        <v>2023</v>
      </c>
      <c r="C702" s="561" t="s">
        <v>721</v>
      </c>
      <c r="D702" s="561" t="s">
        <v>3762</v>
      </c>
      <c r="E702" s="561" t="s">
        <v>3425</v>
      </c>
      <c r="F702" s="735">
        <v>0</v>
      </c>
      <c r="G702" s="749">
        <v>1</v>
      </c>
      <c r="H702" s="749"/>
      <c r="I702" s="735">
        <v>214533.12</v>
      </c>
      <c r="J702" s="735">
        <v>3346.78</v>
      </c>
      <c r="K702" s="735">
        <v>217879.9</v>
      </c>
      <c r="L702" s="750">
        <v>217879.9</v>
      </c>
    </row>
    <row r="703" spans="1:12" ht="42" x14ac:dyDescent="0.25">
      <c r="A703" s="561" t="s">
        <v>87</v>
      </c>
      <c r="B703" s="749">
        <v>2023</v>
      </c>
      <c r="C703" s="561" t="s">
        <v>721</v>
      </c>
      <c r="D703" s="561" t="s">
        <v>3763</v>
      </c>
      <c r="E703" s="561" t="s">
        <v>737</v>
      </c>
      <c r="F703" s="735">
        <v>604968.30000000005</v>
      </c>
      <c r="G703" s="749">
        <v>0</v>
      </c>
      <c r="H703" s="749"/>
      <c r="I703" s="733"/>
      <c r="J703" s="733"/>
      <c r="K703" s="735">
        <v>0</v>
      </c>
      <c r="L703" s="750">
        <v>604968.30000000005</v>
      </c>
    </row>
    <row r="704" spans="1:12" x14ac:dyDescent="0.25">
      <c r="A704" s="561" t="s">
        <v>87</v>
      </c>
      <c r="B704" s="749">
        <v>2023</v>
      </c>
      <c r="C704" s="561" t="s">
        <v>738</v>
      </c>
      <c r="D704" s="561" t="s">
        <v>1261</v>
      </c>
      <c r="E704" s="561" t="s">
        <v>7</v>
      </c>
      <c r="F704" s="735">
        <v>0</v>
      </c>
      <c r="G704" s="749">
        <v>0</v>
      </c>
      <c r="H704" s="749"/>
      <c r="I704" s="733"/>
      <c r="J704" s="733"/>
      <c r="K704" s="735">
        <v>0</v>
      </c>
      <c r="L704" s="750">
        <v>0</v>
      </c>
    </row>
    <row r="705" spans="1:12" x14ac:dyDescent="0.25">
      <c r="A705" s="561" t="s">
        <v>433</v>
      </c>
      <c r="B705" s="749">
        <v>2023</v>
      </c>
      <c r="C705" s="561" t="s">
        <v>647</v>
      </c>
      <c r="D705" s="561" t="s">
        <v>3083</v>
      </c>
      <c r="E705" s="561" t="s">
        <v>649</v>
      </c>
      <c r="F705" s="735">
        <v>-422453.92</v>
      </c>
      <c r="G705" s="749">
        <v>0</v>
      </c>
      <c r="H705" s="749"/>
      <c r="I705" s="733"/>
      <c r="J705" s="733"/>
      <c r="K705" s="735">
        <v>0</v>
      </c>
      <c r="L705" s="750">
        <v>-422453.92</v>
      </c>
    </row>
    <row r="706" spans="1:12" ht="21" x14ac:dyDescent="0.25">
      <c r="A706" s="561" t="s">
        <v>433</v>
      </c>
      <c r="B706" s="749">
        <v>2023</v>
      </c>
      <c r="C706" s="561" t="s">
        <v>3691</v>
      </c>
      <c r="D706" s="561" t="s">
        <v>3632</v>
      </c>
      <c r="E706" s="561" t="s">
        <v>3675</v>
      </c>
      <c r="F706" s="735">
        <v>102765.54</v>
      </c>
      <c r="G706" s="749">
        <v>0</v>
      </c>
      <c r="H706" s="749"/>
      <c r="I706" s="733"/>
      <c r="J706" s="733"/>
      <c r="K706" s="735">
        <v>0</v>
      </c>
      <c r="L706" s="750">
        <v>102765.54</v>
      </c>
    </row>
    <row r="707" spans="1:12" x14ac:dyDescent="0.25">
      <c r="A707" s="561" t="s">
        <v>433</v>
      </c>
      <c r="B707" s="749">
        <v>2023</v>
      </c>
      <c r="C707" s="561" t="s">
        <v>651</v>
      </c>
      <c r="D707" s="561" t="s">
        <v>3084</v>
      </c>
      <c r="E707" s="561" t="s">
        <v>653</v>
      </c>
      <c r="F707" s="735">
        <v>0</v>
      </c>
      <c r="G707" s="749">
        <v>0</v>
      </c>
      <c r="H707" s="749"/>
      <c r="I707" s="733"/>
      <c r="J707" s="733"/>
      <c r="K707" s="735">
        <v>0</v>
      </c>
      <c r="L707" s="750">
        <v>0</v>
      </c>
    </row>
    <row r="708" spans="1:12" ht="31.5" x14ac:dyDescent="0.25">
      <c r="A708" s="561" t="s">
        <v>433</v>
      </c>
      <c r="B708" s="749">
        <v>2023</v>
      </c>
      <c r="C708" s="561" t="s">
        <v>654</v>
      </c>
      <c r="D708" s="561" t="s">
        <v>3085</v>
      </c>
      <c r="E708" s="561" t="s">
        <v>445</v>
      </c>
      <c r="F708" s="735">
        <v>-339288.31</v>
      </c>
      <c r="G708" s="749">
        <v>0</v>
      </c>
      <c r="H708" s="749"/>
      <c r="I708" s="733"/>
      <c r="J708" s="733"/>
      <c r="K708" s="735">
        <v>0</v>
      </c>
      <c r="L708" s="750">
        <v>-339288.31</v>
      </c>
    </row>
    <row r="709" spans="1:12" ht="21" x14ac:dyDescent="0.25">
      <c r="A709" s="561" t="s">
        <v>433</v>
      </c>
      <c r="B709" s="749">
        <v>2023</v>
      </c>
      <c r="C709" s="561" t="s">
        <v>656</v>
      </c>
      <c r="D709" s="561" t="s">
        <v>3086</v>
      </c>
      <c r="E709" s="561" t="s">
        <v>658</v>
      </c>
      <c r="F709" s="735">
        <v>0</v>
      </c>
      <c r="G709" s="749">
        <v>0</v>
      </c>
      <c r="H709" s="749"/>
      <c r="I709" s="733"/>
      <c r="J709" s="733"/>
      <c r="K709" s="735">
        <v>0</v>
      </c>
      <c r="L709" s="750">
        <v>0</v>
      </c>
    </row>
    <row r="710" spans="1:12" ht="21" x14ac:dyDescent="0.25">
      <c r="A710" s="561" t="s">
        <v>433</v>
      </c>
      <c r="B710" s="749">
        <v>2023</v>
      </c>
      <c r="C710" s="561" t="s">
        <v>659</v>
      </c>
      <c r="D710" s="561" t="s">
        <v>3087</v>
      </c>
      <c r="E710" s="561" t="s">
        <v>661</v>
      </c>
      <c r="F710" s="735">
        <v>0</v>
      </c>
      <c r="G710" s="749">
        <v>0</v>
      </c>
      <c r="H710" s="749"/>
      <c r="I710" s="733"/>
      <c r="J710" s="733"/>
      <c r="K710" s="735">
        <v>0</v>
      </c>
      <c r="L710" s="750">
        <v>0</v>
      </c>
    </row>
    <row r="711" spans="1:12" ht="21" x14ac:dyDescent="0.25">
      <c r="A711" s="561" t="s">
        <v>433</v>
      </c>
      <c r="B711" s="749">
        <v>2023</v>
      </c>
      <c r="C711" s="561" t="s">
        <v>662</v>
      </c>
      <c r="D711" s="561" t="s">
        <v>3088</v>
      </c>
      <c r="E711" s="561" t="s">
        <v>664</v>
      </c>
      <c r="F711" s="735">
        <v>0</v>
      </c>
      <c r="G711" s="749">
        <v>0</v>
      </c>
      <c r="H711" s="749"/>
      <c r="I711" s="733"/>
      <c r="J711" s="733"/>
      <c r="K711" s="735">
        <v>0</v>
      </c>
      <c r="L711" s="750">
        <v>0</v>
      </c>
    </row>
    <row r="712" spans="1:12" ht="31.5" x14ac:dyDescent="0.25">
      <c r="A712" s="561" t="s">
        <v>433</v>
      </c>
      <c r="B712" s="749">
        <v>2023</v>
      </c>
      <c r="C712" s="561" t="s">
        <v>665</v>
      </c>
      <c r="D712" s="561" t="s">
        <v>3089</v>
      </c>
      <c r="E712" s="561" t="s">
        <v>667</v>
      </c>
      <c r="F712" s="735">
        <v>0</v>
      </c>
      <c r="G712" s="749">
        <v>0</v>
      </c>
      <c r="H712" s="749"/>
      <c r="I712" s="733"/>
      <c r="J712" s="733"/>
      <c r="K712" s="735">
        <v>0</v>
      </c>
      <c r="L712" s="750">
        <v>0</v>
      </c>
    </row>
    <row r="713" spans="1:12" ht="21" x14ac:dyDescent="0.25">
      <c r="A713" s="561" t="s">
        <v>433</v>
      </c>
      <c r="B713" s="749">
        <v>2023</v>
      </c>
      <c r="C713" s="561" t="s">
        <v>668</v>
      </c>
      <c r="D713" s="561" t="s">
        <v>3090</v>
      </c>
      <c r="E713" s="561" t="s">
        <v>12</v>
      </c>
      <c r="F713" s="735">
        <v>0</v>
      </c>
      <c r="G713" s="749">
        <v>0</v>
      </c>
      <c r="H713" s="749"/>
      <c r="I713" s="733"/>
      <c r="J713" s="733"/>
      <c r="K713" s="735">
        <v>0</v>
      </c>
      <c r="L713" s="750">
        <v>0</v>
      </c>
    </row>
    <row r="714" spans="1:12" ht="21" x14ac:dyDescent="0.25">
      <c r="A714" s="561" t="s">
        <v>433</v>
      </c>
      <c r="B714" s="749">
        <v>2023</v>
      </c>
      <c r="C714" s="561" t="s">
        <v>670</v>
      </c>
      <c r="D714" s="561" t="s">
        <v>3091</v>
      </c>
      <c r="E714" s="561" t="s">
        <v>13</v>
      </c>
      <c r="F714" s="735">
        <v>0</v>
      </c>
      <c r="G714" s="749">
        <v>0</v>
      </c>
      <c r="H714" s="749"/>
      <c r="I714" s="733"/>
      <c r="J714" s="733"/>
      <c r="K714" s="735">
        <v>0</v>
      </c>
      <c r="L714" s="750">
        <v>0</v>
      </c>
    </row>
    <row r="715" spans="1:12" ht="21" x14ac:dyDescent="0.25">
      <c r="A715" s="561" t="s">
        <v>433</v>
      </c>
      <c r="B715" s="749">
        <v>2023</v>
      </c>
      <c r="C715" s="561" t="s">
        <v>672</v>
      </c>
      <c r="D715" s="561" t="s">
        <v>3092</v>
      </c>
      <c r="E715" s="561" t="s">
        <v>15</v>
      </c>
      <c r="F715" s="735">
        <v>0</v>
      </c>
      <c r="G715" s="749">
        <v>0</v>
      </c>
      <c r="H715" s="749"/>
      <c r="I715" s="733"/>
      <c r="J715" s="733"/>
      <c r="K715" s="735">
        <v>0</v>
      </c>
      <c r="L715" s="750">
        <v>0</v>
      </c>
    </row>
    <row r="716" spans="1:12" x14ac:dyDescent="0.25">
      <c r="A716" s="561" t="s">
        <v>433</v>
      </c>
      <c r="B716" s="749">
        <v>2023</v>
      </c>
      <c r="C716" s="561" t="s">
        <v>674</v>
      </c>
      <c r="D716" s="561" t="s">
        <v>3093</v>
      </c>
      <c r="E716" s="561" t="s">
        <v>676</v>
      </c>
      <c r="F716" s="735">
        <v>0</v>
      </c>
      <c r="G716" s="749">
        <v>0</v>
      </c>
      <c r="H716" s="749"/>
      <c r="I716" s="733"/>
      <c r="J716" s="733"/>
      <c r="K716" s="735">
        <v>0</v>
      </c>
      <c r="L716" s="750">
        <v>0</v>
      </c>
    </row>
    <row r="717" spans="1:12" x14ac:dyDescent="0.25">
      <c r="A717" s="561" t="s">
        <v>433</v>
      </c>
      <c r="B717" s="749">
        <v>2023</v>
      </c>
      <c r="C717" s="561" t="s">
        <v>677</v>
      </c>
      <c r="D717" s="561" t="s">
        <v>3094</v>
      </c>
      <c r="E717" s="561" t="s">
        <v>23</v>
      </c>
      <c r="F717" s="735">
        <v>0</v>
      </c>
      <c r="G717" s="749">
        <v>1</v>
      </c>
      <c r="H717" s="749"/>
      <c r="I717" s="733"/>
      <c r="J717" s="733"/>
      <c r="K717" s="735">
        <v>0</v>
      </c>
      <c r="L717" s="750">
        <v>0</v>
      </c>
    </row>
    <row r="718" spans="1:12" ht="21" x14ac:dyDescent="0.25">
      <c r="A718" s="561" t="s">
        <v>433</v>
      </c>
      <c r="B718" s="749">
        <v>2023</v>
      </c>
      <c r="C718" s="561" t="s">
        <v>679</v>
      </c>
      <c r="D718" s="561" t="s">
        <v>3095</v>
      </c>
      <c r="E718" s="561" t="s">
        <v>131</v>
      </c>
      <c r="F718" s="735">
        <v>-304898.76</v>
      </c>
      <c r="G718" s="749">
        <v>1</v>
      </c>
      <c r="H718" s="749"/>
      <c r="I718" s="735">
        <v>-302060.23</v>
      </c>
      <c r="J718" s="735">
        <v>-2838.53</v>
      </c>
      <c r="K718" s="735">
        <v>-304898.76</v>
      </c>
      <c r="L718" s="750">
        <v>-304898.76</v>
      </c>
    </row>
    <row r="719" spans="1:12" ht="31.5" x14ac:dyDescent="0.25">
      <c r="A719" s="561" t="s">
        <v>433</v>
      </c>
      <c r="B719" s="749">
        <v>2023</v>
      </c>
      <c r="C719" s="561" t="s">
        <v>681</v>
      </c>
      <c r="D719" s="561" t="s">
        <v>3096</v>
      </c>
      <c r="E719" s="561" t="s">
        <v>683</v>
      </c>
      <c r="F719" s="735">
        <v>21708.880000000001</v>
      </c>
      <c r="G719" s="749">
        <v>0</v>
      </c>
      <c r="H719" s="749"/>
      <c r="I719" s="733"/>
      <c r="J719" s="733"/>
      <c r="K719" s="735">
        <v>0</v>
      </c>
      <c r="L719" s="750">
        <v>21708.880000000001</v>
      </c>
    </row>
    <row r="720" spans="1:12" ht="21" x14ac:dyDescent="0.25">
      <c r="A720" s="561" t="s">
        <v>433</v>
      </c>
      <c r="B720" s="749">
        <v>2023</v>
      </c>
      <c r="C720" s="561" t="s">
        <v>681</v>
      </c>
      <c r="D720" s="561" t="s">
        <v>3096</v>
      </c>
      <c r="E720" s="561" t="s">
        <v>684</v>
      </c>
      <c r="F720" s="735">
        <v>0</v>
      </c>
      <c r="G720" s="749">
        <v>0</v>
      </c>
      <c r="H720" s="749"/>
      <c r="I720" s="733"/>
      <c r="J720" s="733"/>
      <c r="K720" s="735">
        <v>0</v>
      </c>
      <c r="L720" s="751">
        <v>21708.880000000001</v>
      </c>
    </row>
    <row r="721" spans="1:12" x14ac:dyDescent="0.25">
      <c r="A721" s="561" t="s">
        <v>433</v>
      </c>
      <c r="B721" s="749">
        <v>2023</v>
      </c>
      <c r="C721" s="561" t="s">
        <v>685</v>
      </c>
      <c r="D721" s="561" t="s">
        <v>3097</v>
      </c>
      <c r="E721" s="561" t="s">
        <v>687</v>
      </c>
      <c r="F721" s="735">
        <v>1202120.3</v>
      </c>
      <c r="G721" s="749">
        <v>0</v>
      </c>
      <c r="H721" s="749"/>
      <c r="I721" s="733"/>
      <c r="J721" s="733"/>
      <c r="K721" s="735">
        <v>0</v>
      </c>
      <c r="L721" s="750">
        <v>1202120.3</v>
      </c>
    </row>
    <row r="722" spans="1:12" x14ac:dyDescent="0.25">
      <c r="A722" s="561" t="s">
        <v>433</v>
      </c>
      <c r="B722" s="749">
        <v>2023</v>
      </c>
      <c r="C722" s="561" t="s">
        <v>688</v>
      </c>
      <c r="D722" s="561" t="s">
        <v>3098</v>
      </c>
      <c r="E722" s="561" t="s">
        <v>50</v>
      </c>
      <c r="F722" s="735">
        <v>-14824.98</v>
      </c>
      <c r="G722" s="749">
        <v>0</v>
      </c>
      <c r="H722" s="749"/>
      <c r="I722" s="733"/>
      <c r="J722" s="733"/>
      <c r="K722" s="735">
        <v>0</v>
      </c>
      <c r="L722" s="750">
        <v>-14824.98</v>
      </c>
    </row>
    <row r="723" spans="1:12" x14ac:dyDescent="0.25">
      <c r="A723" s="561" t="s">
        <v>433</v>
      </c>
      <c r="B723" s="749">
        <v>2023</v>
      </c>
      <c r="C723" s="561" t="s">
        <v>690</v>
      </c>
      <c r="D723" s="561" t="s">
        <v>3099</v>
      </c>
      <c r="E723" s="561" t="s">
        <v>692</v>
      </c>
      <c r="F723" s="735">
        <v>0</v>
      </c>
      <c r="G723" s="749">
        <v>0</v>
      </c>
      <c r="H723" s="749"/>
      <c r="I723" s="733"/>
      <c r="J723" s="733"/>
      <c r="K723" s="735">
        <v>0</v>
      </c>
      <c r="L723" s="750">
        <v>0</v>
      </c>
    </row>
    <row r="724" spans="1:12" ht="21" x14ac:dyDescent="0.25">
      <c r="A724" s="561" t="s">
        <v>433</v>
      </c>
      <c r="B724" s="749">
        <v>2023</v>
      </c>
      <c r="C724" s="561" t="s">
        <v>693</v>
      </c>
      <c r="D724" s="561" t="s">
        <v>3100</v>
      </c>
      <c r="E724" s="561" t="s">
        <v>6</v>
      </c>
      <c r="F724" s="735">
        <v>0</v>
      </c>
      <c r="G724" s="749">
        <v>0</v>
      </c>
      <c r="H724" s="749"/>
      <c r="I724" s="733"/>
      <c r="J724" s="733"/>
      <c r="K724" s="735">
        <v>0</v>
      </c>
      <c r="L724" s="750">
        <v>0</v>
      </c>
    </row>
    <row r="725" spans="1:12" ht="21" x14ac:dyDescent="0.25">
      <c r="A725" s="561" t="s">
        <v>433</v>
      </c>
      <c r="B725" s="749">
        <v>2023</v>
      </c>
      <c r="C725" s="561" t="s">
        <v>695</v>
      </c>
      <c r="D725" s="561" t="s">
        <v>3101</v>
      </c>
      <c r="E725" s="561" t="s">
        <v>697</v>
      </c>
      <c r="F725" s="735">
        <v>-10819984.34</v>
      </c>
      <c r="G725" s="749">
        <v>0</v>
      </c>
      <c r="H725" s="749"/>
      <c r="I725" s="733"/>
      <c r="J725" s="733"/>
      <c r="K725" s="735">
        <v>0</v>
      </c>
      <c r="L725" s="750">
        <v>-10819984.34</v>
      </c>
    </row>
    <row r="726" spans="1:12" x14ac:dyDescent="0.25">
      <c r="A726" s="561" t="s">
        <v>433</v>
      </c>
      <c r="B726" s="749">
        <v>2023</v>
      </c>
      <c r="C726" s="561" t="s">
        <v>698</v>
      </c>
      <c r="D726" s="561" t="s">
        <v>3102</v>
      </c>
      <c r="E726" s="561" t="s">
        <v>700</v>
      </c>
      <c r="F726" s="735">
        <v>0</v>
      </c>
      <c r="G726" s="749">
        <v>0</v>
      </c>
      <c r="H726" s="749"/>
      <c r="I726" s="733"/>
      <c r="J726" s="733"/>
      <c r="K726" s="735">
        <v>0</v>
      </c>
      <c r="L726" s="750">
        <v>0</v>
      </c>
    </row>
    <row r="727" spans="1:12" ht="21" x14ac:dyDescent="0.25">
      <c r="A727" s="561" t="s">
        <v>433</v>
      </c>
      <c r="B727" s="749">
        <v>2023</v>
      </c>
      <c r="C727" s="561" t="s">
        <v>701</v>
      </c>
      <c r="D727" s="561" t="s">
        <v>3103</v>
      </c>
      <c r="E727" s="561" t="s">
        <v>1</v>
      </c>
      <c r="F727" s="735">
        <v>5787769.2999999998</v>
      </c>
      <c r="G727" s="749">
        <v>1</v>
      </c>
      <c r="H727" s="749"/>
      <c r="I727" s="735">
        <v>5693894.1699999999</v>
      </c>
      <c r="J727" s="735">
        <v>93875.13</v>
      </c>
      <c r="K727" s="735">
        <v>5787769.2999999998</v>
      </c>
      <c r="L727" s="750">
        <v>5787769.2999999998</v>
      </c>
    </row>
    <row r="728" spans="1:12" ht="21" x14ac:dyDescent="0.25">
      <c r="A728" s="561" t="s">
        <v>433</v>
      </c>
      <c r="B728" s="749">
        <v>2023</v>
      </c>
      <c r="C728" s="561" t="s">
        <v>701</v>
      </c>
      <c r="D728" s="561" t="s">
        <v>3103</v>
      </c>
      <c r="E728" s="561" t="s">
        <v>703</v>
      </c>
      <c r="F728" s="735">
        <v>0</v>
      </c>
      <c r="G728" s="749">
        <v>0</v>
      </c>
      <c r="H728" s="749"/>
      <c r="I728" s="733"/>
      <c r="J728" s="733"/>
      <c r="K728" s="735">
        <v>0</v>
      </c>
      <c r="L728" s="751">
        <v>0</v>
      </c>
    </row>
    <row r="729" spans="1:12" ht="21" x14ac:dyDescent="0.25">
      <c r="A729" s="561" t="s">
        <v>433</v>
      </c>
      <c r="B729" s="749">
        <v>2023</v>
      </c>
      <c r="C729" s="561" t="s">
        <v>701</v>
      </c>
      <c r="D729" s="561" t="s">
        <v>3103</v>
      </c>
      <c r="E729" s="561" t="s">
        <v>704</v>
      </c>
      <c r="F729" s="735">
        <v>0</v>
      </c>
      <c r="G729" s="749">
        <v>0</v>
      </c>
      <c r="H729" s="749"/>
      <c r="I729" s="733"/>
      <c r="J729" s="733"/>
      <c r="K729" s="735">
        <v>0</v>
      </c>
      <c r="L729" s="751">
        <v>0</v>
      </c>
    </row>
    <row r="730" spans="1:12" ht="21" x14ac:dyDescent="0.25">
      <c r="A730" s="561" t="s">
        <v>433</v>
      </c>
      <c r="B730" s="749">
        <v>2023</v>
      </c>
      <c r="C730" s="561" t="s">
        <v>701</v>
      </c>
      <c r="D730" s="561" t="s">
        <v>3103</v>
      </c>
      <c r="E730" s="561" t="s">
        <v>705</v>
      </c>
      <c r="F730" s="735">
        <v>0</v>
      </c>
      <c r="G730" s="749">
        <v>0</v>
      </c>
      <c r="H730" s="749"/>
      <c r="I730" s="733"/>
      <c r="J730" s="733"/>
      <c r="K730" s="735">
        <v>0</v>
      </c>
      <c r="L730" s="751">
        <v>-7400.07</v>
      </c>
    </row>
    <row r="731" spans="1:12" ht="21" x14ac:dyDescent="0.25">
      <c r="A731" s="561" t="s">
        <v>433</v>
      </c>
      <c r="B731" s="749">
        <v>2023</v>
      </c>
      <c r="C731" s="561" t="s">
        <v>701</v>
      </c>
      <c r="D731" s="561" t="s">
        <v>3103</v>
      </c>
      <c r="E731" s="561" t="s">
        <v>706</v>
      </c>
      <c r="F731" s="735">
        <v>0</v>
      </c>
      <c r="G731" s="749">
        <v>0</v>
      </c>
      <c r="H731" s="749"/>
      <c r="I731" s="733"/>
      <c r="J731" s="733"/>
      <c r="K731" s="735">
        <v>0</v>
      </c>
      <c r="L731" s="751">
        <v>-338264.28</v>
      </c>
    </row>
    <row r="732" spans="1:12" x14ac:dyDescent="0.25">
      <c r="A732" s="561" t="s">
        <v>433</v>
      </c>
      <c r="B732" s="749">
        <v>2023</v>
      </c>
      <c r="C732" s="561" t="s">
        <v>707</v>
      </c>
      <c r="D732" s="561" t="s">
        <v>3104</v>
      </c>
      <c r="E732" s="561" t="s">
        <v>709</v>
      </c>
      <c r="F732" s="735">
        <v>0</v>
      </c>
      <c r="G732" s="749">
        <v>0</v>
      </c>
      <c r="H732" s="749"/>
      <c r="I732" s="733"/>
      <c r="J732" s="733"/>
      <c r="K732" s="735">
        <v>0</v>
      </c>
      <c r="L732" s="750">
        <v>0</v>
      </c>
    </row>
    <row r="733" spans="1:12" ht="21" x14ac:dyDescent="0.25">
      <c r="A733" s="561" t="s">
        <v>433</v>
      </c>
      <c r="B733" s="749">
        <v>2023</v>
      </c>
      <c r="C733" s="561" t="s">
        <v>710</v>
      </c>
      <c r="D733" s="561" t="s">
        <v>3105</v>
      </c>
      <c r="E733" s="561" t="s">
        <v>2</v>
      </c>
      <c r="F733" s="735">
        <v>6071184.5</v>
      </c>
      <c r="G733" s="749">
        <v>1</v>
      </c>
      <c r="H733" s="749"/>
      <c r="I733" s="735">
        <v>5957900.4800000004</v>
      </c>
      <c r="J733" s="735">
        <v>113284.02</v>
      </c>
      <c r="K733" s="735">
        <v>6071184.5</v>
      </c>
      <c r="L733" s="750">
        <v>6071184.5</v>
      </c>
    </row>
    <row r="734" spans="1:12" ht="21" x14ac:dyDescent="0.25">
      <c r="A734" s="561" t="s">
        <v>433</v>
      </c>
      <c r="B734" s="749">
        <v>2023</v>
      </c>
      <c r="C734" s="561" t="s">
        <v>712</v>
      </c>
      <c r="D734" s="561" t="s">
        <v>3106</v>
      </c>
      <c r="E734" s="561" t="s">
        <v>3</v>
      </c>
      <c r="F734" s="735">
        <v>1396892.29</v>
      </c>
      <c r="G734" s="749">
        <v>1</v>
      </c>
      <c r="H734" s="749"/>
      <c r="I734" s="735">
        <v>1375988.16</v>
      </c>
      <c r="J734" s="735">
        <v>20904.13</v>
      </c>
      <c r="K734" s="735">
        <v>1396892.29</v>
      </c>
      <c r="L734" s="750">
        <v>1396892.29</v>
      </c>
    </row>
    <row r="735" spans="1:12" ht="21" x14ac:dyDescent="0.25">
      <c r="A735" s="561" t="s">
        <v>433</v>
      </c>
      <c r="B735" s="749">
        <v>2023</v>
      </c>
      <c r="C735" s="561" t="s">
        <v>714</v>
      </c>
      <c r="D735" s="561" t="s">
        <v>3107</v>
      </c>
      <c r="E735" s="561" t="s">
        <v>38</v>
      </c>
      <c r="F735" s="735">
        <v>309594.46999999997</v>
      </c>
      <c r="G735" s="749">
        <v>1</v>
      </c>
      <c r="H735" s="749"/>
      <c r="I735" s="735">
        <v>305850.73</v>
      </c>
      <c r="J735" s="735">
        <v>3743.74</v>
      </c>
      <c r="K735" s="735">
        <v>309594.46999999997</v>
      </c>
      <c r="L735" s="750">
        <v>309594.46999999997</v>
      </c>
    </row>
    <row r="736" spans="1:12" x14ac:dyDescent="0.25">
      <c r="A736" s="561" t="s">
        <v>433</v>
      </c>
      <c r="B736" s="749">
        <v>2023</v>
      </c>
      <c r="C736" s="561" t="s">
        <v>716</v>
      </c>
      <c r="D736" s="561" t="s">
        <v>3108</v>
      </c>
      <c r="E736" s="561" t="s">
        <v>66</v>
      </c>
      <c r="F736" s="735">
        <v>-2487261.4900000002</v>
      </c>
      <c r="G736" s="749">
        <v>1</v>
      </c>
      <c r="H736" s="749"/>
      <c r="I736" s="735">
        <v>-2441563.87</v>
      </c>
      <c r="J736" s="735">
        <v>-45697.62</v>
      </c>
      <c r="K736" s="735">
        <v>-2487261.4900000002</v>
      </c>
      <c r="L736" s="750">
        <v>-2487261.4900000002</v>
      </c>
    </row>
    <row r="737" spans="1:12" ht="21" x14ac:dyDescent="0.25">
      <c r="A737" s="561" t="s">
        <v>433</v>
      </c>
      <c r="B737" s="749">
        <v>2023</v>
      </c>
      <c r="C737" s="561" t="s">
        <v>718</v>
      </c>
      <c r="D737" s="561" t="s">
        <v>3109</v>
      </c>
      <c r="E737" s="561" t="s">
        <v>720</v>
      </c>
      <c r="F737" s="735">
        <v>-459702.47</v>
      </c>
      <c r="G737" s="749">
        <v>0</v>
      </c>
      <c r="H737" s="749"/>
      <c r="I737" s="733"/>
      <c r="J737" s="733"/>
      <c r="K737" s="735">
        <v>0</v>
      </c>
      <c r="L737" s="750">
        <v>-459702.47</v>
      </c>
    </row>
    <row r="738" spans="1:12" ht="31.5" x14ac:dyDescent="0.25">
      <c r="A738" s="561" t="s">
        <v>433</v>
      </c>
      <c r="B738" s="749">
        <v>2023</v>
      </c>
      <c r="C738" s="561" t="s">
        <v>721</v>
      </c>
      <c r="D738" s="561" t="s">
        <v>3111</v>
      </c>
      <c r="E738" s="561" t="s">
        <v>724</v>
      </c>
      <c r="F738" s="735">
        <v>0</v>
      </c>
      <c r="G738" s="749">
        <v>1</v>
      </c>
      <c r="H738" s="749"/>
      <c r="I738" s="733"/>
      <c r="J738" s="733"/>
      <c r="K738" s="735">
        <v>0</v>
      </c>
      <c r="L738" s="750">
        <v>0</v>
      </c>
    </row>
    <row r="739" spans="1:12" ht="31.5" x14ac:dyDescent="0.25">
      <c r="A739" s="561" t="s">
        <v>433</v>
      </c>
      <c r="B739" s="749">
        <v>2023</v>
      </c>
      <c r="C739" s="561" t="s">
        <v>721</v>
      </c>
      <c r="D739" s="561" t="s">
        <v>3112</v>
      </c>
      <c r="E739" s="561" t="s">
        <v>55</v>
      </c>
      <c r="F739" s="735">
        <v>0</v>
      </c>
      <c r="G739" s="749">
        <v>1</v>
      </c>
      <c r="H739" s="749"/>
      <c r="I739" s="733"/>
      <c r="J739" s="733"/>
      <c r="K739" s="735">
        <v>0</v>
      </c>
      <c r="L739" s="750">
        <v>0</v>
      </c>
    </row>
    <row r="740" spans="1:12" ht="31.5" x14ac:dyDescent="0.25">
      <c r="A740" s="561" t="s">
        <v>433</v>
      </c>
      <c r="B740" s="749">
        <v>2023</v>
      </c>
      <c r="C740" s="561" t="s">
        <v>721</v>
      </c>
      <c r="D740" s="561" t="s">
        <v>3113</v>
      </c>
      <c r="E740" s="561" t="s">
        <v>56</v>
      </c>
      <c r="F740" s="735">
        <v>0</v>
      </c>
      <c r="G740" s="749">
        <v>1</v>
      </c>
      <c r="H740" s="749"/>
      <c r="I740" s="733"/>
      <c r="J740" s="733"/>
      <c r="K740" s="735">
        <v>0</v>
      </c>
      <c r="L740" s="750">
        <v>0</v>
      </c>
    </row>
    <row r="741" spans="1:12" ht="31.5" x14ac:dyDescent="0.25">
      <c r="A741" s="561" t="s">
        <v>433</v>
      </c>
      <c r="B741" s="749">
        <v>2023</v>
      </c>
      <c r="C741" s="561" t="s">
        <v>721</v>
      </c>
      <c r="D741" s="561" t="s">
        <v>3114</v>
      </c>
      <c r="E741" s="561" t="s">
        <v>728</v>
      </c>
      <c r="F741" s="735">
        <v>0</v>
      </c>
      <c r="G741" s="749">
        <v>1</v>
      </c>
      <c r="H741" s="749"/>
      <c r="I741" s="733"/>
      <c r="J741" s="733"/>
      <c r="K741" s="735">
        <v>0</v>
      </c>
      <c r="L741" s="750">
        <v>0</v>
      </c>
    </row>
    <row r="742" spans="1:12" ht="31.5" x14ac:dyDescent="0.25">
      <c r="A742" s="561" t="s">
        <v>433</v>
      </c>
      <c r="B742" s="749">
        <v>2023</v>
      </c>
      <c r="C742" s="561" t="s">
        <v>721</v>
      </c>
      <c r="D742" s="561" t="s">
        <v>3115</v>
      </c>
      <c r="E742" s="561" t="s">
        <v>730</v>
      </c>
      <c r="F742" s="735">
        <v>0</v>
      </c>
      <c r="G742" s="749">
        <v>1</v>
      </c>
      <c r="H742" s="749"/>
      <c r="I742" s="733"/>
      <c r="J742" s="733"/>
      <c r="K742" s="735">
        <v>0</v>
      </c>
      <c r="L742" s="750">
        <v>0</v>
      </c>
    </row>
    <row r="743" spans="1:12" ht="31.5" x14ac:dyDescent="0.25">
      <c r="A743" s="561" t="s">
        <v>433</v>
      </c>
      <c r="B743" s="749">
        <v>2023</v>
      </c>
      <c r="C743" s="561" t="s">
        <v>721</v>
      </c>
      <c r="D743" s="561" t="s">
        <v>3116</v>
      </c>
      <c r="E743" s="561" t="s">
        <v>142</v>
      </c>
      <c r="F743" s="735">
        <v>0</v>
      </c>
      <c r="G743" s="749">
        <v>1</v>
      </c>
      <c r="H743" s="749"/>
      <c r="I743" s="733"/>
      <c r="J743" s="733"/>
      <c r="K743" s="735">
        <v>0</v>
      </c>
      <c r="L743" s="750">
        <v>0</v>
      </c>
    </row>
    <row r="744" spans="1:12" ht="31.5" x14ac:dyDescent="0.25">
      <c r="A744" s="561" t="s">
        <v>433</v>
      </c>
      <c r="B744" s="749">
        <v>2023</v>
      </c>
      <c r="C744" s="561" t="s">
        <v>721</v>
      </c>
      <c r="D744" s="561" t="s">
        <v>3117</v>
      </c>
      <c r="E744" s="561" t="s">
        <v>143</v>
      </c>
      <c r="F744" s="735">
        <v>0</v>
      </c>
      <c r="G744" s="749">
        <v>1</v>
      </c>
      <c r="H744" s="749"/>
      <c r="I744" s="733"/>
      <c r="J744" s="733"/>
      <c r="K744" s="735">
        <v>0</v>
      </c>
      <c r="L744" s="750">
        <v>0</v>
      </c>
    </row>
    <row r="745" spans="1:12" ht="31.5" x14ac:dyDescent="0.25">
      <c r="A745" s="561" t="s">
        <v>433</v>
      </c>
      <c r="B745" s="749">
        <v>2023</v>
      </c>
      <c r="C745" s="561" t="s">
        <v>721</v>
      </c>
      <c r="D745" s="561" t="s">
        <v>3118</v>
      </c>
      <c r="E745" s="561" t="s">
        <v>182</v>
      </c>
      <c r="F745" s="735">
        <v>0</v>
      </c>
      <c r="G745" s="749">
        <v>1</v>
      </c>
      <c r="H745" s="749"/>
      <c r="I745" s="733"/>
      <c r="J745" s="733"/>
      <c r="K745" s="735">
        <v>0</v>
      </c>
      <c r="L745" s="750">
        <v>0</v>
      </c>
    </row>
    <row r="746" spans="1:12" ht="31.5" x14ac:dyDescent="0.25">
      <c r="A746" s="561" t="s">
        <v>433</v>
      </c>
      <c r="B746" s="749">
        <v>2023</v>
      </c>
      <c r="C746" s="561" t="s">
        <v>721</v>
      </c>
      <c r="D746" s="561" t="s">
        <v>3119</v>
      </c>
      <c r="E746" s="561" t="s">
        <v>394</v>
      </c>
      <c r="F746" s="735">
        <v>0</v>
      </c>
      <c r="G746" s="749">
        <v>1</v>
      </c>
      <c r="H746" s="749"/>
      <c r="I746" s="733"/>
      <c r="J746" s="733"/>
      <c r="K746" s="735">
        <v>0</v>
      </c>
      <c r="L746" s="750">
        <v>0</v>
      </c>
    </row>
    <row r="747" spans="1:12" ht="31.5" x14ac:dyDescent="0.25">
      <c r="A747" s="561" t="s">
        <v>433</v>
      </c>
      <c r="B747" s="749">
        <v>2023</v>
      </c>
      <c r="C747" s="561" t="s">
        <v>721</v>
      </c>
      <c r="D747" s="561" t="s">
        <v>3120</v>
      </c>
      <c r="E747" s="561" t="s">
        <v>423</v>
      </c>
      <c r="F747" s="735">
        <v>0</v>
      </c>
      <c r="G747" s="749">
        <v>1</v>
      </c>
      <c r="H747" s="749"/>
      <c r="I747" s="733"/>
      <c r="J747" s="733"/>
      <c r="K747" s="735">
        <v>0</v>
      </c>
      <c r="L747" s="750">
        <v>0</v>
      </c>
    </row>
    <row r="748" spans="1:12" ht="31.5" x14ac:dyDescent="0.25">
      <c r="A748" s="561" t="s">
        <v>433</v>
      </c>
      <c r="B748" s="749">
        <v>2023</v>
      </c>
      <c r="C748" s="561" t="s">
        <v>721</v>
      </c>
      <c r="D748" s="561" t="s">
        <v>3121</v>
      </c>
      <c r="E748" s="561" t="s">
        <v>441</v>
      </c>
      <c r="F748" s="735">
        <v>0</v>
      </c>
      <c r="G748" s="749">
        <v>1</v>
      </c>
      <c r="H748" s="749"/>
      <c r="I748" s="735">
        <v>-94843.61</v>
      </c>
      <c r="J748" s="735">
        <v>46477.24</v>
      </c>
      <c r="K748" s="735">
        <v>-48366.37</v>
      </c>
      <c r="L748" s="750">
        <v>-48366.37</v>
      </c>
    </row>
    <row r="749" spans="1:12" ht="31.5" x14ac:dyDescent="0.25">
      <c r="A749" s="561" t="s">
        <v>433</v>
      </c>
      <c r="B749" s="749">
        <v>2023</v>
      </c>
      <c r="C749" s="561" t="s">
        <v>721</v>
      </c>
      <c r="D749" s="561" t="s">
        <v>3495</v>
      </c>
      <c r="E749" s="561" t="s">
        <v>3016</v>
      </c>
      <c r="F749" s="735">
        <v>0</v>
      </c>
      <c r="G749" s="749">
        <v>1</v>
      </c>
      <c r="H749" s="749"/>
      <c r="I749" s="733"/>
      <c r="J749" s="735">
        <v>4543.2299999999996</v>
      </c>
      <c r="K749" s="735">
        <v>4543.2299999999996</v>
      </c>
      <c r="L749" s="750">
        <v>4543.2299999999996</v>
      </c>
    </row>
    <row r="750" spans="1:12" ht="31.5" x14ac:dyDescent="0.25">
      <c r="A750" s="561" t="s">
        <v>433</v>
      </c>
      <c r="B750" s="749">
        <v>2023</v>
      </c>
      <c r="C750" s="561" t="s">
        <v>721</v>
      </c>
      <c r="D750" s="561" t="s">
        <v>3496</v>
      </c>
      <c r="E750" s="561" t="s">
        <v>3058</v>
      </c>
      <c r="F750" s="735">
        <v>0</v>
      </c>
      <c r="G750" s="749">
        <v>1</v>
      </c>
      <c r="H750" s="749"/>
      <c r="I750" s="735">
        <v>130175.7</v>
      </c>
      <c r="J750" s="735">
        <v>-480203.89</v>
      </c>
      <c r="K750" s="735">
        <v>-350028.19</v>
      </c>
      <c r="L750" s="750">
        <v>-350028.19</v>
      </c>
    </row>
    <row r="751" spans="1:12" ht="31.5" x14ac:dyDescent="0.25">
      <c r="A751" s="561" t="s">
        <v>433</v>
      </c>
      <c r="B751" s="749">
        <v>2023</v>
      </c>
      <c r="C751" s="561" t="s">
        <v>721</v>
      </c>
      <c r="D751" s="561" t="s">
        <v>3497</v>
      </c>
      <c r="E751" s="561" t="s">
        <v>3063</v>
      </c>
      <c r="F751" s="735">
        <v>0</v>
      </c>
      <c r="G751" s="749">
        <v>1</v>
      </c>
      <c r="H751" s="749"/>
      <c r="I751" s="735">
        <v>-17742.419999999998</v>
      </c>
      <c r="J751" s="735">
        <v>57089.39</v>
      </c>
      <c r="K751" s="735">
        <v>39346.97</v>
      </c>
      <c r="L751" s="750">
        <v>39346.97</v>
      </c>
    </row>
    <row r="752" spans="1:12" ht="31.5" x14ac:dyDescent="0.25">
      <c r="A752" s="561" t="s">
        <v>433</v>
      </c>
      <c r="B752" s="749">
        <v>2023</v>
      </c>
      <c r="C752" s="561" t="s">
        <v>721</v>
      </c>
      <c r="D752" s="561" t="s">
        <v>3764</v>
      </c>
      <c r="E752" s="561" t="s">
        <v>3425</v>
      </c>
      <c r="F752" s="735">
        <v>0</v>
      </c>
      <c r="G752" s="749">
        <v>1</v>
      </c>
      <c r="H752" s="749"/>
      <c r="I752" s="735">
        <v>-28247.87</v>
      </c>
      <c r="J752" s="735">
        <v>-28393.05</v>
      </c>
      <c r="K752" s="735">
        <v>-56640.92</v>
      </c>
      <c r="L752" s="750">
        <v>-56640.92</v>
      </c>
    </row>
    <row r="753" spans="1:12" ht="42" x14ac:dyDescent="0.25">
      <c r="A753" s="561" t="s">
        <v>433</v>
      </c>
      <c r="B753" s="749">
        <v>2023</v>
      </c>
      <c r="C753" s="561" t="s">
        <v>721</v>
      </c>
      <c r="D753" s="561" t="s">
        <v>3765</v>
      </c>
      <c r="E753" s="561" t="s">
        <v>737</v>
      </c>
      <c r="F753" s="735">
        <v>-411145.28</v>
      </c>
      <c r="G753" s="749">
        <v>0</v>
      </c>
      <c r="H753" s="749"/>
      <c r="I753" s="733"/>
      <c r="J753" s="733"/>
      <c r="K753" s="735">
        <v>0</v>
      </c>
      <c r="L753" s="750">
        <v>-411145.28</v>
      </c>
    </row>
    <row r="754" spans="1:12" x14ac:dyDescent="0.25">
      <c r="A754" s="561" t="s">
        <v>433</v>
      </c>
      <c r="B754" s="749">
        <v>2023</v>
      </c>
      <c r="C754" s="561" t="s">
        <v>738</v>
      </c>
      <c r="D754" s="561" t="s">
        <v>3123</v>
      </c>
      <c r="E754" s="561" t="s">
        <v>7</v>
      </c>
      <c r="F754" s="735">
        <v>0</v>
      </c>
      <c r="G754" s="749">
        <v>0</v>
      </c>
      <c r="H754" s="749"/>
      <c r="I754" s="733"/>
      <c r="J754" s="733"/>
      <c r="K754" s="735">
        <v>0</v>
      </c>
      <c r="L754" s="750">
        <v>0</v>
      </c>
    </row>
    <row r="755" spans="1:12" x14ac:dyDescent="0.25">
      <c r="A755" s="561" t="s">
        <v>434</v>
      </c>
      <c r="B755" s="749">
        <v>2023</v>
      </c>
      <c r="C755" s="561" t="s">
        <v>647</v>
      </c>
      <c r="D755" s="561" t="s">
        <v>1142</v>
      </c>
      <c r="E755" s="561" t="s">
        <v>649</v>
      </c>
      <c r="F755" s="735">
        <v>515217.22</v>
      </c>
      <c r="G755" s="749">
        <v>0</v>
      </c>
      <c r="H755" s="749"/>
      <c r="I755" s="733"/>
      <c r="J755" s="733"/>
      <c r="K755" s="735">
        <v>0</v>
      </c>
      <c r="L755" s="750">
        <v>515217.22</v>
      </c>
    </row>
    <row r="756" spans="1:12" ht="21" x14ac:dyDescent="0.25">
      <c r="A756" s="561" t="s">
        <v>434</v>
      </c>
      <c r="B756" s="749">
        <v>2023</v>
      </c>
      <c r="C756" s="561" t="s">
        <v>3691</v>
      </c>
      <c r="D756" s="561" t="s">
        <v>3633</v>
      </c>
      <c r="E756" s="561" t="s">
        <v>3675</v>
      </c>
      <c r="F756" s="735">
        <v>4480</v>
      </c>
      <c r="G756" s="749">
        <v>0</v>
      </c>
      <c r="H756" s="749"/>
      <c r="I756" s="733"/>
      <c r="J756" s="733"/>
      <c r="K756" s="735">
        <v>0</v>
      </c>
      <c r="L756" s="750">
        <v>4480</v>
      </c>
    </row>
    <row r="757" spans="1:12" x14ac:dyDescent="0.25">
      <c r="A757" s="561" t="s">
        <v>434</v>
      </c>
      <c r="B757" s="749">
        <v>2023</v>
      </c>
      <c r="C757" s="561" t="s">
        <v>651</v>
      </c>
      <c r="D757" s="561" t="s">
        <v>1143</v>
      </c>
      <c r="E757" s="561" t="s">
        <v>653</v>
      </c>
      <c r="F757" s="735">
        <v>0</v>
      </c>
      <c r="G757" s="749">
        <v>0</v>
      </c>
      <c r="H757" s="749"/>
      <c r="I757" s="733"/>
      <c r="J757" s="733"/>
      <c r="K757" s="735">
        <v>0</v>
      </c>
      <c r="L757" s="750">
        <v>0</v>
      </c>
    </row>
    <row r="758" spans="1:12" ht="31.5" x14ac:dyDescent="0.25">
      <c r="A758" s="561" t="s">
        <v>434</v>
      </c>
      <c r="B758" s="749">
        <v>2023</v>
      </c>
      <c r="C758" s="561" t="s">
        <v>654</v>
      </c>
      <c r="D758" s="561" t="s">
        <v>1144</v>
      </c>
      <c r="E758" s="561" t="s">
        <v>445</v>
      </c>
      <c r="F758" s="735">
        <v>0</v>
      </c>
      <c r="G758" s="749">
        <v>0</v>
      </c>
      <c r="H758" s="749"/>
      <c r="I758" s="733"/>
      <c r="J758" s="733"/>
      <c r="K758" s="735">
        <v>0</v>
      </c>
      <c r="L758" s="750">
        <v>0</v>
      </c>
    </row>
    <row r="759" spans="1:12" ht="21" x14ac:dyDescent="0.25">
      <c r="A759" s="561" t="s">
        <v>434</v>
      </c>
      <c r="B759" s="749">
        <v>2023</v>
      </c>
      <c r="C759" s="561" t="s">
        <v>656</v>
      </c>
      <c r="D759" s="561" t="s">
        <v>1145</v>
      </c>
      <c r="E759" s="561" t="s">
        <v>658</v>
      </c>
      <c r="F759" s="735">
        <v>226432.36</v>
      </c>
      <c r="G759" s="749">
        <v>0</v>
      </c>
      <c r="H759" s="749"/>
      <c r="I759" s="733"/>
      <c r="J759" s="733"/>
      <c r="K759" s="735">
        <v>0</v>
      </c>
      <c r="L759" s="750">
        <v>226432.36</v>
      </c>
    </row>
    <row r="760" spans="1:12" ht="21" x14ac:dyDescent="0.25">
      <c r="A760" s="561" t="s">
        <v>434</v>
      </c>
      <c r="B760" s="749">
        <v>2023</v>
      </c>
      <c r="C760" s="561" t="s">
        <v>659</v>
      </c>
      <c r="D760" s="561" t="s">
        <v>1146</v>
      </c>
      <c r="E760" s="561" t="s">
        <v>661</v>
      </c>
      <c r="F760" s="735">
        <v>1498.88</v>
      </c>
      <c r="G760" s="749">
        <v>0</v>
      </c>
      <c r="H760" s="749"/>
      <c r="I760" s="733"/>
      <c r="J760" s="733"/>
      <c r="K760" s="735">
        <v>0</v>
      </c>
      <c r="L760" s="750">
        <v>1498.88</v>
      </c>
    </row>
    <row r="761" spans="1:12" ht="21" x14ac:dyDescent="0.25">
      <c r="A761" s="561" t="s">
        <v>434</v>
      </c>
      <c r="B761" s="749">
        <v>2023</v>
      </c>
      <c r="C761" s="561" t="s">
        <v>662</v>
      </c>
      <c r="D761" s="561" t="s">
        <v>1147</v>
      </c>
      <c r="E761" s="561" t="s">
        <v>664</v>
      </c>
      <c r="F761" s="735">
        <v>46131.46</v>
      </c>
      <c r="G761" s="749">
        <v>0</v>
      </c>
      <c r="H761" s="749"/>
      <c r="I761" s="733"/>
      <c r="J761" s="733"/>
      <c r="K761" s="735">
        <v>0</v>
      </c>
      <c r="L761" s="750">
        <v>46131.46</v>
      </c>
    </row>
    <row r="762" spans="1:12" ht="31.5" x14ac:dyDescent="0.25">
      <c r="A762" s="561" t="s">
        <v>434</v>
      </c>
      <c r="B762" s="749">
        <v>2023</v>
      </c>
      <c r="C762" s="561" t="s">
        <v>665</v>
      </c>
      <c r="D762" s="561" t="s">
        <v>1148</v>
      </c>
      <c r="E762" s="561" t="s">
        <v>667</v>
      </c>
      <c r="F762" s="735">
        <v>0</v>
      </c>
      <c r="G762" s="749">
        <v>0</v>
      </c>
      <c r="H762" s="749"/>
      <c r="I762" s="733"/>
      <c r="J762" s="733"/>
      <c r="K762" s="735">
        <v>0</v>
      </c>
      <c r="L762" s="750">
        <v>0</v>
      </c>
    </row>
    <row r="763" spans="1:12" ht="21" x14ac:dyDescent="0.25">
      <c r="A763" s="561" t="s">
        <v>434</v>
      </c>
      <c r="B763" s="749">
        <v>2023</v>
      </c>
      <c r="C763" s="561" t="s">
        <v>668</v>
      </c>
      <c r="D763" s="561" t="s">
        <v>1149</v>
      </c>
      <c r="E763" s="561" t="s">
        <v>12</v>
      </c>
      <c r="F763" s="735">
        <v>5123.7299999999996</v>
      </c>
      <c r="G763" s="749">
        <v>0</v>
      </c>
      <c r="H763" s="749"/>
      <c r="I763" s="733"/>
      <c r="J763" s="733"/>
      <c r="K763" s="735">
        <v>0</v>
      </c>
      <c r="L763" s="750">
        <v>5123.7299999999996</v>
      </c>
    </row>
    <row r="764" spans="1:12" ht="21" x14ac:dyDescent="0.25">
      <c r="A764" s="561" t="s">
        <v>434</v>
      </c>
      <c r="B764" s="749">
        <v>2023</v>
      </c>
      <c r="C764" s="561" t="s">
        <v>670</v>
      </c>
      <c r="D764" s="561" t="s">
        <v>1150</v>
      </c>
      <c r="E764" s="561" t="s">
        <v>13</v>
      </c>
      <c r="F764" s="735">
        <v>0</v>
      </c>
      <c r="G764" s="749">
        <v>0</v>
      </c>
      <c r="H764" s="749"/>
      <c r="I764" s="733"/>
      <c r="J764" s="733"/>
      <c r="K764" s="735">
        <v>0</v>
      </c>
      <c r="L764" s="750">
        <v>0</v>
      </c>
    </row>
    <row r="765" spans="1:12" ht="21" x14ac:dyDescent="0.25">
      <c r="A765" s="561" t="s">
        <v>434</v>
      </c>
      <c r="B765" s="749">
        <v>2023</v>
      </c>
      <c r="C765" s="561" t="s">
        <v>672</v>
      </c>
      <c r="D765" s="561" t="s">
        <v>1151</v>
      </c>
      <c r="E765" s="561" t="s">
        <v>15</v>
      </c>
      <c r="F765" s="735">
        <v>0</v>
      </c>
      <c r="G765" s="749">
        <v>0</v>
      </c>
      <c r="H765" s="749"/>
      <c r="I765" s="733"/>
      <c r="J765" s="733"/>
      <c r="K765" s="735">
        <v>0</v>
      </c>
      <c r="L765" s="750">
        <v>0</v>
      </c>
    </row>
    <row r="766" spans="1:12" x14ac:dyDescent="0.25">
      <c r="A766" s="561" t="s">
        <v>434</v>
      </c>
      <c r="B766" s="749">
        <v>2023</v>
      </c>
      <c r="C766" s="561" t="s">
        <v>674</v>
      </c>
      <c r="D766" s="561" t="s">
        <v>1152</v>
      </c>
      <c r="E766" s="561" t="s">
        <v>676</v>
      </c>
      <c r="F766" s="735">
        <v>0</v>
      </c>
      <c r="G766" s="749">
        <v>0</v>
      </c>
      <c r="H766" s="749"/>
      <c r="I766" s="733"/>
      <c r="J766" s="733"/>
      <c r="K766" s="735">
        <v>0</v>
      </c>
      <c r="L766" s="750">
        <v>0</v>
      </c>
    </row>
    <row r="767" spans="1:12" x14ac:dyDescent="0.25">
      <c r="A767" s="561" t="s">
        <v>434</v>
      </c>
      <c r="B767" s="749">
        <v>2023</v>
      </c>
      <c r="C767" s="561" t="s">
        <v>677</v>
      </c>
      <c r="D767" s="561" t="s">
        <v>1153</v>
      </c>
      <c r="E767" s="561" t="s">
        <v>23</v>
      </c>
      <c r="F767" s="735">
        <v>1873625.18</v>
      </c>
      <c r="G767" s="749">
        <v>1</v>
      </c>
      <c r="H767" s="749"/>
      <c r="I767" s="735">
        <v>1837892.89</v>
      </c>
      <c r="J767" s="735">
        <v>35732.29</v>
      </c>
      <c r="K767" s="735">
        <v>1873625.18</v>
      </c>
      <c r="L767" s="750">
        <v>1873625.18</v>
      </c>
    </row>
    <row r="768" spans="1:12" ht="21" x14ac:dyDescent="0.25">
      <c r="A768" s="561" t="s">
        <v>434</v>
      </c>
      <c r="B768" s="749">
        <v>2023</v>
      </c>
      <c r="C768" s="561" t="s">
        <v>679</v>
      </c>
      <c r="D768" s="561" t="s">
        <v>1154</v>
      </c>
      <c r="E768" s="561" t="s">
        <v>131</v>
      </c>
      <c r="F768" s="735">
        <v>-67869.05</v>
      </c>
      <c r="G768" s="749">
        <v>1</v>
      </c>
      <c r="H768" s="749"/>
      <c r="I768" s="735">
        <v>-67211.19</v>
      </c>
      <c r="J768" s="735">
        <v>-657.86</v>
      </c>
      <c r="K768" s="735">
        <v>-67869.05</v>
      </c>
      <c r="L768" s="750">
        <v>-67869.05</v>
      </c>
    </row>
    <row r="769" spans="1:12" ht="31.5" x14ac:dyDescent="0.25">
      <c r="A769" s="561" t="s">
        <v>434</v>
      </c>
      <c r="B769" s="749">
        <v>2023</v>
      </c>
      <c r="C769" s="561" t="s">
        <v>681</v>
      </c>
      <c r="D769" s="561" t="s">
        <v>1155</v>
      </c>
      <c r="E769" s="561" t="s">
        <v>683</v>
      </c>
      <c r="F769" s="735">
        <v>10226.24</v>
      </c>
      <c r="G769" s="749">
        <v>0</v>
      </c>
      <c r="H769" s="749"/>
      <c r="I769" s="733"/>
      <c r="J769" s="733"/>
      <c r="K769" s="735">
        <v>0</v>
      </c>
      <c r="L769" s="750">
        <v>10226.24</v>
      </c>
    </row>
    <row r="770" spans="1:12" ht="21" x14ac:dyDescent="0.25">
      <c r="A770" s="561" t="s">
        <v>434</v>
      </c>
      <c r="B770" s="749">
        <v>2023</v>
      </c>
      <c r="C770" s="561" t="s">
        <v>681</v>
      </c>
      <c r="D770" s="561" t="s">
        <v>1155</v>
      </c>
      <c r="E770" s="561" t="s">
        <v>684</v>
      </c>
      <c r="F770" s="735">
        <v>0</v>
      </c>
      <c r="G770" s="749">
        <v>0</v>
      </c>
      <c r="H770" s="749"/>
      <c r="I770" s="733"/>
      <c r="J770" s="733"/>
      <c r="K770" s="735">
        <v>0</v>
      </c>
      <c r="L770" s="751">
        <v>574613.07999999996</v>
      </c>
    </row>
    <row r="771" spans="1:12" x14ac:dyDescent="0.25">
      <c r="A771" s="561" t="s">
        <v>434</v>
      </c>
      <c r="B771" s="749">
        <v>2023</v>
      </c>
      <c r="C771" s="561" t="s">
        <v>685</v>
      </c>
      <c r="D771" s="561" t="s">
        <v>1156</v>
      </c>
      <c r="E771" s="561" t="s">
        <v>687</v>
      </c>
      <c r="F771" s="735">
        <v>268765.03999999998</v>
      </c>
      <c r="G771" s="749">
        <v>0</v>
      </c>
      <c r="H771" s="749"/>
      <c r="I771" s="733"/>
      <c r="J771" s="733"/>
      <c r="K771" s="735">
        <v>0</v>
      </c>
      <c r="L771" s="750">
        <v>268765.03999999998</v>
      </c>
    </row>
    <row r="772" spans="1:12" x14ac:dyDescent="0.25">
      <c r="A772" s="561" t="s">
        <v>434</v>
      </c>
      <c r="B772" s="749">
        <v>2023</v>
      </c>
      <c r="C772" s="561" t="s">
        <v>688</v>
      </c>
      <c r="D772" s="561" t="s">
        <v>1157</v>
      </c>
      <c r="E772" s="561" t="s">
        <v>50</v>
      </c>
      <c r="F772" s="735">
        <v>190263.85</v>
      </c>
      <c r="G772" s="749">
        <v>0</v>
      </c>
      <c r="H772" s="749"/>
      <c r="I772" s="733"/>
      <c r="J772" s="733"/>
      <c r="K772" s="735">
        <v>0</v>
      </c>
      <c r="L772" s="750">
        <v>190263.85</v>
      </c>
    </row>
    <row r="773" spans="1:12" x14ac:dyDescent="0.25">
      <c r="A773" s="561" t="s">
        <v>434</v>
      </c>
      <c r="B773" s="749">
        <v>2023</v>
      </c>
      <c r="C773" s="561" t="s">
        <v>690</v>
      </c>
      <c r="D773" s="561" t="s">
        <v>1158</v>
      </c>
      <c r="E773" s="561" t="s">
        <v>692</v>
      </c>
      <c r="F773" s="735">
        <v>0</v>
      </c>
      <c r="G773" s="749">
        <v>0</v>
      </c>
      <c r="H773" s="749"/>
      <c r="I773" s="733"/>
      <c r="J773" s="733"/>
      <c r="K773" s="735">
        <v>0</v>
      </c>
      <c r="L773" s="750">
        <v>0</v>
      </c>
    </row>
    <row r="774" spans="1:12" ht="21" x14ac:dyDescent="0.25">
      <c r="A774" s="561" t="s">
        <v>434</v>
      </c>
      <c r="B774" s="749">
        <v>2023</v>
      </c>
      <c r="C774" s="561" t="s">
        <v>693</v>
      </c>
      <c r="D774" s="561" t="s">
        <v>1159</v>
      </c>
      <c r="E774" s="561" t="s">
        <v>6</v>
      </c>
      <c r="F774" s="735">
        <v>0</v>
      </c>
      <c r="G774" s="749">
        <v>0</v>
      </c>
      <c r="H774" s="749"/>
      <c r="I774" s="733"/>
      <c r="J774" s="733"/>
      <c r="K774" s="735">
        <v>0</v>
      </c>
      <c r="L774" s="750">
        <v>0</v>
      </c>
    </row>
    <row r="775" spans="1:12" ht="21" x14ac:dyDescent="0.25">
      <c r="A775" s="561" t="s">
        <v>434</v>
      </c>
      <c r="B775" s="749">
        <v>2023</v>
      </c>
      <c r="C775" s="561" t="s">
        <v>695</v>
      </c>
      <c r="D775" s="561" t="s">
        <v>1160</v>
      </c>
      <c r="E775" s="561" t="s">
        <v>697</v>
      </c>
      <c r="F775" s="735">
        <v>0</v>
      </c>
      <c r="G775" s="749">
        <v>0</v>
      </c>
      <c r="H775" s="749"/>
      <c r="I775" s="733"/>
      <c r="J775" s="733"/>
      <c r="K775" s="735">
        <v>0</v>
      </c>
      <c r="L775" s="750">
        <v>0</v>
      </c>
    </row>
    <row r="776" spans="1:12" x14ac:dyDescent="0.25">
      <c r="A776" s="561" t="s">
        <v>434</v>
      </c>
      <c r="B776" s="749">
        <v>2023</v>
      </c>
      <c r="C776" s="561" t="s">
        <v>698</v>
      </c>
      <c r="D776" s="561" t="s">
        <v>1161</v>
      </c>
      <c r="E776" s="561" t="s">
        <v>700</v>
      </c>
      <c r="F776" s="735">
        <v>0</v>
      </c>
      <c r="G776" s="749">
        <v>0</v>
      </c>
      <c r="H776" s="749"/>
      <c r="I776" s="733"/>
      <c r="J776" s="733"/>
      <c r="K776" s="735">
        <v>0</v>
      </c>
      <c r="L776" s="750">
        <v>0</v>
      </c>
    </row>
    <row r="777" spans="1:12" ht="21" x14ac:dyDescent="0.25">
      <c r="A777" s="561" t="s">
        <v>434</v>
      </c>
      <c r="B777" s="749">
        <v>2023</v>
      </c>
      <c r="C777" s="561" t="s">
        <v>701</v>
      </c>
      <c r="D777" s="561" t="s">
        <v>1162</v>
      </c>
      <c r="E777" s="561" t="s">
        <v>1</v>
      </c>
      <c r="F777" s="735">
        <v>899353.03</v>
      </c>
      <c r="G777" s="749">
        <v>1</v>
      </c>
      <c r="H777" s="749"/>
      <c r="I777" s="735">
        <v>884439.46</v>
      </c>
      <c r="J777" s="735">
        <v>14913.57</v>
      </c>
      <c r="K777" s="735">
        <v>899353.03</v>
      </c>
      <c r="L777" s="750">
        <v>899353.03</v>
      </c>
    </row>
    <row r="778" spans="1:12" ht="21" x14ac:dyDescent="0.25">
      <c r="A778" s="561" t="s">
        <v>434</v>
      </c>
      <c r="B778" s="749">
        <v>2023</v>
      </c>
      <c r="C778" s="561" t="s">
        <v>701</v>
      </c>
      <c r="D778" s="561" t="s">
        <v>1162</v>
      </c>
      <c r="E778" s="561" t="s">
        <v>703</v>
      </c>
      <c r="F778" s="735">
        <v>0</v>
      </c>
      <c r="G778" s="749">
        <v>0</v>
      </c>
      <c r="H778" s="749"/>
      <c r="I778" s="733"/>
      <c r="J778" s="733"/>
      <c r="K778" s="735">
        <v>0</v>
      </c>
      <c r="L778" s="751">
        <v>0</v>
      </c>
    </row>
    <row r="779" spans="1:12" ht="21" x14ac:dyDescent="0.25">
      <c r="A779" s="561" t="s">
        <v>434</v>
      </c>
      <c r="B779" s="749">
        <v>2023</v>
      </c>
      <c r="C779" s="561" t="s">
        <v>701</v>
      </c>
      <c r="D779" s="561" t="s">
        <v>1162</v>
      </c>
      <c r="E779" s="561" t="s">
        <v>704</v>
      </c>
      <c r="F779" s="735">
        <v>0</v>
      </c>
      <c r="G779" s="749">
        <v>0</v>
      </c>
      <c r="H779" s="749"/>
      <c r="I779" s="733"/>
      <c r="J779" s="733"/>
      <c r="K779" s="735">
        <v>0</v>
      </c>
      <c r="L779" s="751">
        <v>0</v>
      </c>
    </row>
    <row r="780" spans="1:12" ht="21" x14ac:dyDescent="0.25">
      <c r="A780" s="561" t="s">
        <v>434</v>
      </c>
      <c r="B780" s="749">
        <v>2023</v>
      </c>
      <c r="C780" s="561" t="s">
        <v>701</v>
      </c>
      <c r="D780" s="561" t="s">
        <v>1162</v>
      </c>
      <c r="E780" s="561" t="s">
        <v>705</v>
      </c>
      <c r="F780" s="735">
        <v>0</v>
      </c>
      <c r="G780" s="749">
        <v>0</v>
      </c>
      <c r="H780" s="749"/>
      <c r="I780" s="733"/>
      <c r="J780" s="733"/>
      <c r="K780" s="735">
        <v>0</v>
      </c>
      <c r="L780" s="751">
        <v>0</v>
      </c>
    </row>
    <row r="781" spans="1:12" ht="21" x14ac:dyDescent="0.25">
      <c r="A781" s="561" t="s">
        <v>434</v>
      </c>
      <c r="B781" s="749">
        <v>2023</v>
      </c>
      <c r="C781" s="561" t="s">
        <v>701</v>
      </c>
      <c r="D781" s="561" t="s">
        <v>1162</v>
      </c>
      <c r="E781" s="561" t="s">
        <v>706</v>
      </c>
      <c r="F781" s="735">
        <v>0</v>
      </c>
      <c r="G781" s="749">
        <v>0</v>
      </c>
      <c r="H781" s="749"/>
      <c r="I781" s="733"/>
      <c r="J781" s="733"/>
      <c r="K781" s="735">
        <v>0</v>
      </c>
      <c r="L781" s="750">
        <v>0</v>
      </c>
    </row>
    <row r="782" spans="1:12" x14ac:dyDescent="0.25">
      <c r="A782" s="561" t="s">
        <v>434</v>
      </c>
      <c r="B782" s="749">
        <v>2023</v>
      </c>
      <c r="C782" s="561" t="s">
        <v>707</v>
      </c>
      <c r="D782" s="561" t="s">
        <v>1163</v>
      </c>
      <c r="E782" s="561" t="s">
        <v>709</v>
      </c>
      <c r="F782" s="735">
        <v>0</v>
      </c>
      <c r="G782" s="749">
        <v>0</v>
      </c>
      <c r="H782" s="749"/>
      <c r="I782" s="733"/>
      <c r="J782" s="733"/>
      <c r="K782" s="735">
        <v>0</v>
      </c>
      <c r="L782" s="750">
        <v>0</v>
      </c>
    </row>
    <row r="783" spans="1:12" ht="21" x14ac:dyDescent="0.25">
      <c r="A783" s="561" t="s">
        <v>434</v>
      </c>
      <c r="B783" s="749">
        <v>2023</v>
      </c>
      <c r="C783" s="561" t="s">
        <v>710</v>
      </c>
      <c r="D783" s="561" t="s">
        <v>1164</v>
      </c>
      <c r="E783" s="561" t="s">
        <v>2</v>
      </c>
      <c r="F783" s="735">
        <v>187222.63</v>
      </c>
      <c r="G783" s="749">
        <v>1</v>
      </c>
      <c r="H783" s="749"/>
      <c r="I783" s="735">
        <v>182618.45</v>
      </c>
      <c r="J783" s="735">
        <v>4604.18</v>
      </c>
      <c r="K783" s="735">
        <v>187222.63</v>
      </c>
      <c r="L783" s="750">
        <v>187222.63</v>
      </c>
    </row>
    <row r="784" spans="1:12" ht="21" x14ac:dyDescent="0.25">
      <c r="A784" s="561" t="s">
        <v>434</v>
      </c>
      <c r="B784" s="749">
        <v>2023</v>
      </c>
      <c r="C784" s="561" t="s">
        <v>712</v>
      </c>
      <c r="D784" s="561" t="s">
        <v>1165</v>
      </c>
      <c r="E784" s="561" t="s">
        <v>3</v>
      </c>
      <c r="F784" s="735">
        <v>34327.24</v>
      </c>
      <c r="G784" s="749">
        <v>1</v>
      </c>
      <c r="H784" s="749"/>
      <c r="I784" s="735">
        <v>32924.15</v>
      </c>
      <c r="J784" s="735">
        <v>1403.09</v>
      </c>
      <c r="K784" s="735">
        <v>34327.24</v>
      </c>
      <c r="L784" s="750">
        <v>34327.24</v>
      </c>
    </row>
    <row r="785" spans="1:12" ht="21" x14ac:dyDescent="0.25">
      <c r="A785" s="561" t="s">
        <v>434</v>
      </c>
      <c r="B785" s="749">
        <v>2023</v>
      </c>
      <c r="C785" s="561" t="s">
        <v>714</v>
      </c>
      <c r="D785" s="561" t="s">
        <v>1166</v>
      </c>
      <c r="E785" s="561" t="s">
        <v>38</v>
      </c>
      <c r="F785" s="735">
        <v>77749.62</v>
      </c>
      <c r="G785" s="749">
        <v>1</v>
      </c>
      <c r="H785" s="749"/>
      <c r="I785" s="735">
        <v>83028.539999999994</v>
      </c>
      <c r="J785" s="735">
        <v>-5278.92</v>
      </c>
      <c r="K785" s="735">
        <v>77749.62</v>
      </c>
      <c r="L785" s="750">
        <v>77749.62</v>
      </c>
    </row>
    <row r="786" spans="1:12" x14ac:dyDescent="0.25">
      <c r="A786" s="561" t="s">
        <v>434</v>
      </c>
      <c r="B786" s="749">
        <v>2023</v>
      </c>
      <c r="C786" s="561" t="s">
        <v>716</v>
      </c>
      <c r="D786" s="561" t="s">
        <v>1167</v>
      </c>
      <c r="E786" s="561" t="s">
        <v>66</v>
      </c>
      <c r="F786" s="735">
        <v>-113673.75</v>
      </c>
      <c r="G786" s="749">
        <v>1</v>
      </c>
      <c r="H786" s="749"/>
      <c r="I786" s="735">
        <v>-114481.78</v>
      </c>
      <c r="J786" s="735">
        <v>808.03</v>
      </c>
      <c r="K786" s="735">
        <v>-113673.75</v>
      </c>
      <c r="L786" s="750">
        <v>-113673.75</v>
      </c>
    </row>
    <row r="787" spans="1:12" ht="21" x14ac:dyDescent="0.25">
      <c r="A787" s="561" t="s">
        <v>434</v>
      </c>
      <c r="B787" s="749">
        <v>2023</v>
      </c>
      <c r="C787" s="561" t="s">
        <v>718</v>
      </c>
      <c r="D787" s="561" t="s">
        <v>1168</v>
      </c>
      <c r="E787" s="561" t="s">
        <v>720</v>
      </c>
      <c r="F787" s="735">
        <v>38782.800000000003</v>
      </c>
      <c r="G787" s="749">
        <v>0</v>
      </c>
      <c r="H787" s="749"/>
      <c r="I787" s="733"/>
      <c r="J787" s="733"/>
      <c r="K787" s="735">
        <v>0</v>
      </c>
      <c r="L787" s="750">
        <v>38782.800000000003</v>
      </c>
    </row>
    <row r="788" spans="1:12" ht="31.5" x14ac:dyDescent="0.25">
      <c r="A788" s="561" t="s">
        <v>434</v>
      </c>
      <c r="B788" s="749">
        <v>2023</v>
      </c>
      <c r="C788" s="561" t="s">
        <v>721</v>
      </c>
      <c r="D788" s="561" t="s">
        <v>1170</v>
      </c>
      <c r="E788" s="561" t="s">
        <v>724</v>
      </c>
      <c r="F788" s="735">
        <v>0</v>
      </c>
      <c r="G788" s="749">
        <v>1</v>
      </c>
      <c r="H788" s="749"/>
      <c r="I788" s="733"/>
      <c r="J788" s="733"/>
      <c r="K788" s="735">
        <v>0</v>
      </c>
      <c r="L788" s="750">
        <v>0</v>
      </c>
    </row>
    <row r="789" spans="1:12" ht="31.5" x14ac:dyDescent="0.25">
      <c r="A789" s="561" t="s">
        <v>434</v>
      </c>
      <c r="B789" s="749">
        <v>2023</v>
      </c>
      <c r="C789" s="561" t="s">
        <v>721</v>
      </c>
      <c r="D789" s="561" t="s">
        <v>1171</v>
      </c>
      <c r="E789" s="561" t="s">
        <v>55</v>
      </c>
      <c r="F789" s="735">
        <v>0</v>
      </c>
      <c r="G789" s="749">
        <v>1</v>
      </c>
      <c r="H789" s="749"/>
      <c r="I789" s="733"/>
      <c r="J789" s="733"/>
      <c r="K789" s="735">
        <v>0</v>
      </c>
      <c r="L789" s="750">
        <v>0</v>
      </c>
    </row>
    <row r="790" spans="1:12" ht="31.5" x14ac:dyDescent="0.25">
      <c r="A790" s="561" t="s">
        <v>434</v>
      </c>
      <c r="B790" s="749">
        <v>2023</v>
      </c>
      <c r="C790" s="561" t="s">
        <v>721</v>
      </c>
      <c r="D790" s="561" t="s">
        <v>1172</v>
      </c>
      <c r="E790" s="561" t="s">
        <v>56</v>
      </c>
      <c r="F790" s="735">
        <v>0</v>
      </c>
      <c r="G790" s="749">
        <v>1</v>
      </c>
      <c r="H790" s="749"/>
      <c r="I790" s="733"/>
      <c r="J790" s="733"/>
      <c r="K790" s="735">
        <v>0</v>
      </c>
      <c r="L790" s="750">
        <v>0</v>
      </c>
    </row>
    <row r="791" spans="1:12" ht="31.5" x14ac:dyDescent="0.25">
      <c r="A791" s="561" t="s">
        <v>434</v>
      </c>
      <c r="B791" s="749">
        <v>2023</v>
      </c>
      <c r="C791" s="561" t="s">
        <v>721</v>
      </c>
      <c r="D791" s="561" t="s">
        <v>1173</v>
      </c>
      <c r="E791" s="561" t="s">
        <v>728</v>
      </c>
      <c r="F791" s="735">
        <v>0</v>
      </c>
      <c r="G791" s="749">
        <v>1</v>
      </c>
      <c r="H791" s="749"/>
      <c r="I791" s="733"/>
      <c r="J791" s="733"/>
      <c r="K791" s="735">
        <v>0</v>
      </c>
      <c r="L791" s="750">
        <v>0</v>
      </c>
    </row>
    <row r="792" spans="1:12" ht="31.5" x14ac:dyDescent="0.25">
      <c r="A792" s="561" t="s">
        <v>434</v>
      </c>
      <c r="B792" s="749">
        <v>2023</v>
      </c>
      <c r="C792" s="561" t="s">
        <v>721</v>
      </c>
      <c r="D792" s="561" t="s">
        <v>1174</v>
      </c>
      <c r="E792" s="561" t="s">
        <v>730</v>
      </c>
      <c r="F792" s="735">
        <v>0</v>
      </c>
      <c r="G792" s="749">
        <v>1</v>
      </c>
      <c r="H792" s="749"/>
      <c r="I792" s="733"/>
      <c r="J792" s="733"/>
      <c r="K792" s="735">
        <v>0</v>
      </c>
      <c r="L792" s="750">
        <v>0</v>
      </c>
    </row>
    <row r="793" spans="1:12" ht="31.5" x14ac:dyDescent="0.25">
      <c r="A793" s="561" t="s">
        <v>434</v>
      </c>
      <c r="B793" s="749">
        <v>2023</v>
      </c>
      <c r="C793" s="561" t="s">
        <v>721</v>
      </c>
      <c r="D793" s="561" t="s">
        <v>1175</v>
      </c>
      <c r="E793" s="561" t="s">
        <v>142</v>
      </c>
      <c r="F793" s="735">
        <v>0</v>
      </c>
      <c r="G793" s="749">
        <v>1</v>
      </c>
      <c r="H793" s="749"/>
      <c r="I793" s="733"/>
      <c r="J793" s="733"/>
      <c r="K793" s="735">
        <v>0</v>
      </c>
      <c r="L793" s="750">
        <v>0</v>
      </c>
    </row>
    <row r="794" spans="1:12" ht="31.5" x14ac:dyDescent="0.25">
      <c r="A794" s="561" t="s">
        <v>434</v>
      </c>
      <c r="B794" s="749">
        <v>2023</v>
      </c>
      <c r="C794" s="561" t="s">
        <v>721</v>
      </c>
      <c r="D794" s="561" t="s">
        <v>1176</v>
      </c>
      <c r="E794" s="561" t="s">
        <v>143</v>
      </c>
      <c r="F794" s="735">
        <v>0</v>
      </c>
      <c r="G794" s="749">
        <v>1</v>
      </c>
      <c r="H794" s="749"/>
      <c r="I794" s="733"/>
      <c r="J794" s="733"/>
      <c r="K794" s="735">
        <v>0</v>
      </c>
      <c r="L794" s="750">
        <v>0</v>
      </c>
    </row>
    <row r="795" spans="1:12" ht="31.5" x14ac:dyDescent="0.25">
      <c r="A795" s="561" t="s">
        <v>434</v>
      </c>
      <c r="B795" s="749">
        <v>2023</v>
      </c>
      <c r="C795" s="561" t="s">
        <v>721</v>
      </c>
      <c r="D795" s="561" t="s">
        <v>1177</v>
      </c>
      <c r="E795" s="561" t="s">
        <v>182</v>
      </c>
      <c r="F795" s="735">
        <v>0</v>
      </c>
      <c r="G795" s="749">
        <v>1</v>
      </c>
      <c r="H795" s="749"/>
      <c r="I795" s="733"/>
      <c r="J795" s="733"/>
      <c r="K795" s="735">
        <v>0</v>
      </c>
      <c r="L795" s="750">
        <v>0</v>
      </c>
    </row>
    <row r="796" spans="1:12" ht="31.5" x14ac:dyDescent="0.25">
      <c r="A796" s="561" t="s">
        <v>434</v>
      </c>
      <c r="B796" s="749">
        <v>2023</v>
      </c>
      <c r="C796" s="561" t="s">
        <v>721</v>
      </c>
      <c r="D796" s="561" t="s">
        <v>1178</v>
      </c>
      <c r="E796" s="561" t="s">
        <v>394</v>
      </c>
      <c r="F796" s="735">
        <v>0</v>
      </c>
      <c r="G796" s="749">
        <v>1</v>
      </c>
      <c r="H796" s="749"/>
      <c r="I796" s="733"/>
      <c r="J796" s="733"/>
      <c r="K796" s="735">
        <v>0</v>
      </c>
      <c r="L796" s="750">
        <v>0</v>
      </c>
    </row>
    <row r="797" spans="1:12" ht="31.5" x14ac:dyDescent="0.25">
      <c r="A797" s="561" t="s">
        <v>434</v>
      </c>
      <c r="B797" s="749">
        <v>2023</v>
      </c>
      <c r="C797" s="561" t="s">
        <v>721</v>
      </c>
      <c r="D797" s="561" t="s">
        <v>1179</v>
      </c>
      <c r="E797" s="561" t="s">
        <v>423</v>
      </c>
      <c r="F797" s="735">
        <v>0</v>
      </c>
      <c r="G797" s="749">
        <v>1</v>
      </c>
      <c r="H797" s="749"/>
      <c r="I797" s="733"/>
      <c r="J797" s="733"/>
      <c r="K797" s="735">
        <v>0</v>
      </c>
      <c r="L797" s="750">
        <v>0</v>
      </c>
    </row>
    <row r="798" spans="1:12" ht="31.5" x14ac:dyDescent="0.25">
      <c r="A798" s="561" t="s">
        <v>434</v>
      </c>
      <c r="B798" s="749">
        <v>2023</v>
      </c>
      <c r="C798" s="561" t="s">
        <v>721</v>
      </c>
      <c r="D798" s="561" t="s">
        <v>3124</v>
      </c>
      <c r="E798" s="561" t="s">
        <v>441</v>
      </c>
      <c r="F798" s="735">
        <v>0</v>
      </c>
      <c r="G798" s="749">
        <v>1</v>
      </c>
      <c r="H798" s="749"/>
      <c r="I798" s="735">
        <v>58419.49</v>
      </c>
      <c r="J798" s="735">
        <v>40771.11</v>
      </c>
      <c r="K798" s="735">
        <v>99190.6</v>
      </c>
      <c r="L798" s="750">
        <v>99190.6</v>
      </c>
    </row>
    <row r="799" spans="1:12" ht="31.5" x14ac:dyDescent="0.25">
      <c r="A799" s="561" t="s">
        <v>434</v>
      </c>
      <c r="B799" s="749">
        <v>2023</v>
      </c>
      <c r="C799" s="561" t="s">
        <v>721</v>
      </c>
      <c r="D799" s="561" t="s">
        <v>3498</v>
      </c>
      <c r="E799" s="561" t="s">
        <v>3016</v>
      </c>
      <c r="F799" s="735">
        <v>0</v>
      </c>
      <c r="G799" s="749">
        <v>1</v>
      </c>
      <c r="H799" s="749"/>
      <c r="I799" s="735">
        <v>12509.07</v>
      </c>
      <c r="J799" s="735">
        <v>6658.41</v>
      </c>
      <c r="K799" s="735">
        <v>19167.48</v>
      </c>
      <c r="L799" s="750">
        <v>19167.48</v>
      </c>
    </row>
    <row r="800" spans="1:12" ht="31.5" x14ac:dyDescent="0.25">
      <c r="A800" s="561" t="s">
        <v>434</v>
      </c>
      <c r="B800" s="749">
        <v>2023</v>
      </c>
      <c r="C800" s="561" t="s">
        <v>721</v>
      </c>
      <c r="D800" s="561" t="s">
        <v>3499</v>
      </c>
      <c r="E800" s="561" t="s">
        <v>3058</v>
      </c>
      <c r="F800" s="735">
        <v>0</v>
      </c>
      <c r="G800" s="749">
        <v>1</v>
      </c>
      <c r="H800" s="749"/>
      <c r="I800" s="735">
        <v>55163.07</v>
      </c>
      <c r="J800" s="735">
        <v>6517.54</v>
      </c>
      <c r="K800" s="735">
        <v>61680.61</v>
      </c>
      <c r="L800" s="750">
        <v>61680.61</v>
      </c>
    </row>
    <row r="801" spans="1:12" ht="31.5" x14ac:dyDescent="0.25">
      <c r="A801" s="561" t="s">
        <v>434</v>
      </c>
      <c r="B801" s="749">
        <v>2023</v>
      </c>
      <c r="C801" s="561" t="s">
        <v>721</v>
      </c>
      <c r="D801" s="561" t="s">
        <v>3500</v>
      </c>
      <c r="E801" s="561" t="s">
        <v>3063</v>
      </c>
      <c r="F801" s="735">
        <v>0</v>
      </c>
      <c r="G801" s="749">
        <v>1</v>
      </c>
      <c r="H801" s="749"/>
      <c r="I801" s="735">
        <v>-111259.84</v>
      </c>
      <c r="J801" s="735">
        <v>760.73</v>
      </c>
      <c r="K801" s="735">
        <v>-110499.11</v>
      </c>
      <c r="L801" s="750">
        <v>-110499.11</v>
      </c>
    </row>
    <row r="802" spans="1:12" ht="31.5" x14ac:dyDescent="0.25">
      <c r="A802" s="561" t="s">
        <v>434</v>
      </c>
      <c r="B802" s="749">
        <v>2023</v>
      </c>
      <c r="C802" s="561" t="s">
        <v>721</v>
      </c>
      <c r="D802" s="561" t="s">
        <v>3766</v>
      </c>
      <c r="E802" s="561" t="s">
        <v>3425</v>
      </c>
      <c r="F802" s="735">
        <v>0</v>
      </c>
      <c r="G802" s="749">
        <v>1</v>
      </c>
      <c r="H802" s="749"/>
      <c r="I802" s="735">
        <v>680182.01</v>
      </c>
      <c r="J802" s="735">
        <v>19318.71</v>
      </c>
      <c r="K802" s="735">
        <v>699500.72</v>
      </c>
      <c r="L802" s="750">
        <v>699500.72</v>
      </c>
    </row>
    <row r="803" spans="1:12" ht="42" x14ac:dyDescent="0.25">
      <c r="A803" s="561" t="s">
        <v>434</v>
      </c>
      <c r="B803" s="749">
        <v>2023</v>
      </c>
      <c r="C803" s="561" t="s">
        <v>721</v>
      </c>
      <c r="D803" s="561" t="s">
        <v>3767</v>
      </c>
      <c r="E803" s="561" t="s">
        <v>737</v>
      </c>
      <c r="F803" s="735">
        <v>769040.3</v>
      </c>
      <c r="G803" s="749">
        <v>0</v>
      </c>
      <c r="H803" s="749"/>
      <c r="I803" s="733"/>
      <c r="J803" s="733"/>
      <c r="K803" s="735">
        <v>0</v>
      </c>
      <c r="L803" s="750">
        <v>769040.3</v>
      </c>
    </row>
    <row r="804" spans="1:12" x14ac:dyDescent="0.25">
      <c r="A804" s="561" t="s">
        <v>434</v>
      </c>
      <c r="B804" s="749">
        <v>2023</v>
      </c>
      <c r="C804" s="561" t="s">
        <v>738</v>
      </c>
      <c r="D804" s="561" t="s">
        <v>1181</v>
      </c>
      <c r="E804" s="561" t="s">
        <v>7</v>
      </c>
      <c r="F804" s="735">
        <v>0</v>
      </c>
      <c r="G804" s="749">
        <v>0</v>
      </c>
      <c r="H804" s="749"/>
      <c r="I804" s="733"/>
      <c r="J804" s="733"/>
      <c r="K804" s="735">
        <v>0</v>
      </c>
      <c r="L804" s="750">
        <v>0</v>
      </c>
    </row>
    <row r="805" spans="1:12" x14ac:dyDescent="0.25">
      <c r="A805" s="561" t="s">
        <v>3125</v>
      </c>
      <c r="B805" s="749">
        <v>2023</v>
      </c>
      <c r="C805" s="561" t="s">
        <v>647</v>
      </c>
      <c r="D805" s="561" t="s">
        <v>3126</v>
      </c>
      <c r="E805" s="561" t="s">
        <v>649</v>
      </c>
      <c r="F805" s="735">
        <v>77323.55</v>
      </c>
      <c r="G805" s="749">
        <v>0</v>
      </c>
      <c r="H805" s="749"/>
      <c r="I805" s="733"/>
      <c r="J805" s="733"/>
      <c r="K805" s="735">
        <v>0</v>
      </c>
      <c r="L805" s="750">
        <v>77323.55</v>
      </c>
    </row>
    <row r="806" spans="1:12" ht="21" x14ac:dyDescent="0.25">
      <c r="A806" s="561" t="s">
        <v>3125</v>
      </c>
      <c r="B806" s="749">
        <v>2023</v>
      </c>
      <c r="C806" s="561" t="s">
        <v>3691</v>
      </c>
      <c r="D806" s="561" t="s">
        <v>3634</v>
      </c>
      <c r="E806" s="561" t="s">
        <v>3675</v>
      </c>
      <c r="F806" s="735">
        <v>-3433.22</v>
      </c>
      <c r="G806" s="749">
        <v>0</v>
      </c>
      <c r="H806" s="749"/>
      <c r="I806" s="733"/>
      <c r="J806" s="733"/>
      <c r="K806" s="735">
        <v>0</v>
      </c>
      <c r="L806" s="750">
        <v>-3433.22</v>
      </c>
    </row>
    <row r="807" spans="1:12" x14ac:dyDescent="0.25">
      <c r="A807" s="561" t="s">
        <v>3125</v>
      </c>
      <c r="B807" s="749">
        <v>2023</v>
      </c>
      <c r="C807" s="561" t="s">
        <v>651</v>
      </c>
      <c r="D807" s="561" t="s">
        <v>3127</v>
      </c>
      <c r="E807" s="561" t="s">
        <v>653</v>
      </c>
      <c r="F807" s="735">
        <v>0</v>
      </c>
      <c r="G807" s="749">
        <v>0</v>
      </c>
      <c r="H807" s="749"/>
      <c r="I807" s="733"/>
      <c r="J807" s="733"/>
      <c r="K807" s="735">
        <v>0</v>
      </c>
      <c r="L807" s="750">
        <v>0</v>
      </c>
    </row>
    <row r="808" spans="1:12" ht="31.5" x14ac:dyDescent="0.25">
      <c r="A808" s="561" t="s">
        <v>3125</v>
      </c>
      <c r="B808" s="749">
        <v>2023</v>
      </c>
      <c r="C808" s="561" t="s">
        <v>654</v>
      </c>
      <c r="D808" s="561" t="s">
        <v>3128</v>
      </c>
      <c r="E808" s="561" t="s">
        <v>445</v>
      </c>
      <c r="F808" s="735">
        <v>0</v>
      </c>
      <c r="G808" s="749">
        <v>0</v>
      </c>
      <c r="H808" s="749"/>
      <c r="I808" s="733"/>
      <c r="J808" s="733"/>
      <c r="K808" s="735">
        <v>0</v>
      </c>
      <c r="L808" s="750">
        <v>0</v>
      </c>
    </row>
    <row r="809" spans="1:12" ht="21" x14ac:dyDescent="0.25">
      <c r="A809" s="561" t="s">
        <v>3125</v>
      </c>
      <c r="B809" s="749">
        <v>2023</v>
      </c>
      <c r="C809" s="561" t="s">
        <v>656</v>
      </c>
      <c r="D809" s="561" t="s">
        <v>3129</v>
      </c>
      <c r="E809" s="561" t="s">
        <v>658</v>
      </c>
      <c r="F809" s="735">
        <v>0</v>
      </c>
      <c r="G809" s="749">
        <v>0</v>
      </c>
      <c r="H809" s="749"/>
      <c r="I809" s="733"/>
      <c r="J809" s="733"/>
      <c r="K809" s="735">
        <v>0</v>
      </c>
      <c r="L809" s="750">
        <v>0</v>
      </c>
    </row>
    <row r="810" spans="1:12" ht="21" x14ac:dyDescent="0.25">
      <c r="A810" s="561" t="s">
        <v>3125</v>
      </c>
      <c r="B810" s="749">
        <v>2023</v>
      </c>
      <c r="C810" s="561" t="s">
        <v>659</v>
      </c>
      <c r="D810" s="561" t="s">
        <v>3130</v>
      </c>
      <c r="E810" s="561" t="s">
        <v>661</v>
      </c>
      <c r="F810" s="735">
        <v>0</v>
      </c>
      <c r="G810" s="749">
        <v>0</v>
      </c>
      <c r="H810" s="749"/>
      <c r="I810" s="733"/>
      <c r="J810" s="733"/>
      <c r="K810" s="735">
        <v>0</v>
      </c>
      <c r="L810" s="750">
        <v>0</v>
      </c>
    </row>
    <row r="811" spans="1:12" ht="21" x14ac:dyDescent="0.25">
      <c r="A811" s="561" t="s">
        <v>3125</v>
      </c>
      <c r="B811" s="749">
        <v>2023</v>
      </c>
      <c r="C811" s="561" t="s">
        <v>662</v>
      </c>
      <c r="D811" s="561" t="s">
        <v>3131</v>
      </c>
      <c r="E811" s="561" t="s">
        <v>664</v>
      </c>
      <c r="F811" s="735">
        <v>0</v>
      </c>
      <c r="G811" s="749">
        <v>0</v>
      </c>
      <c r="H811" s="749"/>
      <c r="I811" s="733"/>
      <c r="J811" s="733"/>
      <c r="K811" s="735">
        <v>0</v>
      </c>
      <c r="L811" s="750">
        <v>0</v>
      </c>
    </row>
    <row r="812" spans="1:12" ht="31.5" x14ac:dyDescent="0.25">
      <c r="A812" s="561" t="s">
        <v>3125</v>
      </c>
      <c r="B812" s="749">
        <v>2023</v>
      </c>
      <c r="C812" s="561" t="s">
        <v>665</v>
      </c>
      <c r="D812" s="561" t="s">
        <v>3132</v>
      </c>
      <c r="E812" s="561" t="s">
        <v>667</v>
      </c>
      <c r="F812" s="735">
        <v>0</v>
      </c>
      <c r="G812" s="749">
        <v>0</v>
      </c>
      <c r="H812" s="749"/>
      <c r="I812" s="733"/>
      <c r="J812" s="733"/>
      <c r="K812" s="735">
        <v>0</v>
      </c>
      <c r="L812" s="750">
        <v>0</v>
      </c>
    </row>
    <row r="813" spans="1:12" ht="21" x14ac:dyDescent="0.25">
      <c r="A813" s="561" t="s">
        <v>3125</v>
      </c>
      <c r="B813" s="749">
        <v>2023</v>
      </c>
      <c r="C813" s="561" t="s">
        <v>668</v>
      </c>
      <c r="D813" s="561" t="s">
        <v>3133</v>
      </c>
      <c r="E813" s="561" t="s">
        <v>12</v>
      </c>
      <c r="F813" s="735">
        <v>0</v>
      </c>
      <c r="G813" s="749">
        <v>0</v>
      </c>
      <c r="H813" s="749"/>
      <c r="I813" s="733"/>
      <c r="J813" s="733"/>
      <c r="K813" s="735">
        <v>0</v>
      </c>
      <c r="L813" s="750">
        <v>0</v>
      </c>
    </row>
    <row r="814" spans="1:12" ht="21" x14ac:dyDescent="0.25">
      <c r="A814" s="561" t="s">
        <v>3125</v>
      </c>
      <c r="B814" s="749">
        <v>2023</v>
      </c>
      <c r="C814" s="561" t="s">
        <v>670</v>
      </c>
      <c r="D814" s="561" t="s">
        <v>3134</v>
      </c>
      <c r="E814" s="561" t="s">
        <v>13</v>
      </c>
      <c r="F814" s="735">
        <v>0</v>
      </c>
      <c r="G814" s="749">
        <v>0</v>
      </c>
      <c r="H814" s="749"/>
      <c r="I814" s="733"/>
      <c r="J814" s="733"/>
      <c r="K814" s="735">
        <v>0</v>
      </c>
      <c r="L814" s="750">
        <v>0</v>
      </c>
    </row>
    <row r="815" spans="1:12" ht="21" x14ac:dyDescent="0.25">
      <c r="A815" s="561" t="s">
        <v>3125</v>
      </c>
      <c r="B815" s="749">
        <v>2023</v>
      </c>
      <c r="C815" s="561" t="s">
        <v>672</v>
      </c>
      <c r="D815" s="561" t="s">
        <v>3135</v>
      </c>
      <c r="E815" s="561" t="s">
        <v>15</v>
      </c>
      <c r="F815" s="735">
        <v>0</v>
      </c>
      <c r="G815" s="749">
        <v>0</v>
      </c>
      <c r="H815" s="749"/>
      <c r="I815" s="733"/>
      <c r="J815" s="733"/>
      <c r="K815" s="735">
        <v>0</v>
      </c>
      <c r="L815" s="750">
        <v>0</v>
      </c>
    </row>
    <row r="816" spans="1:12" x14ac:dyDescent="0.25">
      <c r="A816" s="561" t="s">
        <v>3125</v>
      </c>
      <c r="B816" s="749">
        <v>2023</v>
      </c>
      <c r="C816" s="561" t="s">
        <v>674</v>
      </c>
      <c r="D816" s="561" t="s">
        <v>3136</v>
      </c>
      <c r="E816" s="561" t="s">
        <v>676</v>
      </c>
      <c r="F816" s="735">
        <v>0</v>
      </c>
      <c r="G816" s="749">
        <v>0</v>
      </c>
      <c r="H816" s="749"/>
      <c r="I816" s="733"/>
      <c r="J816" s="733"/>
      <c r="K816" s="735">
        <v>0</v>
      </c>
      <c r="L816" s="750">
        <v>0</v>
      </c>
    </row>
    <row r="817" spans="1:12" x14ac:dyDescent="0.25">
      <c r="A817" s="561" t="s">
        <v>3125</v>
      </c>
      <c r="B817" s="749">
        <v>2023</v>
      </c>
      <c r="C817" s="561" t="s">
        <v>677</v>
      </c>
      <c r="D817" s="561" t="s">
        <v>3137</v>
      </c>
      <c r="E817" s="561" t="s">
        <v>23</v>
      </c>
      <c r="F817" s="735">
        <v>1086826.01</v>
      </c>
      <c r="G817" s="749">
        <v>1</v>
      </c>
      <c r="H817" s="749"/>
      <c r="I817" s="735">
        <v>1076415.3500000001</v>
      </c>
      <c r="J817" s="735">
        <v>10410.66</v>
      </c>
      <c r="K817" s="735">
        <v>1086826.01</v>
      </c>
      <c r="L817" s="750">
        <v>1086826.01</v>
      </c>
    </row>
    <row r="818" spans="1:12" ht="21" x14ac:dyDescent="0.25">
      <c r="A818" s="561" t="s">
        <v>3125</v>
      </c>
      <c r="B818" s="749">
        <v>2023</v>
      </c>
      <c r="C818" s="561" t="s">
        <v>679</v>
      </c>
      <c r="D818" s="561" t="s">
        <v>3138</v>
      </c>
      <c r="E818" s="561" t="s">
        <v>131</v>
      </c>
      <c r="F818" s="735">
        <v>-90705.68</v>
      </c>
      <c r="G818" s="749">
        <v>1</v>
      </c>
      <c r="H818" s="749"/>
      <c r="I818" s="735">
        <v>-89545.37</v>
      </c>
      <c r="J818" s="735">
        <v>-1160.31</v>
      </c>
      <c r="K818" s="735">
        <v>-90705.68</v>
      </c>
      <c r="L818" s="750">
        <v>-90705.68</v>
      </c>
    </row>
    <row r="819" spans="1:12" ht="31.5" x14ac:dyDescent="0.25">
      <c r="A819" s="561" t="s">
        <v>3125</v>
      </c>
      <c r="B819" s="749">
        <v>2023</v>
      </c>
      <c r="C819" s="561" t="s">
        <v>681</v>
      </c>
      <c r="D819" s="561" t="s">
        <v>3139</v>
      </c>
      <c r="E819" s="561" t="s">
        <v>683</v>
      </c>
      <c r="F819" s="735">
        <v>0</v>
      </c>
      <c r="G819" s="749">
        <v>0</v>
      </c>
      <c r="H819" s="749"/>
      <c r="I819" s="733"/>
      <c r="J819" s="733"/>
      <c r="K819" s="735">
        <v>0</v>
      </c>
      <c r="L819" s="750">
        <v>0</v>
      </c>
    </row>
    <row r="820" spans="1:12" ht="21" x14ac:dyDescent="0.25">
      <c r="A820" s="561" t="s">
        <v>3125</v>
      </c>
      <c r="B820" s="749">
        <v>2023</v>
      </c>
      <c r="C820" s="561" t="s">
        <v>681</v>
      </c>
      <c r="D820" s="561" t="s">
        <v>3139</v>
      </c>
      <c r="E820" s="561" t="s">
        <v>684</v>
      </c>
      <c r="F820" s="735">
        <v>0</v>
      </c>
      <c r="G820" s="749">
        <v>0</v>
      </c>
      <c r="H820" s="749"/>
      <c r="I820" s="733"/>
      <c r="J820" s="733"/>
      <c r="K820" s="735">
        <v>0</v>
      </c>
      <c r="L820" s="751">
        <v>0</v>
      </c>
    </row>
    <row r="821" spans="1:12" x14ac:dyDescent="0.25">
      <c r="A821" s="561" t="s">
        <v>3125</v>
      </c>
      <c r="B821" s="749">
        <v>2023</v>
      </c>
      <c r="C821" s="561" t="s">
        <v>685</v>
      </c>
      <c r="D821" s="561" t="s">
        <v>3140</v>
      </c>
      <c r="E821" s="561" t="s">
        <v>687</v>
      </c>
      <c r="F821" s="735">
        <v>0</v>
      </c>
      <c r="G821" s="749">
        <v>0</v>
      </c>
      <c r="H821" s="749"/>
      <c r="I821" s="733"/>
      <c r="J821" s="733"/>
      <c r="K821" s="735">
        <v>0</v>
      </c>
      <c r="L821" s="750">
        <v>0</v>
      </c>
    </row>
    <row r="822" spans="1:12" x14ac:dyDescent="0.25">
      <c r="A822" s="561" t="s">
        <v>3125</v>
      </c>
      <c r="B822" s="749">
        <v>2023</v>
      </c>
      <c r="C822" s="561" t="s">
        <v>688</v>
      </c>
      <c r="D822" s="561" t="s">
        <v>3141</v>
      </c>
      <c r="E822" s="561" t="s">
        <v>50</v>
      </c>
      <c r="F822" s="735">
        <v>0</v>
      </c>
      <c r="G822" s="749">
        <v>0</v>
      </c>
      <c r="H822" s="749"/>
      <c r="I822" s="733"/>
      <c r="J822" s="733"/>
      <c r="K822" s="735">
        <v>0</v>
      </c>
      <c r="L822" s="750">
        <v>0</v>
      </c>
    </row>
    <row r="823" spans="1:12" x14ac:dyDescent="0.25">
      <c r="A823" s="561" t="s">
        <v>3125</v>
      </c>
      <c r="B823" s="749">
        <v>2023</v>
      </c>
      <c r="C823" s="561" t="s">
        <v>690</v>
      </c>
      <c r="D823" s="561" t="s">
        <v>3142</v>
      </c>
      <c r="E823" s="561" t="s">
        <v>692</v>
      </c>
      <c r="F823" s="735">
        <v>0</v>
      </c>
      <c r="G823" s="749">
        <v>0</v>
      </c>
      <c r="H823" s="749"/>
      <c r="I823" s="733"/>
      <c r="J823" s="733"/>
      <c r="K823" s="735">
        <v>0</v>
      </c>
      <c r="L823" s="750">
        <v>0</v>
      </c>
    </row>
    <row r="824" spans="1:12" ht="21" x14ac:dyDescent="0.25">
      <c r="A824" s="561" t="s">
        <v>3125</v>
      </c>
      <c r="B824" s="749">
        <v>2023</v>
      </c>
      <c r="C824" s="561" t="s">
        <v>693</v>
      </c>
      <c r="D824" s="561" t="s">
        <v>3143</v>
      </c>
      <c r="E824" s="561" t="s">
        <v>6</v>
      </c>
      <c r="F824" s="735">
        <v>0</v>
      </c>
      <c r="G824" s="749">
        <v>0</v>
      </c>
      <c r="H824" s="749"/>
      <c r="I824" s="733"/>
      <c r="J824" s="733"/>
      <c r="K824" s="735">
        <v>0</v>
      </c>
      <c r="L824" s="750">
        <v>0</v>
      </c>
    </row>
    <row r="825" spans="1:12" ht="21" x14ac:dyDescent="0.25">
      <c r="A825" s="561" t="s">
        <v>3125</v>
      </c>
      <c r="B825" s="749">
        <v>2023</v>
      </c>
      <c r="C825" s="561" t="s">
        <v>695</v>
      </c>
      <c r="D825" s="561" t="s">
        <v>3144</v>
      </c>
      <c r="E825" s="561" t="s">
        <v>697</v>
      </c>
      <c r="F825" s="735">
        <v>0</v>
      </c>
      <c r="G825" s="749">
        <v>0</v>
      </c>
      <c r="H825" s="749"/>
      <c r="I825" s="733"/>
      <c r="J825" s="733"/>
      <c r="K825" s="735">
        <v>0</v>
      </c>
      <c r="L825" s="750">
        <v>0</v>
      </c>
    </row>
    <row r="826" spans="1:12" x14ac:dyDescent="0.25">
      <c r="A826" s="561" t="s">
        <v>3125</v>
      </c>
      <c r="B826" s="749">
        <v>2023</v>
      </c>
      <c r="C826" s="561" t="s">
        <v>698</v>
      </c>
      <c r="D826" s="561" t="s">
        <v>3145</v>
      </c>
      <c r="E826" s="561" t="s">
        <v>700</v>
      </c>
      <c r="F826" s="735">
        <v>67815.070000000007</v>
      </c>
      <c r="G826" s="749">
        <v>0</v>
      </c>
      <c r="H826" s="749"/>
      <c r="I826" s="733"/>
      <c r="J826" s="733"/>
      <c r="K826" s="735">
        <v>0</v>
      </c>
      <c r="L826" s="750">
        <v>67815.070000000007</v>
      </c>
    </row>
    <row r="827" spans="1:12" ht="21" x14ac:dyDescent="0.25">
      <c r="A827" s="561" t="s">
        <v>3125</v>
      </c>
      <c r="B827" s="749">
        <v>2023</v>
      </c>
      <c r="C827" s="561" t="s">
        <v>701</v>
      </c>
      <c r="D827" s="561" t="s">
        <v>3146</v>
      </c>
      <c r="E827" s="561" t="s">
        <v>1</v>
      </c>
      <c r="F827" s="735">
        <v>1357657.21</v>
      </c>
      <c r="G827" s="749">
        <v>1</v>
      </c>
      <c r="H827" s="749"/>
      <c r="I827" s="735">
        <v>1354257.81</v>
      </c>
      <c r="J827" s="735">
        <v>3399.4</v>
      </c>
      <c r="K827" s="735">
        <v>1357657.21</v>
      </c>
      <c r="L827" s="750">
        <v>1357657.21</v>
      </c>
    </row>
    <row r="828" spans="1:12" ht="21" x14ac:dyDescent="0.25">
      <c r="A828" s="561" t="s">
        <v>3125</v>
      </c>
      <c r="B828" s="749">
        <v>2023</v>
      </c>
      <c r="C828" s="561" t="s">
        <v>701</v>
      </c>
      <c r="D828" s="561" t="s">
        <v>3146</v>
      </c>
      <c r="E828" s="561" t="s">
        <v>703</v>
      </c>
      <c r="F828" s="735">
        <v>0</v>
      </c>
      <c r="G828" s="749">
        <v>0</v>
      </c>
      <c r="H828" s="749"/>
      <c r="I828" s="733"/>
      <c r="J828" s="733"/>
      <c r="K828" s="735">
        <v>0</v>
      </c>
      <c r="L828" s="751">
        <v>0</v>
      </c>
    </row>
    <row r="829" spans="1:12" ht="21" x14ac:dyDescent="0.25">
      <c r="A829" s="561" t="s">
        <v>3125</v>
      </c>
      <c r="B829" s="749">
        <v>2023</v>
      </c>
      <c r="C829" s="561" t="s">
        <v>701</v>
      </c>
      <c r="D829" s="561" t="s">
        <v>3146</v>
      </c>
      <c r="E829" s="561" t="s">
        <v>704</v>
      </c>
      <c r="F829" s="735">
        <v>0</v>
      </c>
      <c r="G829" s="749">
        <v>0</v>
      </c>
      <c r="H829" s="749"/>
      <c r="I829" s="733"/>
      <c r="J829" s="733"/>
      <c r="K829" s="735">
        <v>0</v>
      </c>
      <c r="L829" s="751">
        <v>0</v>
      </c>
    </row>
    <row r="830" spans="1:12" ht="21" x14ac:dyDescent="0.25">
      <c r="A830" s="561" t="s">
        <v>3125</v>
      </c>
      <c r="B830" s="749">
        <v>2023</v>
      </c>
      <c r="C830" s="561" t="s">
        <v>701</v>
      </c>
      <c r="D830" s="561" t="s">
        <v>3146</v>
      </c>
      <c r="E830" s="561" t="s">
        <v>705</v>
      </c>
      <c r="F830" s="735">
        <v>0</v>
      </c>
      <c r="G830" s="749">
        <v>0</v>
      </c>
      <c r="H830" s="749"/>
      <c r="I830" s="733"/>
      <c r="J830" s="733"/>
      <c r="K830" s="735">
        <v>0</v>
      </c>
      <c r="L830" s="751">
        <v>-2097.34</v>
      </c>
    </row>
    <row r="831" spans="1:12" ht="21" x14ac:dyDescent="0.25">
      <c r="A831" s="561" t="s">
        <v>3125</v>
      </c>
      <c r="B831" s="749">
        <v>2023</v>
      </c>
      <c r="C831" s="561" t="s">
        <v>701</v>
      </c>
      <c r="D831" s="561" t="s">
        <v>3146</v>
      </c>
      <c r="E831" s="561" t="s">
        <v>706</v>
      </c>
      <c r="F831" s="735">
        <v>0</v>
      </c>
      <c r="G831" s="749">
        <v>0</v>
      </c>
      <c r="H831" s="749"/>
      <c r="I831" s="733"/>
      <c r="J831" s="733"/>
      <c r="K831" s="735">
        <v>0</v>
      </c>
      <c r="L831" s="751">
        <v>-99248.01</v>
      </c>
    </row>
    <row r="832" spans="1:12" x14ac:dyDescent="0.25">
      <c r="A832" s="561" t="s">
        <v>3125</v>
      </c>
      <c r="B832" s="749">
        <v>2023</v>
      </c>
      <c r="C832" s="561" t="s">
        <v>707</v>
      </c>
      <c r="D832" s="561" t="s">
        <v>3147</v>
      </c>
      <c r="E832" s="561" t="s">
        <v>709</v>
      </c>
      <c r="F832" s="735">
        <v>0</v>
      </c>
      <c r="G832" s="749">
        <v>0</v>
      </c>
      <c r="H832" s="749"/>
      <c r="I832" s="733"/>
      <c r="J832" s="733"/>
      <c r="K832" s="735">
        <v>0</v>
      </c>
      <c r="L832" s="750">
        <v>0</v>
      </c>
    </row>
    <row r="833" spans="1:12" ht="21" x14ac:dyDescent="0.25">
      <c r="A833" s="561" t="s">
        <v>3125</v>
      </c>
      <c r="B833" s="749">
        <v>2023</v>
      </c>
      <c r="C833" s="561" t="s">
        <v>710</v>
      </c>
      <c r="D833" s="561" t="s">
        <v>3148</v>
      </c>
      <c r="E833" s="561" t="s">
        <v>2</v>
      </c>
      <c r="F833" s="735">
        <v>1508374.55</v>
      </c>
      <c r="G833" s="749">
        <v>1</v>
      </c>
      <c r="H833" s="749"/>
      <c r="I833" s="735">
        <v>1498535.62</v>
      </c>
      <c r="J833" s="735">
        <v>9838.93</v>
      </c>
      <c r="K833" s="735">
        <v>1508374.55</v>
      </c>
      <c r="L833" s="750">
        <v>1508374.55</v>
      </c>
    </row>
    <row r="834" spans="1:12" ht="21" x14ac:dyDescent="0.25">
      <c r="A834" s="561" t="s">
        <v>3125</v>
      </c>
      <c r="B834" s="749">
        <v>2023</v>
      </c>
      <c r="C834" s="561" t="s">
        <v>712</v>
      </c>
      <c r="D834" s="561" t="s">
        <v>3149</v>
      </c>
      <c r="E834" s="561" t="s">
        <v>3</v>
      </c>
      <c r="F834" s="735">
        <v>494153.64</v>
      </c>
      <c r="G834" s="749">
        <v>1</v>
      </c>
      <c r="H834" s="749"/>
      <c r="I834" s="735">
        <v>493278.17</v>
      </c>
      <c r="J834" s="735">
        <v>875.47</v>
      </c>
      <c r="K834" s="735">
        <v>494153.64</v>
      </c>
      <c r="L834" s="750">
        <v>494153.64</v>
      </c>
    </row>
    <row r="835" spans="1:12" ht="21" x14ac:dyDescent="0.25">
      <c r="A835" s="561" t="s">
        <v>3125</v>
      </c>
      <c r="B835" s="749">
        <v>2023</v>
      </c>
      <c r="C835" s="561" t="s">
        <v>714</v>
      </c>
      <c r="D835" s="561" t="s">
        <v>3150</v>
      </c>
      <c r="E835" s="561" t="s">
        <v>38</v>
      </c>
      <c r="F835" s="735">
        <v>-917494.89</v>
      </c>
      <c r="G835" s="749">
        <v>1</v>
      </c>
      <c r="H835" s="749"/>
      <c r="I835" s="735">
        <v>-1028757.63</v>
      </c>
      <c r="J835" s="735">
        <v>111262.74</v>
      </c>
      <c r="K835" s="735">
        <v>-917494.89</v>
      </c>
      <c r="L835" s="750">
        <v>-917494.89</v>
      </c>
    </row>
    <row r="836" spans="1:12" x14ac:dyDescent="0.25">
      <c r="A836" s="561" t="s">
        <v>3125</v>
      </c>
      <c r="B836" s="749">
        <v>2023</v>
      </c>
      <c r="C836" s="561" t="s">
        <v>716</v>
      </c>
      <c r="D836" s="561" t="s">
        <v>3151</v>
      </c>
      <c r="E836" s="561" t="s">
        <v>66</v>
      </c>
      <c r="F836" s="735">
        <v>3843491.3</v>
      </c>
      <c r="G836" s="749">
        <v>1</v>
      </c>
      <c r="H836" s="749"/>
      <c r="I836" s="735">
        <v>3692673.28</v>
      </c>
      <c r="J836" s="735">
        <v>150818.01999999999</v>
      </c>
      <c r="K836" s="735">
        <v>3843491.3</v>
      </c>
      <c r="L836" s="750">
        <v>3843491.3</v>
      </c>
    </row>
    <row r="837" spans="1:12" ht="21" x14ac:dyDescent="0.25">
      <c r="A837" s="561" t="s">
        <v>3125</v>
      </c>
      <c r="B837" s="749">
        <v>2023</v>
      </c>
      <c r="C837" s="561" t="s">
        <v>718</v>
      </c>
      <c r="D837" s="561" t="s">
        <v>3152</v>
      </c>
      <c r="E837" s="561" t="s">
        <v>720</v>
      </c>
      <c r="F837" s="735">
        <v>-201588</v>
      </c>
      <c r="G837" s="749">
        <v>0</v>
      </c>
      <c r="H837" s="749"/>
      <c r="I837" s="733"/>
      <c r="J837" s="733"/>
      <c r="K837" s="735">
        <v>0</v>
      </c>
      <c r="L837" s="750">
        <v>-201588</v>
      </c>
    </row>
    <row r="838" spans="1:12" ht="31.5" x14ac:dyDescent="0.25">
      <c r="A838" s="561" t="s">
        <v>3125</v>
      </c>
      <c r="B838" s="749">
        <v>2023</v>
      </c>
      <c r="C838" s="561" t="s">
        <v>721</v>
      </c>
      <c r="D838" s="561" t="s">
        <v>3154</v>
      </c>
      <c r="E838" s="561" t="s">
        <v>724</v>
      </c>
      <c r="F838" s="735">
        <v>0</v>
      </c>
      <c r="G838" s="749">
        <v>1</v>
      </c>
      <c r="H838" s="749"/>
      <c r="I838" s="733"/>
      <c r="J838" s="733"/>
      <c r="K838" s="735">
        <v>0</v>
      </c>
      <c r="L838" s="750">
        <v>0</v>
      </c>
    </row>
    <row r="839" spans="1:12" ht="31.5" x14ac:dyDescent="0.25">
      <c r="A839" s="561" t="s">
        <v>3125</v>
      </c>
      <c r="B839" s="749">
        <v>2023</v>
      </c>
      <c r="C839" s="561" t="s">
        <v>721</v>
      </c>
      <c r="D839" s="561" t="s">
        <v>3155</v>
      </c>
      <c r="E839" s="561" t="s">
        <v>55</v>
      </c>
      <c r="F839" s="735">
        <v>0</v>
      </c>
      <c r="G839" s="749">
        <v>1</v>
      </c>
      <c r="H839" s="749"/>
      <c r="I839" s="733"/>
      <c r="J839" s="733"/>
      <c r="K839" s="735">
        <v>0</v>
      </c>
      <c r="L839" s="750">
        <v>0</v>
      </c>
    </row>
    <row r="840" spans="1:12" ht="31.5" x14ac:dyDescent="0.25">
      <c r="A840" s="561" t="s">
        <v>3125</v>
      </c>
      <c r="B840" s="749">
        <v>2023</v>
      </c>
      <c r="C840" s="561" t="s">
        <v>721</v>
      </c>
      <c r="D840" s="561" t="s">
        <v>3156</v>
      </c>
      <c r="E840" s="561" t="s">
        <v>56</v>
      </c>
      <c r="F840" s="735">
        <v>0</v>
      </c>
      <c r="G840" s="749">
        <v>1</v>
      </c>
      <c r="H840" s="749"/>
      <c r="I840" s="733"/>
      <c r="J840" s="733"/>
      <c r="K840" s="735">
        <v>0</v>
      </c>
      <c r="L840" s="750">
        <v>0</v>
      </c>
    </row>
    <row r="841" spans="1:12" ht="31.5" x14ac:dyDescent="0.25">
      <c r="A841" s="561" t="s">
        <v>3125</v>
      </c>
      <c r="B841" s="749">
        <v>2023</v>
      </c>
      <c r="C841" s="561" t="s">
        <v>721</v>
      </c>
      <c r="D841" s="561" t="s">
        <v>3157</v>
      </c>
      <c r="E841" s="561" t="s">
        <v>728</v>
      </c>
      <c r="F841" s="735">
        <v>0</v>
      </c>
      <c r="G841" s="749">
        <v>1</v>
      </c>
      <c r="H841" s="749"/>
      <c r="I841" s="733"/>
      <c r="J841" s="733"/>
      <c r="K841" s="735">
        <v>0</v>
      </c>
      <c r="L841" s="750">
        <v>0</v>
      </c>
    </row>
    <row r="842" spans="1:12" ht="31.5" x14ac:dyDescent="0.25">
      <c r="A842" s="561" t="s">
        <v>3125</v>
      </c>
      <c r="B842" s="749">
        <v>2023</v>
      </c>
      <c r="C842" s="561" t="s">
        <v>721</v>
      </c>
      <c r="D842" s="561" t="s">
        <v>3158</v>
      </c>
      <c r="E842" s="561" t="s">
        <v>730</v>
      </c>
      <c r="F842" s="735">
        <v>0</v>
      </c>
      <c r="G842" s="749">
        <v>1</v>
      </c>
      <c r="H842" s="749"/>
      <c r="I842" s="733"/>
      <c r="J842" s="733"/>
      <c r="K842" s="735">
        <v>0</v>
      </c>
      <c r="L842" s="750">
        <v>0</v>
      </c>
    </row>
    <row r="843" spans="1:12" ht="31.5" x14ac:dyDescent="0.25">
      <c r="A843" s="561" t="s">
        <v>3125</v>
      </c>
      <c r="B843" s="749">
        <v>2023</v>
      </c>
      <c r="C843" s="561" t="s">
        <v>721</v>
      </c>
      <c r="D843" s="561" t="s">
        <v>3159</v>
      </c>
      <c r="E843" s="561" t="s">
        <v>142</v>
      </c>
      <c r="F843" s="735">
        <v>0</v>
      </c>
      <c r="G843" s="749">
        <v>1</v>
      </c>
      <c r="H843" s="749"/>
      <c r="I843" s="733"/>
      <c r="J843" s="733"/>
      <c r="K843" s="735">
        <v>0</v>
      </c>
      <c r="L843" s="750">
        <v>0</v>
      </c>
    </row>
    <row r="844" spans="1:12" ht="31.5" x14ac:dyDescent="0.25">
      <c r="A844" s="561" t="s">
        <v>3125</v>
      </c>
      <c r="B844" s="749">
        <v>2023</v>
      </c>
      <c r="C844" s="561" t="s">
        <v>721</v>
      </c>
      <c r="D844" s="561" t="s">
        <v>3160</v>
      </c>
      <c r="E844" s="561" t="s">
        <v>143</v>
      </c>
      <c r="F844" s="735">
        <v>0</v>
      </c>
      <c r="G844" s="749">
        <v>1</v>
      </c>
      <c r="H844" s="749"/>
      <c r="I844" s="733"/>
      <c r="J844" s="733"/>
      <c r="K844" s="735">
        <v>0</v>
      </c>
      <c r="L844" s="750">
        <v>0</v>
      </c>
    </row>
    <row r="845" spans="1:12" ht="31.5" x14ac:dyDescent="0.25">
      <c r="A845" s="561" t="s">
        <v>3125</v>
      </c>
      <c r="B845" s="749">
        <v>2023</v>
      </c>
      <c r="C845" s="561" t="s">
        <v>721</v>
      </c>
      <c r="D845" s="561" t="s">
        <v>3161</v>
      </c>
      <c r="E845" s="561" t="s">
        <v>182</v>
      </c>
      <c r="F845" s="735">
        <v>0</v>
      </c>
      <c r="G845" s="749">
        <v>1</v>
      </c>
      <c r="H845" s="749"/>
      <c r="I845" s="733"/>
      <c r="J845" s="733"/>
      <c r="K845" s="735">
        <v>0</v>
      </c>
      <c r="L845" s="750">
        <v>0</v>
      </c>
    </row>
    <row r="846" spans="1:12" ht="31.5" x14ac:dyDescent="0.25">
      <c r="A846" s="561" t="s">
        <v>3125</v>
      </c>
      <c r="B846" s="749">
        <v>2023</v>
      </c>
      <c r="C846" s="561" t="s">
        <v>721</v>
      </c>
      <c r="D846" s="561" t="s">
        <v>3162</v>
      </c>
      <c r="E846" s="561" t="s">
        <v>394</v>
      </c>
      <c r="F846" s="735">
        <v>0</v>
      </c>
      <c r="G846" s="749">
        <v>1</v>
      </c>
      <c r="H846" s="749"/>
      <c r="I846" s="733"/>
      <c r="J846" s="733"/>
      <c r="K846" s="735">
        <v>0</v>
      </c>
      <c r="L846" s="750">
        <v>0</v>
      </c>
    </row>
    <row r="847" spans="1:12" ht="31.5" x14ac:dyDescent="0.25">
      <c r="A847" s="561" t="s">
        <v>3125</v>
      </c>
      <c r="B847" s="749">
        <v>2023</v>
      </c>
      <c r="C847" s="561" t="s">
        <v>721</v>
      </c>
      <c r="D847" s="561" t="s">
        <v>3163</v>
      </c>
      <c r="E847" s="561" t="s">
        <v>423</v>
      </c>
      <c r="F847" s="735">
        <v>0</v>
      </c>
      <c r="G847" s="749">
        <v>1</v>
      </c>
      <c r="H847" s="749"/>
      <c r="I847" s="733"/>
      <c r="J847" s="733"/>
      <c r="K847" s="735">
        <v>0</v>
      </c>
      <c r="L847" s="750">
        <v>0</v>
      </c>
    </row>
    <row r="848" spans="1:12" ht="31.5" x14ac:dyDescent="0.25">
      <c r="A848" s="561" t="s">
        <v>3125</v>
      </c>
      <c r="B848" s="749">
        <v>2023</v>
      </c>
      <c r="C848" s="561" t="s">
        <v>721</v>
      </c>
      <c r="D848" s="561" t="s">
        <v>3164</v>
      </c>
      <c r="E848" s="561" t="s">
        <v>441</v>
      </c>
      <c r="F848" s="735">
        <v>0</v>
      </c>
      <c r="G848" s="749">
        <v>1</v>
      </c>
      <c r="H848" s="749"/>
      <c r="I848" s="735">
        <v>-427085.74</v>
      </c>
      <c r="J848" s="735">
        <v>-3714.47</v>
      </c>
      <c r="K848" s="735">
        <v>-430800.21</v>
      </c>
      <c r="L848" s="750">
        <v>-430800.21</v>
      </c>
    </row>
    <row r="849" spans="1:12" ht="31.5" x14ac:dyDescent="0.25">
      <c r="A849" s="561" t="s">
        <v>3125</v>
      </c>
      <c r="B849" s="749">
        <v>2023</v>
      </c>
      <c r="C849" s="561" t="s">
        <v>721</v>
      </c>
      <c r="D849" s="561" t="s">
        <v>3501</v>
      </c>
      <c r="E849" s="561" t="s">
        <v>3016</v>
      </c>
      <c r="F849" s="735">
        <v>0</v>
      </c>
      <c r="G849" s="749">
        <v>1</v>
      </c>
      <c r="H849" s="749"/>
      <c r="I849" s="735">
        <v>-9387.06</v>
      </c>
      <c r="J849" s="735">
        <v>16919.759999999998</v>
      </c>
      <c r="K849" s="735">
        <v>7532.7</v>
      </c>
      <c r="L849" s="750">
        <v>7532.7</v>
      </c>
    </row>
    <row r="850" spans="1:12" ht="31.5" x14ac:dyDescent="0.25">
      <c r="A850" s="561" t="s">
        <v>3125</v>
      </c>
      <c r="B850" s="749">
        <v>2023</v>
      </c>
      <c r="C850" s="561" t="s">
        <v>721</v>
      </c>
      <c r="D850" s="561" t="s">
        <v>3502</v>
      </c>
      <c r="E850" s="561" t="s">
        <v>3058</v>
      </c>
      <c r="F850" s="735">
        <v>0</v>
      </c>
      <c r="G850" s="749">
        <v>1</v>
      </c>
      <c r="H850" s="749"/>
      <c r="I850" s="735">
        <v>-80182.83</v>
      </c>
      <c r="J850" s="735">
        <v>58132.94</v>
      </c>
      <c r="K850" s="735">
        <v>-22049.89</v>
      </c>
      <c r="L850" s="750">
        <v>-22049.89</v>
      </c>
    </row>
    <row r="851" spans="1:12" ht="31.5" x14ac:dyDescent="0.25">
      <c r="A851" s="561" t="s">
        <v>3125</v>
      </c>
      <c r="B851" s="749">
        <v>2023</v>
      </c>
      <c r="C851" s="561" t="s">
        <v>721</v>
      </c>
      <c r="D851" s="561" t="s">
        <v>3503</v>
      </c>
      <c r="E851" s="561" t="s">
        <v>3063</v>
      </c>
      <c r="F851" s="735">
        <v>0</v>
      </c>
      <c r="G851" s="749">
        <v>1</v>
      </c>
      <c r="H851" s="749"/>
      <c r="I851" s="735">
        <v>8461.76</v>
      </c>
      <c r="J851" s="735">
        <v>-7170.96</v>
      </c>
      <c r="K851" s="735">
        <v>1290.8</v>
      </c>
      <c r="L851" s="750">
        <v>1290.8</v>
      </c>
    </row>
    <row r="852" spans="1:12" ht="31.5" x14ac:dyDescent="0.25">
      <c r="A852" s="561" t="s">
        <v>3125</v>
      </c>
      <c r="B852" s="749">
        <v>2023</v>
      </c>
      <c r="C852" s="561" t="s">
        <v>721</v>
      </c>
      <c r="D852" s="561" t="s">
        <v>3768</v>
      </c>
      <c r="E852" s="561" t="s">
        <v>3425</v>
      </c>
      <c r="F852" s="735">
        <v>0</v>
      </c>
      <c r="G852" s="749">
        <v>1</v>
      </c>
      <c r="H852" s="749"/>
      <c r="I852" s="733"/>
      <c r="J852" s="733"/>
      <c r="K852" s="735">
        <v>0</v>
      </c>
      <c r="L852" s="750">
        <v>0</v>
      </c>
    </row>
    <row r="853" spans="1:12" ht="42" x14ac:dyDescent="0.25">
      <c r="A853" s="561" t="s">
        <v>3125</v>
      </c>
      <c r="B853" s="749">
        <v>2023</v>
      </c>
      <c r="C853" s="561" t="s">
        <v>721</v>
      </c>
      <c r="D853" s="561" t="s">
        <v>3769</v>
      </c>
      <c r="E853" s="561" t="s">
        <v>737</v>
      </c>
      <c r="F853" s="735">
        <v>-444026.6</v>
      </c>
      <c r="G853" s="749">
        <v>0</v>
      </c>
      <c r="H853" s="749"/>
      <c r="I853" s="733"/>
      <c r="J853" s="733"/>
      <c r="K853" s="735">
        <v>0</v>
      </c>
      <c r="L853" s="750">
        <v>-444026.6</v>
      </c>
    </row>
    <row r="854" spans="1:12" x14ac:dyDescent="0.25">
      <c r="A854" s="561" t="s">
        <v>3125</v>
      </c>
      <c r="B854" s="749">
        <v>2023</v>
      </c>
      <c r="C854" s="561" t="s">
        <v>738</v>
      </c>
      <c r="D854" s="561" t="s">
        <v>3166</v>
      </c>
      <c r="E854" s="561" t="s">
        <v>7</v>
      </c>
      <c r="F854" s="735">
        <v>0</v>
      </c>
      <c r="G854" s="749">
        <v>0</v>
      </c>
      <c r="H854" s="749"/>
      <c r="I854" s="733"/>
      <c r="J854" s="733"/>
      <c r="K854" s="735">
        <v>0</v>
      </c>
      <c r="L854" s="750">
        <v>0</v>
      </c>
    </row>
    <row r="855" spans="1:12" x14ac:dyDescent="0.25">
      <c r="A855" s="561" t="s">
        <v>89</v>
      </c>
      <c r="B855" s="749">
        <v>2023</v>
      </c>
      <c r="C855" s="561" t="s">
        <v>647</v>
      </c>
      <c r="D855" s="561" t="s">
        <v>1302</v>
      </c>
      <c r="E855" s="561" t="s">
        <v>649</v>
      </c>
      <c r="F855" s="735">
        <v>-599673.44999999995</v>
      </c>
      <c r="G855" s="749">
        <v>0</v>
      </c>
      <c r="H855" s="749"/>
      <c r="I855" s="733"/>
      <c r="J855" s="733"/>
      <c r="K855" s="735">
        <v>0</v>
      </c>
      <c r="L855" s="750">
        <v>-599673.44999999995</v>
      </c>
    </row>
    <row r="856" spans="1:12" ht="21" x14ac:dyDescent="0.25">
      <c r="A856" s="561" t="s">
        <v>89</v>
      </c>
      <c r="B856" s="749">
        <v>2023</v>
      </c>
      <c r="C856" s="561" t="s">
        <v>3691</v>
      </c>
      <c r="D856" s="561" t="s">
        <v>3637</v>
      </c>
      <c r="E856" s="561" t="s">
        <v>3675</v>
      </c>
      <c r="F856" s="735">
        <v>98189.68</v>
      </c>
      <c r="G856" s="749">
        <v>0</v>
      </c>
      <c r="H856" s="749"/>
      <c r="I856" s="733"/>
      <c r="J856" s="733"/>
      <c r="K856" s="735">
        <v>0</v>
      </c>
      <c r="L856" s="750">
        <v>98189.68</v>
      </c>
    </row>
    <row r="857" spans="1:12" x14ac:dyDescent="0.25">
      <c r="A857" s="561" t="s">
        <v>89</v>
      </c>
      <c r="B857" s="749">
        <v>2023</v>
      </c>
      <c r="C857" s="561" t="s">
        <v>651</v>
      </c>
      <c r="D857" s="561" t="s">
        <v>1303</v>
      </c>
      <c r="E857" s="561" t="s">
        <v>653</v>
      </c>
      <c r="F857" s="735">
        <v>0</v>
      </c>
      <c r="G857" s="749">
        <v>0</v>
      </c>
      <c r="H857" s="749"/>
      <c r="I857" s="733"/>
      <c r="J857" s="733"/>
      <c r="K857" s="735">
        <v>0</v>
      </c>
      <c r="L857" s="750">
        <v>0</v>
      </c>
    </row>
    <row r="858" spans="1:12" ht="31.5" x14ac:dyDescent="0.25">
      <c r="A858" s="561" t="s">
        <v>89</v>
      </c>
      <c r="B858" s="749">
        <v>2023</v>
      </c>
      <c r="C858" s="561" t="s">
        <v>654</v>
      </c>
      <c r="D858" s="561" t="s">
        <v>1304</v>
      </c>
      <c r="E858" s="561" t="s">
        <v>445</v>
      </c>
      <c r="F858" s="735">
        <v>0</v>
      </c>
      <c r="G858" s="749">
        <v>0</v>
      </c>
      <c r="H858" s="749"/>
      <c r="I858" s="733"/>
      <c r="J858" s="733"/>
      <c r="K858" s="735">
        <v>0</v>
      </c>
      <c r="L858" s="750">
        <v>0</v>
      </c>
    </row>
    <row r="859" spans="1:12" ht="21" x14ac:dyDescent="0.25">
      <c r="A859" s="561" t="s">
        <v>89</v>
      </c>
      <c r="B859" s="749">
        <v>2023</v>
      </c>
      <c r="C859" s="561" t="s">
        <v>656</v>
      </c>
      <c r="D859" s="561" t="s">
        <v>1305</v>
      </c>
      <c r="E859" s="561" t="s">
        <v>658</v>
      </c>
      <c r="F859" s="735">
        <v>31623.5</v>
      </c>
      <c r="G859" s="749">
        <v>0</v>
      </c>
      <c r="H859" s="749"/>
      <c r="I859" s="733"/>
      <c r="J859" s="733"/>
      <c r="K859" s="735">
        <v>0</v>
      </c>
      <c r="L859" s="750">
        <v>31623.5</v>
      </c>
    </row>
    <row r="860" spans="1:12" ht="21" x14ac:dyDescent="0.25">
      <c r="A860" s="561" t="s">
        <v>89</v>
      </c>
      <c r="B860" s="749">
        <v>2023</v>
      </c>
      <c r="C860" s="561" t="s">
        <v>659</v>
      </c>
      <c r="D860" s="561" t="s">
        <v>1306</v>
      </c>
      <c r="E860" s="561" t="s">
        <v>661</v>
      </c>
      <c r="F860" s="735">
        <v>0</v>
      </c>
      <c r="G860" s="749">
        <v>0</v>
      </c>
      <c r="H860" s="749"/>
      <c r="I860" s="733"/>
      <c r="J860" s="733"/>
      <c r="K860" s="735">
        <v>0</v>
      </c>
      <c r="L860" s="750">
        <v>0</v>
      </c>
    </row>
    <row r="861" spans="1:12" ht="21" x14ac:dyDescent="0.25">
      <c r="A861" s="561" t="s">
        <v>89</v>
      </c>
      <c r="B861" s="749">
        <v>2023</v>
      </c>
      <c r="C861" s="561" t="s">
        <v>662</v>
      </c>
      <c r="D861" s="561" t="s">
        <v>1307</v>
      </c>
      <c r="E861" s="561" t="s">
        <v>664</v>
      </c>
      <c r="F861" s="735">
        <v>0</v>
      </c>
      <c r="G861" s="749">
        <v>0</v>
      </c>
      <c r="H861" s="749"/>
      <c r="I861" s="733"/>
      <c r="J861" s="733"/>
      <c r="K861" s="735">
        <v>0</v>
      </c>
      <c r="L861" s="750">
        <v>0</v>
      </c>
    </row>
    <row r="862" spans="1:12" ht="31.5" x14ac:dyDescent="0.25">
      <c r="A862" s="561" t="s">
        <v>89</v>
      </c>
      <c r="B862" s="749">
        <v>2023</v>
      </c>
      <c r="C862" s="561" t="s">
        <v>665</v>
      </c>
      <c r="D862" s="561" t="s">
        <v>1308</v>
      </c>
      <c r="E862" s="561" t="s">
        <v>667</v>
      </c>
      <c r="F862" s="735">
        <v>0</v>
      </c>
      <c r="G862" s="749">
        <v>0</v>
      </c>
      <c r="H862" s="749"/>
      <c r="I862" s="733"/>
      <c r="J862" s="733"/>
      <c r="K862" s="735">
        <v>0</v>
      </c>
      <c r="L862" s="750">
        <v>0</v>
      </c>
    </row>
    <row r="863" spans="1:12" ht="21" x14ac:dyDescent="0.25">
      <c r="A863" s="561" t="s">
        <v>89</v>
      </c>
      <c r="B863" s="749">
        <v>2023</v>
      </c>
      <c r="C863" s="561" t="s">
        <v>668</v>
      </c>
      <c r="D863" s="561" t="s">
        <v>1309</v>
      </c>
      <c r="E863" s="561" t="s">
        <v>12</v>
      </c>
      <c r="F863" s="735">
        <v>0</v>
      </c>
      <c r="G863" s="749">
        <v>0</v>
      </c>
      <c r="H863" s="749"/>
      <c r="I863" s="733"/>
      <c r="J863" s="733"/>
      <c r="K863" s="735">
        <v>0</v>
      </c>
      <c r="L863" s="750">
        <v>0</v>
      </c>
    </row>
    <row r="864" spans="1:12" ht="21" x14ac:dyDescent="0.25">
      <c r="A864" s="561" t="s">
        <v>89</v>
      </c>
      <c r="B864" s="749">
        <v>2023</v>
      </c>
      <c r="C864" s="561" t="s">
        <v>670</v>
      </c>
      <c r="D864" s="561" t="s">
        <v>1310</v>
      </c>
      <c r="E864" s="561" t="s">
        <v>13</v>
      </c>
      <c r="F864" s="735">
        <v>32974.39</v>
      </c>
      <c r="G864" s="749">
        <v>0</v>
      </c>
      <c r="H864" s="749"/>
      <c r="I864" s="733"/>
      <c r="J864" s="733"/>
      <c r="K864" s="735">
        <v>0</v>
      </c>
      <c r="L864" s="750">
        <v>32974.39</v>
      </c>
    </row>
    <row r="865" spans="1:12" ht="21" x14ac:dyDescent="0.25">
      <c r="A865" s="561" t="s">
        <v>89</v>
      </c>
      <c r="B865" s="749">
        <v>2023</v>
      </c>
      <c r="C865" s="561" t="s">
        <v>672</v>
      </c>
      <c r="D865" s="561" t="s">
        <v>1311</v>
      </c>
      <c r="E865" s="561" t="s">
        <v>15</v>
      </c>
      <c r="F865" s="735">
        <v>0</v>
      </c>
      <c r="G865" s="749">
        <v>0</v>
      </c>
      <c r="H865" s="749"/>
      <c r="I865" s="733"/>
      <c r="J865" s="733"/>
      <c r="K865" s="735">
        <v>0</v>
      </c>
      <c r="L865" s="750">
        <v>0</v>
      </c>
    </row>
    <row r="866" spans="1:12" x14ac:dyDescent="0.25">
      <c r="A866" s="561" t="s">
        <v>89</v>
      </c>
      <c r="B866" s="749">
        <v>2023</v>
      </c>
      <c r="C866" s="561" t="s">
        <v>674</v>
      </c>
      <c r="D866" s="561" t="s">
        <v>1312</v>
      </c>
      <c r="E866" s="561" t="s">
        <v>676</v>
      </c>
      <c r="F866" s="735">
        <v>0</v>
      </c>
      <c r="G866" s="749">
        <v>0</v>
      </c>
      <c r="H866" s="749"/>
      <c r="I866" s="733"/>
      <c r="J866" s="733"/>
      <c r="K866" s="735">
        <v>0</v>
      </c>
      <c r="L866" s="750">
        <v>0</v>
      </c>
    </row>
    <row r="867" spans="1:12" x14ac:dyDescent="0.25">
      <c r="A867" s="561" t="s">
        <v>89</v>
      </c>
      <c r="B867" s="749">
        <v>2023</v>
      </c>
      <c r="C867" s="561" t="s">
        <v>677</v>
      </c>
      <c r="D867" s="561" t="s">
        <v>1313</v>
      </c>
      <c r="E867" s="561" t="s">
        <v>23</v>
      </c>
      <c r="F867" s="735">
        <v>943645.92</v>
      </c>
      <c r="G867" s="749">
        <v>1</v>
      </c>
      <c r="H867" s="749"/>
      <c r="I867" s="735">
        <v>920372.45</v>
      </c>
      <c r="J867" s="735">
        <v>23273.47</v>
      </c>
      <c r="K867" s="735">
        <v>943645.92</v>
      </c>
      <c r="L867" s="750">
        <v>943645.92</v>
      </c>
    </row>
    <row r="868" spans="1:12" ht="21" x14ac:dyDescent="0.25">
      <c r="A868" s="561" t="s">
        <v>89</v>
      </c>
      <c r="B868" s="749">
        <v>2023</v>
      </c>
      <c r="C868" s="561" t="s">
        <v>679</v>
      </c>
      <c r="D868" s="561" t="s">
        <v>1314</v>
      </c>
      <c r="E868" s="561" t="s">
        <v>131</v>
      </c>
      <c r="F868" s="735">
        <v>-113852.73</v>
      </c>
      <c r="G868" s="749">
        <v>1</v>
      </c>
      <c r="H868" s="749"/>
      <c r="I868" s="735">
        <v>-112752.16</v>
      </c>
      <c r="J868" s="735">
        <v>-1100.57</v>
      </c>
      <c r="K868" s="735">
        <v>-113852.73</v>
      </c>
      <c r="L868" s="750">
        <v>-113852.73</v>
      </c>
    </row>
    <row r="869" spans="1:12" ht="31.5" x14ac:dyDescent="0.25">
      <c r="A869" s="561" t="s">
        <v>89</v>
      </c>
      <c r="B869" s="749">
        <v>2023</v>
      </c>
      <c r="C869" s="561" t="s">
        <v>681</v>
      </c>
      <c r="D869" s="561" t="s">
        <v>1315</v>
      </c>
      <c r="E869" s="561" t="s">
        <v>683</v>
      </c>
      <c r="F869" s="735">
        <v>0</v>
      </c>
      <c r="G869" s="749">
        <v>0</v>
      </c>
      <c r="H869" s="749"/>
      <c r="I869" s="733"/>
      <c r="J869" s="733"/>
      <c r="K869" s="735">
        <v>0</v>
      </c>
      <c r="L869" s="750">
        <v>0</v>
      </c>
    </row>
    <row r="870" spans="1:12" ht="21" x14ac:dyDescent="0.25">
      <c r="A870" s="561" t="s">
        <v>89</v>
      </c>
      <c r="B870" s="749">
        <v>2023</v>
      </c>
      <c r="C870" s="561" t="s">
        <v>681</v>
      </c>
      <c r="D870" s="561" t="s">
        <v>1315</v>
      </c>
      <c r="E870" s="561" t="s">
        <v>684</v>
      </c>
      <c r="F870" s="735">
        <v>0</v>
      </c>
      <c r="G870" s="749">
        <v>0</v>
      </c>
      <c r="H870" s="749"/>
      <c r="I870" s="733"/>
      <c r="J870" s="733"/>
      <c r="K870" s="735">
        <v>0</v>
      </c>
      <c r="L870" s="751">
        <v>0</v>
      </c>
    </row>
    <row r="871" spans="1:12" x14ac:dyDescent="0.25">
      <c r="A871" s="561" t="s">
        <v>89</v>
      </c>
      <c r="B871" s="749">
        <v>2023</v>
      </c>
      <c r="C871" s="561" t="s">
        <v>685</v>
      </c>
      <c r="D871" s="561" t="s">
        <v>1316</v>
      </c>
      <c r="E871" s="561" t="s">
        <v>687</v>
      </c>
      <c r="F871" s="735">
        <v>0</v>
      </c>
      <c r="G871" s="749">
        <v>0</v>
      </c>
      <c r="H871" s="749"/>
      <c r="I871" s="733"/>
      <c r="J871" s="733"/>
      <c r="K871" s="735">
        <v>0</v>
      </c>
      <c r="L871" s="750">
        <v>0</v>
      </c>
    </row>
    <row r="872" spans="1:12" x14ac:dyDescent="0.25">
      <c r="A872" s="561" t="s">
        <v>89</v>
      </c>
      <c r="B872" s="749">
        <v>2023</v>
      </c>
      <c r="C872" s="561" t="s">
        <v>688</v>
      </c>
      <c r="D872" s="561" t="s">
        <v>1317</v>
      </c>
      <c r="E872" s="561" t="s">
        <v>50</v>
      </c>
      <c r="F872" s="735">
        <v>0</v>
      </c>
      <c r="G872" s="749">
        <v>0</v>
      </c>
      <c r="H872" s="749"/>
      <c r="I872" s="733"/>
      <c r="J872" s="733"/>
      <c r="K872" s="735">
        <v>0</v>
      </c>
      <c r="L872" s="750">
        <v>0</v>
      </c>
    </row>
    <row r="873" spans="1:12" x14ac:dyDescent="0.25">
      <c r="A873" s="561" t="s">
        <v>89</v>
      </c>
      <c r="B873" s="749">
        <v>2023</v>
      </c>
      <c r="C873" s="561" t="s">
        <v>690</v>
      </c>
      <c r="D873" s="561" t="s">
        <v>1318</v>
      </c>
      <c r="E873" s="561" t="s">
        <v>692</v>
      </c>
      <c r="F873" s="735">
        <v>0</v>
      </c>
      <c r="G873" s="749">
        <v>0</v>
      </c>
      <c r="H873" s="749"/>
      <c r="I873" s="733"/>
      <c r="J873" s="733"/>
      <c r="K873" s="735">
        <v>0</v>
      </c>
      <c r="L873" s="750">
        <v>0</v>
      </c>
    </row>
    <row r="874" spans="1:12" ht="21" x14ac:dyDescent="0.25">
      <c r="A874" s="561" t="s">
        <v>89</v>
      </c>
      <c r="B874" s="749">
        <v>2023</v>
      </c>
      <c r="C874" s="561" t="s">
        <v>693</v>
      </c>
      <c r="D874" s="561" t="s">
        <v>1319</v>
      </c>
      <c r="E874" s="561" t="s">
        <v>6</v>
      </c>
      <c r="F874" s="735">
        <v>0</v>
      </c>
      <c r="G874" s="749">
        <v>0</v>
      </c>
      <c r="H874" s="749"/>
      <c r="I874" s="733"/>
      <c r="J874" s="733"/>
      <c r="K874" s="735">
        <v>0</v>
      </c>
      <c r="L874" s="750">
        <v>0</v>
      </c>
    </row>
    <row r="875" spans="1:12" ht="21" x14ac:dyDescent="0.25">
      <c r="A875" s="561" t="s">
        <v>89</v>
      </c>
      <c r="B875" s="749">
        <v>2023</v>
      </c>
      <c r="C875" s="561" t="s">
        <v>695</v>
      </c>
      <c r="D875" s="561" t="s">
        <v>1320</v>
      </c>
      <c r="E875" s="561" t="s">
        <v>697</v>
      </c>
      <c r="F875" s="735">
        <v>0</v>
      </c>
      <c r="G875" s="749">
        <v>0</v>
      </c>
      <c r="H875" s="749"/>
      <c r="I875" s="733"/>
      <c r="J875" s="733"/>
      <c r="K875" s="735">
        <v>0</v>
      </c>
      <c r="L875" s="750">
        <v>0</v>
      </c>
    </row>
    <row r="876" spans="1:12" x14ac:dyDescent="0.25">
      <c r="A876" s="561" t="s">
        <v>89</v>
      </c>
      <c r="B876" s="749">
        <v>2023</v>
      </c>
      <c r="C876" s="561" t="s">
        <v>698</v>
      </c>
      <c r="D876" s="561" t="s">
        <v>1321</v>
      </c>
      <c r="E876" s="561" t="s">
        <v>700</v>
      </c>
      <c r="F876" s="735">
        <v>147816.68</v>
      </c>
      <c r="G876" s="749">
        <v>0</v>
      </c>
      <c r="H876" s="749"/>
      <c r="I876" s="733"/>
      <c r="J876" s="733"/>
      <c r="K876" s="735">
        <v>0</v>
      </c>
      <c r="L876" s="750">
        <v>147816.68</v>
      </c>
    </row>
    <row r="877" spans="1:12" ht="21" x14ac:dyDescent="0.25">
      <c r="A877" s="561" t="s">
        <v>89</v>
      </c>
      <c r="B877" s="749">
        <v>2023</v>
      </c>
      <c r="C877" s="561" t="s">
        <v>701</v>
      </c>
      <c r="D877" s="561" t="s">
        <v>1322</v>
      </c>
      <c r="E877" s="561" t="s">
        <v>1</v>
      </c>
      <c r="F877" s="735">
        <v>1422640.59</v>
      </c>
      <c r="G877" s="749">
        <v>1</v>
      </c>
      <c r="H877" s="749"/>
      <c r="I877" s="735">
        <v>1399106.57</v>
      </c>
      <c r="J877" s="735">
        <v>23534.02</v>
      </c>
      <c r="K877" s="735">
        <v>1422640.59</v>
      </c>
      <c r="L877" s="750">
        <v>1422640.59</v>
      </c>
    </row>
    <row r="878" spans="1:12" ht="21" x14ac:dyDescent="0.25">
      <c r="A878" s="561" t="s">
        <v>89</v>
      </c>
      <c r="B878" s="749">
        <v>2023</v>
      </c>
      <c r="C878" s="561" t="s">
        <v>701</v>
      </c>
      <c r="D878" s="561" t="s">
        <v>1322</v>
      </c>
      <c r="E878" s="561" t="s">
        <v>703</v>
      </c>
      <c r="F878" s="735">
        <v>0</v>
      </c>
      <c r="G878" s="749">
        <v>0</v>
      </c>
      <c r="H878" s="749"/>
      <c r="I878" s="733"/>
      <c r="J878" s="733"/>
      <c r="K878" s="735">
        <v>0</v>
      </c>
      <c r="L878" s="751">
        <v>0</v>
      </c>
    </row>
    <row r="879" spans="1:12" ht="21" x14ac:dyDescent="0.25">
      <c r="A879" s="561" t="s">
        <v>89</v>
      </c>
      <c r="B879" s="749">
        <v>2023</v>
      </c>
      <c r="C879" s="561" t="s">
        <v>701</v>
      </c>
      <c r="D879" s="561" t="s">
        <v>1322</v>
      </c>
      <c r="E879" s="561" t="s">
        <v>704</v>
      </c>
      <c r="F879" s="735">
        <v>0</v>
      </c>
      <c r="G879" s="749">
        <v>0</v>
      </c>
      <c r="H879" s="749"/>
      <c r="I879" s="733"/>
      <c r="J879" s="733"/>
      <c r="K879" s="735">
        <v>0</v>
      </c>
      <c r="L879" s="751">
        <v>0</v>
      </c>
    </row>
    <row r="880" spans="1:12" ht="21" x14ac:dyDescent="0.25">
      <c r="A880" s="561" t="s">
        <v>89</v>
      </c>
      <c r="B880" s="749">
        <v>2023</v>
      </c>
      <c r="C880" s="561" t="s">
        <v>701</v>
      </c>
      <c r="D880" s="561" t="s">
        <v>1322</v>
      </c>
      <c r="E880" s="561" t="s">
        <v>705</v>
      </c>
      <c r="F880" s="735">
        <v>0</v>
      </c>
      <c r="G880" s="749">
        <v>0</v>
      </c>
      <c r="H880" s="749"/>
      <c r="I880" s="733"/>
      <c r="J880" s="733"/>
      <c r="K880" s="735">
        <v>0</v>
      </c>
      <c r="L880" s="751">
        <v>-2681.94</v>
      </c>
    </row>
    <row r="881" spans="1:12" ht="21" x14ac:dyDescent="0.25">
      <c r="A881" s="561" t="s">
        <v>89</v>
      </c>
      <c r="B881" s="749">
        <v>2023</v>
      </c>
      <c r="C881" s="561" t="s">
        <v>701</v>
      </c>
      <c r="D881" s="561" t="s">
        <v>1322</v>
      </c>
      <c r="E881" s="561" t="s">
        <v>706</v>
      </c>
      <c r="F881" s="735">
        <v>0</v>
      </c>
      <c r="G881" s="749">
        <v>0</v>
      </c>
      <c r="H881" s="749"/>
      <c r="I881" s="733"/>
      <c r="J881" s="733"/>
      <c r="K881" s="735">
        <v>0</v>
      </c>
      <c r="L881" s="751">
        <v>-115255.57</v>
      </c>
    </row>
    <row r="882" spans="1:12" x14ac:dyDescent="0.25">
      <c r="A882" s="561" t="s">
        <v>89</v>
      </c>
      <c r="B882" s="749">
        <v>2023</v>
      </c>
      <c r="C882" s="561" t="s">
        <v>707</v>
      </c>
      <c r="D882" s="561" t="s">
        <v>1323</v>
      </c>
      <c r="E882" s="561" t="s">
        <v>709</v>
      </c>
      <c r="F882" s="735">
        <v>0</v>
      </c>
      <c r="G882" s="749">
        <v>0</v>
      </c>
      <c r="H882" s="749"/>
      <c r="I882" s="733"/>
      <c r="J882" s="733"/>
      <c r="K882" s="735">
        <v>0</v>
      </c>
      <c r="L882" s="750">
        <v>0</v>
      </c>
    </row>
    <row r="883" spans="1:12" ht="21" x14ac:dyDescent="0.25">
      <c r="A883" s="561" t="s">
        <v>89</v>
      </c>
      <c r="B883" s="749">
        <v>2023</v>
      </c>
      <c r="C883" s="561" t="s">
        <v>710</v>
      </c>
      <c r="D883" s="561" t="s">
        <v>1324</v>
      </c>
      <c r="E883" s="561" t="s">
        <v>2</v>
      </c>
      <c r="F883" s="735">
        <v>258818.54</v>
      </c>
      <c r="G883" s="749">
        <v>1</v>
      </c>
      <c r="H883" s="749"/>
      <c r="I883" s="735">
        <v>253340.55</v>
      </c>
      <c r="J883" s="735">
        <v>5477.99</v>
      </c>
      <c r="K883" s="735">
        <v>258818.54</v>
      </c>
      <c r="L883" s="750">
        <v>258818.54</v>
      </c>
    </row>
    <row r="884" spans="1:12" ht="21" x14ac:dyDescent="0.25">
      <c r="A884" s="561" t="s">
        <v>89</v>
      </c>
      <c r="B884" s="749">
        <v>2023</v>
      </c>
      <c r="C884" s="561" t="s">
        <v>712</v>
      </c>
      <c r="D884" s="561" t="s">
        <v>1325</v>
      </c>
      <c r="E884" s="561" t="s">
        <v>3</v>
      </c>
      <c r="F884" s="735">
        <v>58467.38</v>
      </c>
      <c r="G884" s="749">
        <v>1</v>
      </c>
      <c r="H884" s="749"/>
      <c r="I884" s="735">
        <v>57363.4</v>
      </c>
      <c r="J884" s="735">
        <v>1103.98</v>
      </c>
      <c r="K884" s="735">
        <v>58467.38</v>
      </c>
      <c r="L884" s="750">
        <v>58467.38</v>
      </c>
    </row>
    <row r="885" spans="1:12" ht="21" x14ac:dyDescent="0.25">
      <c r="A885" s="561" t="s">
        <v>89</v>
      </c>
      <c r="B885" s="749">
        <v>2023</v>
      </c>
      <c r="C885" s="561" t="s">
        <v>714</v>
      </c>
      <c r="D885" s="561" t="s">
        <v>1326</v>
      </c>
      <c r="E885" s="561" t="s">
        <v>38</v>
      </c>
      <c r="F885" s="735">
        <v>1835101.97</v>
      </c>
      <c r="G885" s="749">
        <v>1</v>
      </c>
      <c r="H885" s="749"/>
      <c r="I885" s="735">
        <v>1850822.28</v>
      </c>
      <c r="J885" s="735">
        <v>-15720.31</v>
      </c>
      <c r="K885" s="735">
        <v>1835101.97</v>
      </c>
      <c r="L885" s="750">
        <v>1835101.97</v>
      </c>
    </row>
    <row r="886" spans="1:12" x14ac:dyDescent="0.25">
      <c r="A886" s="561" t="s">
        <v>89</v>
      </c>
      <c r="B886" s="749">
        <v>2023</v>
      </c>
      <c r="C886" s="561" t="s">
        <v>716</v>
      </c>
      <c r="D886" s="561" t="s">
        <v>1327</v>
      </c>
      <c r="E886" s="561" t="s">
        <v>66</v>
      </c>
      <c r="F886" s="735">
        <v>1225268.49</v>
      </c>
      <c r="G886" s="749">
        <v>1</v>
      </c>
      <c r="H886" s="749"/>
      <c r="I886" s="735">
        <v>1121977.71</v>
      </c>
      <c r="J886" s="735">
        <v>103290.78</v>
      </c>
      <c r="K886" s="735">
        <v>1225268.49</v>
      </c>
      <c r="L886" s="750">
        <v>1225268.49</v>
      </c>
    </row>
    <row r="887" spans="1:12" ht="21" x14ac:dyDescent="0.25">
      <c r="A887" s="561" t="s">
        <v>89</v>
      </c>
      <c r="B887" s="749">
        <v>2023</v>
      </c>
      <c r="C887" s="561" t="s">
        <v>718</v>
      </c>
      <c r="D887" s="561" t="s">
        <v>1328</v>
      </c>
      <c r="E887" s="561" t="s">
        <v>720</v>
      </c>
      <c r="F887" s="735">
        <v>-956767.37</v>
      </c>
      <c r="G887" s="749">
        <v>0</v>
      </c>
      <c r="H887" s="749"/>
      <c r="I887" s="733"/>
      <c r="J887" s="733"/>
      <c r="K887" s="735">
        <v>0</v>
      </c>
      <c r="L887" s="750">
        <v>-956767.37</v>
      </c>
    </row>
    <row r="888" spans="1:12" ht="31.5" x14ac:dyDescent="0.25">
      <c r="A888" s="561" t="s">
        <v>89</v>
      </c>
      <c r="B888" s="749">
        <v>2023</v>
      </c>
      <c r="C888" s="561" t="s">
        <v>721</v>
      </c>
      <c r="D888" s="561" t="s">
        <v>1330</v>
      </c>
      <c r="E888" s="561" t="s">
        <v>724</v>
      </c>
      <c r="F888" s="735">
        <v>0</v>
      </c>
      <c r="G888" s="749">
        <v>1</v>
      </c>
      <c r="H888" s="749"/>
      <c r="I888" s="733"/>
      <c r="J888" s="733"/>
      <c r="K888" s="735">
        <v>0</v>
      </c>
      <c r="L888" s="750">
        <v>0</v>
      </c>
    </row>
    <row r="889" spans="1:12" ht="31.5" x14ac:dyDescent="0.25">
      <c r="A889" s="561" t="s">
        <v>89</v>
      </c>
      <c r="B889" s="749">
        <v>2023</v>
      </c>
      <c r="C889" s="561" t="s">
        <v>721</v>
      </c>
      <c r="D889" s="561" t="s">
        <v>1331</v>
      </c>
      <c r="E889" s="561" t="s">
        <v>55</v>
      </c>
      <c r="F889" s="735">
        <v>0</v>
      </c>
      <c r="G889" s="749">
        <v>1</v>
      </c>
      <c r="H889" s="749"/>
      <c r="I889" s="733"/>
      <c r="J889" s="733"/>
      <c r="K889" s="735">
        <v>0</v>
      </c>
      <c r="L889" s="750">
        <v>0</v>
      </c>
    </row>
    <row r="890" spans="1:12" ht="31.5" x14ac:dyDescent="0.25">
      <c r="A890" s="561" t="s">
        <v>89</v>
      </c>
      <c r="B890" s="749">
        <v>2023</v>
      </c>
      <c r="C890" s="561" t="s">
        <v>721</v>
      </c>
      <c r="D890" s="561" t="s">
        <v>1332</v>
      </c>
      <c r="E890" s="561" t="s">
        <v>56</v>
      </c>
      <c r="F890" s="735">
        <v>0</v>
      </c>
      <c r="G890" s="749">
        <v>1</v>
      </c>
      <c r="H890" s="749"/>
      <c r="I890" s="733"/>
      <c r="J890" s="733"/>
      <c r="K890" s="735">
        <v>0</v>
      </c>
      <c r="L890" s="750">
        <v>0</v>
      </c>
    </row>
    <row r="891" spans="1:12" ht="31.5" x14ac:dyDescent="0.25">
      <c r="A891" s="561" t="s">
        <v>89</v>
      </c>
      <c r="B891" s="749">
        <v>2023</v>
      </c>
      <c r="C891" s="561" t="s">
        <v>721</v>
      </c>
      <c r="D891" s="561" t="s">
        <v>1333</v>
      </c>
      <c r="E891" s="561" t="s">
        <v>728</v>
      </c>
      <c r="F891" s="735">
        <v>0</v>
      </c>
      <c r="G891" s="749">
        <v>1</v>
      </c>
      <c r="H891" s="749"/>
      <c r="I891" s="733"/>
      <c r="J891" s="733"/>
      <c r="K891" s="735">
        <v>0</v>
      </c>
      <c r="L891" s="750">
        <v>0</v>
      </c>
    </row>
    <row r="892" spans="1:12" ht="31.5" x14ac:dyDescent="0.25">
      <c r="A892" s="561" t="s">
        <v>89</v>
      </c>
      <c r="B892" s="749">
        <v>2023</v>
      </c>
      <c r="C892" s="561" t="s">
        <v>721</v>
      </c>
      <c r="D892" s="561" t="s">
        <v>1334</v>
      </c>
      <c r="E892" s="561" t="s">
        <v>730</v>
      </c>
      <c r="F892" s="735">
        <v>0</v>
      </c>
      <c r="G892" s="749">
        <v>1</v>
      </c>
      <c r="H892" s="749"/>
      <c r="I892" s="733"/>
      <c r="J892" s="733"/>
      <c r="K892" s="735">
        <v>0</v>
      </c>
      <c r="L892" s="750">
        <v>0</v>
      </c>
    </row>
    <row r="893" spans="1:12" ht="31.5" x14ac:dyDescent="0.25">
      <c r="A893" s="561" t="s">
        <v>89</v>
      </c>
      <c r="B893" s="749">
        <v>2023</v>
      </c>
      <c r="C893" s="561" t="s">
        <v>721</v>
      </c>
      <c r="D893" s="561" t="s">
        <v>1335</v>
      </c>
      <c r="E893" s="561" t="s">
        <v>142</v>
      </c>
      <c r="F893" s="735">
        <v>0</v>
      </c>
      <c r="G893" s="749">
        <v>1</v>
      </c>
      <c r="H893" s="749"/>
      <c r="I893" s="733"/>
      <c r="J893" s="733"/>
      <c r="K893" s="735">
        <v>0</v>
      </c>
      <c r="L893" s="750">
        <v>0</v>
      </c>
    </row>
    <row r="894" spans="1:12" ht="31.5" x14ac:dyDescent="0.25">
      <c r="A894" s="561" t="s">
        <v>89</v>
      </c>
      <c r="B894" s="749">
        <v>2023</v>
      </c>
      <c r="C894" s="561" t="s">
        <v>721</v>
      </c>
      <c r="D894" s="561" t="s">
        <v>1336</v>
      </c>
      <c r="E894" s="561" t="s">
        <v>143</v>
      </c>
      <c r="F894" s="735">
        <v>0</v>
      </c>
      <c r="G894" s="749">
        <v>1</v>
      </c>
      <c r="H894" s="749"/>
      <c r="I894" s="733"/>
      <c r="J894" s="733"/>
      <c r="K894" s="735">
        <v>0</v>
      </c>
      <c r="L894" s="750">
        <v>0</v>
      </c>
    </row>
    <row r="895" spans="1:12" ht="31.5" x14ac:dyDescent="0.25">
      <c r="A895" s="561" t="s">
        <v>89</v>
      </c>
      <c r="B895" s="749">
        <v>2023</v>
      </c>
      <c r="C895" s="561" t="s">
        <v>721</v>
      </c>
      <c r="D895" s="561" t="s">
        <v>1337</v>
      </c>
      <c r="E895" s="561" t="s">
        <v>182</v>
      </c>
      <c r="F895" s="735">
        <v>0</v>
      </c>
      <c r="G895" s="749">
        <v>1</v>
      </c>
      <c r="H895" s="749"/>
      <c r="I895" s="733"/>
      <c r="J895" s="735">
        <v>8182.2</v>
      </c>
      <c r="K895" s="735">
        <v>8182.2</v>
      </c>
      <c r="L895" s="750">
        <v>8182.2</v>
      </c>
    </row>
    <row r="896" spans="1:12" ht="31.5" x14ac:dyDescent="0.25">
      <c r="A896" s="561" t="s">
        <v>89</v>
      </c>
      <c r="B896" s="749">
        <v>2023</v>
      </c>
      <c r="C896" s="561" t="s">
        <v>721</v>
      </c>
      <c r="D896" s="561" t="s">
        <v>1338</v>
      </c>
      <c r="E896" s="561" t="s">
        <v>394</v>
      </c>
      <c r="F896" s="735">
        <v>0</v>
      </c>
      <c r="G896" s="749">
        <v>1</v>
      </c>
      <c r="H896" s="749"/>
      <c r="I896" s="733"/>
      <c r="J896" s="733"/>
      <c r="K896" s="735">
        <v>0</v>
      </c>
      <c r="L896" s="750">
        <v>0</v>
      </c>
    </row>
    <row r="897" spans="1:12" ht="31.5" x14ac:dyDescent="0.25">
      <c r="A897" s="561" t="s">
        <v>89</v>
      </c>
      <c r="B897" s="749">
        <v>2023</v>
      </c>
      <c r="C897" s="561" t="s">
        <v>721</v>
      </c>
      <c r="D897" s="561" t="s">
        <v>1339</v>
      </c>
      <c r="E897" s="561" t="s">
        <v>423</v>
      </c>
      <c r="F897" s="735">
        <v>0</v>
      </c>
      <c r="G897" s="749">
        <v>1</v>
      </c>
      <c r="H897" s="749"/>
      <c r="I897" s="733"/>
      <c r="J897" s="733"/>
      <c r="K897" s="735">
        <v>0</v>
      </c>
      <c r="L897" s="750">
        <v>0</v>
      </c>
    </row>
    <row r="898" spans="1:12" ht="31.5" x14ac:dyDescent="0.25">
      <c r="A898" s="561" t="s">
        <v>89</v>
      </c>
      <c r="B898" s="749">
        <v>2023</v>
      </c>
      <c r="C898" s="561" t="s">
        <v>721</v>
      </c>
      <c r="D898" s="561" t="s">
        <v>3212</v>
      </c>
      <c r="E898" s="561" t="s">
        <v>441</v>
      </c>
      <c r="F898" s="735">
        <v>0</v>
      </c>
      <c r="G898" s="749">
        <v>1</v>
      </c>
      <c r="H898" s="749"/>
      <c r="I898" s="735">
        <v>-106510.5</v>
      </c>
      <c r="J898" s="735">
        <v>62531.7</v>
      </c>
      <c r="K898" s="735">
        <v>-43978.8</v>
      </c>
      <c r="L898" s="750">
        <v>-43978.8</v>
      </c>
    </row>
    <row r="899" spans="1:12" ht="31.5" x14ac:dyDescent="0.25">
      <c r="A899" s="561" t="s">
        <v>89</v>
      </c>
      <c r="B899" s="749">
        <v>2023</v>
      </c>
      <c r="C899" s="561" t="s">
        <v>721</v>
      </c>
      <c r="D899" s="561" t="s">
        <v>3510</v>
      </c>
      <c r="E899" s="561" t="s">
        <v>3016</v>
      </c>
      <c r="F899" s="735">
        <v>0</v>
      </c>
      <c r="G899" s="749">
        <v>1</v>
      </c>
      <c r="H899" s="749"/>
      <c r="I899" s="733"/>
      <c r="J899" s="733"/>
      <c r="K899" s="735">
        <v>0</v>
      </c>
      <c r="L899" s="750">
        <v>0</v>
      </c>
    </row>
    <row r="900" spans="1:12" ht="31.5" x14ac:dyDescent="0.25">
      <c r="A900" s="561" t="s">
        <v>89</v>
      </c>
      <c r="B900" s="749">
        <v>2023</v>
      </c>
      <c r="C900" s="561" t="s">
        <v>721</v>
      </c>
      <c r="D900" s="561" t="s">
        <v>3511</v>
      </c>
      <c r="E900" s="561" t="s">
        <v>3058</v>
      </c>
      <c r="F900" s="735">
        <v>0</v>
      </c>
      <c r="G900" s="749">
        <v>1</v>
      </c>
      <c r="H900" s="749"/>
      <c r="I900" s="735">
        <v>830301.06</v>
      </c>
      <c r="J900" s="735">
        <v>59788.19</v>
      </c>
      <c r="K900" s="735">
        <v>890089.25</v>
      </c>
      <c r="L900" s="750">
        <v>890089.25</v>
      </c>
    </row>
    <row r="901" spans="1:12" ht="31.5" x14ac:dyDescent="0.25">
      <c r="A901" s="561" t="s">
        <v>89</v>
      </c>
      <c r="B901" s="749">
        <v>2023</v>
      </c>
      <c r="C901" s="561" t="s">
        <v>721</v>
      </c>
      <c r="D901" s="561" t="s">
        <v>3512</v>
      </c>
      <c r="E901" s="561" t="s">
        <v>3063</v>
      </c>
      <c r="F901" s="735">
        <v>0</v>
      </c>
      <c r="G901" s="749">
        <v>1</v>
      </c>
      <c r="H901" s="749"/>
      <c r="I901" s="735">
        <v>-179207.46</v>
      </c>
      <c r="J901" s="735">
        <v>-7591.76</v>
      </c>
      <c r="K901" s="735">
        <v>-186799.22</v>
      </c>
      <c r="L901" s="750">
        <v>-186799.22</v>
      </c>
    </row>
    <row r="902" spans="1:12" ht="31.5" x14ac:dyDescent="0.25">
      <c r="A902" s="561" t="s">
        <v>89</v>
      </c>
      <c r="B902" s="749">
        <v>2023</v>
      </c>
      <c r="C902" s="561" t="s">
        <v>721</v>
      </c>
      <c r="D902" s="561" t="s">
        <v>3770</v>
      </c>
      <c r="E902" s="561" t="s">
        <v>3425</v>
      </c>
      <c r="F902" s="735">
        <v>0</v>
      </c>
      <c r="G902" s="749">
        <v>1</v>
      </c>
      <c r="H902" s="749"/>
      <c r="I902" s="735">
        <v>1532814.73</v>
      </c>
      <c r="J902" s="735">
        <v>40838.370000000003</v>
      </c>
      <c r="K902" s="735">
        <v>1573653.1</v>
      </c>
      <c r="L902" s="750">
        <v>1573653.1</v>
      </c>
    </row>
    <row r="903" spans="1:12" ht="42" x14ac:dyDescent="0.25">
      <c r="A903" s="561" t="s">
        <v>89</v>
      </c>
      <c r="B903" s="749">
        <v>2023</v>
      </c>
      <c r="C903" s="561" t="s">
        <v>721</v>
      </c>
      <c r="D903" s="561" t="s">
        <v>3771</v>
      </c>
      <c r="E903" s="561" t="s">
        <v>737</v>
      </c>
      <c r="F903" s="735">
        <v>2241146.5299999998</v>
      </c>
      <c r="G903" s="749">
        <v>0</v>
      </c>
      <c r="H903" s="749"/>
      <c r="I903" s="733"/>
      <c r="J903" s="733"/>
      <c r="K903" s="735">
        <v>0</v>
      </c>
      <c r="L903" s="750">
        <v>2241146.5299999998</v>
      </c>
    </row>
    <row r="904" spans="1:12" x14ac:dyDescent="0.25">
      <c r="A904" s="561" t="s">
        <v>89</v>
      </c>
      <c r="B904" s="749">
        <v>2023</v>
      </c>
      <c r="C904" s="561" t="s">
        <v>738</v>
      </c>
      <c r="D904" s="561" t="s">
        <v>1341</v>
      </c>
      <c r="E904" s="561" t="s">
        <v>7</v>
      </c>
      <c r="F904" s="735">
        <v>0</v>
      </c>
      <c r="G904" s="749">
        <v>0</v>
      </c>
      <c r="H904" s="749"/>
      <c r="I904" s="733"/>
      <c r="J904" s="733"/>
      <c r="K904" s="735">
        <v>0</v>
      </c>
      <c r="L904" s="750">
        <v>0</v>
      </c>
    </row>
    <row r="905" spans="1:12" x14ac:dyDescent="0.25">
      <c r="A905" s="561" t="s">
        <v>90</v>
      </c>
      <c r="B905" s="749">
        <v>2023</v>
      </c>
      <c r="C905" s="561" t="s">
        <v>647</v>
      </c>
      <c r="D905" s="561" t="s">
        <v>1342</v>
      </c>
      <c r="E905" s="561" t="s">
        <v>649</v>
      </c>
      <c r="F905" s="735">
        <v>-185248.09</v>
      </c>
      <c r="G905" s="749">
        <v>0</v>
      </c>
      <c r="H905" s="749"/>
      <c r="I905" s="733"/>
      <c r="J905" s="733"/>
      <c r="K905" s="735">
        <v>0</v>
      </c>
      <c r="L905" s="750">
        <v>-185248.09</v>
      </c>
    </row>
    <row r="906" spans="1:12" ht="21" x14ac:dyDescent="0.25">
      <c r="A906" s="561" t="s">
        <v>90</v>
      </c>
      <c r="B906" s="749">
        <v>2023</v>
      </c>
      <c r="C906" s="561" t="s">
        <v>3691</v>
      </c>
      <c r="D906" s="561" t="s">
        <v>3638</v>
      </c>
      <c r="E906" s="561" t="s">
        <v>3675</v>
      </c>
      <c r="F906" s="735">
        <v>18.62</v>
      </c>
      <c r="G906" s="749">
        <v>0</v>
      </c>
      <c r="H906" s="749"/>
      <c r="I906" s="733"/>
      <c r="J906" s="733"/>
      <c r="K906" s="735">
        <v>0</v>
      </c>
      <c r="L906" s="750">
        <v>18.62</v>
      </c>
    </row>
    <row r="907" spans="1:12" x14ac:dyDescent="0.25">
      <c r="A907" s="561" t="s">
        <v>90</v>
      </c>
      <c r="B907" s="749">
        <v>2023</v>
      </c>
      <c r="C907" s="561" t="s">
        <v>651</v>
      </c>
      <c r="D907" s="561" t="s">
        <v>1343</v>
      </c>
      <c r="E907" s="561" t="s">
        <v>653</v>
      </c>
      <c r="F907" s="735">
        <v>28091.35</v>
      </c>
      <c r="G907" s="749">
        <v>0</v>
      </c>
      <c r="H907" s="749"/>
      <c r="I907" s="733"/>
      <c r="J907" s="733"/>
      <c r="K907" s="735">
        <v>0</v>
      </c>
      <c r="L907" s="750">
        <v>28091.35</v>
      </c>
    </row>
    <row r="908" spans="1:12" ht="31.5" x14ac:dyDescent="0.25">
      <c r="A908" s="561" t="s">
        <v>90</v>
      </c>
      <c r="B908" s="749">
        <v>2023</v>
      </c>
      <c r="C908" s="561" t="s">
        <v>654</v>
      </c>
      <c r="D908" s="561" t="s">
        <v>1344</v>
      </c>
      <c r="E908" s="561" t="s">
        <v>445</v>
      </c>
      <c r="F908" s="735">
        <v>-18609.63</v>
      </c>
      <c r="G908" s="749">
        <v>0</v>
      </c>
      <c r="H908" s="749"/>
      <c r="I908" s="733"/>
      <c r="J908" s="733"/>
      <c r="K908" s="735">
        <v>0</v>
      </c>
      <c r="L908" s="750">
        <v>-18609.63</v>
      </c>
    </row>
    <row r="909" spans="1:12" ht="21" x14ac:dyDescent="0.25">
      <c r="A909" s="561" t="s">
        <v>90</v>
      </c>
      <c r="B909" s="749">
        <v>2023</v>
      </c>
      <c r="C909" s="561" t="s">
        <v>656</v>
      </c>
      <c r="D909" s="561" t="s">
        <v>1345</v>
      </c>
      <c r="E909" s="561" t="s">
        <v>658</v>
      </c>
      <c r="F909" s="735">
        <v>8007.94</v>
      </c>
      <c r="G909" s="749">
        <v>0</v>
      </c>
      <c r="H909" s="749"/>
      <c r="I909" s="733"/>
      <c r="J909" s="733"/>
      <c r="K909" s="735">
        <v>0</v>
      </c>
      <c r="L909" s="750">
        <v>8007.94</v>
      </c>
    </row>
    <row r="910" spans="1:12" ht="21" x14ac:dyDescent="0.25">
      <c r="A910" s="561" t="s">
        <v>90</v>
      </c>
      <c r="B910" s="749">
        <v>2023</v>
      </c>
      <c r="C910" s="561" t="s">
        <v>659</v>
      </c>
      <c r="D910" s="561" t="s">
        <v>1346</v>
      </c>
      <c r="E910" s="561" t="s">
        <v>661</v>
      </c>
      <c r="F910" s="735">
        <v>0</v>
      </c>
      <c r="G910" s="749">
        <v>0</v>
      </c>
      <c r="H910" s="749"/>
      <c r="I910" s="733"/>
      <c r="J910" s="733"/>
      <c r="K910" s="735">
        <v>0</v>
      </c>
      <c r="L910" s="750">
        <v>0</v>
      </c>
    </row>
    <row r="911" spans="1:12" ht="21" x14ac:dyDescent="0.25">
      <c r="A911" s="561" t="s">
        <v>90</v>
      </c>
      <c r="B911" s="749">
        <v>2023</v>
      </c>
      <c r="C911" s="561" t="s">
        <v>662</v>
      </c>
      <c r="D911" s="561" t="s">
        <v>1347</v>
      </c>
      <c r="E911" s="561" t="s">
        <v>664</v>
      </c>
      <c r="F911" s="735">
        <v>0</v>
      </c>
      <c r="G911" s="749">
        <v>0</v>
      </c>
      <c r="H911" s="749"/>
      <c r="I911" s="733"/>
      <c r="J911" s="733"/>
      <c r="K911" s="735">
        <v>0</v>
      </c>
      <c r="L911" s="750">
        <v>0</v>
      </c>
    </row>
    <row r="912" spans="1:12" ht="31.5" x14ac:dyDescent="0.25">
      <c r="A912" s="561" t="s">
        <v>90</v>
      </c>
      <c r="B912" s="749">
        <v>2023</v>
      </c>
      <c r="C912" s="561" t="s">
        <v>665</v>
      </c>
      <c r="D912" s="561" t="s">
        <v>1348</v>
      </c>
      <c r="E912" s="561" t="s">
        <v>667</v>
      </c>
      <c r="F912" s="735">
        <v>0</v>
      </c>
      <c r="G912" s="749">
        <v>0</v>
      </c>
      <c r="H912" s="749"/>
      <c r="I912" s="733"/>
      <c r="J912" s="733"/>
      <c r="K912" s="735">
        <v>0</v>
      </c>
      <c r="L912" s="750">
        <v>0</v>
      </c>
    </row>
    <row r="913" spans="1:12" ht="21" x14ac:dyDescent="0.25">
      <c r="A913" s="561" t="s">
        <v>90</v>
      </c>
      <c r="B913" s="749">
        <v>2023</v>
      </c>
      <c r="C913" s="561" t="s">
        <v>668</v>
      </c>
      <c r="D913" s="561" t="s">
        <v>1349</v>
      </c>
      <c r="E913" s="561" t="s">
        <v>12</v>
      </c>
      <c r="F913" s="735">
        <v>0</v>
      </c>
      <c r="G913" s="749">
        <v>0</v>
      </c>
      <c r="H913" s="749"/>
      <c r="I913" s="733"/>
      <c r="J913" s="733"/>
      <c r="K913" s="735">
        <v>0</v>
      </c>
      <c r="L913" s="750">
        <v>0</v>
      </c>
    </row>
    <row r="914" spans="1:12" ht="21" x14ac:dyDescent="0.25">
      <c r="A914" s="561" t="s">
        <v>90</v>
      </c>
      <c r="B914" s="749">
        <v>2023</v>
      </c>
      <c r="C914" s="561" t="s">
        <v>670</v>
      </c>
      <c r="D914" s="561" t="s">
        <v>1350</v>
      </c>
      <c r="E914" s="561" t="s">
        <v>13</v>
      </c>
      <c r="F914" s="735">
        <v>0</v>
      </c>
      <c r="G914" s="749">
        <v>0</v>
      </c>
      <c r="H914" s="749"/>
      <c r="I914" s="733"/>
      <c r="J914" s="733"/>
      <c r="K914" s="735">
        <v>0</v>
      </c>
      <c r="L914" s="750">
        <v>0</v>
      </c>
    </row>
    <row r="915" spans="1:12" ht="21" x14ac:dyDescent="0.25">
      <c r="A915" s="561" t="s">
        <v>90</v>
      </c>
      <c r="B915" s="749">
        <v>2023</v>
      </c>
      <c r="C915" s="561" t="s">
        <v>672</v>
      </c>
      <c r="D915" s="561" t="s">
        <v>1351</v>
      </c>
      <c r="E915" s="561" t="s">
        <v>15</v>
      </c>
      <c r="F915" s="735">
        <v>0</v>
      </c>
      <c r="G915" s="749">
        <v>0</v>
      </c>
      <c r="H915" s="749"/>
      <c r="I915" s="733"/>
      <c r="J915" s="733"/>
      <c r="K915" s="735">
        <v>0</v>
      </c>
      <c r="L915" s="750">
        <v>0</v>
      </c>
    </row>
    <row r="916" spans="1:12" x14ac:dyDescent="0.25">
      <c r="A916" s="561" t="s">
        <v>90</v>
      </c>
      <c r="B916" s="749">
        <v>2023</v>
      </c>
      <c r="C916" s="561" t="s">
        <v>674</v>
      </c>
      <c r="D916" s="561" t="s">
        <v>1352</v>
      </c>
      <c r="E916" s="561" t="s">
        <v>676</v>
      </c>
      <c r="F916" s="735">
        <v>-1272.3399999999999</v>
      </c>
      <c r="G916" s="749">
        <v>0</v>
      </c>
      <c r="H916" s="749"/>
      <c r="I916" s="733"/>
      <c r="J916" s="733"/>
      <c r="K916" s="735">
        <v>0</v>
      </c>
      <c r="L916" s="750">
        <v>-1272.3399999999999</v>
      </c>
    </row>
    <row r="917" spans="1:12" x14ac:dyDescent="0.25">
      <c r="A917" s="561" t="s">
        <v>90</v>
      </c>
      <c r="B917" s="749">
        <v>2023</v>
      </c>
      <c r="C917" s="561" t="s">
        <v>677</v>
      </c>
      <c r="D917" s="561" t="s">
        <v>1353</v>
      </c>
      <c r="E917" s="561" t="s">
        <v>23</v>
      </c>
      <c r="F917" s="735">
        <v>260524.59</v>
      </c>
      <c r="G917" s="749">
        <v>1</v>
      </c>
      <c r="H917" s="749"/>
      <c r="I917" s="735">
        <v>255869.6</v>
      </c>
      <c r="J917" s="735">
        <v>4654.99</v>
      </c>
      <c r="K917" s="735">
        <v>260524.59</v>
      </c>
      <c r="L917" s="750">
        <v>260524.59</v>
      </c>
    </row>
    <row r="918" spans="1:12" ht="21" x14ac:dyDescent="0.25">
      <c r="A918" s="561" t="s">
        <v>90</v>
      </c>
      <c r="B918" s="749">
        <v>2023</v>
      </c>
      <c r="C918" s="561" t="s">
        <v>679</v>
      </c>
      <c r="D918" s="561" t="s">
        <v>1354</v>
      </c>
      <c r="E918" s="561" t="s">
        <v>131</v>
      </c>
      <c r="F918" s="735">
        <v>-66452.460000000006</v>
      </c>
      <c r="G918" s="749">
        <v>1</v>
      </c>
      <c r="H918" s="749"/>
      <c r="I918" s="735">
        <v>-65377.66</v>
      </c>
      <c r="J918" s="735">
        <v>-1074.8</v>
      </c>
      <c r="K918" s="735">
        <v>-66452.460000000006</v>
      </c>
      <c r="L918" s="750">
        <v>-66452.460000000006</v>
      </c>
    </row>
    <row r="919" spans="1:12" ht="31.5" x14ac:dyDescent="0.25">
      <c r="A919" s="561" t="s">
        <v>90</v>
      </c>
      <c r="B919" s="749">
        <v>2023</v>
      </c>
      <c r="C919" s="561" t="s">
        <v>681</v>
      </c>
      <c r="D919" s="561" t="s">
        <v>1355</v>
      </c>
      <c r="E919" s="561" t="s">
        <v>683</v>
      </c>
      <c r="F919" s="735">
        <v>0</v>
      </c>
      <c r="G919" s="749">
        <v>0</v>
      </c>
      <c r="H919" s="749"/>
      <c r="I919" s="733"/>
      <c r="J919" s="733"/>
      <c r="K919" s="735">
        <v>0</v>
      </c>
      <c r="L919" s="750">
        <v>0</v>
      </c>
    </row>
    <row r="920" spans="1:12" ht="21" x14ac:dyDescent="0.25">
      <c r="A920" s="561" t="s">
        <v>90</v>
      </c>
      <c r="B920" s="749">
        <v>2023</v>
      </c>
      <c r="C920" s="561" t="s">
        <v>681</v>
      </c>
      <c r="D920" s="561" t="s">
        <v>1355</v>
      </c>
      <c r="E920" s="561" t="s">
        <v>684</v>
      </c>
      <c r="F920" s="735">
        <v>0</v>
      </c>
      <c r="G920" s="749">
        <v>0</v>
      </c>
      <c r="H920" s="749"/>
      <c r="I920" s="733"/>
      <c r="J920" s="733"/>
      <c r="K920" s="735">
        <v>0</v>
      </c>
      <c r="L920" s="751">
        <v>2313.3200000000002</v>
      </c>
    </row>
    <row r="921" spans="1:12" x14ac:dyDescent="0.25">
      <c r="A921" s="561" t="s">
        <v>90</v>
      </c>
      <c r="B921" s="749">
        <v>2023</v>
      </c>
      <c r="C921" s="561" t="s">
        <v>685</v>
      </c>
      <c r="D921" s="561" t="s">
        <v>1356</v>
      </c>
      <c r="E921" s="561" t="s">
        <v>687</v>
      </c>
      <c r="F921" s="735">
        <v>0</v>
      </c>
      <c r="G921" s="749">
        <v>0</v>
      </c>
      <c r="H921" s="749"/>
      <c r="I921" s="733"/>
      <c r="J921" s="733"/>
      <c r="K921" s="735">
        <v>0</v>
      </c>
      <c r="L921" s="750">
        <v>0</v>
      </c>
    </row>
    <row r="922" spans="1:12" x14ac:dyDescent="0.25">
      <c r="A922" s="561" t="s">
        <v>90</v>
      </c>
      <c r="B922" s="749">
        <v>2023</v>
      </c>
      <c r="C922" s="561" t="s">
        <v>688</v>
      </c>
      <c r="D922" s="561" t="s">
        <v>1357</v>
      </c>
      <c r="E922" s="561" t="s">
        <v>50</v>
      </c>
      <c r="F922" s="735">
        <v>24646.1</v>
      </c>
      <c r="G922" s="749">
        <v>0</v>
      </c>
      <c r="H922" s="749"/>
      <c r="I922" s="733"/>
      <c r="J922" s="733"/>
      <c r="K922" s="735">
        <v>0</v>
      </c>
      <c r="L922" s="750">
        <v>24646.1</v>
      </c>
    </row>
    <row r="923" spans="1:12" x14ac:dyDescent="0.25">
      <c r="A923" s="561" t="s">
        <v>90</v>
      </c>
      <c r="B923" s="749">
        <v>2023</v>
      </c>
      <c r="C923" s="561" t="s">
        <v>690</v>
      </c>
      <c r="D923" s="561" t="s">
        <v>1358</v>
      </c>
      <c r="E923" s="561" t="s">
        <v>692</v>
      </c>
      <c r="F923" s="735">
        <v>0</v>
      </c>
      <c r="G923" s="749">
        <v>0</v>
      </c>
      <c r="H923" s="749"/>
      <c r="I923" s="733"/>
      <c r="J923" s="733"/>
      <c r="K923" s="735">
        <v>0</v>
      </c>
      <c r="L923" s="750">
        <v>0</v>
      </c>
    </row>
    <row r="924" spans="1:12" ht="21" x14ac:dyDescent="0.25">
      <c r="A924" s="561" t="s">
        <v>90</v>
      </c>
      <c r="B924" s="749">
        <v>2023</v>
      </c>
      <c r="C924" s="561" t="s">
        <v>693</v>
      </c>
      <c r="D924" s="561" t="s">
        <v>1359</v>
      </c>
      <c r="E924" s="561" t="s">
        <v>6</v>
      </c>
      <c r="F924" s="735">
        <v>0</v>
      </c>
      <c r="G924" s="749">
        <v>0</v>
      </c>
      <c r="H924" s="749"/>
      <c r="I924" s="733"/>
      <c r="J924" s="733"/>
      <c r="K924" s="735">
        <v>0</v>
      </c>
      <c r="L924" s="750">
        <v>0</v>
      </c>
    </row>
    <row r="925" spans="1:12" ht="21" x14ac:dyDescent="0.25">
      <c r="A925" s="561" t="s">
        <v>90</v>
      </c>
      <c r="B925" s="749">
        <v>2023</v>
      </c>
      <c r="C925" s="561" t="s">
        <v>695</v>
      </c>
      <c r="D925" s="561" t="s">
        <v>1360</v>
      </c>
      <c r="E925" s="561" t="s">
        <v>697</v>
      </c>
      <c r="F925" s="735">
        <v>3432.76</v>
      </c>
      <c r="G925" s="749">
        <v>0</v>
      </c>
      <c r="H925" s="749"/>
      <c r="I925" s="733"/>
      <c r="J925" s="733"/>
      <c r="K925" s="735">
        <v>0</v>
      </c>
      <c r="L925" s="750">
        <v>3432.76</v>
      </c>
    </row>
    <row r="926" spans="1:12" x14ac:dyDescent="0.25">
      <c r="A926" s="561" t="s">
        <v>90</v>
      </c>
      <c r="B926" s="749">
        <v>2023</v>
      </c>
      <c r="C926" s="561" t="s">
        <v>698</v>
      </c>
      <c r="D926" s="561" t="s">
        <v>1361</v>
      </c>
      <c r="E926" s="561" t="s">
        <v>700</v>
      </c>
      <c r="F926" s="735">
        <v>-14215.78</v>
      </c>
      <c r="G926" s="749">
        <v>0</v>
      </c>
      <c r="H926" s="749"/>
      <c r="I926" s="733"/>
      <c r="J926" s="733"/>
      <c r="K926" s="735">
        <v>0</v>
      </c>
      <c r="L926" s="750">
        <v>-14215.78</v>
      </c>
    </row>
    <row r="927" spans="1:12" ht="21" x14ac:dyDescent="0.25">
      <c r="A927" s="561" t="s">
        <v>90</v>
      </c>
      <c r="B927" s="749">
        <v>2023</v>
      </c>
      <c r="C927" s="561" t="s">
        <v>701</v>
      </c>
      <c r="D927" s="561" t="s">
        <v>1362</v>
      </c>
      <c r="E927" s="561" t="s">
        <v>1</v>
      </c>
      <c r="F927" s="735">
        <v>1754983.45</v>
      </c>
      <c r="G927" s="749">
        <v>1</v>
      </c>
      <c r="H927" s="749"/>
      <c r="I927" s="735">
        <v>1727178.17</v>
      </c>
      <c r="J927" s="735">
        <v>27805.279999999999</v>
      </c>
      <c r="K927" s="735">
        <v>1754983.45</v>
      </c>
      <c r="L927" s="750">
        <v>1754983.45</v>
      </c>
    </row>
    <row r="928" spans="1:12" ht="21" x14ac:dyDescent="0.25">
      <c r="A928" s="561" t="s">
        <v>90</v>
      </c>
      <c r="B928" s="749">
        <v>2023</v>
      </c>
      <c r="C928" s="561" t="s">
        <v>701</v>
      </c>
      <c r="D928" s="561" t="s">
        <v>1362</v>
      </c>
      <c r="E928" s="561" t="s">
        <v>703</v>
      </c>
      <c r="F928" s="735">
        <v>0</v>
      </c>
      <c r="G928" s="749">
        <v>0</v>
      </c>
      <c r="H928" s="749"/>
      <c r="I928" s="733"/>
      <c r="J928" s="733"/>
      <c r="K928" s="735">
        <v>0</v>
      </c>
      <c r="L928" s="751">
        <v>0</v>
      </c>
    </row>
    <row r="929" spans="1:12" ht="21" x14ac:dyDescent="0.25">
      <c r="A929" s="561" t="s">
        <v>90</v>
      </c>
      <c r="B929" s="749">
        <v>2023</v>
      </c>
      <c r="C929" s="561" t="s">
        <v>701</v>
      </c>
      <c r="D929" s="561" t="s">
        <v>1362</v>
      </c>
      <c r="E929" s="561" t="s">
        <v>704</v>
      </c>
      <c r="F929" s="735">
        <v>0</v>
      </c>
      <c r="G929" s="749">
        <v>0</v>
      </c>
      <c r="H929" s="749"/>
      <c r="I929" s="733"/>
      <c r="J929" s="733"/>
      <c r="K929" s="735">
        <v>0</v>
      </c>
      <c r="L929" s="751">
        <v>0</v>
      </c>
    </row>
    <row r="930" spans="1:12" ht="21" x14ac:dyDescent="0.25">
      <c r="A930" s="561" t="s">
        <v>90</v>
      </c>
      <c r="B930" s="749">
        <v>2023</v>
      </c>
      <c r="C930" s="561" t="s">
        <v>701</v>
      </c>
      <c r="D930" s="561" t="s">
        <v>1362</v>
      </c>
      <c r="E930" s="561" t="s">
        <v>705</v>
      </c>
      <c r="F930" s="735">
        <v>0</v>
      </c>
      <c r="G930" s="749">
        <v>0</v>
      </c>
      <c r="H930" s="749"/>
      <c r="I930" s="733"/>
      <c r="J930" s="733"/>
      <c r="K930" s="735">
        <v>0</v>
      </c>
      <c r="L930" s="751">
        <v>-1714.05</v>
      </c>
    </row>
    <row r="931" spans="1:12" ht="21" x14ac:dyDescent="0.25">
      <c r="A931" s="561" t="s">
        <v>90</v>
      </c>
      <c r="B931" s="749">
        <v>2023</v>
      </c>
      <c r="C931" s="561" t="s">
        <v>701</v>
      </c>
      <c r="D931" s="561" t="s">
        <v>1362</v>
      </c>
      <c r="E931" s="561" t="s">
        <v>706</v>
      </c>
      <c r="F931" s="735">
        <v>0</v>
      </c>
      <c r="G931" s="749">
        <v>0</v>
      </c>
      <c r="H931" s="749"/>
      <c r="I931" s="733"/>
      <c r="J931" s="733"/>
      <c r="K931" s="735">
        <v>0</v>
      </c>
      <c r="L931" s="751">
        <v>-77173.14</v>
      </c>
    </row>
    <row r="932" spans="1:12" x14ac:dyDescent="0.25">
      <c r="A932" s="561" t="s">
        <v>90</v>
      </c>
      <c r="B932" s="749">
        <v>2023</v>
      </c>
      <c r="C932" s="561" t="s">
        <v>707</v>
      </c>
      <c r="D932" s="561" t="s">
        <v>1363</v>
      </c>
      <c r="E932" s="561" t="s">
        <v>709</v>
      </c>
      <c r="F932" s="735">
        <v>0</v>
      </c>
      <c r="G932" s="749">
        <v>0</v>
      </c>
      <c r="H932" s="749"/>
      <c r="I932" s="733"/>
      <c r="J932" s="733"/>
      <c r="K932" s="735">
        <v>0</v>
      </c>
      <c r="L932" s="750">
        <v>0</v>
      </c>
    </row>
    <row r="933" spans="1:12" ht="21" x14ac:dyDescent="0.25">
      <c r="A933" s="561" t="s">
        <v>90</v>
      </c>
      <c r="B933" s="749">
        <v>2023</v>
      </c>
      <c r="C933" s="561" t="s">
        <v>710</v>
      </c>
      <c r="D933" s="561" t="s">
        <v>1364</v>
      </c>
      <c r="E933" s="561" t="s">
        <v>2</v>
      </c>
      <c r="F933" s="735">
        <v>1552166.88</v>
      </c>
      <c r="G933" s="749">
        <v>1</v>
      </c>
      <c r="H933" s="749"/>
      <c r="I933" s="735">
        <v>1524929.56</v>
      </c>
      <c r="J933" s="735">
        <v>27237.32</v>
      </c>
      <c r="K933" s="735">
        <v>1552166.88</v>
      </c>
      <c r="L933" s="750">
        <v>1552166.88</v>
      </c>
    </row>
    <row r="934" spans="1:12" ht="21" x14ac:dyDescent="0.25">
      <c r="A934" s="561" t="s">
        <v>90</v>
      </c>
      <c r="B934" s="749">
        <v>2023</v>
      </c>
      <c r="C934" s="561" t="s">
        <v>712</v>
      </c>
      <c r="D934" s="561" t="s">
        <v>1365</v>
      </c>
      <c r="E934" s="561" t="s">
        <v>3</v>
      </c>
      <c r="F934" s="735">
        <v>255005.69</v>
      </c>
      <c r="G934" s="749">
        <v>1</v>
      </c>
      <c r="H934" s="749"/>
      <c r="I934" s="735">
        <v>251718.84</v>
      </c>
      <c r="J934" s="735">
        <v>3286.85</v>
      </c>
      <c r="K934" s="735">
        <v>255005.69</v>
      </c>
      <c r="L934" s="750">
        <v>255005.69</v>
      </c>
    </row>
    <row r="935" spans="1:12" ht="21" x14ac:dyDescent="0.25">
      <c r="A935" s="561" t="s">
        <v>90</v>
      </c>
      <c r="B935" s="749">
        <v>2023</v>
      </c>
      <c r="C935" s="561" t="s">
        <v>714</v>
      </c>
      <c r="D935" s="561" t="s">
        <v>1366</v>
      </c>
      <c r="E935" s="561" t="s">
        <v>38</v>
      </c>
      <c r="F935" s="735">
        <v>44631.65</v>
      </c>
      <c r="G935" s="749">
        <v>1</v>
      </c>
      <c r="H935" s="749"/>
      <c r="I935" s="735">
        <v>120972.07</v>
      </c>
      <c r="J935" s="735">
        <v>-76340.42</v>
      </c>
      <c r="K935" s="735">
        <v>44631.65</v>
      </c>
      <c r="L935" s="750">
        <v>44631.65</v>
      </c>
    </row>
    <row r="936" spans="1:12" x14ac:dyDescent="0.25">
      <c r="A936" s="561" t="s">
        <v>90</v>
      </c>
      <c r="B936" s="749">
        <v>2023</v>
      </c>
      <c r="C936" s="561" t="s">
        <v>716</v>
      </c>
      <c r="D936" s="561" t="s">
        <v>1367</v>
      </c>
      <c r="E936" s="561" t="s">
        <v>66</v>
      </c>
      <c r="F936" s="735">
        <v>878139.62</v>
      </c>
      <c r="G936" s="749">
        <v>1</v>
      </c>
      <c r="H936" s="749"/>
      <c r="I936" s="735">
        <v>874745.99</v>
      </c>
      <c r="J936" s="735">
        <v>3393.63</v>
      </c>
      <c r="K936" s="735">
        <v>878139.62</v>
      </c>
      <c r="L936" s="750">
        <v>878139.62</v>
      </c>
    </row>
    <row r="937" spans="1:12" ht="21" x14ac:dyDescent="0.25">
      <c r="A937" s="561" t="s">
        <v>90</v>
      </c>
      <c r="B937" s="749">
        <v>2023</v>
      </c>
      <c r="C937" s="561" t="s">
        <v>718</v>
      </c>
      <c r="D937" s="561" t="s">
        <v>1368</v>
      </c>
      <c r="E937" s="561" t="s">
        <v>720</v>
      </c>
      <c r="F937" s="735">
        <v>-542611.80000000005</v>
      </c>
      <c r="G937" s="749">
        <v>0</v>
      </c>
      <c r="H937" s="749"/>
      <c r="I937" s="733"/>
      <c r="J937" s="733"/>
      <c r="K937" s="735">
        <v>0</v>
      </c>
      <c r="L937" s="750">
        <v>-542611.80000000005</v>
      </c>
    </row>
    <row r="938" spans="1:12" ht="31.5" x14ac:dyDescent="0.25">
      <c r="A938" s="561" t="s">
        <v>90</v>
      </c>
      <c r="B938" s="749">
        <v>2023</v>
      </c>
      <c r="C938" s="561" t="s">
        <v>721</v>
      </c>
      <c r="D938" s="561" t="s">
        <v>1370</v>
      </c>
      <c r="E938" s="561" t="s">
        <v>724</v>
      </c>
      <c r="F938" s="735">
        <v>0</v>
      </c>
      <c r="G938" s="749">
        <v>1</v>
      </c>
      <c r="H938" s="749"/>
      <c r="I938" s="733"/>
      <c r="J938" s="733"/>
      <c r="K938" s="735">
        <v>0</v>
      </c>
      <c r="L938" s="750">
        <v>0</v>
      </c>
    </row>
    <row r="939" spans="1:12" ht="31.5" x14ac:dyDescent="0.25">
      <c r="A939" s="561" t="s">
        <v>90</v>
      </c>
      <c r="B939" s="749">
        <v>2023</v>
      </c>
      <c r="C939" s="561" t="s">
        <v>721</v>
      </c>
      <c r="D939" s="561" t="s">
        <v>1371</v>
      </c>
      <c r="E939" s="561" t="s">
        <v>55</v>
      </c>
      <c r="F939" s="735">
        <v>0</v>
      </c>
      <c r="G939" s="749">
        <v>1</v>
      </c>
      <c r="H939" s="749"/>
      <c r="I939" s="733"/>
      <c r="J939" s="733"/>
      <c r="K939" s="735">
        <v>0</v>
      </c>
      <c r="L939" s="750">
        <v>0</v>
      </c>
    </row>
    <row r="940" spans="1:12" ht="31.5" x14ac:dyDescent="0.25">
      <c r="A940" s="561" t="s">
        <v>90</v>
      </c>
      <c r="B940" s="749">
        <v>2023</v>
      </c>
      <c r="C940" s="561" t="s">
        <v>721</v>
      </c>
      <c r="D940" s="561" t="s">
        <v>1372</v>
      </c>
      <c r="E940" s="561" t="s">
        <v>56</v>
      </c>
      <c r="F940" s="735">
        <v>0</v>
      </c>
      <c r="G940" s="749">
        <v>1</v>
      </c>
      <c r="H940" s="749"/>
      <c r="I940" s="733"/>
      <c r="J940" s="733"/>
      <c r="K940" s="735">
        <v>0</v>
      </c>
      <c r="L940" s="750">
        <v>0</v>
      </c>
    </row>
    <row r="941" spans="1:12" ht="31.5" x14ac:dyDescent="0.25">
      <c r="A941" s="561" t="s">
        <v>90</v>
      </c>
      <c r="B941" s="749">
        <v>2023</v>
      </c>
      <c r="C941" s="561" t="s">
        <v>721</v>
      </c>
      <c r="D941" s="561" t="s">
        <v>1373</v>
      </c>
      <c r="E941" s="561" t="s">
        <v>728</v>
      </c>
      <c r="F941" s="735">
        <v>0</v>
      </c>
      <c r="G941" s="749">
        <v>1</v>
      </c>
      <c r="H941" s="749"/>
      <c r="I941" s="733"/>
      <c r="J941" s="733"/>
      <c r="K941" s="735">
        <v>0</v>
      </c>
      <c r="L941" s="750">
        <v>0</v>
      </c>
    </row>
    <row r="942" spans="1:12" ht="31.5" x14ac:dyDescent="0.25">
      <c r="A942" s="561" t="s">
        <v>90</v>
      </c>
      <c r="B942" s="749">
        <v>2023</v>
      </c>
      <c r="C942" s="561" t="s">
        <v>721</v>
      </c>
      <c r="D942" s="561" t="s">
        <v>1374</v>
      </c>
      <c r="E942" s="561" t="s">
        <v>730</v>
      </c>
      <c r="F942" s="735">
        <v>0</v>
      </c>
      <c r="G942" s="749">
        <v>1</v>
      </c>
      <c r="H942" s="749"/>
      <c r="I942" s="733"/>
      <c r="J942" s="733"/>
      <c r="K942" s="735">
        <v>0</v>
      </c>
      <c r="L942" s="750">
        <v>0</v>
      </c>
    </row>
    <row r="943" spans="1:12" ht="31.5" x14ac:dyDescent="0.25">
      <c r="A943" s="561" t="s">
        <v>90</v>
      </c>
      <c r="B943" s="749">
        <v>2023</v>
      </c>
      <c r="C943" s="561" t="s">
        <v>721</v>
      </c>
      <c r="D943" s="561" t="s">
        <v>1375</v>
      </c>
      <c r="E943" s="561" t="s">
        <v>142</v>
      </c>
      <c r="F943" s="735">
        <v>0</v>
      </c>
      <c r="G943" s="749">
        <v>1</v>
      </c>
      <c r="H943" s="749"/>
      <c r="I943" s="733"/>
      <c r="J943" s="733"/>
      <c r="K943" s="735">
        <v>0</v>
      </c>
      <c r="L943" s="750">
        <v>0</v>
      </c>
    </row>
    <row r="944" spans="1:12" ht="31.5" x14ac:dyDescent="0.25">
      <c r="A944" s="561" t="s">
        <v>90</v>
      </c>
      <c r="B944" s="749">
        <v>2023</v>
      </c>
      <c r="C944" s="561" t="s">
        <v>721</v>
      </c>
      <c r="D944" s="561" t="s">
        <v>1376</v>
      </c>
      <c r="E944" s="561" t="s">
        <v>143</v>
      </c>
      <c r="F944" s="735">
        <v>0</v>
      </c>
      <c r="G944" s="749">
        <v>1</v>
      </c>
      <c r="H944" s="749"/>
      <c r="I944" s="733"/>
      <c r="J944" s="733"/>
      <c r="K944" s="735">
        <v>0</v>
      </c>
      <c r="L944" s="750">
        <v>0</v>
      </c>
    </row>
    <row r="945" spans="1:12" ht="31.5" x14ac:dyDescent="0.25">
      <c r="A945" s="561" t="s">
        <v>90</v>
      </c>
      <c r="B945" s="749">
        <v>2023</v>
      </c>
      <c r="C945" s="561" t="s">
        <v>721</v>
      </c>
      <c r="D945" s="561" t="s">
        <v>1377</v>
      </c>
      <c r="E945" s="561" t="s">
        <v>182</v>
      </c>
      <c r="F945" s="735">
        <v>0</v>
      </c>
      <c r="G945" s="749">
        <v>1</v>
      </c>
      <c r="H945" s="749"/>
      <c r="I945" s="733"/>
      <c r="J945" s="733"/>
      <c r="K945" s="735">
        <v>0</v>
      </c>
      <c r="L945" s="750">
        <v>0</v>
      </c>
    </row>
    <row r="946" spans="1:12" ht="31.5" x14ac:dyDescent="0.25">
      <c r="A946" s="561" t="s">
        <v>90</v>
      </c>
      <c r="B946" s="749">
        <v>2023</v>
      </c>
      <c r="C946" s="561" t="s">
        <v>721</v>
      </c>
      <c r="D946" s="561" t="s">
        <v>1378</v>
      </c>
      <c r="E946" s="561" t="s">
        <v>394</v>
      </c>
      <c r="F946" s="735">
        <v>0</v>
      </c>
      <c r="G946" s="749">
        <v>1</v>
      </c>
      <c r="H946" s="749"/>
      <c r="I946" s="733"/>
      <c r="J946" s="733"/>
      <c r="K946" s="735">
        <v>0</v>
      </c>
      <c r="L946" s="750">
        <v>0</v>
      </c>
    </row>
    <row r="947" spans="1:12" ht="31.5" x14ac:dyDescent="0.25">
      <c r="A947" s="561" t="s">
        <v>90</v>
      </c>
      <c r="B947" s="749">
        <v>2023</v>
      </c>
      <c r="C947" s="561" t="s">
        <v>721</v>
      </c>
      <c r="D947" s="561" t="s">
        <v>1379</v>
      </c>
      <c r="E947" s="561" t="s">
        <v>423</v>
      </c>
      <c r="F947" s="735">
        <v>0</v>
      </c>
      <c r="G947" s="749">
        <v>1</v>
      </c>
      <c r="H947" s="749"/>
      <c r="I947" s="735">
        <v>0.74</v>
      </c>
      <c r="J947" s="733"/>
      <c r="K947" s="735">
        <v>0.74</v>
      </c>
      <c r="L947" s="750">
        <v>0.74</v>
      </c>
    </row>
    <row r="948" spans="1:12" ht="31.5" x14ac:dyDescent="0.25">
      <c r="A948" s="561" t="s">
        <v>90</v>
      </c>
      <c r="B948" s="749">
        <v>2023</v>
      </c>
      <c r="C948" s="561" t="s">
        <v>721</v>
      </c>
      <c r="D948" s="561" t="s">
        <v>3213</v>
      </c>
      <c r="E948" s="561" t="s">
        <v>441</v>
      </c>
      <c r="F948" s="735">
        <v>0</v>
      </c>
      <c r="G948" s="749">
        <v>1</v>
      </c>
      <c r="H948" s="749"/>
      <c r="I948" s="735">
        <v>-0.15</v>
      </c>
      <c r="J948" s="735">
        <v>351.54</v>
      </c>
      <c r="K948" s="735">
        <v>351.39</v>
      </c>
      <c r="L948" s="750">
        <v>351.39</v>
      </c>
    </row>
    <row r="949" spans="1:12" ht="31.5" x14ac:dyDescent="0.25">
      <c r="A949" s="561" t="s">
        <v>90</v>
      </c>
      <c r="B949" s="749">
        <v>2023</v>
      </c>
      <c r="C949" s="561" t="s">
        <v>721</v>
      </c>
      <c r="D949" s="561" t="s">
        <v>3513</v>
      </c>
      <c r="E949" s="561" t="s">
        <v>3016</v>
      </c>
      <c r="F949" s="735">
        <v>0</v>
      </c>
      <c r="G949" s="749">
        <v>1</v>
      </c>
      <c r="H949" s="749"/>
      <c r="I949" s="735">
        <v>1005.01</v>
      </c>
      <c r="J949" s="735">
        <v>7211.67</v>
      </c>
      <c r="K949" s="735">
        <v>8216.68</v>
      </c>
      <c r="L949" s="750">
        <v>8216.68</v>
      </c>
    </row>
    <row r="950" spans="1:12" ht="31.5" x14ac:dyDescent="0.25">
      <c r="A950" s="561" t="s">
        <v>90</v>
      </c>
      <c r="B950" s="749">
        <v>2023</v>
      </c>
      <c r="C950" s="561" t="s">
        <v>721</v>
      </c>
      <c r="D950" s="561" t="s">
        <v>3514</v>
      </c>
      <c r="E950" s="561" t="s">
        <v>3058</v>
      </c>
      <c r="F950" s="735">
        <v>0</v>
      </c>
      <c r="G950" s="749">
        <v>1</v>
      </c>
      <c r="H950" s="749"/>
      <c r="I950" s="735">
        <v>43448.91</v>
      </c>
      <c r="J950" s="735">
        <v>-29403.91</v>
      </c>
      <c r="K950" s="735">
        <v>14045</v>
      </c>
      <c r="L950" s="750">
        <v>14045</v>
      </c>
    </row>
    <row r="951" spans="1:12" ht="31.5" x14ac:dyDescent="0.25">
      <c r="A951" s="561" t="s">
        <v>90</v>
      </c>
      <c r="B951" s="749">
        <v>2023</v>
      </c>
      <c r="C951" s="561" t="s">
        <v>721</v>
      </c>
      <c r="D951" s="561" t="s">
        <v>3515</v>
      </c>
      <c r="E951" s="561" t="s">
        <v>3063</v>
      </c>
      <c r="F951" s="735">
        <v>0</v>
      </c>
      <c r="G951" s="749">
        <v>1</v>
      </c>
      <c r="H951" s="749"/>
      <c r="I951" s="735">
        <v>-65.5</v>
      </c>
      <c r="J951" s="735">
        <v>-5675.81</v>
      </c>
      <c r="K951" s="735">
        <v>-5741.31</v>
      </c>
      <c r="L951" s="750">
        <v>-5741.31</v>
      </c>
    </row>
    <row r="952" spans="1:12" ht="31.5" x14ac:dyDescent="0.25">
      <c r="A952" s="561" t="s">
        <v>90</v>
      </c>
      <c r="B952" s="749">
        <v>2023</v>
      </c>
      <c r="C952" s="561" t="s">
        <v>721</v>
      </c>
      <c r="D952" s="561" t="s">
        <v>3772</v>
      </c>
      <c r="E952" s="561" t="s">
        <v>3425</v>
      </c>
      <c r="F952" s="735">
        <v>0</v>
      </c>
      <c r="G952" s="749">
        <v>1</v>
      </c>
      <c r="H952" s="749"/>
      <c r="I952" s="735">
        <v>-2819.54</v>
      </c>
      <c r="J952" s="735">
        <v>24154.66</v>
      </c>
      <c r="K952" s="735">
        <v>21335.119999999999</v>
      </c>
      <c r="L952" s="750">
        <v>21335.119999999999</v>
      </c>
    </row>
    <row r="953" spans="1:12" ht="42" x14ac:dyDescent="0.25">
      <c r="A953" s="561" t="s">
        <v>90</v>
      </c>
      <c r="B953" s="749">
        <v>2023</v>
      </c>
      <c r="C953" s="561" t="s">
        <v>721</v>
      </c>
      <c r="D953" s="561" t="s">
        <v>3773</v>
      </c>
      <c r="E953" s="561" t="s">
        <v>737</v>
      </c>
      <c r="F953" s="735">
        <v>38207.620000000003</v>
      </c>
      <c r="G953" s="749">
        <v>0</v>
      </c>
      <c r="H953" s="749"/>
      <c r="I953" s="733"/>
      <c r="J953" s="733"/>
      <c r="K953" s="735">
        <v>0</v>
      </c>
      <c r="L953" s="750">
        <v>38207.620000000003</v>
      </c>
    </row>
    <row r="954" spans="1:12" x14ac:dyDescent="0.25">
      <c r="A954" s="561" t="s">
        <v>90</v>
      </c>
      <c r="B954" s="749">
        <v>2023</v>
      </c>
      <c r="C954" s="561" t="s">
        <v>738</v>
      </c>
      <c r="D954" s="561" t="s">
        <v>1381</v>
      </c>
      <c r="E954" s="561" t="s">
        <v>7</v>
      </c>
      <c r="F954" s="735">
        <v>0</v>
      </c>
      <c r="G954" s="749">
        <v>0</v>
      </c>
      <c r="H954" s="749"/>
      <c r="I954" s="733"/>
      <c r="J954" s="733"/>
      <c r="K954" s="735">
        <v>0</v>
      </c>
      <c r="L954" s="750">
        <v>0</v>
      </c>
    </row>
    <row r="955" spans="1:12" x14ac:dyDescent="0.25">
      <c r="A955" s="561" t="s">
        <v>91</v>
      </c>
      <c r="B955" s="749">
        <v>2023</v>
      </c>
      <c r="C955" s="561" t="s">
        <v>647</v>
      </c>
      <c r="D955" s="561" t="s">
        <v>1382</v>
      </c>
      <c r="E955" s="561" t="s">
        <v>649</v>
      </c>
      <c r="F955" s="735">
        <v>-83380.490000000005</v>
      </c>
      <c r="G955" s="749">
        <v>0</v>
      </c>
      <c r="H955" s="749"/>
      <c r="I955" s="733"/>
      <c r="J955" s="733"/>
      <c r="K955" s="735">
        <v>0</v>
      </c>
      <c r="L955" s="750">
        <v>-83380.490000000005</v>
      </c>
    </row>
    <row r="956" spans="1:12" ht="21" x14ac:dyDescent="0.25">
      <c r="A956" s="561" t="s">
        <v>91</v>
      </c>
      <c r="B956" s="749">
        <v>2023</v>
      </c>
      <c r="C956" s="561" t="s">
        <v>3691</v>
      </c>
      <c r="D956" s="561" t="s">
        <v>3639</v>
      </c>
      <c r="E956" s="561" t="s">
        <v>3675</v>
      </c>
      <c r="F956" s="735">
        <v>0</v>
      </c>
      <c r="G956" s="749">
        <v>0</v>
      </c>
      <c r="H956" s="749"/>
      <c r="I956" s="733"/>
      <c r="J956" s="733"/>
      <c r="K956" s="735">
        <v>0</v>
      </c>
      <c r="L956" s="750">
        <v>0</v>
      </c>
    </row>
    <row r="957" spans="1:12" x14ac:dyDescent="0.25">
      <c r="A957" s="561" t="s">
        <v>91</v>
      </c>
      <c r="B957" s="749">
        <v>2023</v>
      </c>
      <c r="C957" s="561" t="s">
        <v>651</v>
      </c>
      <c r="D957" s="561" t="s">
        <v>1383</v>
      </c>
      <c r="E957" s="561" t="s">
        <v>653</v>
      </c>
      <c r="F957" s="735">
        <v>0</v>
      </c>
      <c r="G957" s="749">
        <v>0</v>
      </c>
      <c r="H957" s="749"/>
      <c r="I957" s="733"/>
      <c r="J957" s="733"/>
      <c r="K957" s="735">
        <v>0</v>
      </c>
      <c r="L957" s="750">
        <v>0</v>
      </c>
    </row>
    <row r="958" spans="1:12" ht="31.5" x14ac:dyDescent="0.25">
      <c r="A958" s="561" t="s">
        <v>91</v>
      </c>
      <c r="B958" s="749">
        <v>2023</v>
      </c>
      <c r="C958" s="561" t="s">
        <v>654</v>
      </c>
      <c r="D958" s="561" t="s">
        <v>1384</v>
      </c>
      <c r="E958" s="561" t="s">
        <v>445</v>
      </c>
      <c r="F958" s="735">
        <v>0</v>
      </c>
      <c r="G958" s="749">
        <v>0</v>
      </c>
      <c r="H958" s="749"/>
      <c r="I958" s="733"/>
      <c r="J958" s="733"/>
      <c r="K958" s="735">
        <v>0</v>
      </c>
      <c r="L958" s="750">
        <v>0</v>
      </c>
    </row>
    <row r="959" spans="1:12" ht="21" x14ac:dyDescent="0.25">
      <c r="A959" s="561" t="s">
        <v>91</v>
      </c>
      <c r="B959" s="749">
        <v>2023</v>
      </c>
      <c r="C959" s="561" t="s">
        <v>656</v>
      </c>
      <c r="D959" s="561" t="s">
        <v>1385</v>
      </c>
      <c r="E959" s="561" t="s">
        <v>658</v>
      </c>
      <c r="F959" s="735">
        <v>0</v>
      </c>
      <c r="G959" s="749">
        <v>0</v>
      </c>
      <c r="H959" s="749"/>
      <c r="I959" s="733"/>
      <c r="J959" s="733"/>
      <c r="K959" s="735">
        <v>0</v>
      </c>
      <c r="L959" s="750">
        <v>0</v>
      </c>
    </row>
    <row r="960" spans="1:12" ht="21" x14ac:dyDescent="0.25">
      <c r="A960" s="561" t="s">
        <v>91</v>
      </c>
      <c r="B960" s="749">
        <v>2023</v>
      </c>
      <c r="C960" s="561" t="s">
        <v>659</v>
      </c>
      <c r="D960" s="561" t="s">
        <v>1386</v>
      </c>
      <c r="E960" s="561" t="s">
        <v>661</v>
      </c>
      <c r="F960" s="735">
        <v>100128.04</v>
      </c>
      <c r="G960" s="749">
        <v>0</v>
      </c>
      <c r="H960" s="749"/>
      <c r="I960" s="733"/>
      <c r="J960" s="733"/>
      <c r="K960" s="735">
        <v>0</v>
      </c>
      <c r="L960" s="750">
        <v>100128.04</v>
      </c>
    </row>
    <row r="961" spans="1:12" ht="21" x14ac:dyDescent="0.25">
      <c r="A961" s="561" t="s">
        <v>91</v>
      </c>
      <c r="B961" s="749">
        <v>2023</v>
      </c>
      <c r="C961" s="561" t="s">
        <v>662</v>
      </c>
      <c r="D961" s="561" t="s">
        <v>1387</v>
      </c>
      <c r="E961" s="561" t="s">
        <v>664</v>
      </c>
      <c r="F961" s="735">
        <v>38319.15</v>
      </c>
      <c r="G961" s="749">
        <v>0</v>
      </c>
      <c r="H961" s="749"/>
      <c r="I961" s="733"/>
      <c r="J961" s="733"/>
      <c r="K961" s="735">
        <v>0</v>
      </c>
      <c r="L961" s="750">
        <v>38319.15</v>
      </c>
    </row>
    <row r="962" spans="1:12" ht="31.5" x14ac:dyDescent="0.25">
      <c r="A962" s="561" t="s">
        <v>91</v>
      </c>
      <c r="B962" s="749">
        <v>2023</v>
      </c>
      <c r="C962" s="561" t="s">
        <v>665</v>
      </c>
      <c r="D962" s="561" t="s">
        <v>1388</v>
      </c>
      <c r="E962" s="561" t="s">
        <v>667</v>
      </c>
      <c r="F962" s="735">
        <v>-18100</v>
      </c>
      <c r="G962" s="749">
        <v>0</v>
      </c>
      <c r="H962" s="749"/>
      <c r="I962" s="733"/>
      <c r="J962" s="733"/>
      <c r="K962" s="735">
        <v>0</v>
      </c>
      <c r="L962" s="750">
        <v>-18100</v>
      </c>
    </row>
    <row r="963" spans="1:12" ht="21" x14ac:dyDescent="0.25">
      <c r="A963" s="561" t="s">
        <v>91</v>
      </c>
      <c r="B963" s="749">
        <v>2023</v>
      </c>
      <c r="C963" s="561" t="s">
        <v>668</v>
      </c>
      <c r="D963" s="561" t="s">
        <v>1389</v>
      </c>
      <c r="E963" s="561" t="s">
        <v>12</v>
      </c>
      <c r="F963" s="735">
        <v>0</v>
      </c>
      <c r="G963" s="749">
        <v>0</v>
      </c>
      <c r="H963" s="749"/>
      <c r="I963" s="733"/>
      <c r="J963" s="733"/>
      <c r="K963" s="735">
        <v>0</v>
      </c>
      <c r="L963" s="750">
        <v>0</v>
      </c>
    </row>
    <row r="964" spans="1:12" ht="21" x14ac:dyDescent="0.25">
      <c r="A964" s="561" t="s">
        <v>91</v>
      </c>
      <c r="B964" s="749">
        <v>2023</v>
      </c>
      <c r="C964" s="561" t="s">
        <v>670</v>
      </c>
      <c r="D964" s="561" t="s">
        <v>1390</v>
      </c>
      <c r="E964" s="561" t="s">
        <v>13</v>
      </c>
      <c r="F964" s="735">
        <v>0</v>
      </c>
      <c r="G964" s="749">
        <v>0</v>
      </c>
      <c r="H964" s="749"/>
      <c r="I964" s="733"/>
      <c r="J964" s="733"/>
      <c r="K964" s="735">
        <v>0</v>
      </c>
      <c r="L964" s="750">
        <v>0</v>
      </c>
    </row>
    <row r="965" spans="1:12" ht="21" x14ac:dyDescent="0.25">
      <c r="A965" s="561" t="s">
        <v>91</v>
      </c>
      <c r="B965" s="749">
        <v>2023</v>
      </c>
      <c r="C965" s="561" t="s">
        <v>672</v>
      </c>
      <c r="D965" s="561" t="s">
        <v>1391</v>
      </c>
      <c r="E965" s="561" t="s">
        <v>15</v>
      </c>
      <c r="F965" s="735">
        <v>0</v>
      </c>
      <c r="G965" s="749">
        <v>0</v>
      </c>
      <c r="H965" s="749"/>
      <c r="I965" s="733"/>
      <c r="J965" s="733"/>
      <c r="K965" s="735">
        <v>0</v>
      </c>
      <c r="L965" s="750">
        <v>0</v>
      </c>
    </row>
    <row r="966" spans="1:12" x14ac:dyDescent="0.25">
      <c r="A966" s="561" t="s">
        <v>91</v>
      </c>
      <c r="B966" s="749">
        <v>2023</v>
      </c>
      <c r="C966" s="561" t="s">
        <v>674</v>
      </c>
      <c r="D966" s="561" t="s">
        <v>1392</v>
      </c>
      <c r="E966" s="561" t="s">
        <v>676</v>
      </c>
      <c r="F966" s="735">
        <v>0</v>
      </c>
      <c r="G966" s="749">
        <v>0</v>
      </c>
      <c r="H966" s="749"/>
      <c r="I966" s="733"/>
      <c r="J966" s="733"/>
      <c r="K966" s="735">
        <v>0</v>
      </c>
      <c r="L966" s="750">
        <v>0</v>
      </c>
    </row>
    <row r="967" spans="1:12" x14ac:dyDescent="0.25">
      <c r="A967" s="561" t="s">
        <v>91</v>
      </c>
      <c r="B967" s="749">
        <v>2023</v>
      </c>
      <c r="C967" s="561" t="s">
        <v>677</v>
      </c>
      <c r="D967" s="561" t="s">
        <v>1393</v>
      </c>
      <c r="E967" s="561" t="s">
        <v>23</v>
      </c>
      <c r="F967" s="735">
        <v>0</v>
      </c>
      <c r="G967" s="749">
        <v>1</v>
      </c>
      <c r="H967" s="749"/>
      <c r="I967" s="733"/>
      <c r="J967" s="733"/>
      <c r="K967" s="735">
        <v>0</v>
      </c>
      <c r="L967" s="750">
        <v>0</v>
      </c>
    </row>
    <row r="968" spans="1:12" ht="21" x14ac:dyDescent="0.25">
      <c r="A968" s="561" t="s">
        <v>91</v>
      </c>
      <c r="B968" s="749">
        <v>2023</v>
      </c>
      <c r="C968" s="561" t="s">
        <v>679</v>
      </c>
      <c r="D968" s="561" t="s">
        <v>1394</v>
      </c>
      <c r="E968" s="561" t="s">
        <v>131</v>
      </c>
      <c r="F968" s="735">
        <v>-11852.77</v>
      </c>
      <c r="G968" s="749">
        <v>1</v>
      </c>
      <c r="H968" s="749"/>
      <c r="I968" s="735">
        <v>-11713.91</v>
      </c>
      <c r="J968" s="735">
        <v>-138.86000000000001</v>
      </c>
      <c r="K968" s="735">
        <v>-11852.77</v>
      </c>
      <c r="L968" s="750">
        <v>-11852.77</v>
      </c>
    </row>
    <row r="969" spans="1:12" ht="31.5" x14ac:dyDescent="0.25">
      <c r="A969" s="561" t="s">
        <v>91</v>
      </c>
      <c r="B969" s="749">
        <v>2023</v>
      </c>
      <c r="C969" s="561" t="s">
        <v>681</v>
      </c>
      <c r="D969" s="561" t="s">
        <v>1395</v>
      </c>
      <c r="E969" s="561" t="s">
        <v>683</v>
      </c>
      <c r="F969" s="735">
        <v>2028.7</v>
      </c>
      <c r="G969" s="749">
        <v>0</v>
      </c>
      <c r="H969" s="749"/>
      <c r="I969" s="733"/>
      <c r="J969" s="733"/>
      <c r="K969" s="735">
        <v>0</v>
      </c>
      <c r="L969" s="750">
        <v>2028.7</v>
      </c>
    </row>
    <row r="970" spans="1:12" ht="21" x14ac:dyDescent="0.25">
      <c r="A970" s="561" t="s">
        <v>91</v>
      </c>
      <c r="B970" s="749">
        <v>2023</v>
      </c>
      <c r="C970" s="561" t="s">
        <v>681</v>
      </c>
      <c r="D970" s="561" t="s">
        <v>1395</v>
      </c>
      <c r="E970" s="561" t="s">
        <v>684</v>
      </c>
      <c r="F970" s="735">
        <v>0</v>
      </c>
      <c r="G970" s="749">
        <v>0</v>
      </c>
      <c r="H970" s="749"/>
      <c r="I970" s="733"/>
      <c r="J970" s="733"/>
      <c r="K970" s="735">
        <v>0</v>
      </c>
      <c r="L970" s="751">
        <v>0</v>
      </c>
    </row>
    <row r="971" spans="1:12" x14ac:dyDescent="0.25">
      <c r="A971" s="561" t="s">
        <v>91</v>
      </c>
      <c r="B971" s="749">
        <v>2023</v>
      </c>
      <c r="C971" s="561" t="s">
        <v>685</v>
      </c>
      <c r="D971" s="561" t="s">
        <v>1396</v>
      </c>
      <c r="E971" s="561" t="s">
        <v>687</v>
      </c>
      <c r="F971" s="735">
        <v>0</v>
      </c>
      <c r="G971" s="749">
        <v>0</v>
      </c>
      <c r="H971" s="749"/>
      <c r="I971" s="733"/>
      <c r="J971" s="733"/>
      <c r="K971" s="735">
        <v>0</v>
      </c>
      <c r="L971" s="750">
        <v>0</v>
      </c>
    </row>
    <row r="972" spans="1:12" x14ac:dyDescent="0.25">
      <c r="A972" s="561" t="s">
        <v>91</v>
      </c>
      <c r="B972" s="749">
        <v>2023</v>
      </c>
      <c r="C972" s="561" t="s">
        <v>688</v>
      </c>
      <c r="D972" s="561" t="s">
        <v>1397</v>
      </c>
      <c r="E972" s="561" t="s">
        <v>50</v>
      </c>
      <c r="F972" s="735">
        <v>-5304.63</v>
      </c>
      <c r="G972" s="749">
        <v>0</v>
      </c>
      <c r="H972" s="749"/>
      <c r="I972" s="733"/>
      <c r="J972" s="733"/>
      <c r="K972" s="735">
        <v>0</v>
      </c>
      <c r="L972" s="750">
        <v>-5304.63</v>
      </c>
    </row>
    <row r="973" spans="1:12" x14ac:dyDescent="0.25">
      <c r="A973" s="561" t="s">
        <v>91</v>
      </c>
      <c r="B973" s="749">
        <v>2023</v>
      </c>
      <c r="C973" s="561" t="s">
        <v>690</v>
      </c>
      <c r="D973" s="561" t="s">
        <v>1398</v>
      </c>
      <c r="E973" s="561" t="s">
        <v>692</v>
      </c>
      <c r="F973" s="735">
        <v>0</v>
      </c>
      <c r="G973" s="749">
        <v>0</v>
      </c>
      <c r="H973" s="749"/>
      <c r="I973" s="733"/>
      <c r="J973" s="733"/>
      <c r="K973" s="735">
        <v>0</v>
      </c>
      <c r="L973" s="750">
        <v>0</v>
      </c>
    </row>
    <row r="974" spans="1:12" ht="21" x14ac:dyDescent="0.25">
      <c r="A974" s="561" t="s">
        <v>91</v>
      </c>
      <c r="B974" s="749">
        <v>2023</v>
      </c>
      <c r="C974" s="561" t="s">
        <v>693</v>
      </c>
      <c r="D974" s="561" t="s">
        <v>1399</v>
      </c>
      <c r="E974" s="561" t="s">
        <v>6</v>
      </c>
      <c r="F974" s="735">
        <v>0</v>
      </c>
      <c r="G974" s="749">
        <v>0</v>
      </c>
      <c r="H974" s="749"/>
      <c r="I974" s="733"/>
      <c r="J974" s="733"/>
      <c r="K974" s="735">
        <v>0</v>
      </c>
      <c r="L974" s="750">
        <v>0</v>
      </c>
    </row>
    <row r="975" spans="1:12" ht="21" x14ac:dyDescent="0.25">
      <c r="A975" s="561" t="s">
        <v>91</v>
      </c>
      <c r="B975" s="749">
        <v>2023</v>
      </c>
      <c r="C975" s="561" t="s">
        <v>695</v>
      </c>
      <c r="D975" s="561" t="s">
        <v>1400</v>
      </c>
      <c r="E975" s="561" t="s">
        <v>697</v>
      </c>
      <c r="F975" s="735">
        <v>0</v>
      </c>
      <c r="G975" s="749">
        <v>0</v>
      </c>
      <c r="H975" s="749"/>
      <c r="I975" s="733"/>
      <c r="J975" s="733"/>
      <c r="K975" s="735">
        <v>0</v>
      </c>
      <c r="L975" s="750">
        <v>0</v>
      </c>
    </row>
    <row r="976" spans="1:12" x14ac:dyDescent="0.25">
      <c r="A976" s="561" t="s">
        <v>91</v>
      </c>
      <c r="B976" s="749">
        <v>2023</v>
      </c>
      <c r="C976" s="561" t="s">
        <v>698</v>
      </c>
      <c r="D976" s="561" t="s">
        <v>1401</v>
      </c>
      <c r="E976" s="561" t="s">
        <v>700</v>
      </c>
      <c r="F976" s="735">
        <v>21410.59</v>
      </c>
      <c r="G976" s="749">
        <v>0</v>
      </c>
      <c r="H976" s="749"/>
      <c r="I976" s="733"/>
      <c r="J976" s="733"/>
      <c r="K976" s="735">
        <v>0</v>
      </c>
      <c r="L976" s="750">
        <v>21410.59</v>
      </c>
    </row>
    <row r="977" spans="1:12" ht="21" x14ac:dyDescent="0.25">
      <c r="A977" s="561" t="s">
        <v>91</v>
      </c>
      <c r="B977" s="749">
        <v>2023</v>
      </c>
      <c r="C977" s="561" t="s">
        <v>701</v>
      </c>
      <c r="D977" s="561" t="s">
        <v>1402</v>
      </c>
      <c r="E977" s="561" t="s">
        <v>1</v>
      </c>
      <c r="F977" s="735">
        <v>171193.34</v>
      </c>
      <c r="G977" s="749">
        <v>1</v>
      </c>
      <c r="H977" s="749"/>
      <c r="I977" s="735">
        <v>169260.15</v>
      </c>
      <c r="J977" s="735">
        <v>1933.19</v>
      </c>
      <c r="K977" s="735">
        <v>171193.34</v>
      </c>
      <c r="L977" s="750">
        <v>171193.34</v>
      </c>
    </row>
    <row r="978" spans="1:12" ht="21" x14ac:dyDescent="0.25">
      <c r="A978" s="561" t="s">
        <v>91</v>
      </c>
      <c r="B978" s="749">
        <v>2023</v>
      </c>
      <c r="C978" s="561" t="s">
        <v>701</v>
      </c>
      <c r="D978" s="561" t="s">
        <v>1402</v>
      </c>
      <c r="E978" s="561" t="s">
        <v>703</v>
      </c>
      <c r="F978" s="735">
        <v>0</v>
      </c>
      <c r="G978" s="749">
        <v>0</v>
      </c>
      <c r="H978" s="749"/>
      <c r="I978" s="733"/>
      <c r="J978" s="733"/>
      <c r="K978" s="735">
        <v>0</v>
      </c>
      <c r="L978" s="751">
        <v>0</v>
      </c>
    </row>
    <row r="979" spans="1:12" ht="21" x14ac:dyDescent="0.25">
      <c r="A979" s="561" t="s">
        <v>91</v>
      </c>
      <c r="B979" s="749">
        <v>2023</v>
      </c>
      <c r="C979" s="561" t="s">
        <v>701</v>
      </c>
      <c r="D979" s="561" t="s">
        <v>1402</v>
      </c>
      <c r="E979" s="561" t="s">
        <v>704</v>
      </c>
      <c r="F979" s="735">
        <v>0</v>
      </c>
      <c r="G979" s="749">
        <v>0</v>
      </c>
      <c r="H979" s="749"/>
      <c r="I979" s="733"/>
      <c r="J979" s="733"/>
      <c r="K979" s="735">
        <v>0</v>
      </c>
      <c r="L979" s="751">
        <v>0</v>
      </c>
    </row>
    <row r="980" spans="1:12" ht="21" x14ac:dyDescent="0.25">
      <c r="A980" s="561" t="s">
        <v>91</v>
      </c>
      <c r="B980" s="749">
        <v>2023</v>
      </c>
      <c r="C980" s="561" t="s">
        <v>701</v>
      </c>
      <c r="D980" s="561" t="s">
        <v>1402</v>
      </c>
      <c r="E980" s="561" t="s">
        <v>705</v>
      </c>
      <c r="F980" s="735">
        <v>0</v>
      </c>
      <c r="G980" s="749">
        <v>0</v>
      </c>
      <c r="H980" s="749"/>
      <c r="I980" s="733"/>
      <c r="J980" s="733"/>
      <c r="K980" s="735">
        <v>0</v>
      </c>
      <c r="L980" s="751">
        <v>-1032.52</v>
      </c>
    </row>
    <row r="981" spans="1:12" ht="21" x14ac:dyDescent="0.25">
      <c r="A981" s="561" t="s">
        <v>91</v>
      </c>
      <c r="B981" s="749">
        <v>2023</v>
      </c>
      <c r="C981" s="561" t="s">
        <v>701</v>
      </c>
      <c r="D981" s="561" t="s">
        <v>1402</v>
      </c>
      <c r="E981" s="561" t="s">
        <v>706</v>
      </c>
      <c r="F981" s="735">
        <v>0</v>
      </c>
      <c r="G981" s="749">
        <v>0</v>
      </c>
      <c r="H981" s="749"/>
      <c r="I981" s="733"/>
      <c r="J981" s="733"/>
      <c r="K981" s="735">
        <v>0</v>
      </c>
      <c r="L981" s="751">
        <v>-51271.91</v>
      </c>
    </row>
    <row r="982" spans="1:12" x14ac:dyDescent="0.25">
      <c r="A982" s="561" t="s">
        <v>91</v>
      </c>
      <c r="B982" s="749">
        <v>2023</v>
      </c>
      <c r="C982" s="561" t="s">
        <v>707</v>
      </c>
      <c r="D982" s="561" t="s">
        <v>1403</v>
      </c>
      <c r="E982" s="561" t="s">
        <v>709</v>
      </c>
      <c r="F982" s="735">
        <v>0</v>
      </c>
      <c r="G982" s="749">
        <v>0</v>
      </c>
      <c r="H982" s="749"/>
      <c r="I982" s="733"/>
      <c r="J982" s="733"/>
      <c r="K982" s="735">
        <v>0</v>
      </c>
      <c r="L982" s="750">
        <v>0</v>
      </c>
    </row>
    <row r="983" spans="1:12" ht="21" x14ac:dyDescent="0.25">
      <c r="A983" s="561" t="s">
        <v>91</v>
      </c>
      <c r="B983" s="749">
        <v>2023</v>
      </c>
      <c r="C983" s="561" t="s">
        <v>710</v>
      </c>
      <c r="D983" s="561" t="s">
        <v>1404</v>
      </c>
      <c r="E983" s="561" t="s">
        <v>2</v>
      </c>
      <c r="F983" s="735">
        <v>116675.07</v>
      </c>
      <c r="G983" s="749">
        <v>1</v>
      </c>
      <c r="H983" s="749"/>
      <c r="I983" s="735">
        <v>114555.35</v>
      </c>
      <c r="J983" s="735">
        <v>2119.7199999999998</v>
      </c>
      <c r="K983" s="735">
        <v>116675.07</v>
      </c>
      <c r="L983" s="750">
        <v>116675.07</v>
      </c>
    </row>
    <row r="984" spans="1:12" ht="21" x14ac:dyDescent="0.25">
      <c r="A984" s="561" t="s">
        <v>91</v>
      </c>
      <c r="B984" s="749">
        <v>2023</v>
      </c>
      <c r="C984" s="561" t="s">
        <v>712</v>
      </c>
      <c r="D984" s="561" t="s">
        <v>1405</v>
      </c>
      <c r="E984" s="561" t="s">
        <v>3</v>
      </c>
      <c r="F984" s="735">
        <v>1184.04</v>
      </c>
      <c r="G984" s="749">
        <v>1</v>
      </c>
      <c r="H984" s="749"/>
      <c r="I984" s="735">
        <v>1233.04</v>
      </c>
      <c r="J984" s="735">
        <v>-49</v>
      </c>
      <c r="K984" s="735">
        <v>1184.04</v>
      </c>
      <c r="L984" s="750">
        <v>1184.04</v>
      </c>
    </row>
    <row r="985" spans="1:12" ht="21" x14ac:dyDescent="0.25">
      <c r="A985" s="561" t="s">
        <v>91</v>
      </c>
      <c r="B985" s="749">
        <v>2023</v>
      </c>
      <c r="C985" s="561" t="s">
        <v>714</v>
      </c>
      <c r="D985" s="561" t="s">
        <v>1406</v>
      </c>
      <c r="E985" s="561" t="s">
        <v>38</v>
      </c>
      <c r="F985" s="735">
        <v>-31514.28</v>
      </c>
      <c r="G985" s="749">
        <v>1</v>
      </c>
      <c r="H985" s="749"/>
      <c r="I985" s="735">
        <v>-31154.799999999999</v>
      </c>
      <c r="J985" s="735">
        <v>-359.48</v>
      </c>
      <c r="K985" s="735">
        <v>-31514.28</v>
      </c>
      <c r="L985" s="750">
        <v>-31514.28</v>
      </c>
    </row>
    <row r="986" spans="1:12" x14ac:dyDescent="0.25">
      <c r="A986" s="561" t="s">
        <v>91</v>
      </c>
      <c r="B986" s="749">
        <v>2023</v>
      </c>
      <c r="C986" s="561" t="s">
        <v>716</v>
      </c>
      <c r="D986" s="561" t="s">
        <v>1407</v>
      </c>
      <c r="E986" s="561" t="s">
        <v>66</v>
      </c>
      <c r="F986" s="735">
        <v>-108645.92</v>
      </c>
      <c r="G986" s="749">
        <v>1</v>
      </c>
      <c r="H986" s="749"/>
      <c r="I986" s="735">
        <v>-107047.65</v>
      </c>
      <c r="J986" s="735">
        <v>-1598.27</v>
      </c>
      <c r="K986" s="735">
        <v>-108645.92</v>
      </c>
      <c r="L986" s="750">
        <v>-108645.92</v>
      </c>
    </row>
    <row r="987" spans="1:12" ht="21" x14ac:dyDescent="0.25">
      <c r="A987" s="561" t="s">
        <v>91</v>
      </c>
      <c r="B987" s="749">
        <v>2023</v>
      </c>
      <c r="C987" s="561" t="s">
        <v>718</v>
      </c>
      <c r="D987" s="561" t="s">
        <v>1408</v>
      </c>
      <c r="E987" s="561" t="s">
        <v>720</v>
      </c>
      <c r="F987" s="735">
        <v>-120855.73</v>
      </c>
      <c r="G987" s="749">
        <v>0</v>
      </c>
      <c r="H987" s="749"/>
      <c r="I987" s="733"/>
      <c r="J987" s="733"/>
      <c r="K987" s="735">
        <v>0</v>
      </c>
      <c r="L987" s="750">
        <v>-120855.73</v>
      </c>
    </row>
    <row r="988" spans="1:12" ht="31.5" x14ac:dyDescent="0.25">
      <c r="A988" s="561" t="s">
        <v>91</v>
      </c>
      <c r="B988" s="749">
        <v>2023</v>
      </c>
      <c r="C988" s="561" t="s">
        <v>721</v>
      </c>
      <c r="D988" s="561" t="s">
        <v>1410</v>
      </c>
      <c r="E988" s="561" t="s">
        <v>724</v>
      </c>
      <c r="F988" s="735">
        <v>0</v>
      </c>
      <c r="G988" s="749">
        <v>1</v>
      </c>
      <c r="H988" s="749"/>
      <c r="I988" s="733"/>
      <c r="J988" s="733"/>
      <c r="K988" s="735">
        <v>0</v>
      </c>
      <c r="L988" s="750">
        <v>0</v>
      </c>
    </row>
    <row r="989" spans="1:12" ht="31.5" x14ac:dyDescent="0.25">
      <c r="A989" s="561" t="s">
        <v>91</v>
      </c>
      <c r="B989" s="749">
        <v>2023</v>
      </c>
      <c r="C989" s="561" t="s">
        <v>721</v>
      </c>
      <c r="D989" s="561" t="s">
        <v>1411</v>
      </c>
      <c r="E989" s="561" t="s">
        <v>55</v>
      </c>
      <c r="F989" s="735">
        <v>0</v>
      </c>
      <c r="G989" s="749">
        <v>1</v>
      </c>
      <c r="H989" s="749"/>
      <c r="I989" s="733"/>
      <c r="J989" s="733"/>
      <c r="K989" s="735">
        <v>0</v>
      </c>
      <c r="L989" s="750">
        <v>0</v>
      </c>
    </row>
    <row r="990" spans="1:12" ht="31.5" x14ac:dyDescent="0.25">
      <c r="A990" s="561" t="s">
        <v>91</v>
      </c>
      <c r="B990" s="749">
        <v>2023</v>
      </c>
      <c r="C990" s="561" t="s">
        <v>721</v>
      </c>
      <c r="D990" s="561" t="s">
        <v>1412</v>
      </c>
      <c r="E990" s="561" t="s">
        <v>56</v>
      </c>
      <c r="F990" s="735">
        <v>0</v>
      </c>
      <c r="G990" s="749">
        <v>1</v>
      </c>
      <c r="H990" s="749"/>
      <c r="I990" s="733"/>
      <c r="J990" s="733"/>
      <c r="K990" s="735">
        <v>0</v>
      </c>
      <c r="L990" s="750">
        <v>0</v>
      </c>
    </row>
    <row r="991" spans="1:12" ht="31.5" x14ac:dyDescent="0.25">
      <c r="A991" s="561" t="s">
        <v>91</v>
      </c>
      <c r="B991" s="749">
        <v>2023</v>
      </c>
      <c r="C991" s="561" t="s">
        <v>721</v>
      </c>
      <c r="D991" s="561" t="s">
        <v>1413</v>
      </c>
      <c r="E991" s="561" t="s">
        <v>728</v>
      </c>
      <c r="F991" s="735">
        <v>0</v>
      </c>
      <c r="G991" s="749">
        <v>1</v>
      </c>
      <c r="H991" s="749"/>
      <c r="I991" s="733"/>
      <c r="J991" s="733"/>
      <c r="K991" s="735">
        <v>0</v>
      </c>
      <c r="L991" s="750">
        <v>0</v>
      </c>
    </row>
    <row r="992" spans="1:12" ht="31.5" x14ac:dyDescent="0.25">
      <c r="A992" s="561" t="s">
        <v>91</v>
      </c>
      <c r="B992" s="749">
        <v>2023</v>
      </c>
      <c r="C992" s="561" t="s">
        <v>721</v>
      </c>
      <c r="D992" s="561" t="s">
        <v>1414</v>
      </c>
      <c r="E992" s="561" t="s">
        <v>730</v>
      </c>
      <c r="F992" s="735">
        <v>0</v>
      </c>
      <c r="G992" s="749">
        <v>1</v>
      </c>
      <c r="H992" s="749"/>
      <c r="I992" s="733"/>
      <c r="J992" s="733"/>
      <c r="K992" s="735">
        <v>0</v>
      </c>
      <c r="L992" s="750">
        <v>0</v>
      </c>
    </row>
    <row r="993" spans="1:12" ht="31.5" x14ac:dyDescent="0.25">
      <c r="A993" s="561" t="s">
        <v>91</v>
      </c>
      <c r="B993" s="749">
        <v>2023</v>
      </c>
      <c r="C993" s="561" t="s">
        <v>721</v>
      </c>
      <c r="D993" s="561" t="s">
        <v>1415</v>
      </c>
      <c r="E993" s="561" t="s">
        <v>142</v>
      </c>
      <c r="F993" s="735">
        <v>0</v>
      </c>
      <c r="G993" s="749">
        <v>1</v>
      </c>
      <c r="H993" s="749"/>
      <c r="I993" s="733"/>
      <c r="J993" s="733"/>
      <c r="K993" s="735">
        <v>0</v>
      </c>
      <c r="L993" s="750">
        <v>0</v>
      </c>
    </row>
    <row r="994" spans="1:12" ht="31.5" x14ac:dyDescent="0.25">
      <c r="A994" s="561" t="s">
        <v>91</v>
      </c>
      <c r="B994" s="749">
        <v>2023</v>
      </c>
      <c r="C994" s="561" t="s">
        <v>721</v>
      </c>
      <c r="D994" s="561" t="s">
        <v>1416</v>
      </c>
      <c r="E994" s="561" t="s">
        <v>143</v>
      </c>
      <c r="F994" s="735">
        <v>0</v>
      </c>
      <c r="G994" s="749">
        <v>1</v>
      </c>
      <c r="H994" s="749"/>
      <c r="I994" s="733"/>
      <c r="J994" s="733"/>
      <c r="K994" s="735">
        <v>0</v>
      </c>
      <c r="L994" s="750">
        <v>0</v>
      </c>
    </row>
    <row r="995" spans="1:12" ht="31.5" x14ac:dyDescent="0.25">
      <c r="A995" s="561" t="s">
        <v>91</v>
      </c>
      <c r="B995" s="749">
        <v>2023</v>
      </c>
      <c r="C995" s="561" t="s">
        <v>721</v>
      </c>
      <c r="D995" s="561" t="s">
        <v>1417</v>
      </c>
      <c r="E995" s="561" t="s">
        <v>182</v>
      </c>
      <c r="F995" s="735">
        <v>0</v>
      </c>
      <c r="G995" s="749">
        <v>1</v>
      </c>
      <c r="H995" s="749"/>
      <c r="I995" s="733"/>
      <c r="J995" s="733"/>
      <c r="K995" s="735">
        <v>0</v>
      </c>
      <c r="L995" s="750">
        <v>0</v>
      </c>
    </row>
    <row r="996" spans="1:12" ht="31.5" x14ac:dyDescent="0.25">
      <c r="A996" s="561" t="s">
        <v>91</v>
      </c>
      <c r="B996" s="749">
        <v>2023</v>
      </c>
      <c r="C996" s="561" t="s">
        <v>721</v>
      </c>
      <c r="D996" s="561" t="s">
        <v>1418</v>
      </c>
      <c r="E996" s="561" t="s">
        <v>394</v>
      </c>
      <c r="F996" s="735">
        <v>0</v>
      </c>
      <c r="G996" s="749">
        <v>1</v>
      </c>
      <c r="H996" s="749"/>
      <c r="I996" s="733"/>
      <c r="J996" s="733"/>
      <c r="K996" s="735">
        <v>0</v>
      </c>
      <c r="L996" s="750">
        <v>0</v>
      </c>
    </row>
    <row r="997" spans="1:12" ht="31.5" x14ac:dyDescent="0.25">
      <c r="A997" s="561" t="s">
        <v>91</v>
      </c>
      <c r="B997" s="749">
        <v>2023</v>
      </c>
      <c r="C997" s="561" t="s">
        <v>721</v>
      </c>
      <c r="D997" s="561" t="s">
        <v>1419</v>
      </c>
      <c r="E997" s="561" t="s">
        <v>423</v>
      </c>
      <c r="F997" s="735">
        <v>0</v>
      </c>
      <c r="G997" s="749">
        <v>1</v>
      </c>
      <c r="H997" s="749"/>
      <c r="I997" s="735">
        <v>38641.879999999997</v>
      </c>
      <c r="J997" s="735">
        <v>-14444.73</v>
      </c>
      <c r="K997" s="735">
        <v>24197.15</v>
      </c>
      <c r="L997" s="750">
        <v>24197.15</v>
      </c>
    </row>
    <row r="998" spans="1:12" ht="31.5" x14ac:dyDescent="0.25">
      <c r="A998" s="561" t="s">
        <v>91</v>
      </c>
      <c r="B998" s="749">
        <v>2023</v>
      </c>
      <c r="C998" s="561" t="s">
        <v>721</v>
      </c>
      <c r="D998" s="561" t="s">
        <v>3214</v>
      </c>
      <c r="E998" s="561" t="s">
        <v>441</v>
      </c>
      <c r="F998" s="735">
        <v>0</v>
      </c>
      <c r="G998" s="749">
        <v>1</v>
      </c>
      <c r="H998" s="749"/>
      <c r="I998" s="733"/>
      <c r="J998" s="733"/>
      <c r="K998" s="735">
        <v>0</v>
      </c>
      <c r="L998" s="750">
        <v>0</v>
      </c>
    </row>
    <row r="999" spans="1:12" ht="31.5" x14ac:dyDescent="0.25">
      <c r="A999" s="561" t="s">
        <v>91</v>
      </c>
      <c r="B999" s="749">
        <v>2023</v>
      </c>
      <c r="C999" s="561" t="s">
        <v>721</v>
      </c>
      <c r="D999" s="561" t="s">
        <v>3516</v>
      </c>
      <c r="E999" s="561" t="s">
        <v>3016</v>
      </c>
      <c r="F999" s="735">
        <v>0</v>
      </c>
      <c r="G999" s="749">
        <v>1</v>
      </c>
      <c r="H999" s="749"/>
      <c r="I999" s="733"/>
      <c r="J999" s="733"/>
      <c r="K999" s="735">
        <v>0</v>
      </c>
      <c r="L999" s="750">
        <v>0</v>
      </c>
    </row>
    <row r="1000" spans="1:12" ht="31.5" x14ac:dyDescent="0.25">
      <c r="A1000" s="561" t="s">
        <v>91</v>
      </c>
      <c r="B1000" s="749">
        <v>2023</v>
      </c>
      <c r="C1000" s="561" t="s">
        <v>721</v>
      </c>
      <c r="D1000" s="561" t="s">
        <v>3517</v>
      </c>
      <c r="E1000" s="561" t="s">
        <v>3058</v>
      </c>
      <c r="F1000" s="735">
        <v>0</v>
      </c>
      <c r="G1000" s="749">
        <v>1</v>
      </c>
      <c r="H1000" s="749"/>
      <c r="I1000" s="733"/>
      <c r="J1000" s="733"/>
      <c r="K1000" s="735">
        <v>0</v>
      </c>
      <c r="L1000" s="750">
        <v>0</v>
      </c>
    </row>
    <row r="1001" spans="1:12" ht="31.5" x14ac:dyDescent="0.25">
      <c r="A1001" s="561" t="s">
        <v>91</v>
      </c>
      <c r="B1001" s="749">
        <v>2023</v>
      </c>
      <c r="C1001" s="561" t="s">
        <v>721</v>
      </c>
      <c r="D1001" s="561" t="s">
        <v>3518</v>
      </c>
      <c r="E1001" s="561" t="s">
        <v>3063</v>
      </c>
      <c r="F1001" s="735">
        <v>0</v>
      </c>
      <c r="G1001" s="749">
        <v>1</v>
      </c>
      <c r="H1001" s="749"/>
      <c r="I1001" s="735">
        <v>-285130.71999999997</v>
      </c>
      <c r="J1001" s="735">
        <v>-11873.14</v>
      </c>
      <c r="K1001" s="735">
        <v>-297003.86</v>
      </c>
      <c r="L1001" s="750">
        <v>-297003.86</v>
      </c>
    </row>
    <row r="1002" spans="1:12" ht="31.5" x14ac:dyDescent="0.25">
      <c r="A1002" s="561" t="s">
        <v>91</v>
      </c>
      <c r="B1002" s="749">
        <v>2023</v>
      </c>
      <c r="C1002" s="561" t="s">
        <v>721</v>
      </c>
      <c r="D1002" s="561" t="s">
        <v>3774</v>
      </c>
      <c r="E1002" s="561" t="s">
        <v>3425</v>
      </c>
      <c r="F1002" s="735">
        <v>0</v>
      </c>
      <c r="G1002" s="749">
        <v>1</v>
      </c>
      <c r="H1002" s="749"/>
      <c r="I1002" s="735">
        <v>373774.35</v>
      </c>
      <c r="J1002" s="735">
        <v>16413.55</v>
      </c>
      <c r="K1002" s="735">
        <v>390187.9</v>
      </c>
      <c r="L1002" s="750">
        <v>390187.9</v>
      </c>
    </row>
    <row r="1003" spans="1:12" ht="42" x14ac:dyDescent="0.25">
      <c r="A1003" s="561" t="s">
        <v>91</v>
      </c>
      <c r="B1003" s="749">
        <v>2023</v>
      </c>
      <c r="C1003" s="561" t="s">
        <v>721</v>
      </c>
      <c r="D1003" s="561" t="s">
        <v>3775</v>
      </c>
      <c r="E1003" s="561" t="s">
        <v>737</v>
      </c>
      <c r="F1003" s="735">
        <v>117381.19</v>
      </c>
      <c r="G1003" s="749">
        <v>0</v>
      </c>
      <c r="H1003" s="749"/>
      <c r="I1003" s="733"/>
      <c r="J1003" s="733"/>
      <c r="K1003" s="735">
        <v>0</v>
      </c>
      <c r="L1003" s="750">
        <v>117381.19</v>
      </c>
    </row>
    <row r="1004" spans="1:12" x14ac:dyDescent="0.25">
      <c r="A1004" s="561" t="s">
        <v>91</v>
      </c>
      <c r="B1004" s="749">
        <v>2023</v>
      </c>
      <c r="C1004" s="561" t="s">
        <v>738</v>
      </c>
      <c r="D1004" s="561" t="s">
        <v>1421</v>
      </c>
      <c r="E1004" s="561" t="s">
        <v>7</v>
      </c>
      <c r="F1004" s="735">
        <v>-102991.95</v>
      </c>
      <c r="G1004" s="749">
        <v>0</v>
      </c>
      <c r="H1004" s="749"/>
      <c r="I1004" s="733"/>
      <c r="J1004" s="733"/>
      <c r="K1004" s="735">
        <v>0</v>
      </c>
      <c r="L1004" s="750">
        <v>-102991.95</v>
      </c>
    </row>
    <row r="1005" spans="1:12" x14ac:dyDescent="0.25">
      <c r="A1005" s="561" t="s">
        <v>3776</v>
      </c>
      <c r="B1005" s="749">
        <v>2023</v>
      </c>
      <c r="C1005" s="561" t="s">
        <v>647</v>
      </c>
      <c r="D1005" s="561" t="s">
        <v>3777</v>
      </c>
      <c r="E1005" s="561" t="s">
        <v>649</v>
      </c>
      <c r="F1005" s="735">
        <v>10890925.68</v>
      </c>
      <c r="G1005" s="749">
        <v>0</v>
      </c>
      <c r="H1005" s="749"/>
      <c r="I1005" s="733"/>
      <c r="J1005" s="733"/>
      <c r="K1005" s="735">
        <v>0</v>
      </c>
      <c r="L1005" s="750">
        <v>10890925.68</v>
      </c>
    </row>
    <row r="1006" spans="1:12" ht="21" x14ac:dyDescent="0.25">
      <c r="A1006" s="561" t="s">
        <v>3776</v>
      </c>
      <c r="B1006" s="749">
        <v>2023</v>
      </c>
      <c r="C1006" s="561" t="s">
        <v>3691</v>
      </c>
      <c r="D1006" s="561" t="s">
        <v>3778</v>
      </c>
      <c r="E1006" s="561" t="s">
        <v>3675</v>
      </c>
      <c r="F1006" s="735">
        <v>215924.43</v>
      </c>
      <c r="G1006" s="749">
        <v>0</v>
      </c>
      <c r="H1006" s="749"/>
      <c r="I1006" s="733"/>
      <c r="J1006" s="733"/>
      <c r="K1006" s="735">
        <v>0</v>
      </c>
      <c r="L1006" s="750">
        <v>215924.43</v>
      </c>
    </row>
    <row r="1007" spans="1:12" x14ac:dyDescent="0.25">
      <c r="A1007" s="561" t="s">
        <v>3776</v>
      </c>
      <c r="B1007" s="749">
        <v>2023</v>
      </c>
      <c r="C1007" s="561" t="s">
        <v>651</v>
      </c>
      <c r="D1007" s="561" t="s">
        <v>3779</v>
      </c>
      <c r="E1007" s="561" t="s">
        <v>653</v>
      </c>
      <c r="F1007" s="735">
        <v>164111.69</v>
      </c>
      <c r="G1007" s="749">
        <v>0</v>
      </c>
      <c r="H1007" s="749"/>
      <c r="I1007" s="733"/>
      <c r="J1007" s="733"/>
      <c r="K1007" s="735">
        <v>0</v>
      </c>
      <c r="L1007" s="750">
        <v>164111.69</v>
      </c>
    </row>
    <row r="1008" spans="1:12" ht="31.5" x14ac:dyDescent="0.25">
      <c r="A1008" s="561" t="s">
        <v>3776</v>
      </c>
      <c r="B1008" s="749">
        <v>2023</v>
      </c>
      <c r="C1008" s="561" t="s">
        <v>654</v>
      </c>
      <c r="D1008" s="561" t="s">
        <v>3780</v>
      </c>
      <c r="E1008" s="561" t="s">
        <v>445</v>
      </c>
      <c r="F1008" s="735">
        <v>0</v>
      </c>
      <c r="G1008" s="749">
        <v>0</v>
      </c>
      <c r="H1008" s="749"/>
      <c r="I1008" s="733"/>
      <c r="J1008" s="733"/>
      <c r="K1008" s="735">
        <v>0</v>
      </c>
      <c r="L1008" s="750">
        <v>0</v>
      </c>
    </row>
    <row r="1009" spans="1:12" ht="21" x14ac:dyDescent="0.25">
      <c r="A1009" s="561" t="s">
        <v>3776</v>
      </c>
      <c r="B1009" s="749">
        <v>2023</v>
      </c>
      <c r="C1009" s="561" t="s">
        <v>656</v>
      </c>
      <c r="D1009" s="561" t="s">
        <v>3781</v>
      </c>
      <c r="E1009" s="561" t="s">
        <v>658</v>
      </c>
      <c r="F1009" s="735">
        <v>0</v>
      </c>
      <c r="G1009" s="749">
        <v>0</v>
      </c>
      <c r="H1009" s="749"/>
      <c r="I1009" s="733"/>
      <c r="J1009" s="733"/>
      <c r="K1009" s="735">
        <v>0</v>
      </c>
      <c r="L1009" s="750">
        <v>0</v>
      </c>
    </row>
    <row r="1010" spans="1:12" ht="21" x14ac:dyDescent="0.25">
      <c r="A1010" s="561" t="s">
        <v>3776</v>
      </c>
      <c r="B1010" s="749">
        <v>2023</v>
      </c>
      <c r="C1010" s="561" t="s">
        <v>659</v>
      </c>
      <c r="D1010" s="561" t="s">
        <v>3782</v>
      </c>
      <c r="E1010" s="561" t="s">
        <v>661</v>
      </c>
      <c r="F1010" s="735">
        <v>0</v>
      </c>
      <c r="G1010" s="749">
        <v>0</v>
      </c>
      <c r="H1010" s="749"/>
      <c r="I1010" s="733"/>
      <c r="J1010" s="733"/>
      <c r="K1010" s="735">
        <v>0</v>
      </c>
      <c r="L1010" s="750">
        <v>0</v>
      </c>
    </row>
    <row r="1011" spans="1:12" ht="21" x14ac:dyDescent="0.25">
      <c r="A1011" s="561" t="s">
        <v>3776</v>
      </c>
      <c r="B1011" s="749">
        <v>2023</v>
      </c>
      <c r="C1011" s="561" t="s">
        <v>662</v>
      </c>
      <c r="D1011" s="561" t="s">
        <v>3783</v>
      </c>
      <c r="E1011" s="561" t="s">
        <v>664</v>
      </c>
      <c r="F1011" s="735">
        <v>0</v>
      </c>
      <c r="G1011" s="749">
        <v>0</v>
      </c>
      <c r="H1011" s="749"/>
      <c r="I1011" s="733"/>
      <c r="J1011" s="733"/>
      <c r="K1011" s="735">
        <v>0</v>
      </c>
      <c r="L1011" s="750">
        <v>0</v>
      </c>
    </row>
    <row r="1012" spans="1:12" ht="31.5" x14ac:dyDescent="0.25">
      <c r="A1012" s="561" t="s">
        <v>3776</v>
      </c>
      <c r="B1012" s="749">
        <v>2023</v>
      </c>
      <c r="C1012" s="561" t="s">
        <v>665</v>
      </c>
      <c r="D1012" s="561" t="s">
        <v>3784</v>
      </c>
      <c r="E1012" s="561" t="s">
        <v>667</v>
      </c>
      <c r="F1012" s="735">
        <v>0</v>
      </c>
      <c r="G1012" s="749">
        <v>0</v>
      </c>
      <c r="H1012" s="749"/>
      <c r="I1012" s="733"/>
      <c r="J1012" s="733"/>
      <c r="K1012" s="735">
        <v>0</v>
      </c>
      <c r="L1012" s="750">
        <v>0</v>
      </c>
    </row>
    <row r="1013" spans="1:12" ht="21" x14ac:dyDescent="0.25">
      <c r="A1013" s="561" t="s">
        <v>3776</v>
      </c>
      <c r="B1013" s="749">
        <v>2023</v>
      </c>
      <c r="C1013" s="561" t="s">
        <v>668</v>
      </c>
      <c r="D1013" s="561" t="s">
        <v>3785</v>
      </c>
      <c r="E1013" s="561" t="s">
        <v>12</v>
      </c>
      <c r="F1013" s="735">
        <v>0</v>
      </c>
      <c r="G1013" s="749">
        <v>0</v>
      </c>
      <c r="H1013" s="749"/>
      <c r="I1013" s="733"/>
      <c r="J1013" s="733"/>
      <c r="K1013" s="735">
        <v>0</v>
      </c>
      <c r="L1013" s="750">
        <v>0</v>
      </c>
    </row>
    <row r="1014" spans="1:12" ht="21" x14ac:dyDescent="0.25">
      <c r="A1014" s="561" t="s">
        <v>3776</v>
      </c>
      <c r="B1014" s="749">
        <v>2023</v>
      </c>
      <c r="C1014" s="561" t="s">
        <v>670</v>
      </c>
      <c r="D1014" s="561" t="s">
        <v>3786</v>
      </c>
      <c r="E1014" s="561" t="s">
        <v>13</v>
      </c>
      <c r="F1014" s="735">
        <v>0</v>
      </c>
      <c r="G1014" s="749">
        <v>0</v>
      </c>
      <c r="H1014" s="749"/>
      <c r="I1014" s="733"/>
      <c r="J1014" s="733"/>
      <c r="K1014" s="735">
        <v>0</v>
      </c>
      <c r="L1014" s="750">
        <v>0</v>
      </c>
    </row>
    <row r="1015" spans="1:12" ht="21" x14ac:dyDescent="0.25">
      <c r="A1015" s="561" t="s">
        <v>3776</v>
      </c>
      <c r="B1015" s="749">
        <v>2023</v>
      </c>
      <c r="C1015" s="561" t="s">
        <v>672</v>
      </c>
      <c r="D1015" s="561" t="s">
        <v>3787</v>
      </c>
      <c r="E1015" s="561" t="s">
        <v>15</v>
      </c>
      <c r="F1015" s="735">
        <v>0</v>
      </c>
      <c r="G1015" s="749">
        <v>0</v>
      </c>
      <c r="H1015" s="749"/>
      <c r="I1015" s="733"/>
      <c r="J1015" s="733"/>
      <c r="K1015" s="735">
        <v>0</v>
      </c>
      <c r="L1015" s="750">
        <v>0</v>
      </c>
    </row>
    <row r="1016" spans="1:12" x14ac:dyDescent="0.25">
      <c r="A1016" s="561" t="s">
        <v>3776</v>
      </c>
      <c r="B1016" s="749">
        <v>2023</v>
      </c>
      <c r="C1016" s="561" t="s">
        <v>674</v>
      </c>
      <c r="D1016" s="561" t="s">
        <v>3788</v>
      </c>
      <c r="E1016" s="561" t="s">
        <v>676</v>
      </c>
      <c r="F1016" s="735">
        <v>1886.38</v>
      </c>
      <c r="G1016" s="749">
        <v>0</v>
      </c>
      <c r="H1016" s="749"/>
      <c r="I1016" s="733"/>
      <c r="J1016" s="733"/>
      <c r="K1016" s="735">
        <v>0</v>
      </c>
      <c r="L1016" s="750">
        <v>1886.38</v>
      </c>
    </row>
    <row r="1017" spans="1:12" x14ac:dyDescent="0.25">
      <c r="A1017" s="561" t="s">
        <v>3776</v>
      </c>
      <c r="B1017" s="749">
        <v>2023</v>
      </c>
      <c r="C1017" s="561" t="s">
        <v>677</v>
      </c>
      <c r="D1017" s="561" t="s">
        <v>3789</v>
      </c>
      <c r="E1017" s="561" t="s">
        <v>23</v>
      </c>
      <c r="F1017" s="735">
        <v>201597.21</v>
      </c>
      <c r="G1017" s="749">
        <v>1</v>
      </c>
      <c r="H1017" s="749"/>
      <c r="I1017" s="735">
        <v>200206.9</v>
      </c>
      <c r="J1017" s="735">
        <v>1390.31</v>
      </c>
      <c r="K1017" s="735">
        <v>201597.21</v>
      </c>
      <c r="L1017" s="750">
        <v>201597.21</v>
      </c>
    </row>
    <row r="1018" spans="1:12" ht="21" x14ac:dyDescent="0.25">
      <c r="A1018" s="561" t="s">
        <v>3776</v>
      </c>
      <c r="B1018" s="749">
        <v>2023</v>
      </c>
      <c r="C1018" s="561" t="s">
        <v>679</v>
      </c>
      <c r="D1018" s="561" t="s">
        <v>3790</v>
      </c>
      <c r="E1018" s="561" t="s">
        <v>131</v>
      </c>
      <c r="F1018" s="735">
        <v>-371492.9</v>
      </c>
      <c r="G1018" s="749">
        <v>1</v>
      </c>
      <c r="H1018" s="749"/>
      <c r="I1018" s="735">
        <v>-367694.06</v>
      </c>
      <c r="J1018" s="735">
        <v>-3798.84</v>
      </c>
      <c r="K1018" s="735">
        <v>-371492.9</v>
      </c>
      <c r="L1018" s="750">
        <v>-371492.9</v>
      </c>
    </row>
    <row r="1019" spans="1:12" ht="31.5" x14ac:dyDescent="0.25">
      <c r="A1019" s="561" t="s">
        <v>3776</v>
      </c>
      <c r="B1019" s="749">
        <v>2023</v>
      </c>
      <c r="C1019" s="561" t="s">
        <v>681</v>
      </c>
      <c r="D1019" s="561" t="s">
        <v>3791</v>
      </c>
      <c r="E1019" s="561" t="s">
        <v>683</v>
      </c>
      <c r="F1019" s="735">
        <v>-173961.53</v>
      </c>
      <c r="G1019" s="749">
        <v>0</v>
      </c>
      <c r="H1019" s="749"/>
      <c r="I1019" s="733"/>
      <c r="J1019" s="733"/>
      <c r="K1019" s="735">
        <v>0</v>
      </c>
      <c r="L1019" s="750">
        <v>-173961.53</v>
      </c>
    </row>
    <row r="1020" spans="1:12" ht="21" x14ac:dyDescent="0.25">
      <c r="A1020" s="561" t="s">
        <v>3776</v>
      </c>
      <c r="B1020" s="749">
        <v>2023</v>
      </c>
      <c r="C1020" s="561" t="s">
        <v>681</v>
      </c>
      <c r="D1020" s="561" t="s">
        <v>3791</v>
      </c>
      <c r="E1020" s="561" t="s">
        <v>684</v>
      </c>
      <c r="F1020" s="735">
        <v>0</v>
      </c>
      <c r="G1020" s="749">
        <v>0</v>
      </c>
      <c r="H1020" s="749"/>
      <c r="I1020" s="733"/>
      <c r="J1020" s="733"/>
      <c r="K1020" s="735">
        <v>0</v>
      </c>
      <c r="L1020" s="751">
        <v>0</v>
      </c>
    </row>
    <row r="1021" spans="1:12" x14ac:dyDescent="0.25">
      <c r="A1021" s="561" t="s">
        <v>3776</v>
      </c>
      <c r="B1021" s="749">
        <v>2023</v>
      </c>
      <c r="C1021" s="561" t="s">
        <v>685</v>
      </c>
      <c r="D1021" s="561" t="s">
        <v>3792</v>
      </c>
      <c r="E1021" s="561" t="s">
        <v>687</v>
      </c>
      <c r="F1021" s="735">
        <v>0.39</v>
      </c>
      <c r="G1021" s="749">
        <v>0</v>
      </c>
      <c r="H1021" s="749"/>
      <c r="I1021" s="733"/>
      <c r="J1021" s="733"/>
      <c r="K1021" s="735">
        <v>0</v>
      </c>
      <c r="L1021" s="750">
        <v>0.39</v>
      </c>
    </row>
    <row r="1022" spans="1:12" x14ac:dyDescent="0.25">
      <c r="A1022" s="561" t="s">
        <v>3776</v>
      </c>
      <c r="B1022" s="749">
        <v>2023</v>
      </c>
      <c r="C1022" s="561" t="s">
        <v>688</v>
      </c>
      <c r="D1022" s="561" t="s">
        <v>3793</v>
      </c>
      <c r="E1022" s="561" t="s">
        <v>50</v>
      </c>
      <c r="F1022" s="735">
        <v>0</v>
      </c>
      <c r="G1022" s="749">
        <v>0</v>
      </c>
      <c r="H1022" s="749"/>
      <c r="I1022" s="733"/>
      <c r="J1022" s="733"/>
      <c r="K1022" s="735">
        <v>0</v>
      </c>
      <c r="L1022" s="750">
        <v>0</v>
      </c>
    </row>
    <row r="1023" spans="1:12" x14ac:dyDescent="0.25">
      <c r="A1023" s="561" t="s">
        <v>3776</v>
      </c>
      <c r="B1023" s="749">
        <v>2023</v>
      </c>
      <c r="C1023" s="561" t="s">
        <v>690</v>
      </c>
      <c r="D1023" s="561" t="s">
        <v>3794</v>
      </c>
      <c r="E1023" s="561" t="s">
        <v>692</v>
      </c>
      <c r="F1023" s="735">
        <v>0</v>
      </c>
      <c r="G1023" s="749">
        <v>0</v>
      </c>
      <c r="H1023" s="749"/>
      <c r="I1023" s="733"/>
      <c r="J1023" s="733"/>
      <c r="K1023" s="735">
        <v>0</v>
      </c>
      <c r="L1023" s="750">
        <v>0</v>
      </c>
    </row>
    <row r="1024" spans="1:12" ht="21" x14ac:dyDescent="0.25">
      <c r="A1024" s="561" t="s">
        <v>3776</v>
      </c>
      <c r="B1024" s="749">
        <v>2023</v>
      </c>
      <c r="C1024" s="561" t="s">
        <v>693</v>
      </c>
      <c r="D1024" s="561" t="s">
        <v>3795</v>
      </c>
      <c r="E1024" s="561" t="s">
        <v>6</v>
      </c>
      <c r="F1024" s="735">
        <v>0</v>
      </c>
      <c r="G1024" s="749">
        <v>0</v>
      </c>
      <c r="H1024" s="749"/>
      <c r="I1024" s="733"/>
      <c r="J1024" s="733"/>
      <c r="K1024" s="735">
        <v>0</v>
      </c>
      <c r="L1024" s="750">
        <v>0</v>
      </c>
    </row>
    <row r="1025" spans="1:12" ht="21" x14ac:dyDescent="0.25">
      <c r="A1025" s="561" t="s">
        <v>3776</v>
      </c>
      <c r="B1025" s="749">
        <v>2023</v>
      </c>
      <c r="C1025" s="561" t="s">
        <v>695</v>
      </c>
      <c r="D1025" s="561" t="s">
        <v>3796</v>
      </c>
      <c r="E1025" s="561" t="s">
        <v>697</v>
      </c>
      <c r="F1025" s="735">
        <v>178387.41</v>
      </c>
      <c r="G1025" s="749">
        <v>0</v>
      </c>
      <c r="H1025" s="749"/>
      <c r="I1025" s="733"/>
      <c r="J1025" s="733"/>
      <c r="K1025" s="735">
        <v>0</v>
      </c>
      <c r="L1025" s="750">
        <v>178387.41</v>
      </c>
    </row>
    <row r="1026" spans="1:12" x14ac:dyDescent="0.25">
      <c r="A1026" s="561" t="s">
        <v>3776</v>
      </c>
      <c r="B1026" s="749">
        <v>2023</v>
      </c>
      <c r="C1026" s="561" t="s">
        <v>698</v>
      </c>
      <c r="D1026" s="561" t="s">
        <v>3797</v>
      </c>
      <c r="E1026" s="561" t="s">
        <v>700</v>
      </c>
      <c r="F1026" s="735">
        <v>-105700.88</v>
      </c>
      <c r="G1026" s="749">
        <v>0</v>
      </c>
      <c r="H1026" s="749"/>
      <c r="I1026" s="733"/>
      <c r="J1026" s="733"/>
      <c r="K1026" s="735">
        <v>0</v>
      </c>
      <c r="L1026" s="750">
        <v>-105700.88</v>
      </c>
    </row>
    <row r="1027" spans="1:12" ht="21" x14ac:dyDescent="0.25">
      <c r="A1027" s="561" t="s">
        <v>3776</v>
      </c>
      <c r="B1027" s="749">
        <v>2023</v>
      </c>
      <c r="C1027" s="561" t="s">
        <v>701</v>
      </c>
      <c r="D1027" s="561" t="s">
        <v>3798</v>
      </c>
      <c r="E1027" s="561" t="s">
        <v>1</v>
      </c>
      <c r="F1027" s="735">
        <v>7409326.7400000002</v>
      </c>
      <c r="G1027" s="749">
        <v>1</v>
      </c>
      <c r="H1027" s="749"/>
      <c r="I1027" s="735">
        <v>7289530.0700000003</v>
      </c>
      <c r="J1027" s="735">
        <v>119796.67</v>
      </c>
      <c r="K1027" s="735">
        <v>7409326.7400000002</v>
      </c>
      <c r="L1027" s="750">
        <v>7409326.7400000002</v>
      </c>
    </row>
    <row r="1028" spans="1:12" ht="21" x14ac:dyDescent="0.25">
      <c r="A1028" s="561" t="s">
        <v>3776</v>
      </c>
      <c r="B1028" s="749">
        <v>2023</v>
      </c>
      <c r="C1028" s="561" t="s">
        <v>701</v>
      </c>
      <c r="D1028" s="561" t="s">
        <v>3798</v>
      </c>
      <c r="E1028" s="561" t="s">
        <v>703</v>
      </c>
      <c r="F1028" s="735">
        <v>0</v>
      </c>
      <c r="G1028" s="749">
        <v>0</v>
      </c>
      <c r="H1028" s="749"/>
      <c r="I1028" s="733"/>
      <c r="J1028" s="733"/>
      <c r="K1028" s="735">
        <v>0</v>
      </c>
      <c r="L1028" s="751">
        <v>0</v>
      </c>
    </row>
    <row r="1029" spans="1:12" ht="21" x14ac:dyDescent="0.25">
      <c r="A1029" s="561" t="s">
        <v>3776</v>
      </c>
      <c r="B1029" s="749">
        <v>2023</v>
      </c>
      <c r="C1029" s="561" t="s">
        <v>701</v>
      </c>
      <c r="D1029" s="561" t="s">
        <v>3798</v>
      </c>
      <c r="E1029" s="561" t="s">
        <v>704</v>
      </c>
      <c r="F1029" s="735">
        <v>0</v>
      </c>
      <c r="G1029" s="749">
        <v>0</v>
      </c>
      <c r="H1029" s="749"/>
      <c r="I1029" s="733"/>
      <c r="J1029" s="733"/>
      <c r="K1029" s="735">
        <v>0</v>
      </c>
      <c r="L1029" s="751">
        <v>0</v>
      </c>
    </row>
    <row r="1030" spans="1:12" ht="21" x14ac:dyDescent="0.25">
      <c r="A1030" s="561" t="s">
        <v>3776</v>
      </c>
      <c r="B1030" s="749">
        <v>2023</v>
      </c>
      <c r="C1030" s="561" t="s">
        <v>701</v>
      </c>
      <c r="D1030" s="561" t="s">
        <v>3798</v>
      </c>
      <c r="E1030" s="561" t="s">
        <v>705</v>
      </c>
      <c r="F1030" s="735">
        <v>0</v>
      </c>
      <c r="G1030" s="749">
        <v>0</v>
      </c>
      <c r="H1030" s="749"/>
      <c r="I1030" s="733"/>
      <c r="J1030" s="733"/>
      <c r="K1030" s="735">
        <v>0</v>
      </c>
      <c r="L1030" s="751">
        <v>-12455.11</v>
      </c>
    </row>
    <row r="1031" spans="1:12" ht="21" x14ac:dyDescent="0.25">
      <c r="A1031" s="561" t="s">
        <v>3776</v>
      </c>
      <c r="B1031" s="749">
        <v>2023</v>
      </c>
      <c r="C1031" s="561" t="s">
        <v>701</v>
      </c>
      <c r="D1031" s="561" t="s">
        <v>3798</v>
      </c>
      <c r="E1031" s="561" t="s">
        <v>706</v>
      </c>
      <c r="F1031" s="735">
        <v>0</v>
      </c>
      <c r="G1031" s="749">
        <v>0</v>
      </c>
      <c r="H1031" s="749"/>
      <c r="I1031" s="733"/>
      <c r="J1031" s="733"/>
      <c r="K1031" s="735">
        <v>0</v>
      </c>
      <c r="L1031" s="751">
        <v>-394225.52</v>
      </c>
    </row>
    <row r="1032" spans="1:12" x14ac:dyDescent="0.25">
      <c r="A1032" s="561" t="s">
        <v>3776</v>
      </c>
      <c r="B1032" s="749">
        <v>2023</v>
      </c>
      <c r="C1032" s="561" t="s">
        <v>707</v>
      </c>
      <c r="D1032" s="561" t="s">
        <v>3799</v>
      </c>
      <c r="E1032" s="561" t="s">
        <v>709</v>
      </c>
      <c r="F1032" s="735">
        <v>0</v>
      </c>
      <c r="G1032" s="749">
        <v>0</v>
      </c>
      <c r="H1032" s="749"/>
      <c r="I1032" s="733"/>
      <c r="J1032" s="733"/>
      <c r="K1032" s="735">
        <v>0</v>
      </c>
      <c r="L1032" s="750">
        <v>0</v>
      </c>
    </row>
    <row r="1033" spans="1:12" ht="21" x14ac:dyDescent="0.25">
      <c r="A1033" s="561" t="s">
        <v>3776</v>
      </c>
      <c r="B1033" s="749">
        <v>2023</v>
      </c>
      <c r="C1033" s="561" t="s">
        <v>710</v>
      </c>
      <c r="D1033" s="561" t="s">
        <v>3800</v>
      </c>
      <c r="E1033" s="561" t="s">
        <v>2</v>
      </c>
      <c r="F1033" s="735">
        <v>5494256.0199999996</v>
      </c>
      <c r="G1033" s="749">
        <v>1</v>
      </c>
      <c r="H1033" s="749"/>
      <c r="I1033" s="735">
        <v>5392974.9100000001</v>
      </c>
      <c r="J1033" s="735">
        <v>101281.11</v>
      </c>
      <c r="K1033" s="735">
        <v>5494256.0199999996</v>
      </c>
      <c r="L1033" s="750">
        <v>5494256.0199999996</v>
      </c>
    </row>
    <row r="1034" spans="1:12" ht="21" x14ac:dyDescent="0.25">
      <c r="A1034" s="561" t="s">
        <v>3776</v>
      </c>
      <c r="B1034" s="749">
        <v>2023</v>
      </c>
      <c r="C1034" s="561" t="s">
        <v>712</v>
      </c>
      <c r="D1034" s="561" t="s">
        <v>3801</v>
      </c>
      <c r="E1034" s="561" t="s">
        <v>3</v>
      </c>
      <c r="F1034" s="735">
        <v>-79283.92</v>
      </c>
      <c r="G1034" s="749">
        <v>1</v>
      </c>
      <c r="H1034" s="749"/>
      <c r="I1034" s="735">
        <v>-78116.06</v>
      </c>
      <c r="J1034" s="735">
        <v>-1167.8599999999999</v>
      </c>
      <c r="K1034" s="735">
        <v>-79283.92</v>
      </c>
      <c r="L1034" s="750">
        <v>-79283.92</v>
      </c>
    </row>
    <row r="1035" spans="1:12" ht="21" x14ac:dyDescent="0.25">
      <c r="A1035" s="561" t="s">
        <v>3776</v>
      </c>
      <c r="B1035" s="749">
        <v>2023</v>
      </c>
      <c r="C1035" s="561" t="s">
        <v>714</v>
      </c>
      <c r="D1035" s="561" t="s">
        <v>3802</v>
      </c>
      <c r="E1035" s="561" t="s">
        <v>38</v>
      </c>
      <c r="F1035" s="735">
        <v>-1349163.55</v>
      </c>
      <c r="G1035" s="749">
        <v>1</v>
      </c>
      <c r="H1035" s="749"/>
      <c r="I1035" s="735">
        <v>-1273087.73</v>
      </c>
      <c r="J1035" s="735">
        <v>-76075.820000000007</v>
      </c>
      <c r="K1035" s="735">
        <v>-1349163.55</v>
      </c>
      <c r="L1035" s="750">
        <v>-1349163.55</v>
      </c>
    </row>
    <row r="1036" spans="1:12" x14ac:dyDescent="0.25">
      <c r="A1036" s="561" t="s">
        <v>3776</v>
      </c>
      <c r="B1036" s="749">
        <v>2023</v>
      </c>
      <c r="C1036" s="561" t="s">
        <v>716</v>
      </c>
      <c r="D1036" s="561" t="s">
        <v>3803</v>
      </c>
      <c r="E1036" s="561" t="s">
        <v>66</v>
      </c>
      <c r="F1036" s="735">
        <v>-3171629.77</v>
      </c>
      <c r="G1036" s="749">
        <v>1</v>
      </c>
      <c r="H1036" s="749"/>
      <c r="I1036" s="735">
        <v>-3066485.34</v>
      </c>
      <c r="J1036" s="735">
        <v>-105144.43</v>
      </c>
      <c r="K1036" s="735">
        <v>-3171629.77</v>
      </c>
      <c r="L1036" s="750">
        <v>-3171629.77</v>
      </c>
    </row>
    <row r="1037" spans="1:12" ht="21" x14ac:dyDescent="0.25">
      <c r="A1037" s="561" t="s">
        <v>3776</v>
      </c>
      <c r="B1037" s="749">
        <v>2023</v>
      </c>
      <c r="C1037" s="561" t="s">
        <v>718</v>
      </c>
      <c r="D1037" s="561" t="s">
        <v>3804</v>
      </c>
      <c r="E1037" s="561" t="s">
        <v>720</v>
      </c>
      <c r="F1037" s="735">
        <v>-1034189.56</v>
      </c>
      <c r="G1037" s="749">
        <v>0</v>
      </c>
      <c r="H1037" s="749"/>
      <c r="I1037" s="733"/>
      <c r="J1037" s="733"/>
      <c r="K1037" s="735">
        <v>0</v>
      </c>
      <c r="L1037" s="750">
        <v>-1034189.56</v>
      </c>
    </row>
    <row r="1038" spans="1:12" ht="31.5" x14ac:dyDescent="0.25">
      <c r="A1038" s="561" t="s">
        <v>3776</v>
      </c>
      <c r="B1038" s="749">
        <v>2023</v>
      </c>
      <c r="C1038" s="561" t="s">
        <v>721</v>
      </c>
      <c r="D1038" s="561" t="s">
        <v>3805</v>
      </c>
      <c r="E1038" s="561" t="s">
        <v>724</v>
      </c>
      <c r="F1038" s="735">
        <v>0</v>
      </c>
      <c r="G1038" s="749">
        <v>1</v>
      </c>
      <c r="H1038" s="749"/>
      <c r="I1038" s="733"/>
      <c r="J1038" s="733"/>
      <c r="K1038" s="735">
        <v>0</v>
      </c>
      <c r="L1038" s="750">
        <v>0</v>
      </c>
    </row>
    <row r="1039" spans="1:12" ht="31.5" x14ac:dyDescent="0.25">
      <c r="A1039" s="561" t="s">
        <v>3776</v>
      </c>
      <c r="B1039" s="749">
        <v>2023</v>
      </c>
      <c r="C1039" s="561" t="s">
        <v>721</v>
      </c>
      <c r="D1039" s="561" t="s">
        <v>3806</v>
      </c>
      <c r="E1039" s="561" t="s">
        <v>55</v>
      </c>
      <c r="F1039" s="735">
        <v>0</v>
      </c>
      <c r="G1039" s="749">
        <v>1</v>
      </c>
      <c r="H1039" s="749"/>
      <c r="I1039" s="733"/>
      <c r="J1039" s="733"/>
      <c r="K1039" s="735">
        <v>0</v>
      </c>
      <c r="L1039" s="750">
        <v>0</v>
      </c>
    </row>
    <row r="1040" spans="1:12" ht="31.5" x14ac:dyDescent="0.25">
      <c r="A1040" s="561" t="s">
        <v>3776</v>
      </c>
      <c r="B1040" s="749">
        <v>2023</v>
      </c>
      <c r="C1040" s="561" t="s">
        <v>721</v>
      </c>
      <c r="D1040" s="561" t="s">
        <v>3807</v>
      </c>
      <c r="E1040" s="561" t="s">
        <v>56</v>
      </c>
      <c r="F1040" s="735">
        <v>0</v>
      </c>
      <c r="G1040" s="749">
        <v>1</v>
      </c>
      <c r="H1040" s="749"/>
      <c r="I1040" s="733"/>
      <c r="J1040" s="733"/>
      <c r="K1040" s="735">
        <v>0</v>
      </c>
      <c r="L1040" s="750">
        <v>0</v>
      </c>
    </row>
    <row r="1041" spans="1:12" ht="31.5" x14ac:dyDescent="0.25">
      <c r="A1041" s="561" t="s">
        <v>3776</v>
      </c>
      <c r="B1041" s="749">
        <v>2023</v>
      </c>
      <c r="C1041" s="561" t="s">
        <v>721</v>
      </c>
      <c r="D1041" s="561" t="s">
        <v>3808</v>
      </c>
      <c r="E1041" s="561" t="s">
        <v>728</v>
      </c>
      <c r="F1041" s="735">
        <v>0</v>
      </c>
      <c r="G1041" s="749">
        <v>1</v>
      </c>
      <c r="H1041" s="749"/>
      <c r="I1041" s="733"/>
      <c r="J1041" s="733"/>
      <c r="K1041" s="735">
        <v>0</v>
      </c>
      <c r="L1041" s="750">
        <v>0</v>
      </c>
    </row>
    <row r="1042" spans="1:12" ht="31.5" x14ac:dyDescent="0.25">
      <c r="A1042" s="561" t="s">
        <v>3776</v>
      </c>
      <c r="B1042" s="749">
        <v>2023</v>
      </c>
      <c r="C1042" s="561" t="s">
        <v>721</v>
      </c>
      <c r="D1042" s="561" t="s">
        <v>3809</v>
      </c>
      <c r="E1042" s="561" t="s">
        <v>730</v>
      </c>
      <c r="F1042" s="735">
        <v>0</v>
      </c>
      <c r="G1042" s="749">
        <v>1</v>
      </c>
      <c r="H1042" s="749"/>
      <c r="I1042" s="733"/>
      <c r="J1042" s="733"/>
      <c r="K1042" s="735">
        <v>0</v>
      </c>
      <c r="L1042" s="750">
        <v>0</v>
      </c>
    </row>
    <row r="1043" spans="1:12" ht="31.5" x14ac:dyDescent="0.25">
      <c r="A1043" s="561" t="s">
        <v>3776</v>
      </c>
      <c r="B1043" s="749">
        <v>2023</v>
      </c>
      <c r="C1043" s="561" t="s">
        <v>721</v>
      </c>
      <c r="D1043" s="561" t="s">
        <v>3810</v>
      </c>
      <c r="E1043" s="561" t="s">
        <v>142</v>
      </c>
      <c r="F1043" s="735">
        <v>0</v>
      </c>
      <c r="G1043" s="749">
        <v>1</v>
      </c>
      <c r="H1043" s="749"/>
      <c r="I1043" s="733"/>
      <c r="J1043" s="733"/>
      <c r="K1043" s="735">
        <v>0</v>
      </c>
      <c r="L1043" s="750">
        <v>0</v>
      </c>
    </row>
    <row r="1044" spans="1:12" ht="31.5" x14ac:dyDescent="0.25">
      <c r="A1044" s="561" t="s">
        <v>3776</v>
      </c>
      <c r="B1044" s="749">
        <v>2023</v>
      </c>
      <c r="C1044" s="561" t="s">
        <v>721</v>
      </c>
      <c r="D1044" s="561" t="s">
        <v>3811</v>
      </c>
      <c r="E1044" s="561" t="s">
        <v>143</v>
      </c>
      <c r="F1044" s="735">
        <v>0</v>
      </c>
      <c r="G1044" s="749">
        <v>1</v>
      </c>
      <c r="H1044" s="749"/>
      <c r="I1044" s="733"/>
      <c r="J1044" s="733"/>
      <c r="K1044" s="735">
        <v>0</v>
      </c>
      <c r="L1044" s="750">
        <v>0</v>
      </c>
    </row>
    <row r="1045" spans="1:12" ht="31.5" x14ac:dyDescent="0.25">
      <c r="A1045" s="561" t="s">
        <v>3776</v>
      </c>
      <c r="B1045" s="749">
        <v>2023</v>
      </c>
      <c r="C1045" s="561" t="s">
        <v>721</v>
      </c>
      <c r="D1045" s="561" t="s">
        <v>3812</v>
      </c>
      <c r="E1045" s="561" t="s">
        <v>182</v>
      </c>
      <c r="F1045" s="735">
        <v>0</v>
      </c>
      <c r="G1045" s="749">
        <v>1</v>
      </c>
      <c r="H1045" s="749"/>
      <c r="I1045" s="733"/>
      <c r="J1045" s="733"/>
      <c r="K1045" s="735">
        <v>0</v>
      </c>
      <c r="L1045" s="750">
        <v>0</v>
      </c>
    </row>
    <row r="1046" spans="1:12" ht="31.5" x14ac:dyDescent="0.25">
      <c r="A1046" s="561" t="s">
        <v>3776</v>
      </c>
      <c r="B1046" s="749">
        <v>2023</v>
      </c>
      <c r="C1046" s="561" t="s">
        <v>721</v>
      </c>
      <c r="D1046" s="561" t="s">
        <v>3813</v>
      </c>
      <c r="E1046" s="561" t="s">
        <v>394</v>
      </c>
      <c r="F1046" s="735">
        <v>0</v>
      </c>
      <c r="G1046" s="749">
        <v>1</v>
      </c>
      <c r="H1046" s="749"/>
      <c r="I1046" s="733"/>
      <c r="J1046" s="733"/>
      <c r="K1046" s="735">
        <v>0</v>
      </c>
      <c r="L1046" s="750">
        <v>0</v>
      </c>
    </row>
    <row r="1047" spans="1:12" ht="31.5" x14ac:dyDescent="0.25">
      <c r="A1047" s="561" t="s">
        <v>3776</v>
      </c>
      <c r="B1047" s="749">
        <v>2023</v>
      </c>
      <c r="C1047" s="561" t="s">
        <v>721</v>
      </c>
      <c r="D1047" s="561" t="s">
        <v>3814</v>
      </c>
      <c r="E1047" s="561" t="s">
        <v>423</v>
      </c>
      <c r="F1047" s="735">
        <v>0</v>
      </c>
      <c r="G1047" s="749">
        <v>1</v>
      </c>
      <c r="H1047" s="749"/>
      <c r="I1047" s="733"/>
      <c r="J1047" s="733"/>
      <c r="K1047" s="735">
        <v>0</v>
      </c>
      <c r="L1047" s="750">
        <v>0</v>
      </c>
    </row>
    <row r="1048" spans="1:12" ht="31.5" x14ac:dyDescent="0.25">
      <c r="A1048" s="561" t="s">
        <v>3776</v>
      </c>
      <c r="B1048" s="749">
        <v>2023</v>
      </c>
      <c r="C1048" s="561" t="s">
        <v>721</v>
      </c>
      <c r="D1048" s="561" t="s">
        <v>3815</v>
      </c>
      <c r="E1048" s="561" t="s">
        <v>441</v>
      </c>
      <c r="F1048" s="735">
        <v>0</v>
      </c>
      <c r="G1048" s="749">
        <v>1</v>
      </c>
      <c r="H1048" s="749"/>
      <c r="I1048" s="735">
        <v>1603372.39</v>
      </c>
      <c r="J1048" s="735">
        <v>-272588.62</v>
      </c>
      <c r="K1048" s="735">
        <v>1330783.77</v>
      </c>
      <c r="L1048" s="750">
        <v>1330783.77</v>
      </c>
    </row>
    <row r="1049" spans="1:12" ht="31.5" x14ac:dyDescent="0.25">
      <c r="A1049" s="561" t="s">
        <v>3776</v>
      </c>
      <c r="B1049" s="749">
        <v>2023</v>
      </c>
      <c r="C1049" s="561" t="s">
        <v>721</v>
      </c>
      <c r="D1049" s="561" t="s">
        <v>3816</v>
      </c>
      <c r="E1049" s="561" t="s">
        <v>3016</v>
      </c>
      <c r="F1049" s="735">
        <v>0</v>
      </c>
      <c r="G1049" s="749">
        <v>1</v>
      </c>
      <c r="H1049" s="749"/>
      <c r="I1049" s="735">
        <v>521748.2</v>
      </c>
      <c r="J1049" s="735">
        <v>-231193.9</v>
      </c>
      <c r="K1049" s="735">
        <v>290554.3</v>
      </c>
      <c r="L1049" s="750">
        <v>290554.3</v>
      </c>
    </row>
    <row r="1050" spans="1:12" ht="31.5" x14ac:dyDescent="0.25">
      <c r="A1050" s="561" t="s">
        <v>3776</v>
      </c>
      <c r="B1050" s="749">
        <v>2023</v>
      </c>
      <c r="C1050" s="561" t="s">
        <v>721</v>
      </c>
      <c r="D1050" s="561" t="s">
        <v>3817</v>
      </c>
      <c r="E1050" s="561" t="s">
        <v>3058</v>
      </c>
      <c r="F1050" s="735">
        <v>0</v>
      </c>
      <c r="G1050" s="749">
        <v>1</v>
      </c>
      <c r="H1050" s="749"/>
      <c r="I1050" s="735">
        <v>-158336.26</v>
      </c>
      <c r="J1050" s="735">
        <v>-73896.460000000006</v>
      </c>
      <c r="K1050" s="735">
        <v>-232232.72</v>
      </c>
      <c r="L1050" s="750">
        <v>-232232.72</v>
      </c>
    </row>
    <row r="1051" spans="1:12" ht="31.5" x14ac:dyDescent="0.25">
      <c r="A1051" s="561" t="s">
        <v>3776</v>
      </c>
      <c r="B1051" s="749">
        <v>2023</v>
      </c>
      <c r="C1051" s="561" t="s">
        <v>721</v>
      </c>
      <c r="D1051" s="561" t="s">
        <v>3818</v>
      </c>
      <c r="E1051" s="561" t="s">
        <v>3063</v>
      </c>
      <c r="F1051" s="735">
        <v>0</v>
      </c>
      <c r="G1051" s="749">
        <v>1</v>
      </c>
      <c r="H1051" s="749"/>
      <c r="I1051" s="735">
        <v>-37743.360000000001</v>
      </c>
      <c r="J1051" s="735">
        <v>48480.1</v>
      </c>
      <c r="K1051" s="735">
        <v>10736.74</v>
      </c>
      <c r="L1051" s="750">
        <v>10736.74</v>
      </c>
    </row>
    <row r="1052" spans="1:12" ht="31.5" x14ac:dyDescent="0.25">
      <c r="A1052" s="561" t="s">
        <v>3776</v>
      </c>
      <c r="B1052" s="749">
        <v>2023</v>
      </c>
      <c r="C1052" s="561" t="s">
        <v>721</v>
      </c>
      <c r="D1052" s="561" t="s">
        <v>3819</v>
      </c>
      <c r="E1052" s="561" t="s">
        <v>3425</v>
      </c>
      <c r="F1052" s="735">
        <v>0</v>
      </c>
      <c r="G1052" s="749">
        <v>1</v>
      </c>
      <c r="H1052" s="749"/>
      <c r="I1052" s="735">
        <v>-306274.52</v>
      </c>
      <c r="J1052" s="735">
        <v>276231.64</v>
      </c>
      <c r="K1052" s="735">
        <v>-30042.880000000001</v>
      </c>
      <c r="L1052" s="750">
        <v>-30042.880000000001</v>
      </c>
    </row>
    <row r="1053" spans="1:12" ht="42" x14ac:dyDescent="0.25">
      <c r="A1053" s="561" t="s">
        <v>3776</v>
      </c>
      <c r="B1053" s="749">
        <v>2023</v>
      </c>
      <c r="C1053" s="561" t="s">
        <v>721</v>
      </c>
      <c r="D1053" s="561" t="s">
        <v>3820</v>
      </c>
      <c r="E1053" s="561" t="s">
        <v>737</v>
      </c>
      <c r="F1053" s="735">
        <v>1369799.21</v>
      </c>
      <c r="G1053" s="749">
        <v>0</v>
      </c>
      <c r="H1053" s="749"/>
      <c r="I1053" s="733"/>
      <c r="J1053" s="733"/>
      <c r="K1053" s="735">
        <v>0</v>
      </c>
      <c r="L1053" s="750">
        <v>1369799.21</v>
      </c>
    </row>
    <row r="1054" spans="1:12" x14ac:dyDescent="0.25">
      <c r="A1054" s="561" t="s">
        <v>3776</v>
      </c>
      <c r="B1054" s="749">
        <v>2023</v>
      </c>
      <c r="C1054" s="561" t="s">
        <v>738</v>
      </c>
      <c r="D1054" s="561" t="s">
        <v>3821</v>
      </c>
      <c r="E1054" s="561" t="s">
        <v>7</v>
      </c>
      <c r="F1054" s="735">
        <v>0</v>
      </c>
      <c r="G1054" s="749">
        <v>0</v>
      </c>
      <c r="H1054" s="749"/>
      <c r="I1054" s="733"/>
      <c r="J1054" s="733"/>
      <c r="K1054" s="735">
        <v>0</v>
      </c>
      <c r="L1054" s="750">
        <v>0</v>
      </c>
    </row>
    <row r="1055" spans="1:12" x14ac:dyDescent="0.25">
      <c r="A1055" s="561" t="s">
        <v>92</v>
      </c>
      <c r="B1055" s="749">
        <v>2023</v>
      </c>
      <c r="C1055" s="561" t="s">
        <v>647</v>
      </c>
      <c r="D1055" s="561" t="s">
        <v>1422</v>
      </c>
      <c r="E1055" s="561" t="s">
        <v>649</v>
      </c>
      <c r="F1055" s="735">
        <v>22987189.59</v>
      </c>
      <c r="G1055" s="749">
        <v>0</v>
      </c>
      <c r="H1055" s="749"/>
      <c r="I1055" s="733"/>
      <c r="J1055" s="733"/>
      <c r="K1055" s="735">
        <v>0</v>
      </c>
      <c r="L1055" s="750">
        <v>22987189.59</v>
      </c>
    </row>
    <row r="1056" spans="1:12" ht="21" x14ac:dyDescent="0.25">
      <c r="A1056" s="561" t="s">
        <v>92</v>
      </c>
      <c r="B1056" s="749">
        <v>2023</v>
      </c>
      <c r="C1056" s="561" t="s">
        <v>3691</v>
      </c>
      <c r="D1056" s="561" t="s">
        <v>3640</v>
      </c>
      <c r="E1056" s="561" t="s">
        <v>3675</v>
      </c>
      <c r="F1056" s="735">
        <v>28803.72</v>
      </c>
      <c r="G1056" s="749">
        <v>0</v>
      </c>
      <c r="H1056" s="749"/>
      <c r="I1056" s="733"/>
      <c r="J1056" s="733"/>
      <c r="K1056" s="735">
        <v>0</v>
      </c>
      <c r="L1056" s="750">
        <v>28803.72</v>
      </c>
    </row>
    <row r="1057" spans="1:12" x14ac:dyDescent="0.25">
      <c r="A1057" s="561" t="s">
        <v>92</v>
      </c>
      <c r="B1057" s="749">
        <v>2023</v>
      </c>
      <c r="C1057" s="561" t="s">
        <v>651</v>
      </c>
      <c r="D1057" s="561" t="s">
        <v>1423</v>
      </c>
      <c r="E1057" s="561" t="s">
        <v>653</v>
      </c>
      <c r="F1057" s="735">
        <v>0</v>
      </c>
      <c r="G1057" s="749">
        <v>0</v>
      </c>
      <c r="H1057" s="749"/>
      <c r="I1057" s="733"/>
      <c r="J1057" s="733"/>
      <c r="K1057" s="735">
        <v>0</v>
      </c>
      <c r="L1057" s="750">
        <v>0</v>
      </c>
    </row>
    <row r="1058" spans="1:12" ht="31.5" x14ac:dyDescent="0.25">
      <c r="A1058" s="561" t="s">
        <v>92</v>
      </c>
      <c r="B1058" s="749">
        <v>2023</v>
      </c>
      <c r="C1058" s="561" t="s">
        <v>654</v>
      </c>
      <c r="D1058" s="561" t="s">
        <v>1424</v>
      </c>
      <c r="E1058" s="561" t="s">
        <v>445</v>
      </c>
      <c r="F1058" s="735">
        <v>0</v>
      </c>
      <c r="G1058" s="749">
        <v>0</v>
      </c>
      <c r="H1058" s="749"/>
      <c r="I1058" s="733"/>
      <c r="J1058" s="733"/>
      <c r="K1058" s="735">
        <v>0</v>
      </c>
      <c r="L1058" s="750">
        <v>0</v>
      </c>
    </row>
    <row r="1059" spans="1:12" ht="21" x14ac:dyDescent="0.25">
      <c r="A1059" s="561" t="s">
        <v>92</v>
      </c>
      <c r="B1059" s="749">
        <v>2023</v>
      </c>
      <c r="C1059" s="561" t="s">
        <v>656</v>
      </c>
      <c r="D1059" s="561" t="s">
        <v>1425</v>
      </c>
      <c r="E1059" s="561" t="s">
        <v>658</v>
      </c>
      <c r="F1059" s="735">
        <v>267617.90999999997</v>
      </c>
      <c r="G1059" s="749">
        <v>0</v>
      </c>
      <c r="H1059" s="749"/>
      <c r="I1059" s="733"/>
      <c r="J1059" s="733"/>
      <c r="K1059" s="735">
        <v>0</v>
      </c>
      <c r="L1059" s="750">
        <v>267617.90999999997</v>
      </c>
    </row>
    <row r="1060" spans="1:12" ht="21" x14ac:dyDescent="0.25">
      <c r="A1060" s="561" t="s">
        <v>92</v>
      </c>
      <c r="B1060" s="749">
        <v>2023</v>
      </c>
      <c r="C1060" s="561" t="s">
        <v>659</v>
      </c>
      <c r="D1060" s="561" t="s">
        <v>1426</v>
      </c>
      <c r="E1060" s="561" t="s">
        <v>661</v>
      </c>
      <c r="F1060" s="735">
        <v>0</v>
      </c>
      <c r="G1060" s="749">
        <v>0</v>
      </c>
      <c r="H1060" s="749"/>
      <c r="I1060" s="733"/>
      <c r="J1060" s="733"/>
      <c r="K1060" s="735">
        <v>0</v>
      </c>
      <c r="L1060" s="750">
        <v>0</v>
      </c>
    </row>
    <row r="1061" spans="1:12" ht="21" x14ac:dyDescent="0.25">
      <c r="A1061" s="561" t="s">
        <v>92</v>
      </c>
      <c r="B1061" s="749">
        <v>2023</v>
      </c>
      <c r="C1061" s="561" t="s">
        <v>662</v>
      </c>
      <c r="D1061" s="561" t="s">
        <v>1427</v>
      </c>
      <c r="E1061" s="561" t="s">
        <v>664</v>
      </c>
      <c r="F1061" s="735">
        <v>0</v>
      </c>
      <c r="G1061" s="749">
        <v>0</v>
      </c>
      <c r="H1061" s="749"/>
      <c r="I1061" s="733"/>
      <c r="J1061" s="733"/>
      <c r="K1061" s="735">
        <v>0</v>
      </c>
      <c r="L1061" s="750">
        <v>0</v>
      </c>
    </row>
    <row r="1062" spans="1:12" ht="31.5" x14ac:dyDescent="0.25">
      <c r="A1062" s="561" t="s">
        <v>92</v>
      </c>
      <c r="B1062" s="749">
        <v>2023</v>
      </c>
      <c r="C1062" s="561" t="s">
        <v>665</v>
      </c>
      <c r="D1062" s="561" t="s">
        <v>1428</v>
      </c>
      <c r="E1062" s="561" t="s">
        <v>667</v>
      </c>
      <c r="F1062" s="735">
        <v>0</v>
      </c>
      <c r="G1062" s="749">
        <v>0</v>
      </c>
      <c r="H1062" s="749"/>
      <c r="I1062" s="733"/>
      <c r="J1062" s="733"/>
      <c r="K1062" s="735">
        <v>0</v>
      </c>
      <c r="L1062" s="750">
        <v>0</v>
      </c>
    </row>
    <row r="1063" spans="1:12" ht="21" x14ac:dyDescent="0.25">
      <c r="A1063" s="561" t="s">
        <v>92</v>
      </c>
      <c r="B1063" s="749">
        <v>2023</v>
      </c>
      <c r="C1063" s="561" t="s">
        <v>668</v>
      </c>
      <c r="D1063" s="561" t="s">
        <v>1429</v>
      </c>
      <c r="E1063" s="561" t="s">
        <v>12</v>
      </c>
      <c r="F1063" s="735">
        <v>0</v>
      </c>
      <c r="G1063" s="749">
        <v>0</v>
      </c>
      <c r="H1063" s="749"/>
      <c r="I1063" s="733"/>
      <c r="J1063" s="733"/>
      <c r="K1063" s="735">
        <v>0</v>
      </c>
      <c r="L1063" s="750">
        <v>0</v>
      </c>
    </row>
    <row r="1064" spans="1:12" ht="21" x14ac:dyDescent="0.25">
      <c r="A1064" s="561" t="s">
        <v>92</v>
      </c>
      <c r="B1064" s="749">
        <v>2023</v>
      </c>
      <c r="C1064" s="561" t="s">
        <v>670</v>
      </c>
      <c r="D1064" s="561" t="s">
        <v>1430</v>
      </c>
      <c r="E1064" s="561" t="s">
        <v>13</v>
      </c>
      <c r="F1064" s="735">
        <v>0</v>
      </c>
      <c r="G1064" s="749">
        <v>0</v>
      </c>
      <c r="H1064" s="749"/>
      <c r="I1064" s="733"/>
      <c r="J1064" s="733"/>
      <c r="K1064" s="735">
        <v>0</v>
      </c>
      <c r="L1064" s="750">
        <v>0</v>
      </c>
    </row>
    <row r="1065" spans="1:12" ht="21" x14ac:dyDescent="0.25">
      <c r="A1065" s="561" t="s">
        <v>92</v>
      </c>
      <c r="B1065" s="749">
        <v>2023</v>
      </c>
      <c r="C1065" s="561" t="s">
        <v>672</v>
      </c>
      <c r="D1065" s="561" t="s">
        <v>1431</v>
      </c>
      <c r="E1065" s="561" t="s">
        <v>15</v>
      </c>
      <c r="F1065" s="735">
        <v>0</v>
      </c>
      <c r="G1065" s="749">
        <v>0</v>
      </c>
      <c r="H1065" s="749"/>
      <c r="I1065" s="733"/>
      <c r="J1065" s="733"/>
      <c r="K1065" s="735">
        <v>0</v>
      </c>
      <c r="L1065" s="750">
        <v>0</v>
      </c>
    </row>
    <row r="1066" spans="1:12" x14ac:dyDescent="0.25">
      <c r="A1066" s="561" t="s">
        <v>92</v>
      </c>
      <c r="B1066" s="749">
        <v>2023</v>
      </c>
      <c r="C1066" s="561" t="s">
        <v>674</v>
      </c>
      <c r="D1066" s="561" t="s">
        <v>1432</v>
      </c>
      <c r="E1066" s="561" t="s">
        <v>676</v>
      </c>
      <c r="F1066" s="735">
        <v>0</v>
      </c>
      <c r="G1066" s="749">
        <v>0</v>
      </c>
      <c r="H1066" s="749"/>
      <c r="I1066" s="733"/>
      <c r="J1066" s="733"/>
      <c r="K1066" s="735">
        <v>0</v>
      </c>
      <c r="L1066" s="750">
        <v>0</v>
      </c>
    </row>
    <row r="1067" spans="1:12" x14ac:dyDescent="0.25">
      <c r="A1067" s="561" t="s">
        <v>92</v>
      </c>
      <c r="B1067" s="749">
        <v>2023</v>
      </c>
      <c r="C1067" s="561" t="s">
        <v>677</v>
      </c>
      <c r="D1067" s="561" t="s">
        <v>1433</v>
      </c>
      <c r="E1067" s="561" t="s">
        <v>23</v>
      </c>
      <c r="F1067" s="735">
        <v>83665.72</v>
      </c>
      <c r="G1067" s="749">
        <v>1</v>
      </c>
      <c r="H1067" s="749"/>
      <c r="I1067" s="735">
        <v>82368.83</v>
      </c>
      <c r="J1067" s="735">
        <v>1296.8900000000001</v>
      </c>
      <c r="K1067" s="735">
        <v>83665.72</v>
      </c>
      <c r="L1067" s="750">
        <v>83665.72</v>
      </c>
    </row>
    <row r="1068" spans="1:12" ht="21" x14ac:dyDescent="0.25">
      <c r="A1068" s="561" t="s">
        <v>92</v>
      </c>
      <c r="B1068" s="749">
        <v>2023</v>
      </c>
      <c r="C1068" s="561" t="s">
        <v>679</v>
      </c>
      <c r="D1068" s="561" t="s">
        <v>1434</v>
      </c>
      <c r="E1068" s="561" t="s">
        <v>131</v>
      </c>
      <c r="F1068" s="735">
        <v>-152380.32</v>
      </c>
      <c r="G1068" s="749">
        <v>1</v>
      </c>
      <c r="H1068" s="749"/>
      <c r="I1068" s="735">
        <v>-151163.70000000001</v>
      </c>
      <c r="J1068" s="735">
        <v>-1216.6199999999999</v>
      </c>
      <c r="K1068" s="735">
        <v>-152380.32</v>
      </c>
      <c r="L1068" s="750">
        <v>-152380.32</v>
      </c>
    </row>
    <row r="1069" spans="1:12" ht="31.5" x14ac:dyDescent="0.25">
      <c r="A1069" s="561" t="s">
        <v>92</v>
      </c>
      <c r="B1069" s="749">
        <v>2023</v>
      </c>
      <c r="C1069" s="561" t="s">
        <v>681</v>
      </c>
      <c r="D1069" s="561" t="s">
        <v>1435</v>
      </c>
      <c r="E1069" s="561" t="s">
        <v>683</v>
      </c>
      <c r="F1069" s="735">
        <v>0</v>
      </c>
      <c r="G1069" s="749">
        <v>0</v>
      </c>
      <c r="H1069" s="749"/>
      <c r="I1069" s="733"/>
      <c r="J1069" s="733"/>
      <c r="K1069" s="735">
        <v>0</v>
      </c>
      <c r="L1069" s="750">
        <v>0</v>
      </c>
    </row>
    <row r="1070" spans="1:12" ht="21" x14ac:dyDescent="0.25">
      <c r="A1070" s="561" t="s">
        <v>92</v>
      </c>
      <c r="B1070" s="749">
        <v>2023</v>
      </c>
      <c r="C1070" s="561" t="s">
        <v>681</v>
      </c>
      <c r="D1070" s="561" t="s">
        <v>1435</v>
      </c>
      <c r="E1070" s="561" t="s">
        <v>684</v>
      </c>
      <c r="F1070" s="735">
        <v>0</v>
      </c>
      <c r="G1070" s="749">
        <v>0</v>
      </c>
      <c r="H1070" s="749"/>
      <c r="I1070" s="733"/>
      <c r="J1070" s="733"/>
      <c r="K1070" s="735">
        <v>0</v>
      </c>
      <c r="L1070" s="751">
        <v>0</v>
      </c>
    </row>
    <row r="1071" spans="1:12" x14ac:dyDescent="0.25">
      <c r="A1071" s="561" t="s">
        <v>92</v>
      </c>
      <c r="B1071" s="749">
        <v>2023</v>
      </c>
      <c r="C1071" s="561" t="s">
        <v>685</v>
      </c>
      <c r="D1071" s="561" t="s">
        <v>1436</v>
      </c>
      <c r="E1071" s="561" t="s">
        <v>687</v>
      </c>
      <c r="F1071" s="735">
        <v>0</v>
      </c>
      <c r="G1071" s="749">
        <v>0</v>
      </c>
      <c r="H1071" s="749"/>
      <c r="I1071" s="733"/>
      <c r="J1071" s="733"/>
      <c r="K1071" s="735">
        <v>0</v>
      </c>
      <c r="L1071" s="750">
        <v>0</v>
      </c>
    </row>
    <row r="1072" spans="1:12" x14ac:dyDescent="0.25">
      <c r="A1072" s="561" t="s">
        <v>92</v>
      </c>
      <c r="B1072" s="749">
        <v>2023</v>
      </c>
      <c r="C1072" s="561" t="s">
        <v>688</v>
      </c>
      <c r="D1072" s="561" t="s">
        <v>1437</v>
      </c>
      <c r="E1072" s="561" t="s">
        <v>50</v>
      </c>
      <c r="F1072" s="735">
        <v>-70793.399999999994</v>
      </c>
      <c r="G1072" s="749">
        <v>0</v>
      </c>
      <c r="H1072" s="749"/>
      <c r="I1072" s="733"/>
      <c r="J1072" s="733"/>
      <c r="K1072" s="735">
        <v>0</v>
      </c>
      <c r="L1072" s="750">
        <v>-70793.399999999994</v>
      </c>
    </row>
    <row r="1073" spans="1:12" x14ac:dyDescent="0.25">
      <c r="A1073" s="561" t="s">
        <v>92</v>
      </c>
      <c r="B1073" s="749">
        <v>2023</v>
      </c>
      <c r="C1073" s="561" t="s">
        <v>690</v>
      </c>
      <c r="D1073" s="561" t="s">
        <v>1438</v>
      </c>
      <c r="E1073" s="561" t="s">
        <v>692</v>
      </c>
      <c r="F1073" s="735">
        <v>0</v>
      </c>
      <c r="G1073" s="749">
        <v>0</v>
      </c>
      <c r="H1073" s="749"/>
      <c r="I1073" s="733"/>
      <c r="J1073" s="733"/>
      <c r="K1073" s="735">
        <v>0</v>
      </c>
      <c r="L1073" s="750">
        <v>0</v>
      </c>
    </row>
    <row r="1074" spans="1:12" ht="21" x14ac:dyDescent="0.25">
      <c r="A1074" s="561" t="s">
        <v>92</v>
      </c>
      <c r="B1074" s="749">
        <v>2023</v>
      </c>
      <c r="C1074" s="561" t="s">
        <v>693</v>
      </c>
      <c r="D1074" s="561" t="s">
        <v>1439</v>
      </c>
      <c r="E1074" s="561" t="s">
        <v>6</v>
      </c>
      <c r="F1074" s="735">
        <v>0</v>
      </c>
      <c r="G1074" s="749">
        <v>0</v>
      </c>
      <c r="H1074" s="749"/>
      <c r="I1074" s="733"/>
      <c r="J1074" s="733"/>
      <c r="K1074" s="735">
        <v>0</v>
      </c>
      <c r="L1074" s="750">
        <v>0</v>
      </c>
    </row>
    <row r="1075" spans="1:12" ht="21" x14ac:dyDescent="0.25">
      <c r="A1075" s="561" t="s">
        <v>92</v>
      </c>
      <c r="B1075" s="749">
        <v>2023</v>
      </c>
      <c r="C1075" s="561" t="s">
        <v>695</v>
      </c>
      <c r="D1075" s="561" t="s">
        <v>1440</v>
      </c>
      <c r="E1075" s="561" t="s">
        <v>697</v>
      </c>
      <c r="F1075" s="735">
        <v>1597512.55</v>
      </c>
      <c r="G1075" s="749">
        <v>0</v>
      </c>
      <c r="H1075" s="749"/>
      <c r="I1075" s="733"/>
      <c r="J1075" s="733"/>
      <c r="K1075" s="735">
        <v>0</v>
      </c>
      <c r="L1075" s="750">
        <v>1597512.55</v>
      </c>
    </row>
    <row r="1076" spans="1:12" x14ac:dyDescent="0.25">
      <c r="A1076" s="561" t="s">
        <v>92</v>
      </c>
      <c r="B1076" s="749">
        <v>2023</v>
      </c>
      <c r="C1076" s="561" t="s">
        <v>698</v>
      </c>
      <c r="D1076" s="561" t="s">
        <v>1441</v>
      </c>
      <c r="E1076" s="561" t="s">
        <v>700</v>
      </c>
      <c r="F1076" s="735">
        <v>0</v>
      </c>
      <c r="G1076" s="749">
        <v>0</v>
      </c>
      <c r="H1076" s="749"/>
      <c r="I1076" s="733"/>
      <c r="J1076" s="733"/>
      <c r="K1076" s="735">
        <v>0</v>
      </c>
      <c r="L1076" s="750">
        <v>0</v>
      </c>
    </row>
    <row r="1077" spans="1:12" ht="21" x14ac:dyDescent="0.25">
      <c r="A1077" s="561" t="s">
        <v>92</v>
      </c>
      <c r="B1077" s="749">
        <v>2023</v>
      </c>
      <c r="C1077" s="561" t="s">
        <v>701</v>
      </c>
      <c r="D1077" s="561" t="s">
        <v>1442</v>
      </c>
      <c r="E1077" s="561" t="s">
        <v>1</v>
      </c>
      <c r="F1077" s="735">
        <v>1935388.23</v>
      </c>
      <c r="G1077" s="749">
        <v>1</v>
      </c>
      <c r="H1077" s="749"/>
      <c r="I1077" s="735">
        <v>1904028.74</v>
      </c>
      <c r="J1077" s="735">
        <v>31359.49</v>
      </c>
      <c r="K1077" s="735">
        <v>1935388.23</v>
      </c>
      <c r="L1077" s="750">
        <v>1935388.23</v>
      </c>
    </row>
    <row r="1078" spans="1:12" ht="21" x14ac:dyDescent="0.25">
      <c r="A1078" s="561" t="s">
        <v>92</v>
      </c>
      <c r="B1078" s="749">
        <v>2023</v>
      </c>
      <c r="C1078" s="561" t="s">
        <v>701</v>
      </c>
      <c r="D1078" s="561" t="s">
        <v>1442</v>
      </c>
      <c r="E1078" s="561" t="s">
        <v>703</v>
      </c>
      <c r="F1078" s="735">
        <v>0</v>
      </c>
      <c r="G1078" s="749">
        <v>0</v>
      </c>
      <c r="H1078" s="749"/>
      <c r="I1078" s="733"/>
      <c r="J1078" s="733"/>
      <c r="K1078" s="735">
        <v>0</v>
      </c>
      <c r="L1078" s="751">
        <v>0</v>
      </c>
    </row>
    <row r="1079" spans="1:12" ht="21" x14ac:dyDescent="0.25">
      <c r="A1079" s="561" t="s">
        <v>92</v>
      </c>
      <c r="B1079" s="749">
        <v>2023</v>
      </c>
      <c r="C1079" s="561" t="s">
        <v>701</v>
      </c>
      <c r="D1079" s="561" t="s">
        <v>1442</v>
      </c>
      <c r="E1079" s="561" t="s">
        <v>704</v>
      </c>
      <c r="F1079" s="735">
        <v>0</v>
      </c>
      <c r="G1079" s="749">
        <v>0</v>
      </c>
      <c r="H1079" s="749"/>
      <c r="I1079" s="733"/>
      <c r="J1079" s="733"/>
      <c r="K1079" s="735">
        <v>0</v>
      </c>
      <c r="L1079" s="751">
        <v>0</v>
      </c>
    </row>
    <row r="1080" spans="1:12" ht="21" x14ac:dyDescent="0.25">
      <c r="A1080" s="561" t="s">
        <v>92</v>
      </c>
      <c r="B1080" s="749">
        <v>2023</v>
      </c>
      <c r="C1080" s="561" t="s">
        <v>701</v>
      </c>
      <c r="D1080" s="561" t="s">
        <v>1442</v>
      </c>
      <c r="E1080" s="561" t="s">
        <v>705</v>
      </c>
      <c r="F1080" s="735">
        <v>0</v>
      </c>
      <c r="G1080" s="749">
        <v>0</v>
      </c>
      <c r="H1080" s="749"/>
      <c r="I1080" s="733"/>
      <c r="J1080" s="733"/>
      <c r="K1080" s="735">
        <v>0</v>
      </c>
      <c r="L1080" s="751">
        <v>0</v>
      </c>
    </row>
    <row r="1081" spans="1:12" ht="21" x14ac:dyDescent="0.25">
      <c r="A1081" s="561" t="s">
        <v>92</v>
      </c>
      <c r="B1081" s="749">
        <v>2023</v>
      </c>
      <c r="C1081" s="561" t="s">
        <v>701</v>
      </c>
      <c r="D1081" s="561" t="s">
        <v>1442</v>
      </c>
      <c r="E1081" s="561" t="s">
        <v>706</v>
      </c>
      <c r="F1081" s="735">
        <v>0</v>
      </c>
      <c r="G1081" s="749">
        <v>0</v>
      </c>
      <c r="H1081" s="749"/>
      <c r="I1081" s="733"/>
      <c r="J1081" s="733"/>
      <c r="K1081" s="735">
        <v>0</v>
      </c>
      <c r="L1081" s="751">
        <v>-605425.02</v>
      </c>
    </row>
    <row r="1082" spans="1:12" x14ac:dyDescent="0.25">
      <c r="A1082" s="561" t="s">
        <v>92</v>
      </c>
      <c r="B1082" s="749">
        <v>2023</v>
      </c>
      <c r="C1082" s="561" t="s">
        <v>707</v>
      </c>
      <c r="D1082" s="561" t="s">
        <v>1443</v>
      </c>
      <c r="E1082" s="561" t="s">
        <v>709</v>
      </c>
      <c r="F1082" s="735">
        <v>0</v>
      </c>
      <c r="G1082" s="749">
        <v>0</v>
      </c>
      <c r="H1082" s="749"/>
      <c r="I1082" s="733"/>
      <c r="J1082" s="733"/>
      <c r="K1082" s="735">
        <v>0</v>
      </c>
      <c r="L1082" s="750">
        <v>0</v>
      </c>
    </row>
    <row r="1083" spans="1:12" ht="21" x14ac:dyDescent="0.25">
      <c r="A1083" s="561" t="s">
        <v>92</v>
      </c>
      <c r="B1083" s="749">
        <v>2023</v>
      </c>
      <c r="C1083" s="561" t="s">
        <v>710</v>
      </c>
      <c r="D1083" s="561" t="s">
        <v>1444</v>
      </c>
      <c r="E1083" s="561" t="s">
        <v>2</v>
      </c>
      <c r="F1083" s="735">
        <v>987768.5</v>
      </c>
      <c r="G1083" s="749">
        <v>1</v>
      </c>
      <c r="H1083" s="749"/>
      <c r="I1083" s="735">
        <v>966486.88</v>
      </c>
      <c r="J1083" s="735">
        <v>21281.62</v>
      </c>
      <c r="K1083" s="735">
        <v>987768.5</v>
      </c>
      <c r="L1083" s="750">
        <v>987768.5</v>
      </c>
    </row>
    <row r="1084" spans="1:12" ht="21" x14ac:dyDescent="0.25">
      <c r="A1084" s="561" t="s">
        <v>92</v>
      </c>
      <c r="B1084" s="749">
        <v>2023</v>
      </c>
      <c r="C1084" s="561" t="s">
        <v>712</v>
      </c>
      <c r="D1084" s="561" t="s">
        <v>1445</v>
      </c>
      <c r="E1084" s="561" t="s">
        <v>3</v>
      </c>
      <c r="F1084" s="735">
        <v>61203.78</v>
      </c>
      <c r="G1084" s="749">
        <v>1</v>
      </c>
      <c r="H1084" s="749"/>
      <c r="I1084" s="735">
        <v>55696.97</v>
      </c>
      <c r="J1084" s="735">
        <v>5506.81</v>
      </c>
      <c r="K1084" s="735">
        <v>61203.78</v>
      </c>
      <c r="L1084" s="750">
        <v>61203.78</v>
      </c>
    </row>
    <row r="1085" spans="1:12" ht="21" x14ac:dyDescent="0.25">
      <c r="A1085" s="561" t="s">
        <v>92</v>
      </c>
      <c r="B1085" s="749">
        <v>2023</v>
      </c>
      <c r="C1085" s="561" t="s">
        <v>714</v>
      </c>
      <c r="D1085" s="561" t="s">
        <v>1446</v>
      </c>
      <c r="E1085" s="561" t="s">
        <v>38</v>
      </c>
      <c r="F1085" s="735">
        <v>175958.77</v>
      </c>
      <c r="G1085" s="749">
        <v>1</v>
      </c>
      <c r="H1085" s="749"/>
      <c r="I1085" s="735">
        <v>181447.35</v>
      </c>
      <c r="J1085" s="735">
        <v>-5488.58</v>
      </c>
      <c r="K1085" s="735">
        <v>175958.77</v>
      </c>
      <c r="L1085" s="750">
        <v>175958.77</v>
      </c>
    </row>
    <row r="1086" spans="1:12" x14ac:dyDescent="0.25">
      <c r="A1086" s="561" t="s">
        <v>92</v>
      </c>
      <c r="B1086" s="749">
        <v>2023</v>
      </c>
      <c r="C1086" s="561" t="s">
        <v>716</v>
      </c>
      <c r="D1086" s="561" t="s">
        <v>1447</v>
      </c>
      <c r="E1086" s="561" t="s">
        <v>66</v>
      </c>
      <c r="F1086" s="735">
        <v>-801942.7</v>
      </c>
      <c r="G1086" s="749">
        <v>1</v>
      </c>
      <c r="H1086" s="749"/>
      <c r="I1086" s="735">
        <v>-780820.33</v>
      </c>
      <c r="J1086" s="735">
        <v>-21122.37</v>
      </c>
      <c r="K1086" s="735">
        <v>-801942.7</v>
      </c>
      <c r="L1086" s="750">
        <v>-801942.7</v>
      </c>
    </row>
    <row r="1087" spans="1:12" ht="21" x14ac:dyDescent="0.25">
      <c r="A1087" s="561" t="s">
        <v>92</v>
      </c>
      <c r="B1087" s="749">
        <v>2023</v>
      </c>
      <c r="C1087" s="561" t="s">
        <v>718</v>
      </c>
      <c r="D1087" s="561" t="s">
        <v>1448</v>
      </c>
      <c r="E1087" s="561" t="s">
        <v>720</v>
      </c>
      <c r="F1087" s="735">
        <v>-347495.95</v>
      </c>
      <c r="G1087" s="749">
        <v>0</v>
      </c>
      <c r="H1087" s="749"/>
      <c r="I1087" s="733"/>
      <c r="J1087" s="733"/>
      <c r="K1087" s="735">
        <v>0</v>
      </c>
      <c r="L1087" s="750">
        <v>-347495.95</v>
      </c>
    </row>
    <row r="1088" spans="1:12" ht="31.5" x14ac:dyDescent="0.25">
      <c r="A1088" s="561" t="s">
        <v>92</v>
      </c>
      <c r="B1088" s="749">
        <v>2023</v>
      </c>
      <c r="C1088" s="561" t="s">
        <v>721</v>
      </c>
      <c r="D1088" s="561" t="s">
        <v>1450</v>
      </c>
      <c r="E1088" s="561" t="s">
        <v>724</v>
      </c>
      <c r="F1088" s="735">
        <v>0</v>
      </c>
      <c r="G1088" s="749">
        <v>1</v>
      </c>
      <c r="H1088" s="749"/>
      <c r="I1088" s="733"/>
      <c r="J1088" s="733"/>
      <c r="K1088" s="735">
        <v>0</v>
      </c>
      <c r="L1088" s="750">
        <v>0</v>
      </c>
    </row>
    <row r="1089" spans="1:12" ht="31.5" x14ac:dyDescent="0.25">
      <c r="A1089" s="561" t="s">
        <v>92</v>
      </c>
      <c r="B1089" s="749">
        <v>2023</v>
      </c>
      <c r="C1089" s="561" t="s">
        <v>721</v>
      </c>
      <c r="D1089" s="561" t="s">
        <v>1451</v>
      </c>
      <c r="E1089" s="561" t="s">
        <v>55</v>
      </c>
      <c r="F1089" s="735">
        <v>0</v>
      </c>
      <c r="G1089" s="749">
        <v>1</v>
      </c>
      <c r="H1089" s="749"/>
      <c r="I1089" s="733"/>
      <c r="J1089" s="733"/>
      <c r="K1089" s="735">
        <v>0</v>
      </c>
      <c r="L1089" s="750">
        <v>0</v>
      </c>
    </row>
    <row r="1090" spans="1:12" ht="31.5" x14ac:dyDescent="0.25">
      <c r="A1090" s="561" t="s">
        <v>92</v>
      </c>
      <c r="B1090" s="749">
        <v>2023</v>
      </c>
      <c r="C1090" s="561" t="s">
        <v>721</v>
      </c>
      <c r="D1090" s="561" t="s">
        <v>1452</v>
      </c>
      <c r="E1090" s="561" t="s">
        <v>56</v>
      </c>
      <c r="F1090" s="735">
        <v>0</v>
      </c>
      <c r="G1090" s="749">
        <v>1</v>
      </c>
      <c r="H1090" s="749"/>
      <c r="I1090" s="733"/>
      <c r="J1090" s="733"/>
      <c r="K1090" s="735">
        <v>0</v>
      </c>
      <c r="L1090" s="750">
        <v>0</v>
      </c>
    </row>
    <row r="1091" spans="1:12" ht="31.5" x14ac:dyDescent="0.25">
      <c r="A1091" s="561" t="s">
        <v>92</v>
      </c>
      <c r="B1091" s="749">
        <v>2023</v>
      </c>
      <c r="C1091" s="561" t="s">
        <v>721</v>
      </c>
      <c r="D1091" s="561" t="s">
        <v>1453</v>
      </c>
      <c r="E1091" s="561" t="s">
        <v>728</v>
      </c>
      <c r="F1091" s="735">
        <v>0</v>
      </c>
      <c r="G1091" s="749">
        <v>1</v>
      </c>
      <c r="H1091" s="749"/>
      <c r="I1091" s="733"/>
      <c r="J1091" s="733"/>
      <c r="K1091" s="735">
        <v>0</v>
      </c>
      <c r="L1091" s="750">
        <v>0</v>
      </c>
    </row>
    <row r="1092" spans="1:12" ht="31.5" x14ac:dyDescent="0.25">
      <c r="A1092" s="561" t="s">
        <v>92</v>
      </c>
      <c r="B1092" s="749">
        <v>2023</v>
      </c>
      <c r="C1092" s="561" t="s">
        <v>721</v>
      </c>
      <c r="D1092" s="561" t="s">
        <v>1454</v>
      </c>
      <c r="E1092" s="561" t="s">
        <v>730</v>
      </c>
      <c r="F1092" s="735">
        <v>0</v>
      </c>
      <c r="G1092" s="749">
        <v>1</v>
      </c>
      <c r="H1092" s="749"/>
      <c r="I1092" s="733"/>
      <c r="J1092" s="733"/>
      <c r="K1092" s="735">
        <v>0</v>
      </c>
      <c r="L1092" s="750">
        <v>0</v>
      </c>
    </row>
    <row r="1093" spans="1:12" ht="31.5" x14ac:dyDescent="0.25">
      <c r="A1093" s="561" t="s">
        <v>92</v>
      </c>
      <c r="B1093" s="749">
        <v>2023</v>
      </c>
      <c r="C1093" s="561" t="s">
        <v>721</v>
      </c>
      <c r="D1093" s="561" t="s">
        <v>1455</v>
      </c>
      <c r="E1093" s="561" t="s">
        <v>142</v>
      </c>
      <c r="F1093" s="735">
        <v>0</v>
      </c>
      <c r="G1093" s="749">
        <v>1</v>
      </c>
      <c r="H1093" s="749"/>
      <c r="I1093" s="733"/>
      <c r="J1093" s="733"/>
      <c r="K1093" s="735">
        <v>0</v>
      </c>
      <c r="L1093" s="750">
        <v>0</v>
      </c>
    </row>
    <row r="1094" spans="1:12" ht="31.5" x14ac:dyDescent="0.25">
      <c r="A1094" s="561" t="s">
        <v>92</v>
      </c>
      <c r="B1094" s="749">
        <v>2023</v>
      </c>
      <c r="C1094" s="561" t="s">
        <v>721</v>
      </c>
      <c r="D1094" s="561" t="s">
        <v>1456</v>
      </c>
      <c r="E1094" s="561" t="s">
        <v>143</v>
      </c>
      <c r="F1094" s="735">
        <v>0</v>
      </c>
      <c r="G1094" s="749">
        <v>1</v>
      </c>
      <c r="H1094" s="749"/>
      <c r="I1094" s="733"/>
      <c r="J1094" s="733"/>
      <c r="K1094" s="735">
        <v>0</v>
      </c>
      <c r="L1094" s="750">
        <v>0</v>
      </c>
    </row>
    <row r="1095" spans="1:12" ht="31.5" x14ac:dyDescent="0.25">
      <c r="A1095" s="561" t="s">
        <v>92</v>
      </c>
      <c r="B1095" s="749">
        <v>2023</v>
      </c>
      <c r="C1095" s="561" t="s">
        <v>721</v>
      </c>
      <c r="D1095" s="561" t="s">
        <v>1457</v>
      </c>
      <c r="E1095" s="561" t="s">
        <v>182</v>
      </c>
      <c r="F1095" s="735">
        <v>0</v>
      </c>
      <c r="G1095" s="749">
        <v>1</v>
      </c>
      <c r="H1095" s="749"/>
      <c r="I1095" s="733"/>
      <c r="J1095" s="733"/>
      <c r="K1095" s="735">
        <v>0</v>
      </c>
      <c r="L1095" s="750">
        <v>0</v>
      </c>
    </row>
    <row r="1096" spans="1:12" ht="31.5" x14ac:dyDescent="0.25">
      <c r="A1096" s="561" t="s">
        <v>92</v>
      </c>
      <c r="B1096" s="749">
        <v>2023</v>
      </c>
      <c r="C1096" s="561" t="s">
        <v>721</v>
      </c>
      <c r="D1096" s="561" t="s">
        <v>1458</v>
      </c>
      <c r="E1096" s="561" t="s">
        <v>394</v>
      </c>
      <c r="F1096" s="735">
        <v>0</v>
      </c>
      <c r="G1096" s="749">
        <v>1</v>
      </c>
      <c r="H1096" s="749"/>
      <c r="I1096" s="733"/>
      <c r="J1096" s="733"/>
      <c r="K1096" s="735">
        <v>0</v>
      </c>
      <c r="L1096" s="750">
        <v>0</v>
      </c>
    </row>
    <row r="1097" spans="1:12" ht="31.5" x14ac:dyDescent="0.25">
      <c r="A1097" s="561" t="s">
        <v>92</v>
      </c>
      <c r="B1097" s="749">
        <v>2023</v>
      </c>
      <c r="C1097" s="561" t="s">
        <v>721</v>
      </c>
      <c r="D1097" s="561" t="s">
        <v>1459</v>
      </c>
      <c r="E1097" s="561" t="s">
        <v>423</v>
      </c>
      <c r="F1097" s="735">
        <v>0</v>
      </c>
      <c r="G1097" s="749">
        <v>1</v>
      </c>
      <c r="H1097" s="749"/>
      <c r="I1097" s="733"/>
      <c r="J1097" s="733"/>
      <c r="K1097" s="735">
        <v>0</v>
      </c>
      <c r="L1097" s="750">
        <v>0</v>
      </c>
    </row>
    <row r="1098" spans="1:12" ht="31.5" x14ac:dyDescent="0.25">
      <c r="A1098" s="561" t="s">
        <v>92</v>
      </c>
      <c r="B1098" s="749">
        <v>2023</v>
      </c>
      <c r="C1098" s="561" t="s">
        <v>721</v>
      </c>
      <c r="D1098" s="561" t="s">
        <v>3215</v>
      </c>
      <c r="E1098" s="561" t="s">
        <v>441</v>
      </c>
      <c r="F1098" s="735">
        <v>0</v>
      </c>
      <c r="G1098" s="749">
        <v>1</v>
      </c>
      <c r="H1098" s="749"/>
      <c r="I1098" s="733"/>
      <c r="J1098" s="733"/>
      <c r="K1098" s="735">
        <v>0</v>
      </c>
      <c r="L1098" s="750">
        <v>0</v>
      </c>
    </row>
    <row r="1099" spans="1:12" ht="31.5" x14ac:dyDescent="0.25">
      <c r="A1099" s="561" t="s">
        <v>92</v>
      </c>
      <c r="B1099" s="749">
        <v>2023</v>
      </c>
      <c r="C1099" s="561" t="s">
        <v>721</v>
      </c>
      <c r="D1099" s="561" t="s">
        <v>3519</v>
      </c>
      <c r="E1099" s="561" t="s">
        <v>3016</v>
      </c>
      <c r="F1099" s="735">
        <v>0</v>
      </c>
      <c r="G1099" s="749">
        <v>1</v>
      </c>
      <c r="H1099" s="749"/>
      <c r="I1099" s="735">
        <v>29833.360000000001</v>
      </c>
      <c r="J1099" s="735">
        <v>-18032.89</v>
      </c>
      <c r="K1099" s="735">
        <v>11800.47</v>
      </c>
      <c r="L1099" s="750">
        <v>11800.47</v>
      </c>
    </row>
    <row r="1100" spans="1:12" ht="31.5" x14ac:dyDescent="0.25">
      <c r="A1100" s="561" t="s">
        <v>92</v>
      </c>
      <c r="B1100" s="749">
        <v>2023</v>
      </c>
      <c r="C1100" s="561" t="s">
        <v>721</v>
      </c>
      <c r="D1100" s="561" t="s">
        <v>3520</v>
      </c>
      <c r="E1100" s="561" t="s">
        <v>3058</v>
      </c>
      <c r="F1100" s="735">
        <v>0</v>
      </c>
      <c r="G1100" s="749">
        <v>1</v>
      </c>
      <c r="H1100" s="749"/>
      <c r="I1100" s="735">
        <v>-129546.71</v>
      </c>
      <c r="J1100" s="735">
        <v>-10473.02</v>
      </c>
      <c r="K1100" s="735">
        <v>-140019.73000000001</v>
      </c>
      <c r="L1100" s="750">
        <v>-140019.73000000001</v>
      </c>
    </row>
    <row r="1101" spans="1:12" ht="31.5" x14ac:dyDescent="0.25">
      <c r="A1101" s="561" t="s">
        <v>92</v>
      </c>
      <c r="B1101" s="749">
        <v>2023</v>
      </c>
      <c r="C1101" s="561" t="s">
        <v>721</v>
      </c>
      <c r="D1101" s="561" t="s">
        <v>3521</v>
      </c>
      <c r="E1101" s="561" t="s">
        <v>3063</v>
      </c>
      <c r="F1101" s="735">
        <v>0</v>
      </c>
      <c r="G1101" s="749">
        <v>1</v>
      </c>
      <c r="H1101" s="749"/>
      <c r="I1101" s="735">
        <v>44942.47</v>
      </c>
      <c r="J1101" s="733"/>
      <c r="K1101" s="735">
        <v>44942.47</v>
      </c>
      <c r="L1101" s="750">
        <v>44942.47</v>
      </c>
    </row>
    <row r="1102" spans="1:12" ht="31.5" x14ac:dyDescent="0.25">
      <c r="A1102" s="561" t="s">
        <v>92</v>
      </c>
      <c r="B1102" s="749">
        <v>2023</v>
      </c>
      <c r="C1102" s="561" t="s">
        <v>721</v>
      </c>
      <c r="D1102" s="561" t="s">
        <v>3822</v>
      </c>
      <c r="E1102" s="561" t="s">
        <v>3425</v>
      </c>
      <c r="F1102" s="735">
        <v>0</v>
      </c>
      <c r="G1102" s="749">
        <v>1</v>
      </c>
      <c r="H1102" s="749"/>
      <c r="I1102" s="735">
        <v>420394.54</v>
      </c>
      <c r="J1102" s="735">
        <v>13656.16</v>
      </c>
      <c r="K1102" s="735">
        <v>434050.7</v>
      </c>
      <c r="L1102" s="750">
        <v>434050.7</v>
      </c>
    </row>
    <row r="1103" spans="1:12" ht="42" x14ac:dyDescent="0.25">
      <c r="A1103" s="561" t="s">
        <v>92</v>
      </c>
      <c r="B1103" s="749">
        <v>2023</v>
      </c>
      <c r="C1103" s="561" t="s">
        <v>721</v>
      </c>
      <c r="D1103" s="561" t="s">
        <v>3823</v>
      </c>
      <c r="E1103" s="561" t="s">
        <v>737</v>
      </c>
      <c r="F1103" s="735">
        <v>350773.91</v>
      </c>
      <c r="G1103" s="749">
        <v>0</v>
      </c>
      <c r="H1103" s="749"/>
      <c r="I1103" s="733"/>
      <c r="J1103" s="733"/>
      <c r="K1103" s="735">
        <v>0</v>
      </c>
      <c r="L1103" s="750">
        <v>350773.91</v>
      </c>
    </row>
    <row r="1104" spans="1:12" x14ac:dyDescent="0.25">
      <c r="A1104" s="561" t="s">
        <v>92</v>
      </c>
      <c r="B1104" s="749">
        <v>2023</v>
      </c>
      <c r="C1104" s="561" t="s">
        <v>738</v>
      </c>
      <c r="D1104" s="561" t="s">
        <v>1461</v>
      </c>
      <c r="E1104" s="561" t="s">
        <v>7</v>
      </c>
      <c r="F1104" s="735">
        <v>0</v>
      </c>
      <c r="G1104" s="749">
        <v>0</v>
      </c>
      <c r="H1104" s="749"/>
      <c r="I1104" s="733"/>
      <c r="J1104" s="733"/>
      <c r="K1104" s="735">
        <v>0</v>
      </c>
      <c r="L1104" s="750">
        <v>0</v>
      </c>
    </row>
    <row r="1105" spans="1:12" x14ac:dyDescent="0.25">
      <c r="A1105" s="561" t="s">
        <v>199</v>
      </c>
      <c r="B1105" s="749">
        <v>2023</v>
      </c>
      <c r="C1105" s="561" t="s">
        <v>647</v>
      </c>
      <c r="D1105" s="561" t="s">
        <v>1462</v>
      </c>
      <c r="E1105" s="561" t="s">
        <v>649</v>
      </c>
      <c r="F1105" s="735">
        <v>36520.53</v>
      </c>
      <c r="G1105" s="749">
        <v>0</v>
      </c>
      <c r="H1105" s="749"/>
      <c r="I1105" s="733"/>
      <c r="J1105" s="733"/>
      <c r="K1105" s="735">
        <v>0</v>
      </c>
      <c r="L1105" s="750">
        <v>36520.53</v>
      </c>
    </row>
    <row r="1106" spans="1:12" ht="21" x14ac:dyDescent="0.25">
      <c r="A1106" s="561" t="s">
        <v>199</v>
      </c>
      <c r="B1106" s="749">
        <v>2023</v>
      </c>
      <c r="C1106" s="561" t="s">
        <v>3691</v>
      </c>
      <c r="D1106" s="561" t="s">
        <v>3641</v>
      </c>
      <c r="E1106" s="561" t="s">
        <v>3675</v>
      </c>
      <c r="F1106" s="735">
        <v>0</v>
      </c>
      <c r="G1106" s="749">
        <v>0</v>
      </c>
      <c r="H1106" s="749"/>
      <c r="I1106" s="733"/>
      <c r="J1106" s="733"/>
      <c r="K1106" s="735">
        <v>0</v>
      </c>
      <c r="L1106" s="750">
        <v>0</v>
      </c>
    </row>
    <row r="1107" spans="1:12" x14ac:dyDescent="0.25">
      <c r="A1107" s="561" t="s">
        <v>199</v>
      </c>
      <c r="B1107" s="749">
        <v>2023</v>
      </c>
      <c r="C1107" s="561" t="s">
        <v>651</v>
      </c>
      <c r="D1107" s="561" t="s">
        <v>1463</v>
      </c>
      <c r="E1107" s="561" t="s">
        <v>653</v>
      </c>
      <c r="F1107" s="735">
        <v>0</v>
      </c>
      <c r="G1107" s="749">
        <v>0</v>
      </c>
      <c r="H1107" s="749"/>
      <c r="I1107" s="733"/>
      <c r="J1107" s="733"/>
      <c r="K1107" s="735">
        <v>0</v>
      </c>
      <c r="L1107" s="750">
        <v>0</v>
      </c>
    </row>
    <row r="1108" spans="1:12" ht="31.5" x14ac:dyDescent="0.25">
      <c r="A1108" s="561" t="s">
        <v>199</v>
      </c>
      <c r="B1108" s="749">
        <v>2023</v>
      </c>
      <c r="C1108" s="561" t="s">
        <v>654</v>
      </c>
      <c r="D1108" s="561" t="s">
        <v>1464</v>
      </c>
      <c r="E1108" s="561" t="s">
        <v>445</v>
      </c>
      <c r="F1108" s="735">
        <v>0</v>
      </c>
      <c r="G1108" s="749">
        <v>0</v>
      </c>
      <c r="H1108" s="749"/>
      <c r="I1108" s="733"/>
      <c r="J1108" s="733"/>
      <c r="K1108" s="735">
        <v>0</v>
      </c>
      <c r="L1108" s="750">
        <v>0</v>
      </c>
    </row>
    <row r="1109" spans="1:12" ht="21" x14ac:dyDescent="0.25">
      <c r="A1109" s="561" t="s">
        <v>199</v>
      </c>
      <c r="B1109" s="749">
        <v>2023</v>
      </c>
      <c r="C1109" s="561" t="s">
        <v>656</v>
      </c>
      <c r="D1109" s="561" t="s">
        <v>1465</v>
      </c>
      <c r="E1109" s="561" t="s">
        <v>658</v>
      </c>
      <c r="F1109" s="735">
        <v>0</v>
      </c>
      <c r="G1109" s="749">
        <v>0</v>
      </c>
      <c r="H1109" s="749"/>
      <c r="I1109" s="733"/>
      <c r="J1109" s="733"/>
      <c r="K1109" s="735">
        <v>0</v>
      </c>
      <c r="L1109" s="750">
        <v>0</v>
      </c>
    </row>
    <row r="1110" spans="1:12" ht="21" x14ac:dyDescent="0.25">
      <c r="A1110" s="561" t="s">
        <v>199</v>
      </c>
      <c r="B1110" s="749">
        <v>2023</v>
      </c>
      <c r="C1110" s="561" t="s">
        <v>659</v>
      </c>
      <c r="D1110" s="561" t="s">
        <v>1466</v>
      </c>
      <c r="E1110" s="561" t="s">
        <v>661</v>
      </c>
      <c r="F1110" s="735">
        <v>0</v>
      </c>
      <c r="G1110" s="749">
        <v>0</v>
      </c>
      <c r="H1110" s="749"/>
      <c r="I1110" s="733"/>
      <c r="J1110" s="733"/>
      <c r="K1110" s="735">
        <v>0</v>
      </c>
      <c r="L1110" s="750">
        <v>0</v>
      </c>
    </row>
    <row r="1111" spans="1:12" ht="21" x14ac:dyDescent="0.25">
      <c r="A1111" s="561" t="s">
        <v>199</v>
      </c>
      <c r="B1111" s="749">
        <v>2023</v>
      </c>
      <c r="C1111" s="561" t="s">
        <v>662</v>
      </c>
      <c r="D1111" s="561" t="s">
        <v>1467</v>
      </c>
      <c r="E1111" s="561" t="s">
        <v>664</v>
      </c>
      <c r="F1111" s="735">
        <v>0</v>
      </c>
      <c r="G1111" s="749">
        <v>0</v>
      </c>
      <c r="H1111" s="749"/>
      <c r="I1111" s="733"/>
      <c r="J1111" s="733"/>
      <c r="K1111" s="735">
        <v>0</v>
      </c>
      <c r="L1111" s="750">
        <v>0</v>
      </c>
    </row>
    <row r="1112" spans="1:12" ht="31.5" x14ac:dyDescent="0.25">
      <c r="A1112" s="561" t="s">
        <v>199</v>
      </c>
      <c r="B1112" s="749">
        <v>2023</v>
      </c>
      <c r="C1112" s="561" t="s">
        <v>665</v>
      </c>
      <c r="D1112" s="561" t="s">
        <v>1468</v>
      </c>
      <c r="E1112" s="561" t="s">
        <v>667</v>
      </c>
      <c r="F1112" s="735">
        <v>0</v>
      </c>
      <c r="G1112" s="749">
        <v>0</v>
      </c>
      <c r="H1112" s="749"/>
      <c r="I1112" s="733"/>
      <c r="J1112" s="733"/>
      <c r="K1112" s="735">
        <v>0</v>
      </c>
      <c r="L1112" s="750">
        <v>0</v>
      </c>
    </row>
    <row r="1113" spans="1:12" ht="21" x14ac:dyDescent="0.25">
      <c r="A1113" s="561" t="s">
        <v>199</v>
      </c>
      <c r="B1113" s="749">
        <v>2023</v>
      </c>
      <c r="C1113" s="561" t="s">
        <v>668</v>
      </c>
      <c r="D1113" s="561" t="s">
        <v>1469</v>
      </c>
      <c r="E1113" s="561" t="s">
        <v>12</v>
      </c>
      <c r="F1113" s="735">
        <v>0</v>
      </c>
      <c r="G1113" s="749">
        <v>0</v>
      </c>
      <c r="H1113" s="749"/>
      <c r="I1113" s="733"/>
      <c r="J1113" s="733"/>
      <c r="K1113" s="735">
        <v>0</v>
      </c>
      <c r="L1113" s="750">
        <v>0</v>
      </c>
    </row>
    <row r="1114" spans="1:12" ht="21" x14ac:dyDescent="0.25">
      <c r="A1114" s="561" t="s">
        <v>199</v>
      </c>
      <c r="B1114" s="749">
        <v>2023</v>
      </c>
      <c r="C1114" s="561" t="s">
        <v>670</v>
      </c>
      <c r="D1114" s="561" t="s">
        <v>1470</v>
      </c>
      <c r="E1114" s="561" t="s">
        <v>13</v>
      </c>
      <c r="F1114" s="735">
        <v>0</v>
      </c>
      <c r="G1114" s="749">
        <v>0</v>
      </c>
      <c r="H1114" s="749"/>
      <c r="I1114" s="733"/>
      <c r="J1114" s="733"/>
      <c r="K1114" s="735">
        <v>0</v>
      </c>
      <c r="L1114" s="750">
        <v>0</v>
      </c>
    </row>
    <row r="1115" spans="1:12" ht="21" x14ac:dyDescent="0.25">
      <c r="A1115" s="561" t="s">
        <v>199</v>
      </c>
      <c r="B1115" s="749">
        <v>2023</v>
      </c>
      <c r="C1115" s="561" t="s">
        <v>672</v>
      </c>
      <c r="D1115" s="561" t="s">
        <v>1471</v>
      </c>
      <c r="E1115" s="561" t="s">
        <v>15</v>
      </c>
      <c r="F1115" s="735">
        <v>0</v>
      </c>
      <c r="G1115" s="749">
        <v>0</v>
      </c>
      <c r="H1115" s="749"/>
      <c r="I1115" s="733"/>
      <c r="J1115" s="733"/>
      <c r="K1115" s="735">
        <v>0</v>
      </c>
      <c r="L1115" s="750">
        <v>0</v>
      </c>
    </row>
    <row r="1116" spans="1:12" x14ac:dyDescent="0.25">
      <c r="A1116" s="561" t="s">
        <v>199</v>
      </c>
      <c r="B1116" s="749">
        <v>2023</v>
      </c>
      <c r="C1116" s="561" t="s">
        <v>674</v>
      </c>
      <c r="D1116" s="561" t="s">
        <v>1472</v>
      </c>
      <c r="E1116" s="561" t="s">
        <v>676</v>
      </c>
      <c r="F1116" s="735">
        <v>0</v>
      </c>
      <c r="G1116" s="749">
        <v>0</v>
      </c>
      <c r="H1116" s="749"/>
      <c r="I1116" s="733"/>
      <c r="J1116" s="733"/>
      <c r="K1116" s="735">
        <v>0</v>
      </c>
      <c r="L1116" s="750">
        <v>0</v>
      </c>
    </row>
    <row r="1117" spans="1:12" x14ac:dyDescent="0.25">
      <c r="A1117" s="561" t="s">
        <v>199</v>
      </c>
      <c r="B1117" s="749">
        <v>2023</v>
      </c>
      <c r="C1117" s="561" t="s">
        <v>677</v>
      </c>
      <c r="D1117" s="561" t="s">
        <v>1473</v>
      </c>
      <c r="E1117" s="561" t="s">
        <v>23</v>
      </c>
      <c r="F1117" s="735">
        <v>228193.31</v>
      </c>
      <c r="G1117" s="749">
        <v>1</v>
      </c>
      <c r="H1117" s="749"/>
      <c r="I1117" s="735">
        <v>221834.96</v>
      </c>
      <c r="J1117" s="735">
        <v>6358.35</v>
      </c>
      <c r="K1117" s="735">
        <v>228193.31</v>
      </c>
      <c r="L1117" s="750">
        <v>228193.31</v>
      </c>
    </row>
    <row r="1118" spans="1:12" ht="21" x14ac:dyDescent="0.25">
      <c r="A1118" s="561" t="s">
        <v>199</v>
      </c>
      <c r="B1118" s="749">
        <v>2023</v>
      </c>
      <c r="C1118" s="561" t="s">
        <v>679</v>
      </c>
      <c r="D1118" s="561" t="s">
        <v>1474</v>
      </c>
      <c r="E1118" s="561" t="s">
        <v>131</v>
      </c>
      <c r="F1118" s="735">
        <v>-39428.51</v>
      </c>
      <c r="G1118" s="749">
        <v>1</v>
      </c>
      <c r="H1118" s="749"/>
      <c r="I1118" s="735">
        <v>-38958.46</v>
      </c>
      <c r="J1118" s="735">
        <v>-470.05</v>
      </c>
      <c r="K1118" s="735">
        <v>-39428.51</v>
      </c>
      <c r="L1118" s="750">
        <v>-39428.51</v>
      </c>
    </row>
    <row r="1119" spans="1:12" ht="31.5" x14ac:dyDescent="0.25">
      <c r="A1119" s="561" t="s">
        <v>199</v>
      </c>
      <c r="B1119" s="749">
        <v>2023</v>
      </c>
      <c r="C1119" s="561" t="s">
        <v>681</v>
      </c>
      <c r="D1119" s="561" t="s">
        <v>1475</v>
      </c>
      <c r="E1119" s="561" t="s">
        <v>683</v>
      </c>
      <c r="F1119" s="735">
        <v>0</v>
      </c>
      <c r="G1119" s="749">
        <v>0</v>
      </c>
      <c r="H1119" s="749"/>
      <c r="I1119" s="733"/>
      <c r="J1119" s="733"/>
      <c r="K1119" s="735">
        <v>0</v>
      </c>
      <c r="L1119" s="750">
        <v>0</v>
      </c>
    </row>
    <row r="1120" spans="1:12" ht="21" x14ac:dyDescent="0.25">
      <c r="A1120" s="561" t="s">
        <v>199</v>
      </c>
      <c r="B1120" s="749">
        <v>2023</v>
      </c>
      <c r="C1120" s="561" t="s">
        <v>681</v>
      </c>
      <c r="D1120" s="561" t="s">
        <v>1475</v>
      </c>
      <c r="E1120" s="561" t="s">
        <v>684</v>
      </c>
      <c r="F1120" s="735">
        <v>0</v>
      </c>
      <c r="G1120" s="749">
        <v>0</v>
      </c>
      <c r="H1120" s="749"/>
      <c r="I1120" s="733"/>
      <c r="J1120" s="733"/>
      <c r="K1120" s="735">
        <v>0</v>
      </c>
      <c r="L1120" s="751">
        <v>0</v>
      </c>
    </row>
    <row r="1121" spans="1:12" x14ac:dyDescent="0.25">
      <c r="A1121" s="561" t="s">
        <v>199</v>
      </c>
      <c r="B1121" s="749">
        <v>2023</v>
      </c>
      <c r="C1121" s="561" t="s">
        <v>685</v>
      </c>
      <c r="D1121" s="561" t="s">
        <v>1476</v>
      </c>
      <c r="E1121" s="561" t="s">
        <v>687</v>
      </c>
      <c r="F1121" s="735">
        <v>0</v>
      </c>
      <c r="G1121" s="749">
        <v>0</v>
      </c>
      <c r="H1121" s="749"/>
      <c r="I1121" s="733"/>
      <c r="J1121" s="733"/>
      <c r="K1121" s="735">
        <v>0</v>
      </c>
      <c r="L1121" s="750">
        <v>0</v>
      </c>
    </row>
    <row r="1122" spans="1:12" x14ac:dyDescent="0.25">
      <c r="A1122" s="561" t="s">
        <v>199</v>
      </c>
      <c r="B1122" s="749">
        <v>2023</v>
      </c>
      <c r="C1122" s="561" t="s">
        <v>688</v>
      </c>
      <c r="D1122" s="561" t="s">
        <v>1477</v>
      </c>
      <c r="E1122" s="561" t="s">
        <v>50</v>
      </c>
      <c r="F1122" s="735">
        <v>22645.87</v>
      </c>
      <c r="G1122" s="749">
        <v>0</v>
      </c>
      <c r="H1122" s="749"/>
      <c r="I1122" s="733"/>
      <c r="J1122" s="733"/>
      <c r="K1122" s="735">
        <v>0</v>
      </c>
      <c r="L1122" s="750">
        <v>22645.87</v>
      </c>
    </row>
    <row r="1123" spans="1:12" x14ac:dyDescent="0.25">
      <c r="A1123" s="561" t="s">
        <v>199</v>
      </c>
      <c r="B1123" s="749">
        <v>2023</v>
      </c>
      <c r="C1123" s="561" t="s">
        <v>690</v>
      </c>
      <c r="D1123" s="561" t="s">
        <v>1478</v>
      </c>
      <c r="E1123" s="561" t="s">
        <v>692</v>
      </c>
      <c r="F1123" s="735">
        <v>0</v>
      </c>
      <c r="G1123" s="749">
        <v>0</v>
      </c>
      <c r="H1123" s="749"/>
      <c r="I1123" s="733"/>
      <c r="J1123" s="733"/>
      <c r="K1123" s="735">
        <v>0</v>
      </c>
      <c r="L1123" s="750">
        <v>0</v>
      </c>
    </row>
    <row r="1124" spans="1:12" ht="21" x14ac:dyDescent="0.25">
      <c r="A1124" s="561" t="s">
        <v>199</v>
      </c>
      <c r="B1124" s="749">
        <v>2023</v>
      </c>
      <c r="C1124" s="561" t="s">
        <v>693</v>
      </c>
      <c r="D1124" s="561" t="s">
        <v>1479</v>
      </c>
      <c r="E1124" s="561" t="s">
        <v>6</v>
      </c>
      <c r="F1124" s="735">
        <v>0</v>
      </c>
      <c r="G1124" s="749">
        <v>0</v>
      </c>
      <c r="H1124" s="749"/>
      <c r="I1124" s="733"/>
      <c r="J1124" s="733"/>
      <c r="K1124" s="735">
        <v>0</v>
      </c>
      <c r="L1124" s="750">
        <v>0</v>
      </c>
    </row>
    <row r="1125" spans="1:12" ht="21" x14ac:dyDescent="0.25">
      <c r="A1125" s="561" t="s">
        <v>199</v>
      </c>
      <c r="B1125" s="749">
        <v>2023</v>
      </c>
      <c r="C1125" s="561" t="s">
        <v>695</v>
      </c>
      <c r="D1125" s="561" t="s">
        <v>1480</v>
      </c>
      <c r="E1125" s="561" t="s">
        <v>697</v>
      </c>
      <c r="F1125" s="735">
        <v>0</v>
      </c>
      <c r="G1125" s="749">
        <v>0</v>
      </c>
      <c r="H1125" s="749"/>
      <c r="I1125" s="733"/>
      <c r="J1125" s="733"/>
      <c r="K1125" s="735">
        <v>0</v>
      </c>
      <c r="L1125" s="750">
        <v>0</v>
      </c>
    </row>
    <row r="1126" spans="1:12" x14ac:dyDescent="0.25">
      <c r="A1126" s="561" t="s">
        <v>199</v>
      </c>
      <c r="B1126" s="749">
        <v>2023</v>
      </c>
      <c r="C1126" s="561" t="s">
        <v>698</v>
      </c>
      <c r="D1126" s="561" t="s">
        <v>1481</v>
      </c>
      <c r="E1126" s="561" t="s">
        <v>700</v>
      </c>
      <c r="F1126" s="735">
        <v>0</v>
      </c>
      <c r="G1126" s="749">
        <v>0</v>
      </c>
      <c r="H1126" s="749"/>
      <c r="I1126" s="733"/>
      <c r="J1126" s="733"/>
      <c r="K1126" s="735">
        <v>0</v>
      </c>
      <c r="L1126" s="750">
        <v>0</v>
      </c>
    </row>
    <row r="1127" spans="1:12" ht="21" x14ac:dyDescent="0.25">
      <c r="A1127" s="561" t="s">
        <v>199</v>
      </c>
      <c r="B1127" s="749">
        <v>2023</v>
      </c>
      <c r="C1127" s="561" t="s">
        <v>701</v>
      </c>
      <c r="D1127" s="561" t="s">
        <v>1482</v>
      </c>
      <c r="E1127" s="561" t="s">
        <v>1</v>
      </c>
      <c r="F1127" s="735">
        <v>553164.64</v>
      </c>
      <c r="G1127" s="749">
        <v>1</v>
      </c>
      <c r="H1127" s="749"/>
      <c r="I1127" s="735">
        <v>544495.56999999995</v>
      </c>
      <c r="J1127" s="735">
        <v>8669.07</v>
      </c>
      <c r="K1127" s="735">
        <v>553164.64</v>
      </c>
      <c r="L1127" s="750">
        <v>553164.64</v>
      </c>
    </row>
    <row r="1128" spans="1:12" ht="21" x14ac:dyDescent="0.25">
      <c r="A1128" s="561" t="s">
        <v>199</v>
      </c>
      <c r="B1128" s="749">
        <v>2023</v>
      </c>
      <c r="C1128" s="561" t="s">
        <v>701</v>
      </c>
      <c r="D1128" s="561" t="s">
        <v>1482</v>
      </c>
      <c r="E1128" s="561" t="s">
        <v>703</v>
      </c>
      <c r="F1128" s="735">
        <v>0</v>
      </c>
      <c r="G1128" s="749">
        <v>0</v>
      </c>
      <c r="H1128" s="749"/>
      <c r="I1128" s="733"/>
      <c r="J1128" s="733"/>
      <c r="K1128" s="735">
        <v>0</v>
      </c>
      <c r="L1128" s="751">
        <v>0</v>
      </c>
    </row>
    <row r="1129" spans="1:12" ht="21" x14ac:dyDescent="0.25">
      <c r="A1129" s="561" t="s">
        <v>199</v>
      </c>
      <c r="B1129" s="749">
        <v>2023</v>
      </c>
      <c r="C1129" s="561" t="s">
        <v>701</v>
      </c>
      <c r="D1129" s="561" t="s">
        <v>1482</v>
      </c>
      <c r="E1129" s="561" t="s">
        <v>704</v>
      </c>
      <c r="F1129" s="735">
        <v>0</v>
      </c>
      <c r="G1129" s="749">
        <v>0</v>
      </c>
      <c r="H1129" s="749"/>
      <c r="I1129" s="733"/>
      <c r="J1129" s="733"/>
      <c r="K1129" s="735">
        <v>0</v>
      </c>
      <c r="L1129" s="751">
        <v>0.02</v>
      </c>
    </row>
    <row r="1130" spans="1:12" ht="21" x14ac:dyDescent="0.25">
      <c r="A1130" s="561" t="s">
        <v>199</v>
      </c>
      <c r="B1130" s="749">
        <v>2023</v>
      </c>
      <c r="C1130" s="561" t="s">
        <v>701</v>
      </c>
      <c r="D1130" s="561" t="s">
        <v>1482</v>
      </c>
      <c r="E1130" s="561" t="s">
        <v>705</v>
      </c>
      <c r="F1130" s="735">
        <v>0</v>
      </c>
      <c r="G1130" s="749">
        <v>0</v>
      </c>
      <c r="H1130" s="749"/>
      <c r="I1130" s="733"/>
      <c r="J1130" s="733"/>
      <c r="K1130" s="735">
        <v>0</v>
      </c>
      <c r="L1130" s="751">
        <v>-798.96</v>
      </c>
    </row>
    <row r="1131" spans="1:12" ht="21" x14ac:dyDescent="0.25">
      <c r="A1131" s="561" t="s">
        <v>199</v>
      </c>
      <c r="B1131" s="749">
        <v>2023</v>
      </c>
      <c r="C1131" s="561" t="s">
        <v>701</v>
      </c>
      <c r="D1131" s="561" t="s">
        <v>1482</v>
      </c>
      <c r="E1131" s="561" t="s">
        <v>706</v>
      </c>
      <c r="F1131" s="735">
        <v>0</v>
      </c>
      <c r="G1131" s="749">
        <v>0</v>
      </c>
      <c r="H1131" s="749"/>
      <c r="I1131" s="733"/>
      <c r="J1131" s="733"/>
      <c r="K1131" s="735">
        <v>0</v>
      </c>
      <c r="L1131" s="751">
        <v>-37879.120000000003</v>
      </c>
    </row>
    <row r="1132" spans="1:12" x14ac:dyDescent="0.25">
      <c r="A1132" s="561" t="s">
        <v>199</v>
      </c>
      <c r="B1132" s="749">
        <v>2023</v>
      </c>
      <c r="C1132" s="561" t="s">
        <v>707</v>
      </c>
      <c r="D1132" s="561" t="s">
        <v>1483</v>
      </c>
      <c r="E1132" s="561" t="s">
        <v>709</v>
      </c>
      <c r="F1132" s="735">
        <v>0</v>
      </c>
      <c r="G1132" s="749">
        <v>0</v>
      </c>
      <c r="H1132" s="749"/>
      <c r="I1132" s="733"/>
      <c r="J1132" s="733"/>
      <c r="K1132" s="735">
        <v>0</v>
      </c>
      <c r="L1132" s="750">
        <v>0</v>
      </c>
    </row>
    <row r="1133" spans="1:12" ht="21" x14ac:dyDescent="0.25">
      <c r="A1133" s="561" t="s">
        <v>199</v>
      </c>
      <c r="B1133" s="749">
        <v>2023</v>
      </c>
      <c r="C1133" s="561" t="s">
        <v>710</v>
      </c>
      <c r="D1133" s="561" t="s">
        <v>1484</v>
      </c>
      <c r="E1133" s="561" t="s">
        <v>2</v>
      </c>
      <c r="F1133" s="735">
        <v>758382.68</v>
      </c>
      <c r="G1133" s="749">
        <v>1</v>
      </c>
      <c r="H1133" s="749"/>
      <c r="I1133" s="735">
        <v>746585.39</v>
      </c>
      <c r="J1133" s="735">
        <v>11797.29</v>
      </c>
      <c r="K1133" s="735">
        <v>758382.68</v>
      </c>
      <c r="L1133" s="750">
        <v>758382.68</v>
      </c>
    </row>
    <row r="1134" spans="1:12" ht="21" x14ac:dyDescent="0.25">
      <c r="A1134" s="561" t="s">
        <v>199</v>
      </c>
      <c r="B1134" s="749">
        <v>2023</v>
      </c>
      <c r="C1134" s="561" t="s">
        <v>712</v>
      </c>
      <c r="D1134" s="561" t="s">
        <v>1485</v>
      </c>
      <c r="E1134" s="561" t="s">
        <v>3</v>
      </c>
      <c r="F1134" s="735">
        <v>27764.400000000001</v>
      </c>
      <c r="G1134" s="749">
        <v>1</v>
      </c>
      <c r="H1134" s="749"/>
      <c r="I1134" s="735">
        <v>27597.66</v>
      </c>
      <c r="J1134" s="735">
        <v>166.74</v>
      </c>
      <c r="K1134" s="735">
        <v>27764.400000000001</v>
      </c>
      <c r="L1134" s="750">
        <v>27764.400000000001</v>
      </c>
    </row>
    <row r="1135" spans="1:12" ht="21" x14ac:dyDescent="0.25">
      <c r="A1135" s="561" t="s">
        <v>199</v>
      </c>
      <c r="B1135" s="749">
        <v>2023</v>
      </c>
      <c r="C1135" s="561" t="s">
        <v>714</v>
      </c>
      <c r="D1135" s="561" t="s">
        <v>1486</v>
      </c>
      <c r="E1135" s="561" t="s">
        <v>38</v>
      </c>
      <c r="F1135" s="735">
        <v>307311.06</v>
      </c>
      <c r="G1135" s="749">
        <v>1</v>
      </c>
      <c r="H1135" s="749"/>
      <c r="I1135" s="735">
        <v>301800.44</v>
      </c>
      <c r="J1135" s="735">
        <v>5510.62</v>
      </c>
      <c r="K1135" s="735">
        <v>307311.06</v>
      </c>
      <c r="L1135" s="750">
        <v>307311.06</v>
      </c>
    </row>
    <row r="1136" spans="1:12" x14ac:dyDescent="0.25">
      <c r="A1136" s="561" t="s">
        <v>199</v>
      </c>
      <c r="B1136" s="749">
        <v>2023</v>
      </c>
      <c r="C1136" s="561" t="s">
        <v>716</v>
      </c>
      <c r="D1136" s="561" t="s">
        <v>1487</v>
      </c>
      <c r="E1136" s="561" t="s">
        <v>66</v>
      </c>
      <c r="F1136" s="735">
        <v>290715.49</v>
      </c>
      <c r="G1136" s="749">
        <v>1</v>
      </c>
      <c r="H1136" s="749"/>
      <c r="I1136" s="735">
        <v>285989.75</v>
      </c>
      <c r="J1136" s="735">
        <v>4725.74</v>
      </c>
      <c r="K1136" s="735">
        <v>290715.49</v>
      </c>
      <c r="L1136" s="750">
        <v>290715.49</v>
      </c>
    </row>
    <row r="1137" spans="1:12" ht="21" x14ac:dyDescent="0.25">
      <c r="A1137" s="561" t="s">
        <v>199</v>
      </c>
      <c r="B1137" s="749">
        <v>2023</v>
      </c>
      <c r="C1137" s="561" t="s">
        <v>718</v>
      </c>
      <c r="D1137" s="561" t="s">
        <v>1488</v>
      </c>
      <c r="E1137" s="561" t="s">
        <v>720</v>
      </c>
      <c r="F1137" s="735">
        <v>-52527.97</v>
      </c>
      <c r="G1137" s="749">
        <v>0</v>
      </c>
      <c r="H1137" s="749"/>
      <c r="I1137" s="733"/>
      <c r="J1137" s="733"/>
      <c r="K1137" s="735">
        <v>0</v>
      </c>
      <c r="L1137" s="750">
        <v>-52527.97</v>
      </c>
    </row>
    <row r="1138" spans="1:12" ht="31.5" x14ac:dyDescent="0.25">
      <c r="A1138" s="561" t="s">
        <v>199</v>
      </c>
      <c r="B1138" s="749">
        <v>2023</v>
      </c>
      <c r="C1138" s="561" t="s">
        <v>721</v>
      </c>
      <c r="D1138" s="561" t="s">
        <v>1490</v>
      </c>
      <c r="E1138" s="561" t="s">
        <v>724</v>
      </c>
      <c r="F1138" s="735">
        <v>0</v>
      </c>
      <c r="G1138" s="749">
        <v>1</v>
      </c>
      <c r="H1138" s="749"/>
      <c r="I1138" s="733"/>
      <c r="J1138" s="733"/>
      <c r="K1138" s="735">
        <v>0</v>
      </c>
      <c r="L1138" s="750">
        <v>0</v>
      </c>
    </row>
    <row r="1139" spans="1:12" ht="31.5" x14ac:dyDescent="0.25">
      <c r="A1139" s="561" t="s">
        <v>199</v>
      </c>
      <c r="B1139" s="749">
        <v>2023</v>
      </c>
      <c r="C1139" s="561" t="s">
        <v>721</v>
      </c>
      <c r="D1139" s="561" t="s">
        <v>1491</v>
      </c>
      <c r="E1139" s="561" t="s">
        <v>55</v>
      </c>
      <c r="F1139" s="735">
        <v>0</v>
      </c>
      <c r="G1139" s="749">
        <v>1</v>
      </c>
      <c r="H1139" s="749"/>
      <c r="I1139" s="733"/>
      <c r="J1139" s="733"/>
      <c r="K1139" s="735">
        <v>0</v>
      </c>
      <c r="L1139" s="750">
        <v>0</v>
      </c>
    </row>
    <row r="1140" spans="1:12" ht="31.5" x14ac:dyDescent="0.25">
      <c r="A1140" s="561" t="s">
        <v>199</v>
      </c>
      <c r="B1140" s="749">
        <v>2023</v>
      </c>
      <c r="C1140" s="561" t="s">
        <v>721</v>
      </c>
      <c r="D1140" s="561" t="s">
        <v>1492</v>
      </c>
      <c r="E1140" s="561" t="s">
        <v>56</v>
      </c>
      <c r="F1140" s="735">
        <v>0</v>
      </c>
      <c r="G1140" s="749">
        <v>1</v>
      </c>
      <c r="H1140" s="749"/>
      <c r="I1140" s="733"/>
      <c r="J1140" s="733"/>
      <c r="K1140" s="735">
        <v>0</v>
      </c>
      <c r="L1140" s="750">
        <v>0</v>
      </c>
    </row>
    <row r="1141" spans="1:12" ht="31.5" x14ac:dyDescent="0.25">
      <c r="A1141" s="561" t="s">
        <v>199</v>
      </c>
      <c r="B1141" s="749">
        <v>2023</v>
      </c>
      <c r="C1141" s="561" t="s">
        <v>721</v>
      </c>
      <c r="D1141" s="561" t="s">
        <v>1493</v>
      </c>
      <c r="E1141" s="561" t="s">
        <v>728</v>
      </c>
      <c r="F1141" s="735">
        <v>0</v>
      </c>
      <c r="G1141" s="749">
        <v>1</v>
      </c>
      <c r="H1141" s="749"/>
      <c r="I1141" s="733"/>
      <c r="J1141" s="733"/>
      <c r="K1141" s="735">
        <v>0</v>
      </c>
      <c r="L1141" s="750">
        <v>0</v>
      </c>
    </row>
    <row r="1142" spans="1:12" ht="31.5" x14ac:dyDescent="0.25">
      <c r="A1142" s="561" t="s">
        <v>199</v>
      </c>
      <c r="B1142" s="749">
        <v>2023</v>
      </c>
      <c r="C1142" s="561" t="s">
        <v>721</v>
      </c>
      <c r="D1142" s="561" t="s">
        <v>1494</v>
      </c>
      <c r="E1142" s="561" t="s">
        <v>730</v>
      </c>
      <c r="F1142" s="735">
        <v>0</v>
      </c>
      <c r="G1142" s="749">
        <v>1</v>
      </c>
      <c r="H1142" s="749"/>
      <c r="I1142" s="733"/>
      <c r="J1142" s="733"/>
      <c r="K1142" s="735">
        <v>0</v>
      </c>
      <c r="L1142" s="750">
        <v>0</v>
      </c>
    </row>
    <row r="1143" spans="1:12" ht="31.5" x14ac:dyDescent="0.25">
      <c r="A1143" s="561" t="s">
        <v>199</v>
      </c>
      <c r="B1143" s="749">
        <v>2023</v>
      </c>
      <c r="C1143" s="561" t="s">
        <v>721</v>
      </c>
      <c r="D1143" s="561" t="s">
        <v>1495</v>
      </c>
      <c r="E1143" s="561" t="s">
        <v>142</v>
      </c>
      <c r="F1143" s="735">
        <v>0</v>
      </c>
      <c r="G1143" s="749">
        <v>1</v>
      </c>
      <c r="H1143" s="749"/>
      <c r="I1143" s="733"/>
      <c r="J1143" s="733"/>
      <c r="K1143" s="735">
        <v>0</v>
      </c>
      <c r="L1143" s="750">
        <v>0</v>
      </c>
    </row>
    <row r="1144" spans="1:12" ht="31.5" x14ac:dyDescent="0.25">
      <c r="A1144" s="561" t="s">
        <v>199</v>
      </c>
      <c r="B1144" s="749">
        <v>2023</v>
      </c>
      <c r="C1144" s="561" t="s">
        <v>721</v>
      </c>
      <c r="D1144" s="561" t="s">
        <v>1496</v>
      </c>
      <c r="E1144" s="561" t="s">
        <v>143</v>
      </c>
      <c r="F1144" s="735">
        <v>0</v>
      </c>
      <c r="G1144" s="749">
        <v>1</v>
      </c>
      <c r="H1144" s="749"/>
      <c r="I1144" s="733"/>
      <c r="J1144" s="733"/>
      <c r="K1144" s="735">
        <v>0</v>
      </c>
      <c r="L1144" s="750">
        <v>0</v>
      </c>
    </row>
    <row r="1145" spans="1:12" ht="31.5" x14ac:dyDescent="0.25">
      <c r="A1145" s="561" t="s">
        <v>199</v>
      </c>
      <c r="B1145" s="749">
        <v>2023</v>
      </c>
      <c r="C1145" s="561" t="s">
        <v>721</v>
      </c>
      <c r="D1145" s="561" t="s">
        <v>1497</v>
      </c>
      <c r="E1145" s="561" t="s">
        <v>182</v>
      </c>
      <c r="F1145" s="735">
        <v>0</v>
      </c>
      <c r="G1145" s="749">
        <v>1</v>
      </c>
      <c r="H1145" s="749"/>
      <c r="I1145" s="733"/>
      <c r="J1145" s="733"/>
      <c r="K1145" s="735">
        <v>0</v>
      </c>
      <c r="L1145" s="750">
        <v>0</v>
      </c>
    </row>
    <row r="1146" spans="1:12" ht="31.5" x14ac:dyDescent="0.25">
      <c r="A1146" s="561" t="s">
        <v>199</v>
      </c>
      <c r="B1146" s="749">
        <v>2023</v>
      </c>
      <c r="C1146" s="561" t="s">
        <v>721</v>
      </c>
      <c r="D1146" s="561" t="s">
        <v>1498</v>
      </c>
      <c r="E1146" s="561" t="s">
        <v>394</v>
      </c>
      <c r="F1146" s="735">
        <v>0</v>
      </c>
      <c r="G1146" s="749">
        <v>1</v>
      </c>
      <c r="H1146" s="749"/>
      <c r="I1146" s="733"/>
      <c r="J1146" s="733"/>
      <c r="K1146" s="735">
        <v>0</v>
      </c>
      <c r="L1146" s="750">
        <v>0</v>
      </c>
    </row>
    <row r="1147" spans="1:12" ht="31.5" x14ac:dyDescent="0.25">
      <c r="A1147" s="561" t="s">
        <v>199</v>
      </c>
      <c r="B1147" s="749">
        <v>2023</v>
      </c>
      <c r="C1147" s="561" t="s">
        <v>721</v>
      </c>
      <c r="D1147" s="561" t="s">
        <v>1499</v>
      </c>
      <c r="E1147" s="561" t="s">
        <v>423</v>
      </c>
      <c r="F1147" s="735">
        <v>0</v>
      </c>
      <c r="G1147" s="749">
        <v>1</v>
      </c>
      <c r="H1147" s="749"/>
      <c r="I1147" s="733"/>
      <c r="J1147" s="733"/>
      <c r="K1147" s="735">
        <v>0</v>
      </c>
      <c r="L1147" s="750">
        <v>0</v>
      </c>
    </row>
    <row r="1148" spans="1:12" ht="31.5" x14ac:dyDescent="0.25">
      <c r="A1148" s="561" t="s">
        <v>199</v>
      </c>
      <c r="B1148" s="749">
        <v>2023</v>
      </c>
      <c r="C1148" s="561" t="s">
        <v>721</v>
      </c>
      <c r="D1148" s="561" t="s">
        <v>3216</v>
      </c>
      <c r="E1148" s="561" t="s">
        <v>441</v>
      </c>
      <c r="F1148" s="735">
        <v>0</v>
      </c>
      <c r="G1148" s="749">
        <v>1</v>
      </c>
      <c r="H1148" s="749"/>
      <c r="I1148" s="733"/>
      <c r="J1148" s="733"/>
      <c r="K1148" s="735">
        <v>0</v>
      </c>
      <c r="L1148" s="750">
        <v>0</v>
      </c>
    </row>
    <row r="1149" spans="1:12" ht="31.5" x14ac:dyDescent="0.25">
      <c r="A1149" s="561" t="s">
        <v>199</v>
      </c>
      <c r="B1149" s="749">
        <v>2023</v>
      </c>
      <c r="C1149" s="561" t="s">
        <v>721</v>
      </c>
      <c r="D1149" s="561" t="s">
        <v>3522</v>
      </c>
      <c r="E1149" s="561" t="s">
        <v>3016</v>
      </c>
      <c r="F1149" s="735">
        <v>0</v>
      </c>
      <c r="G1149" s="749">
        <v>1</v>
      </c>
      <c r="H1149" s="749"/>
      <c r="I1149" s="735">
        <v>118541.61</v>
      </c>
      <c r="J1149" s="735">
        <v>-130412.16</v>
      </c>
      <c r="K1149" s="735">
        <v>-11870.55</v>
      </c>
      <c r="L1149" s="750">
        <v>-11870.55</v>
      </c>
    </row>
    <row r="1150" spans="1:12" ht="31.5" x14ac:dyDescent="0.25">
      <c r="A1150" s="561" t="s">
        <v>199</v>
      </c>
      <c r="B1150" s="749">
        <v>2023</v>
      </c>
      <c r="C1150" s="561" t="s">
        <v>721</v>
      </c>
      <c r="D1150" s="561" t="s">
        <v>3523</v>
      </c>
      <c r="E1150" s="561" t="s">
        <v>3058</v>
      </c>
      <c r="F1150" s="735">
        <v>0</v>
      </c>
      <c r="G1150" s="749">
        <v>1</v>
      </c>
      <c r="H1150" s="749"/>
      <c r="I1150" s="735">
        <v>550.47</v>
      </c>
      <c r="J1150" s="735">
        <v>11917.29</v>
      </c>
      <c r="K1150" s="735">
        <v>12467.76</v>
      </c>
      <c r="L1150" s="750">
        <v>12467.76</v>
      </c>
    </row>
    <row r="1151" spans="1:12" ht="31.5" x14ac:dyDescent="0.25">
      <c r="A1151" s="561" t="s">
        <v>199</v>
      </c>
      <c r="B1151" s="749">
        <v>2023</v>
      </c>
      <c r="C1151" s="561" t="s">
        <v>721</v>
      </c>
      <c r="D1151" s="561" t="s">
        <v>3524</v>
      </c>
      <c r="E1151" s="561" t="s">
        <v>3063</v>
      </c>
      <c r="F1151" s="735">
        <v>0</v>
      </c>
      <c r="G1151" s="749">
        <v>1</v>
      </c>
      <c r="H1151" s="749"/>
      <c r="I1151" s="735">
        <v>-53519.85</v>
      </c>
      <c r="J1151" s="735">
        <v>135.91</v>
      </c>
      <c r="K1151" s="735">
        <v>-53383.94</v>
      </c>
      <c r="L1151" s="750">
        <v>-53383.94</v>
      </c>
    </row>
    <row r="1152" spans="1:12" ht="31.5" x14ac:dyDescent="0.25">
      <c r="A1152" s="561" t="s">
        <v>199</v>
      </c>
      <c r="B1152" s="749">
        <v>2023</v>
      </c>
      <c r="C1152" s="561" t="s">
        <v>721</v>
      </c>
      <c r="D1152" s="561" t="s">
        <v>3824</v>
      </c>
      <c r="E1152" s="561" t="s">
        <v>3425</v>
      </c>
      <c r="F1152" s="735">
        <v>0</v>
      </c>
      <c r="G1152" s="749">
        <v>1</v>
      </c>
      <c r="H1152" s="749"/>
      <c r="I1152" s="735">
        <v>6113.88</v>
      </c>
      <c r="J1152" s="735">
        <v>13016.94</v>
      </c>
      <c r="K1152" s="735">
        <v>19130.82</v>
      </c>
      <c r="L1152" s="750">
        <v>19130.82</v>
      </c>
    </row>
    <row r="1153" spans="1:12" ht="42" x14ac:dyDescent="0.25">
      <c r="A1153" s="561" t="s">
        <v>199</v>
      </c>
      <c r="B1153" s="749">
        <v>2023</v>
      </c>
      <c r="C1153" s="561" t="s">
        <v>721</v>
      </c>
      <c r="D1153" s="561" t="s">
        <v>3825</v>
      </c>
      <c r="E1153" s="561" t="s">
        <v>737</v>
      </c>
      <c r="F1153" s="735">
        <v>-33655.910000000003</v>
      </c>
      <c r="G1153" s="749">
        <v>0</v>
      </c>
      <c r="H1153" s="749"/>
      <c r="I1153" s="733"/>
      <c r="J1153" s="733"/>
      <c r="K1153" s="735">
        <v>0</v>
      </c>
      <c r="L1153" s="750">
        <v>-33655.910000000003</v>
      </c>
    </row>
    <row r="1154" spans="1:12" x14ac:dyDescent="0.25">
      <c r="A1154" s="561" t="s">
        <v>199</v>
      </c>
      <c r="B1154" s="749">
        <v>2023</v>
      </c>
      <c r="C1154" s="561" t="s">
        <v>738</v>
      </c>
      <c r="D1154" s="561" t="s">
        <v>1501</v>
      </c>
      <c r="E1154" s="561" t="s">
        <v>7</v>
      </c>
      <c r="F1154" s="735">
        <v>0</v>
      </c>
      <c r="G1154" s="749">
        <v>0</v>
      </c>
      <c r="H1154" s="749"/>
      <c r="I1154" s="733"/>
      <c r="J1154" s="733"/>
      <c r="K1154" s="735">
        <v>0</v>
      </c>
      <c r="L1154" s="750">
        <v>0</v>
      </c>
    </row>
    <row r="1155" spans="1:12" x14ac:dyDescent="0.25">
      <c r="A1155" s="561" t="s">
        <v>93</v>
      </c>
      <c r="B1155" s="749">
        <v>2023</v>
      </c>
      <c r="C1155" s="561" t="s">
        <v>647</v>
      </c>
      <c r="D1155" s="561" t="s">
        <v>1502</v>
      </c>
      <c r="E1155" s="561" t="s">
        <v>649</v>
      </c>
      <c r="F1155" s="735">
        <v>91274</v>
      </c>
      <c r="G1155" s="749">
        <v>0</v>
      </c>
      <c r="H1155" s="749"/>
      <c r="I1155" s="733"/>
      <c r="J1155" s="733"/>
      <c r="K1155" s="735">
        <v>0</v>
      </c>
      <c r="L1155" s="750">
        <v>91274</v>
      </c>
    </row>
    <row r="1156" spans="1:12" ht="21" x14ac:dyDescent="0.25">
      <c r="A1156" s="561" t="s">
        <v>93</v>
      </c>
      <c r="B1156" s="749">
        <v>2023</v>
      </c>
      <c r="C1156" s="561" t="s">
        <v>3691</v>
      </c>
      <c r="D1156" s="561" t="s">
        <v>3642</v>
      </c>
      <c r="E1156" s="561" t="s">
        <v>3675</v>
      </c>
      <c r="F1156" s="735">
        <v>0</v>
      </c>
      <c r="G1156" s="749">
        <v>0</v>
      </c>
      <c r="H1156" s="749"/>
      <c r="I1156" s="733"/>
      <c r="J1156" s="733"/>
      <c r="K1156" s="735">
        <v>0</v>
      </c>
      <c r="L1156" s="750">
        <v>0</v>
      </c>
    </row>
    <row r="1157" spans="1:12" x14ac:dyDescent="0.25">
      <c r="A1157" s="561" t="s">
        <v>93</v>
      </c>
      <c r="B1157" s="749">
        <v>2023</v>
      </c>
      <c r="C1157" s="561" t="s">
        <v>651</v>
      </c>
      <c r="D1157" s="561" t="s">
        <v>1503</v>
      </c>
      <c r="E1157" s="561" t="s">
        <v>653</v>
      </c>
      <c r="F1157" s="735">
        <v>0</v>
      </c>
      <c r="G1157" s="749">
        <v>0</v>
      </c>
      <c r="H1157" s="749"/>
      <c r="I1157" s="733"/>
      <c r="J1157" s="733"/>
      <c r="K1157" s="735">
        <v>0</v>
      </c>
      <c r="L1157" s="750">
        <v>0</v>
      </c>
    </row>
    <row r="1158" spans="1:12" ht="31.5" x14ac:dyDescent="0.25">
      <c r="A1158" s="561" t="s">
        <v>93</v>
      </c>
      <c r="B1158" s="749">
        <v>2023</v>
      </c>
      <c r="C1158" s="561" t="s">
        <v>654</v>
      </c>
      <c r="D1158" s="561" t="s">
        <v>1504</v>
      </c>
      <c r="E1158" s="561" t="s">
        <v>445</v>
      </c>
      <c r="F1158" s="735">
        <v>0</v>
      </c>
      <c r="G1158" s="749">
        <v>0</v>
      </c>
      <c r="H1158" s="749"/>
      <c r="I1158" s="733"/>
      <c r="J1158" s="733"/>
      <c r="K1158" s="735">
        <v>0</v>
      </c>
      <c r="L1158" s="750">
        <v>0</v>
      </c>
    </row>
    <row r="1159" spans="1:12" ht="21" x14ac:dyDescent="0.25">
      <c r="A1159" s="561" t="s">
        <v>93</v>
      </c>
      <c r="B1159" s="749">
        <v>2023</v>
      </c>
      <c r="C1159" s="561" t="s">
        <v>656</v>
      </c>
      <c r="D1159" s="561" t="s">
        <v>1505</v>
      </c>
      <c r="E1159" s="561" t="s">
        <v>658</v>
      </c>
      <c r="F1159" s="735">
        <v>0</v>
      </c>
      <c r="G1159" s="749">
        <v>0</v>
      </c>
      <c r="H1159" s="749"/>
      <c r="I1159" s="733"/>
      <c r="J1159" s="733"/>
      <c r="K1159" s="735">
        <v>0</v>
      </c>
      <c r="L1159" s="750">
        <v>0</v>
      </c>
    </row>
    <row r="1160" spans="1:12" ht="21" x14ac:dyDescent="0.25">
      <c r="A1160" s="561" t="s">
        <v>93</v>
      </c>
      <c r="B1160" s="749">
        <v>2023</v>
      </c>
      <c r="C1160" s="561" t="s">
        <v>659</v>
      </c>
      <c r="D1160" s="561" t="s">
        <v>1506</v>
      </c>
      <c r="E1160" s="561" t="s">
        <v>661</v>
      </c>
      <c r="F1160" s="735">
        <v>0</v>
      </c>
      <c r="G1160" s="749">
        <v>0</v>
      </c>
      <c r="H1160" s="749"/>
      <c r="I1160" s="733"/>
      <c r="J1160" s="733"/>
      <c r="K1160" s="735">
        <v>0</v>
      </c>
      <c r="L1160" s="750">
        <v>0</v>
      </c>
    </row>
    <row r="1161" spans="1:12" ht="21" x14ac:dyDescent="0.25">
      <c r="A1161" s="561" t="s">
        <v>93</v>
      </c>
      <c r="B1161" s="749">
        <v>2023</v>
      </c>
      <c r="C1161" s="561" t="s">
        <v>662</v>
      </c>
      <c r="D1161" s="561" t="s">
        <v>1507</v>
      </c>
      <c r="E1161" s="561" t="s">
        <v>664</v>
      </c>
      <c r="F1161" s="735">
        <v>0</v>
      </c>
      <c r="G1161" s="749">
        <v>0</v>
      </c>
      <c r="H1161" s="749"/>
      <c r="I1161" s="733"/>
      <c r="J1161" s="733"/>
      <c r="K1161" s="735">
        <v>0</v>
      </c>
      <c r="L1161" s="750">
        <v>0</v>
      </c>
    </row>
    <row r="1162" spans="1:12" ht="31.5" x14ac:dyDescent="0.25">
      <c r="A1162" s="561" t="s">
        <v>93</v>
      </c>
      <c r="B1162" s="749">
        <v>2023</v>
      </c>
      <c r="C1162" s="561" t="s">
        <v>665</v>
      </c>
      <c r="D1162" s="561" t="s">
        <v>1508</v>
      </c>
      <c r="E1162" s="561" t="s">
        <v>667</v>
      </c>
      <c r="F1162" s="735">
        <v>0</v>
      </c>
      <c r="G1162" s="749">
        <v>0</v>
      </c>
      <c r="H1162" s="749"/>
      <c r="I1162" s="733"/>
      <c r="J1162" s="733"/>
      <c r="K1162" s="735">
        <v>0</v>
      </c>
      <c r="L1162" s="750">
        <v>0</v>
      </c>
    </row>
    <row r="1163" spans="1:12" ht="21" x14ac:dyDescent="0.25">
      <c r="A1163" s="561" t="s">
        <v>93</v>
      </c>
      <c r="B1163" s="749">
        <v>2023</v>
      </c>
      <c r="C1163" s="561" t="s">
        <v>668</v>
      </c>
      <c r="D1163" s="561" t="s">
        <v>1509</v>
      </c>
      <c r="E1163" s="561" t="s">
        <v>12</v>
      </c>
      <c r="F1163" s="735">
        <v>0</v>
      </c>
      <c r="G1163" s="749">
        <v>0</v>
      </c>
      <c r="H1163" s="749"/>
      <c r="I1163" s="733"/>
      <c r="J1163" s="733"/>
      <c r="K1163" s="735">
        <v>0</v>
      </c>
      <c r="L1163" s="750">
        <v>0</v>
      </c>
    </row>
    <row r="1164" spans="1:12" ht="21" x14ac:dyDescent="0.25">
      <c r="A1164" s="561" t="s">
        <v>93</v>
      </c>
      <c r="B1164" s="749">
        <v>2023</v>
      </c>
      <c r="C1164" s="561" t="s">
        <v>670</v>
      </c>
      <c r="D1164" s="561" t="s">
        <v>1510</v>
      </c>
      <c r="E1164" s="561" t="s">
        <v>13</v>
      </c>
      <c r="F1164" s="735">
        <v>0</v>
      </c>
      <c r="G1164" s="749">
        <v>0</v>
      </c>
      <c r="H1164" s="749"/>
      <c r="I1164" s="733"/>
      <c r="J1164" s="733"/>
      <c r="K1164" s="735">
        <v>0</v>
      </c>
      <c r="L1164" s="750">
        <v>0</v>
      </c>
    </row>
    <row r="1165" spans="1:12" ht="21" x14ac:dyDescent="0.25">
      <c r="A1165" s="561" t="s">
        <v>93</v>
      </c>
      <c r="B1165" s="749">
        <v>2023</v>
      </c>
      <c r="C1165" s="561" t="s">
        <v>672</v>
      </c>
      <c r="D1165" s="561" t="s">
        <v>1511</v>
      </c>
      <c r="E1165" s="561" t="s">
        <v>15</v>
      </c>
      <c r="F1165" s="735">
        <v>0</v>
      </c>
      <c r="G1165" s="749">
        <v>0</v>
      </c>
      <c r="H1165" s="749"/>
      <c r="I1165" s="733"/>
      <c r="J1165" s="733"/>
      <c r="K1165" s="735">
        <v>0</v>
      </c>
      <c r="L1165" s="750">
        <v>0</v>
      </c>
    </row>
    <row r="1166" spans="1:12" x14ac:dyDescent="0.25">
      <c r="A1166" s="561" t="s">
        <v>93</v>
      </c>
      <c r="B1166" s="749">
        <v>2023</v>
      </c>
      <c r="C1166" s="561" t="s">
        <v>674</v>
      </c>
      <c r="D1166" s="561" t="s">
        <v>1512</v>
      </c>
      <c r="E1166" s="561" t="s">
        <v>676</v>
      </c>
      <c r="F1166" s="735">
        <v>0</v>
      </c>
      <c r="G1166" s="749">
        <v>0</v>
      </c>
      <c r="H1166" s="749"/>
      <c r="I1166" s="733"/>
      <c r="J1166" s="733"/>
      <c r="K1166" s="735">
        <v>0</v>
      </c>
      <c r="L1166" s="750">
        <v>0</v>
      </c>
    </row>
    <row r="1167" spans="1:12" x14ac:dyDescent="0.25">
      <c r="A1167" s="561" t="s">
        <v>93</v>
      </c>
      <c r="B1167" s="749">
        <v>2023</v>
      </c>
      <c r="C1167" s="561" t="s">
        <v>677</v>
      </c>
      <c r="D1167" s="561" t="s">
        <v>1513</v>
      </c>
      <c r="E1167" s="561" t="s">
        <v>23</v>
      </c>
      <c r="F1167" s="735">
        <v>460570.54</v>
      </c>
      <c r="G1167" s="749">
        <v>1</v>
      </c>
      <c r="H1167" s="749"/>
      <c r="I1167" s="735">
        <v>437681.49</v>
      </c>
      <c r="J1167" s="735">
        <v>22889.05</v>
      </c>
      <c r="K1167" s="735">
        <v>460570.54</v>
      </c>
      <c r="L1167" s="750">
        <v>460570.54</v>
      </c>
    </row>
    <row r="1168" spans="1:12" ht="21" x14ac:dyDescent="0.25">
      <c r="A1168" s="561" t="s">
        <v>93</v>
      </c>
      <c r="B1168" s="749">
        <v>2023</v>
      </c>
      <c r="C1168" s="561" t="s">
        <v>679</v>
      </c>
      <c r="D1168" s="561" t="s">
        <v>1514</v>
      </c>
      <c r="E1168" s="561" t="s">
        <v>131</v>
      </c>
      <c r="F1168" s="735">
        <v>-80574.86</v>
      </c>
      <c r="G1168" s="749">
        <v>1</v>
      </c>
      <c r="H1168" s="749"/>
      <c r="I1168" s="735">
        <v>-79518.490000000005</v>
      </c>
      <c r="J1168" s="735">
        <v>-1056.3699999999999</v>
      </c>
      <c r="K1168" s="735">
        <v>-80574.86</v>
      </c>
      <c r="L1168" s="750">
        <v>-80574.86</v>
      </c>
    </row>
    <row r="1169" spans="1:12" ht="31.5" x14ac:dyDescent="0.25">
      <c r="A1169" s="561" t="s">
        <v>93</v>
      </c>
      <c r="B1169" s="749">
        <v>2023</v>
      </c>
      <c r="C1169" s="561" t="s">
        <v>681</v>
      </c>
      <c r="D1169" s="561" t="s">
        <v>1515</v>
      </c>
      <c r="E1169" s="561" t="s">
        <v>683</v>
      </c>
      <c r="F1169" s="735">
        <v>0</v>
      </c>
      <c r="G1169" s="749">
        <v>0</v>
      </c>
      <c r="H1169" s="749"/>
      <c r="I1169" s="733"/>
      <c r="J1169" s="733"/>
      <c r="K1169" s="735">
        <v>0</v>
      </c>
      <c r="L1169" s="750">
        <v>0</v>
      </c>
    </row>
    <row r="1170" spans="1:12" ht="21" x14ac:dyDescent="0.25">
      <c r="A1170" s="561" t="s">
        <v>93</v>
      </c>
      <c r="B1170" s="749">
        <v>2023</v>
      </c>
      <c r="C1170" s="561" t="s">
        <v>681</v>
      </c>
      <c r="D1170" s="561" t="s">
        <v>1515</v>
      </c>
      <c r="E1170" s="561" t="s">
        <v>684</v>
      </c>
      <c r="F1170" s="735">
        <v>0</v>
      </c>
      <c r="G1170" s="749">
        <v>0</v>
      </c>
      <c r="H1170" s="749"/>
      <c r="I1170" s="733"/>
      <c r="J1170" s="733"/>
      <c r="K1170" s="735">
        <v>0</v>
      </c>
      <c r="L1170" s="751">
        <v>0</v>
      </c>
    </row>
    <row r="1171" spans="1:12" x14ac:dyDescent="0.25">
      <c r="A1171" s="561" t="s">
        <v>93</v>
      </c>
      <c r="B1171" s="749">
        <v>2023</v>
      </c>
      <c r="C1171" s="561" t="s">
        <v>685</v>
      </c>
      <c r="D1171" s="561" t="s">
        <v>1516</v>
      </c>
      <c r="E1171" s="561" t="s">
        <v>687</v>
      </c>
      <c r="F1171" s="735">
        <v>0</v>
      </c>
      <c r="G1171" s="749">
        <v>0</v>
      </c>
      <c r="H1171" s="749"/>
      <c r="I1171" s="733"/>
      <c r="J1171" s="733"/>
      <c r="K1171" s="735">
        <v>0</v>
      </c>
      <c r="L1171" s="750">
        <v>0</v>
      </c>
    </row>
    <row r="1172" spans="1:12" x14ac:dyDescent="0.25">
      <c r="A1172" s="561" t="s">
        <v>93</v>
      </c>
      <c r="B1172" s="749">
        <v>2023</v>
      </c>
      <c r="C1172" s="561" t="s">
        <v>688</v>
      </c>
      <c r="D1172" s="561" t="s">
        <v>1517</v>
      </c>
      <c r="E1172" s="561" t="s">
        <v>50</v>
      </c>
      <c r="F1172" s="735">
        <v>160949.91</v>
      </c>
      <c r="G1172" s="749">
        <v>0</v>
      </c>
      <c r="H1172" s="749"/>
      <c r="I1172" s="733"/>
      <c r="J1172" s="733"/>
      <c r="K1172" s="735">
        <v>0</v>
      </c>
      <c r="L1172" s="750">
        <v>160949.91</v>
      </c>
    </row>
    <row r="1173" spans="1:12" x14ac:dyDescent="0.25">
      <c r="A1173" s="561" t="s">
        <v>93</v>
      </c>
      <c r="B1173" s="749">
        <v>2023</v>
      </c>
      <c r="C1173" s="561" t="s">
        <v>690</v>
      </c>
      <c r="D1173" s="561" t="s">
        <v>1518</v>
      </c>
      <c r="E1173" s="561" t="s">
        <v>692</v>
      </c>
      <c r="F1173" s="735">
        <v>0</v>
      </c>
      <c r="G1173" s="749">
        <v>0</v>
      </c>
      <c r="H1173" s="749"/>
      <c r="I1173" s="733"/>
      <c r="J1173" s="733"/>
      <c r="K1173" s="735">
        <v>0</v>
      </c>
      <c r="L1173" s="750">
        <v>0</v>
      </c>
    </row>
    <row r="1174" spans="1:12" ht="21" x14ac:dyDescent="0.25">
      <c r="A1174" s="561" t="s">
        <v>93</v>
      </c>
      <c r="B1174" s="749">
        <v>2023</v>
      </c>
      <c r="C1174" s="561" t="s">
        <v>693</v>
      </c>
      <c r="D1174" s="561" t="s">
        <v>1519</v>
      </c>
      <c r="E1174" s="561" t="s">
        <v>6</v>
      </c>
      <c r="F1174" s="735">
        <v>0</v>
      </c>
      <c r="G1174" s="749">
        <v>0</v>
      </c>
      <c r="H1174" s="749"/>
      <c r="I1174" s="733"/>
      <c r="J1174" s="733"/>
      <c r="K1174" s="735">
        <v>0</v>
      </c>
      <c r="L1174" s="750">
        <v>0</v>
      </c>
    </row>
    <row r="1175" spans="1:12" ht="21" x14ac:dyDescent="0.25">
      <c r="A1175" s="561" t="s">
        <v>93</v>
      </c>
      <c r="B1175" s="749">
        <v>2023</v>
      </c>
      <c r="C1175" s="561" t="s">
        <v>695</v>
      </c>
      <c r="D1175" s="561" t="s">
        <v>1520</v>
      </c>
      <c r="E1175" s="561" t="s">
        <v>697</v>
      </c>
      <c r="F1175" s="735">
        <v>0</v>
      </c>
      <c r="G1175" s="749">
        <v>0</v>
      </c>
      <c r="H1175" s="749"/>
      <c r="I1175" s="733"/>
      <c r="J1175" s="733"/>
      <c r="K1175" s="735">
        <v>0</v>
      </c>
      <c r="L1175" s="750">
        <v>0</v>
      </c>
    </row>
    <row r="1176" spans="1:12" x14ac:dyDescent="0.25">
      <c r="A1176" s="561" t="s">
        <v>93</v>
      </c>
      <c r="B1176" s="749">
        <v>2023</v>
      </c>
      <c r="C1176" s="561" t="s">
        <v>698</v>
      </c>
      <c r="D1176" s="561" t="s">
        <v>1521</v>
      </c>
      <c r="E1176" s="561" t="s">
        <v>700</v>
      </c>
      <c r="F1176" s="735">
        <v>0</v>
      </c>
      <c r="G1176" s="749">
        <v>0</v>
      </c>
      <c r="H1176" s="749"/>
      <c r="I1176" s="733"/>
      <c r="J1176" s="733"/>
      <c r="K1176" s="735">
        <v>0</v>
      </c>
      <c r="L1176" s="750">
        <v>0</v>
      </c>
    </row>
    <row r="1177" spans="1:12" ht="21" x14ac:dyDescent="0.25">
      <c r="A1177" s="561" t="s">
        <v>93</v>
      </c>
      <c r="B1177" s="749">
        <v>2023</v>
      </c>
      <c r="C1177" s="561" t="s">
        <v>701</v>
      </c>
      <c r="D1177" s="561" t="s">
        <v>1522</v>
      </c>
      <c r="E1177" s="561" t="s">
        <v>1</v>
      </c>
      <c r="F1177" s="735">
        <v>1252827.83</v>
      </c>
      <c r="G1177" s="749">
        <v>1</v>
      </c>
      <c r="H1177" s="749"/>
      <c r="I1177" s="735">
        <v>1236882.49</v>
      </c>
      <c r="J1177" s="735">
        <v>15945.34</v>
      </c>
      <c r="K1177" s="735">
        <v>1252827.83</v>
      </c>
      <c r="L1177" s="750">
        <v>1252827.83</v>
      </c>
    </row>
    <row r="1178" spans="1:12" ht="21" x14ac:dyDescent="0.25">
      <c r="A1178" s="561" t="s">
        <v>93</v>
      </c>
      <c r="B1178" s="749">
        <v>2023</v>
      </c>
      <c r="C1178" s="561" t="s">
        <v>701</v>
      </c>
      <c r="D1178" s="561" t="s">
        <v>1522</v>
      </c>
      <c r="E1178" s="561" t="s">
        <v>703</v>
      </c>
      <c r="F1178" s="735">
        <v>0</v>
      </c>
      <c r="G1178" s="749">
        <v>0</v>
      </c>
      <c r="H1178" s="749"/>
      <c r="I1178" s="733"/>
      <c r="J1178" s="733"/>
      <c r="K1178" s="735">
        <v>0</v>
      </c>
      <c r="L1178" s="751">
        <v>0</v>
      </c>
    </row>
    <row r="1179" spans="1:12" ht="21" x14ac:dyDescent="0.25">
      <c r="A1179" s="561" t="s">
        <v>93</v>
      </c>
      <c r="B1179" s="749">
        <v>2023</v>
      </c>
      <c r="C1179" s="561" t="s">
        <v>701</v>
      </c>
      <c r="D1179" s="561" t="s">
        <v>1522</v>
      </c>
      <c r="E1179" s="561" t="s">
        <v>704</v>
      </c>
      <c r="F1179" s="735">
        <v>0</v>
      </c>
      <c r="G1179" s="749">
        <v>0</v>
      </c>
      <c r="H1179" s="749"/>
      <c r="I1179" s="733"/>
      <c r="J1179" s="733"/>
      <c r="K1179" s="735">
        <v>0</v>
      </c>
      <c r="L1179" s="751">
        <v>0</v>
      </c>
    </row>
    <row r="1180" spans="1:12" ht="21" x14ac:dyDescent="0.25">
      <c r="A1180" s="561" t="s">
        <v>93</v>
      </c>
      <c r="B1180" s="749">
        <v>2023</v>
      </c>
      <c r="C1180" s="561" t="s">
        <v>701</v>
      </c>
      <c r="D1180" s="561" t="s">
        <v>1522</v>
      </c>
      <c r="E1180" s="561" t="s">
        <v>705</v>
      </c>
      <c r="F1180" s="735">
        <v>0</v>
      </c>
      <c r="G1180" s="749">
        <v>0</v>
      </c>
      <c r="H1180" s="749"/>
      <c r="I1180" s="733"/>
      <c r="J1180" s="733"/>
      <c r="K1180" s="735">
        <v>0</v>
      </c>
      <c r="L1180" s="751">
        <v>-2431</v>
      </c>
    </row>
    <row r="1181" spans="1:12" ht="21" x14ac:dyDescent="0.25">
      <c r="A1181" s="561" t="s">
        <v>93</v>
      </c>
      <c r="B1181" s="749">
        <v>2023</v>
      </c>
      <c r="C1181" s="561" t="s">
        <v>701</v>
      </c>
      <c r="D1181" s="561" t="s">
        <v>1522</v>
      </c>
      <c r="E1181" s="561" t="s">
        <v>706</v>
      </c>
      <c r="F1181" s="735">
        <v>0</v>
      </c>
      <c r="G1181" s="749">
        <v>0</v>
      </c>
      <c r="H1181" s="749"/>
      <c r="I1181" s="733"/>
      <c r="J1181" s="733"/>
      <c r="K1181" s="735">
        <v>0</v>
      </c>
      <c r="L1181" s="751">
        <v>-106628</v>
      </c>
    </row>
    <row r="1182" spans="1:12" x14ac:dyDescent="0.25">
      <c r="A1182" s="561" t="s">
        <v>93</v>
      </c>
      <c r="B1182" s="749">
        <v>2023</v>
      </c>
      <c r="C1182" s="561" t="s">
        <v>707</v>
      </c>
      <c r="D1182" s="561" t="s">
        <v>1523</v>
      </c>
      <c r="E1182" s="561" t="s">
        <v>709</v>
      </c>
      <c r="F1182" s="735">
        <v>0</v>
      </c>
      <c r="G1182" s="749">
        <v>0</v>
      </c>
      <c r="H1182" s="749"/>
      <c r="I1182" s="733"/>
      <c r="J1182" s="733"/>
      <c r="K1182" s="735">
        <v>0</v>
      </c>
      <c r="L1182" s="750">
        <v>0</v>
      </c>
    </row>
    <row r="1183" spans="1:12" ht="21" x14ac:dyDescent="0.25">
      <c r="A1183" s="561" t="s">
        <v>93</v>
      </c>
      <c r="B1183" s="749">
        <v>2023</v>
      </c>
      <c r="C1183" s="561" t="s">
        <v>710</v>
      </c>
      <c r="D1183" s="561" t="s">
        <v>1524</v>
      </c>
      <c r="E1183" s="561" t="s">
        <v>2</v>
      </c>
      <c r="F1183" s="735">
        <v>1207159.17</v>
      </c>
      <c r="G1183" s="749">
        <v>1</v>
      </c>
      <c r="H1183" s="749"/>
      <c r="I1183" s="735">
        <v>1181641.51</v>
      </c>
      <c r="J1183" s="735">
        <v>25517.66</v>
      </c>
      <c r="K1183" s="735">
        <v>1207159.17</v>
      </c>
      <c r="L1183" s="750">
        <v>1207159.17</v>
      </c>
    </row>
    <row r="1184" spans="1:12" ht="21" x14ac:dyDescent="0.25">
      <c r="A1184" s="561" t="s">
        <v>93</v>
      </c>
      <c r="B1184" s="749">
        <v>2023</v>
      </c>
      <c r="C1184" s="561" t="s">
        <v>712</v>
      </c>
      <c r="D1184" s="561" t="s">
        <v>1525</v>
      </c>
      <c r="E1184" s="561" t="s">
        <v>3</v>
      </c>
      <c r="F1184" s="735">
        <v>182601.58</v>
      </c>
      <c r="G1184" s="749">
        <v>1</v>
      </c>
      <c r="H1184" s="749"/>
      <c r="I1184" s="735">
        <v>176981.49</v>
      </c>
      <c r="J1184" s="735">
        <v>5620.09</v>
      </c>
      <c r="K1184" s="735">
        <v>182601.58</v>
      </c>
      <c r="L1184" s="750">
        <v>182601.58</v>
      </c>
    </row>
    <row r="1185" spans="1:12" ht="21" x14ac:dyDescent="0.25">
      <c r="A1185" s="561" t="s">
        <v>93</v>
      </c>
      <c r="B1185" s="749">
        <v>2023</v>
      </c>
      <c r="C1185" s="561" t="s">
        <v>714</v>
      </c>
      <c r="D1185" s="561" t="s">
        <v>1526</v>
      </c>
      <c r="E1185" s="561" t="s">
        <v>38</v>
      </c>
      <c r="F1185" s="735">
        <v>-112863.89</v>
      </c>
      <c r="G1185" s="749">
        <v>1</v>
      </c>
      <c r="H1185" s="749"/>
      <c r="I1185" s="735">
        <v>-64876.81</v>
      </c>
      <c r="J1185" s="735">
        <v>-47987.08</v>
      </c>
      <c r="K1185" s="735">
        <v>-112863.89</v>
      </c>
      <c r="L1185" s="750">
        <v>-112863.89</v>
      </c>
    </row>
    <row r="1186" spans="1:12" x14ac:dyDescent="0.25">
      <c r="A1186" s="561" t="s">
        <v>93</v>
      </c>
      <c r="B1186" s="749">
        <v>2023</v>
      </c>
      <c r="C1186" s="561" t="s">
        <v>716</v>
      </c>
      <c r="D1186" s="561" t="s">
        <v>1527</v>
      </c>
      <c r="E1186" s="561" t="s">
        <v>66</v>
      </c>
      <c r="F1186" s="735">
        <v>35620.22</v>
      </c>
      <c r="G1186" s="749">
        <v>1</v>
      </c>
      <c r="H1186" s="749"/>
      <c r="I1186" s="735">
        <v>10375.09</v>
      </c>
      <c r="J1186" s="735">
        <v>25245.13</v>
      </c>
      <c r="K1186" s="735">
        <v>35620.22</v>
      </c>
      <c r="L1186" s="750">
        <v>35620.22</v>
      </c>
    </row>
    <row r="1187" spans="1:12" ht="21" x14ac:dyDescent="0.25">
      <c r="A1187" s="561" t="s">
        <v>93</v>
      </c>
      <c r="B1187" s="749">
        <v>2023</v>
      </c>
      <c r="C1187" s="561" t="s">
        <v>718</v>
      </c>
      <c r="D1187" s="561" t="s">
        <v>1528</v>
      </c>
      <c r="E1187" s="561" t="s">
        <v>720</v>
      </c>
      <c r="F1187" s="735">
        <v>0</v>
      </c>
      <c r="G1187" s="749">
        <v>0</v>
      </c>
      <c r="H1187" s="749"/>
      <c r="I1187" s="733"/>
      <c r="J1187" s="733"/>
      <c r="K1187" s="735">
        <v>0</v>
      </c>
      <c r="L1187" s="750">
        <v>0</v>
      </c>
    </row>
    <row r="1188" spans="1:12" ht="31.5" x14ac:dyDescent="0.25">
      <c r="A1188" s="561" t="s">
        <v>93</v>
      </c>
      <c r="B1188" s="749">
        <v>2023</v>
      </c>
      <c r="C1188" s="561" t="s">
        <v>721</v>
      </c>
      <c r="D1188" s="561" t="s">
        <v>1530</v>
      </c>
      <c r="E1188" s="561" t="s">
        <v>724</v>
      </c>
      <c r="F1188" s="735">
        <v>0</v>
      </c>
      <c r="G1188" s="749">
        <v>1</v>
      </c>
      <c r="H1188" s="749"/>
      <c r="I1188" s="733"/>
      <c r="J1188" s="733"/>
      <c r="K1188" s="735">
        <v>0</v>
      </c>
      <c r="L1188" s="750">
        <v>0</v>
      </c>
    </row>
    <row r="1189" spans="1:12" ht="31.5" x14ac:dyDescent="0.25">
      <c r="A1189" s="561" t="s">
        <v>93</v>
      </c>
      <c r="B1189" s="749">
        <v>2023</v>
      </c>
      <c r="C1189" s="561" t="s">
        <v>721</v>
      </c>
      <c r="D1189" s="561" t="s">
        <v>1531</v>
      </c>
      <c r="E1189" s="561" t="s">
        <v>55</v>
      </c>
      <c r="F1189" s="735">
        <v>0</v>
      </c>
      <c r="G1189" s="749">
        <v>1</v>
      </c>
      <c r="H1189" s="749"/>
      <c r="I1189" s="733"/>
      <c r="J1189" s="733"/>
      <c r="K1189" s="735">
        <v>0</v>
      </c>
      <c r="L1189" s="750">
        <v>0</v>
      </c>
    </row>
    <row r="1190" spans="1:12" ht="31.5" x14ac:dyDescent="0.25">
      <c r="A1190" s="561" t="s">
        <v>93</v>
      </c>
      <c r="B1190" s="749">
        <v>2023</v>
      </c>
      <c r="C1190" s="561" t="s">
        <v>721</v>
      </c>
      <c r="D1190" s="561" t="s">
        <v>1532</v>
      </c>
      <c r="E1190" s="561" t="s">
        <v>56</v>
      </c>
      <c r="F1190" s="735">
        <v>0</v>
      </c>
      <c r="G1190" s="749">
        <v>1</v>
      </c>
      <c r="H1190" s="749"/>
      <c r="I1190" s="733"/>
      <c r="J1190" s="733"/>
      <c r="K1190" s="735">
        <v>0</v>
      </c>
      <c r="L1190" s="750">
        <v>0</v>
      </c>
    </row>
    <row r="1191" spans="1:12" ht="31.5" x14ac:dyDescent="0.25">
      <c r="A1191" s="561" t="s">
        <v>93</v>
      </c>
      <c r="B1191" s="749">
        <v>2023</v>
      </c>
      <c r="C1191" s="561" t="s">
        <v>721</v>
      </c>
      <c r="D1191" s="561" t="s">
        <v>1533</v>
      </c>
      <c r="E1191" s="561" t="s">
        <v>728</v>
      </c>
      <c r="F1191" s="735">
        <v>0</v>
      </c>
      <c r="G1191" s="749">
        <v>1</v>
      </c>
      <c r="H1191" s="749"/>
      <c r="I1191" s="733"/>
      <c r="J1191" s="733"/>
      <c r="K1191" s="735">
        <v>0</v>
      </c>
      <c r="L1191" s="750">
        <v>0</v>
      </c>
    </row>
    <row r="1192" spans="1:12" ht="31.5" x14ac:dyDescent="0.25">
      <c r="A1192" s="561" t="s">
        <v>93</v>
      </c>
      <c r="B1192" s="749">
        <v>2023</v>
      </c>
      <c r="C1192" s="561" t="s">
        <v>721</v>
      </c>
      <c r="D1192" s="561" t="s">
        <v>1534</v>
      </c>
      <c r="E1192" s="561" t="s">
        <v>730</v>
      </c>
      <c r="F1192" s="735">
        <v>0</v>
      </c>
      <c r="G1192" s="749">
        <v>1</v>
      </c>
      <c r="H1192" s="749"/>
      <c r="I1192" s="733"/>
      <c r="J1192" s="733"/>
      <c r="K1192" s="735">
        <v>0</v>
      </c>
      <c r="L1192" s="750">
        <v>0</v>
      </c>
    </row>
    <row r="1193" spans="1:12" ht="31.5" x14ac:dyDescent="0.25">
      <c r="A1193" s="561" t="s">
        <v>93</v>
      </c>
      <c r="B1193" s="749">
        <v>2023</v>
      </c>
      <c r="C1193" s="561" t="s">
        <v>721</v>
      </c>
      <c r="D1193" s="561" t="s">
        <v>1535</v>
      </c>
      <c r="E1193" s="561" t="s">
        <v>142</v>
      </c>
      <c r="F1193" s="735">
        <v>0</v>
      </c>
      <c r="G1193" s="749">
        <v>1</v>
      </c>
      <c r="H1193" s="749"/>
      <c r="I1193" s="733"/>
      <c r="J1193" s="733"/>
      <c r="K1193" s="735">
        <v>0</v>
      </c>
      <c r="L1193" s="750">
        <v>0</v>
      </c>
    </row>
    <row r="1194" spans="1:12" ht="31.5" x14ac:dyDescent="0.25">
      <c r="A1194" s="561" t="s">
        <v>93</v>
      </c>
      <c r="B1194" s="749">
        <v>2023</v>
      </c>
      <c r="C1194" s="561" t="s">
        <v>721</v>
      </c>
      <c r="D1194" s="561" t="s">
        <v>1536</v>
      </c>
      <c r="E1194" s="561" t="s">
        <v>143</v>
      </c>
      <c r="F1194" s="735">
        <v>0</v>
      </c>
      <c r="G1194" s="749">
        <v>1</v>
      </c>
      <c r="H1194" s="749"/>
      <c r="I1194" s="733"/>
      <c r="J1194" s="733"/>
      <c r="K1194" s="735">
        <v>0</v>
      </c>
      <c r="L1194" s="750">
        <v>0</v>
      </c>
    </row>
    <row r="1195" spans="1:12" ht="31.5" x14ac:dyDescent="0.25">
      <c r="A1195" s="561" t="s">
        <v>93</v>
      </c>
      <c r="B1195" s="749">
        <v>2023</v>
      </c>
      <c r="C1195" s="561" t="s">
        <v>721</v>
      </c>
      <c r="D1195" s="561" t="s">
        <v>1537</v>
      </c>
      <c r="E1195" s="561" t="s">
        <v>182</v>
      </c>
      <c r="F1195" s="735">
        <v>0</v>
      </c>
      <c r="G1195" s="749">
        <v>1</v>
      </c>
      <c r="H1195" s="749"/>
      <c r="I1195" s="733"/>
      <c r="J1195" s="733"/>
      <c r="K1195" s="735">
        <v>0</v>
      </c>
      <c r="L1195" s="750">
        <v>0</v>
      </c>
    </row>
    <row r="1196" spans="1:12" ht="31.5" x14ac:dyDescent="0.25">
      <c r="A1196" s="561" t="s">
        <v>93</v>
      </c>
      <c r="B1196" s="749">
        <v>2023</v>
      </c>
      <c r="C1196" s="561" t="s">
        <v>721</v>
      </c>
      <c r="D1196" s="561" t="s">
        <v>1538</v>
      </c>
      <c r="E1196" s="561" t="s">
        <v>394</v>
      </c>
      <c r="F1196" s="735">
        <v>0</v>
      </c>
      <c r="G1196" s="749">
        <v>1</v>
      </c>
      <c r="H1196" s="749"/>
      <c r="I1196" s="735">
        <v>-27867</v>
      </c>
      <c r="J1196" s="735">
        <v>61497.33</v>
      </c>
      <c r="K1196" s="735">
        <v>33630.33</v>
      </c>
      <c r="L1196" s="750">
        <v>33630.33</v>
      </c>
    </row>
    <row r="1197" spans="1:12" ht="31.5" x14ac:dyDescent="0.25">
      <c r="A1197" s="561" t="s">
        <v>93</v>
      </c>
      <c r="B1197" s="749">
        <v>2023</v>
      </c>
      <c r="C1197" s="561" t="s">
        <v>721</v>
      </c>
      <c r="D1197" s="561" t="s">
        <v>1539</v>
      </c>
      <c r="E1197" s="561" t="s">
        <v>423</v>
      </c>
      <c r="F1197" s="735">
        <v>0</v>
      </c>
      <c r="G1197" s="749">
        <v>1</v>
      </c>
      <c r="H1197" s="749"/>
      <c r="I1197" s="733"/>
      <c r="J1197" s="733"/>
      <c r="K1197" s="735">
        <v>0</v>
      </c>
      <c r="L1197" s="750">
        <v>0</v>
      </c>
    </row>
    <row r="1198" spans="1:12" ht="31.5" x14ac:dyDescent="0.25">
      <c r="A1198" s="561" t="s">
        <v>93</v>
      </c>
      <c r="B1198" s="749">
        <v>2023</v>
      </c>
      <c r="C1198" s="561" t="s">
        <v>721</v>
      </c>
      <c r="D1198" s="561" t="s">
        <v>3217</v>
      </c>
      <c r="E1198" s="561" t="s">
        <v>441</v>
      </c>
      <c r="F1198" s="735">
        <v>0</v>
      </c>
      <c r="G1198" s="749">
        <v>1</v>
      </c>
      <c r="H1198" s="749"/>
      <c r="I1198" s="735">
        <v>-217813.42</v>
      </c>
      <c r="J1198" s="735">
        <v>194757.4</v>
      </c>
      <c r="K1198" s="735">
        <v>-23056.02</v>
      </c>
      <c r="L1198" s="750">
        <v>-23056.02</v>
      </c>
    </row>
    <row r="1199" spans="1:12" ht="31.5" x14ac:dyDescent="0.25">
      <c r="A1199" s="561" t="s">
        <v>93</v>
      </c>
      <c r="B1199" s="749">
        <v>2023</v>
      </c>
      <c r="C1199" s="561" t="s">
        <v>721</v>
      </c>
      <c r="D1199" s="561" t="s">
        <v>3525</v>
      </c>
      <c r="E1199" s="561" t="s">
        <v>3016</v>
      </c>
      <c r="F1199" s="735">
        <v>0</v>
      </c>
      <c r="G1199" s="749">
        <v>1</v>
      </c>
      <c r="H1199" s="749"/>
      <c r="I1199" s="735">
        <v>-28304.95</v>
      </c>
      <c r="J1199" s="735">
        <v>-21149.66</v>
      </c>
      <c r="K1199" s="735">
        <v>-49454.61</v>
      </c>
      <c r="L1199" s="750">
        <v>-49454.61</v>
      </c>
    </row>
    <row r="1200" spans="1:12" ht="31.5" x14ac:dyDescent="0.25">
      <c r="A1200" s="561" t="s">
        <v>93</v>
      </c>
      <c r="B1200" s="749">
        <v>2023</v>
      </c>
      <c r="C1200" s="561" t="s">
        <v>721</v>
      </c>
      <c r="D1200" s="561" t="s">
        <v>3526</v>
      </c>
      <c r="E1200" s="561" t="s">
        <v>3058</v>
      </c>
      <c r="F1200" s="735">
        <v>0</v>
      </c>
      <c r="G1200" s="749">
        <v>1</v>
      </c>
      <c r="H1200" s="749"/>
      <c r="I1200" s="733"/>
      <c r="J1200" s="733"/>
      <c r="K1200" s="735">
        <v>0</v>
      </c>
      <c r="L1200" s="750">
        <v>0</v>
      </c>
    </row>
    <row r="1201" spans="1:12" ht="31.5" x14ac:dyDescent="0.25">
      <c r="A1201" s="561" t="s">
        <v>93</v>
      </c>
      <c r="B1201" s="749">
        <v>2023</v>
      </c>
      <c r="C1201" s="561" t="s">
        <v>721</v>
      </c>
      <c r="D1201" s="561" t="s">
        <v>3527</v>
      </c>
      <c r="E1201" s="561" t="s">
        <v>3063</v>
      </c>
      <c r="F1201" s="735">
        <v>0</v>
      </c>
      <c r="G1201" s="749">
        <v>1</v>
      </c>
      <c r="H1201" s="749"/>
      <c r="I1201" s="735">
        <v>-926085.4</v>
      </c>
      <c r="J1201" s="735">
        <v>35502.51</v>
      </c>
      <c r="K1201" s="735">
        <v>-890582.89</v>
      </c>
      <c r="L1201" s="750">
        <v>-890582.89</v>
      </c>
    </row>
    <row r="1202" spans="1:12" ht="31.5" x14ac:dyDescent="0.25">
      <c r="A1202" s="561" t="s">
        <v>93</v>
      </c>
      <c r="B1202" s="749">
        <v>2023</v>
      </c>
      <c r="C1202" s="561" t="s">
        <v>721</v>
      </c>
      <c r="D1202" s="561" t="s">
        <v>3826</v>
      </c>
      <c r="E1202" s="561" t="s">
        <v>3425</v>
      </c>
      <c r="F1202" s="735">
        <v>0</v>
      </c>
      <c r="G1202" s="749">
        <v>1</v>
      </c>
      <c r="H1202" s="749"/>
      <c r="I1202" s="733"/>
      <c r="J1202" s="733"/>
      <c r="K1202" s="735">
        <v>0</v>
      </c>
      <c r="L1202" s="750">
        <v>0</v>
      </c>
    </row>
    <row r="1203" spans="1:12" ht="42" x14ac:dyDescent="0.25">
      <c r="A1203" s="561" t="s">
        <v>93</v>
      </c>
      <c r="B1203" s="749">
        <v>2023</v>
      </c>
      <c r="C1203" s="561" t="s">
        <v>721</v>
      </c>
      <c r="D1203" s="561" t="s">
        <v>3827</v>
      </c>
      <c r="E1203" s="561" t="s">
        <v>737</v>
      </c>
      <c r="F1203" s="735">
        <v>-929463.19</v>
      </c>
      <c r="G1203" s="749">
        <v>0</v>
      </c>
      <c r="H1203" s="749"/>
      <c r="I1203" s="733"/>
      <c r="J1203" s="733"/>
      <c r="K1203" s="735">
        <v>0</v>
      </c>
      <c r="L1203" s="750">
        <v>-929463.19</v>
      </c>
    </row>
    <row r="1204" spans="1:12" x14ac:dyDescent="0.25">
      <c r="A1204" s="561" t="s">
        <v>93</v>
      </c>
      <c r="B1204" s="749">
        <v>2023</v>
      </c>
      <c r="C1204" s="561" t="s">
        <v>738</v>
      </c>
      <c r="D1204" s="561" t="s">
        <v>1541</v>
      </c>
      <c r="E1204" s="561" t="s">
        <v>7</v>
      </c>
      <c r="F1204" s="735">
        <v>-40562.559999999998</v>
      </c>
      <c r="G1204" s="749">
        <v>0</v>
      </c>
      <c r="H1204" s="749"/>
      <c r="I1204" s="733"/>
      <c r="J1204" s="733"/>
      <c r="K1204" s="735">
        <v>0</v>
      </c>
      <c r="L1204" s="750">
        <v>-40562.559999999998</v>
      </c>
    </row>
    <row r="1205" spans="1:12" x14ac:dyDescent="0.25">
      <c r="A1205" s="561" t="s">
        <v>3460</v>
      </c>
      <c r="B1205" s="749">
        <v>2023</v>
      </c>
      <c r="C1205" s="561" t="s">
        <v>647</v>
      </c>
      <c r="D1205" s="561" t="s">
        <v>3219</v>
      </c>
      <c r="E1205" s="561" t="s">
        <v>649</v>
      </c>
      <c r="F1205" s="735">
        <v>-11373.81</v>
      </c>
      <c r="G1205" s="749">
        <v>0</v>
      </c>
      <c r="H1205" s="749"/>
      <c r="I1205" s="733"/>
      <c r="J1205" s="733"/>
      <c r="K1205" s="735">
        <v>0</v>
      </c>
      <c r="L1205" s="750">
        <v>-11373.81</v>
      </c>
    </row>
    <row r="1206" spans="1:12" ht="21" x14ac:dyDescent="0.25">
      <c r="A1206" s="561" t="s">
        <v>3460</v>
      </c>
      <c r="B1206" s="749">
        <v>2023</v>
      </c>
      <c r="C1206" s="561" t="s">
        <v>3691</v>
      </c>
      <c r="D1206" s="561" t="s">
        <v>3643</v>
      </c>
      <c r="E1206" s="561" t="s">
        <v>3675</v>
      </c>
      <c r="F1206" s="735">
        <v>0</v>
      </c>
      <c r="G1206" s="749">
        <v>0</v>
      </c>
      <c r="H1206" s="749"/>
      <c r="I1206" s="733"/>
      <c r="J1206" s="733"/>
      <c r="K1206" s="735">
        <v>0</v>
      </c>
      <c r="L1206" s="750">
        <v>0</v>
      </c>
    </row>
    <row r="1207" spans="1:12" x14ac:dyDescent="0.25">
      <c r="A1207" s="561" t="s">
        <v>3460</v>
      </c>
      <c r="B1207" s="749">
        <v>2023</v>
      </c>
      <c r="C1207" s="561" t="s">
        <v>651</v>
      </c>
      <c r="D1207" s="561" t="s">
        <v>3220</v>
      </c>
      <c r="E1207" s="561" t="s">
        <v>653</v>
      </c>
      <c r="F1207" s="735">
        <v>0</v>
      </c>
      <c r="G1207" s="749">
        <v>0</v>
      </c>
      <c r="H1207" s="749"/>
      <c r="I1207" s="733"/>
      <c r="J1207" s="733"/>
      <c r="K1207" s="735">
        <v>0</v>
      </c>
      <c r="L1207" s="750">
        <v>0</v>
      </c>
    </row>
    <row r="1208" spans="1:12" ht="31.5" x14ac:dyDescent="0.25">
      <c r="A1208" s="561" t="s">
        <v>3460</v>
      </c>
      <c r="B1208" s="749">
        <v>2023</v>
      </c>
      <c r="C1208" s="561" t="s">
        <v>654</v>
      </c>
      <c r="D1208" s="561" t="s">
        <v>3221</v>
      </c>
      <c r="E1208" s="561" t="s">
        <v>445</v>
      </c>
      <c r="F1208" s="735">
        <v>0</v>
      </c>
      <c r="G1208" s="749">
        <v>0</v>
      </c>
      <c r="H1208" s="749"/>
      <c r="I1208" s="733"/>
      <c r="J1208" s="733"/>
      <c r="K1208" s="735">
        <v>0</v>
      </c>
      <c r="L1208" s="750">
        <v>0</v>
      </c>
    </row>
    <row r="1209" spans="1:12" ht="21" x14ac:dyDescent="0.25">
      <c r="A1209" s="561" t="s">
        <v>3460</v>
      </c>
      <c r="B1209" s="749">
        <v>2023</v>
      </c>
      <c r="C1209" s="561" t="s">
        <v>656</v>
      </c>
      <c r="D1209" s="561" t="s">
        <v>3222</v>
      </c>
      <c r="E1209" s="561" t="s">
        <v>658</v>
      </c>
      <c r="F1209" s="735">
        <v>0</v>
      </c>
      <c r="G1209" s="749">
        <v>0</v>
      </c>
      <c r="H1209" s="749"/>
      <c r="I1209" s="733"/>
      <c r="J1209" s="733"/>
      <c r="K1209" s="735">
        <v>0</v>
      </c>
      <c r="L1209" s="750">
        <v>0</v>
      </c>
    </row>
    <row r="1210" spans="1:12" ht="21" x14ac:dyDescent="0.25">
      <c r="A1210" s="561" t="s">
        <v>3460</v>
      </c>
      <c r="B1210" s="749">
        <v>2023</v>
      </c>
      <c r="C1210" s="561" t="s">
        <v>659</v>
      </c>
      <c r="D1210" s="561" t="s">
        <v>3223</v>
      </c>
      <c r="E1210" s="561" t="s">
        <v>661</v>
      </c>
      <c r="F1210" s="735">
        <v>0</v>
      </c>
      <c r="G1210" s="749">
        <v>0</v>
      </c>
      <c r="H1210" s="749"/>
      <c r="I1210" s="733"/>
      <c r="J1210" s="733"/>
      <c r="K1210" s="735">
        <v>0</v>
      </c>
      <c r="L1210" s="750">
        <v>0</v>
      </c>
    </row>
    <row r="1211" spans="1:12" ht="21" x14ac:dyDescent="0.25">
      <c r="A1211" s="561" t="s">
        <v>3460</v>
      </c>
      <c r="B1211" s="749">
        <v>2023</v>
      </c>
      <c r="C1211" s="561" t="s">
        <v>662</v>
      </c>
      <c r="D1211" s="561" t="s">
        <v>3224</v>
      </c>
      <c r="E1211" s="561" t="s">
        <v>664</v>
      </c>
      <c r="F1211" s="735">
        <v>0</v>
      </c>
      <c r="G1211" s="749">
        <v>0</v>
      </c>
      <c r="H1211" s="749"/>
      <c r="I1211" s="733"/>
      <c r="J1211" s="733"/>
      <c r="K1211" s="735">
        <v>0</v>
      </c>
      <c r="L1211" s="750">
        <v>0</v>
      </c>
    </row>
    <row r="1212" spans="1:12" ht="31.5" x14ac:dyDescent="0.25">
      <c r="A1212" s="561" t="s">
        <v>3460</v>
      </c>
      <c r="B1212" s="749">
        <v>2023</v>
      </c>
      <c r="C1212" s="561" t="s">
        <v>665</v>
      </c>
      <c r="D1212" s="561" t="s">
        <v>3225</v>
      </c>
      <c r="E1212" s="561" t="s">
        <v>667</v>
      </c>
      <c r="F1212" s="735">
        <v>0</v>
      </c>
      <c r="G1212" s="749">
        <v>0</v>
      </c>
      <c r="H1212" s="749"/>
      <c r="I1212" s="733"/>
      <c r="J1212" s="733"/>
      <c r="K1212" s="735">
        <v>0</v>
      </c>
      <c r="L1212" s="750">
        <v>0</v>
      </c>
    </row>
    <row r="1213" spans="1:12" ht="21" x14ac:dyDescent="0.25">
      <c r="A1213" s="561" t="s">
        <v>3460</v>
      </c>
      <c r="B1213" s="749">
        <v>2023</v>
      </c>
      <c r="C1213" s="561" t="s">
        <v>668</v>
      </c>
      <c r="D1213" s="561" t="s">
        <v>3226</v>
      </c>
      <c r="E1213" s="561" t="s">
        <v>12</v>
      </c>
      <c r="F1213" s="735">
        <v>0</v>
      </c>
      <c r="G1213" s="749">
        <v>0</v>
      </c>
      <c r="H1213" s="749"/>
      <c r="I1213" s="733"/>
      <c r="J1213" s="733"/>
      <c r="K1213" s="735">
        <v>0</v>
      </c>
      <c r="L1213" s="750">
        <v>0</v>
      </c>
    </row>
    <row r="1214" spans="1:12" ht="21" x14ac:dyDescent="0.25">
      <c r="A1214" s="561" t="s">
        <v>3460</v>
      </c>
      <c r="B1214" s="749">
        <v>2023</v>
      </c>
      <c r="C1214" s="561" t="s">
        <v>670</v>
      </c>
      <c r="D1214" s="561" t="s">
        <v>3227</v>
      </c>
      <c r="E1214" s="561" t="s">
        <v>13</v>
      </c>
      <c r="F1214" s="735">
        <v>0</v>
      </c>
      <c r="G1214" s="749">
        <v>0</v>
      </c>
      <c r="H1214" s="749"/>
      <c r="I1214" s="733"/>
      <c r="J1214" s="733"/>
      <c r="K1214" s="735">
        <v>0</v>
      </c>
      <c r="L1214" s="750">
        <v>0</v>
      </c>
    </row>
    <row r="1215" spans="1:12" ht="21" x14ac:dyDescent="0.25">
      <c r="A1215" s="561" t="s">
        <v>3460</v>
      </c>
      <c r="B1215" s="749">
        <v>2023</v>
      </c>
      <c r="C1215" s="561" t="s">
        <v>672</v>
      </c>
      <c r="D1215" s="561" t="s">
        <v>3228</v>
      </c>
      <c r="E1215" s="561" t="s">
        <v>15</v>
      </c>
      <c r="F1215" s="735">
        <v>0</v>
      </c>
      <c r="G1215" s="749">
        <v>0</v>
      </c>
      <c r="H1215" s="749"/>
      <c r="I1215" s="733"/>
      <c r="J1215" s="733"/>
      <c r="K1215" s="735">
        <v>0</v>
      </c>
      <c r="L1215" s="750">
        <v>0</v>
      </c>
    </row>
    <row r="1216" spans="1:12" x14ac:dyDescent="0.25">
      <c r="A1216" s="561" t="s">
        <v>3460</v>
      </c>
      <c r="B1216" s="749">
        <v>2023</v>
      </c>
      <c r="C1216" s="561" t="s">
        <v>674</v>
      </c>
      <c r="D1216" s="561" t="s">
        <v>3229</v>
      </c>
      <c r="E1216" s="561" t="s">
        <v>676</v>
      </c>
      <c r="F1216" s="735">
        <v>0</v>
      </c>
      <c r="G1216" s="749">
        <v>0</v>
      </c>
      <c r="H1216" s="749"/>
      <c r="I1216" s="733"/>
      <c r="J1216" s="733"/>
      <c r="K1216" s="735">
        <v>0</v>
      </c>
      <c r="L1216" s="750">
        <v>0</v>
      </c>
    </row>
    <row r="1217" spans="1:12" x14ac:dyDescent="0.25">
      <c r="A1217" s="561" t="s">
        <v>3460</v>
      </c>
      <c r="B1217" s="749">
        <v>2023</v>
      </c>
      <c r="C1217" s="561" t="s">
        <v>677</v>
      </c>
      <c r="D1217" s="561" t="s">
        <v>3230</v>
      </c>
      <c r="E1217" s="561" t="s">
        <v>23</v>
      </c>
      <c r="F1217" s="735">
        <v>185799.54</v>
      </c>
      <c r="G1217" s="749">
        <v>1</v>
      </c>
      <c r="H1217" s="749"/>
      <c r="I1217" s="735">
        <v>185261.66</v>
      </c>
      <c r="J1217" s="735">
        <v>537.88</v>
      </c>
      <c r="K1217" s="735">
        <v>185799.54</v>
      </c>
      <c r="L1217" s="750">
        <v>185799.54</v>
      </c>
    </row>
    <row r="1218" spans="1:12" ht="21" x14ac:dyDescent="0.25">
      <c r="A1218" s="561" t="s">
        <v>3460</v>
      </c>
      <c r="B1218" s="749">
        <v>2023</v>
      </c>
      <c r="C1218" s="561" t="s">
        <v>679</v>
      </c>
      <c r="D1218" s="561" t="s">
        <v>3231</v>
      </c>
      <c r="E1218" s="561" t="s">
        <v>131</v>
      </c>
      <c r="F1218" s="735">
        <v>-8937.26</v>
      </c>
      <c r="G1218" s="749">
        <v>1</v>
      </c>
      <c r="H1218" s="749"/>
      <c r="I1218" s="735">
        <v>-8835.2199999999993</v>
      </c>
      <c r="J1218" s="735">
        <v>-102.04</v>
      </c>
      <c r="K1218" s="735">
        <v>-8937.26</v>
      </c>
      <c r="L1218" s="750">
        <v>-8937.26</v>
      </c>
    </row>
    <row r="1219" spans="1:12" ht="31.5" x14ac:dyDescent="0.25">
      <c r="A1219" s="561" t="s">
        <v>3460</v>
      </c>
      <c r="B1219" s="749">
        <v>2023</v>
      </c>
      <c r="C1219" s="561" t="s">
        <v>681</v>
      </c>
      <c r="D1219" s="561" t="s">
        <v>3232</v>
      </c>
      <c r="E1219" s="561" t="s">
        <v>683</v>
      </c>
      <c r="F1219" s="735">
        <v>0</v>
      </c>
      <c r="G1219" s="749">
        <v>0</v>
      </c>
      <c r="H1219" s="749"/>
      <c r="I1219" s="733"/>
      <c r="J1219" s="733"/>
      <c r="K1219" s="735">
        <v>0</v>
      </c>
      <c r="L1219" s="750">
        <v>0</v>
      </c>
    </row>
    <row r="1220" spans="1:12" ht="21" x14ac:dyDescent="0.25">
      <c r="A1220" s="561" t="s">
        <v>3460</v>
      </c>
      <c r="B1220" s="749">
        <v>2023</v>
      </c>
      <c r="C1220" s="561" t="s">
        <v>681</v>
      </c>
      <c r="D1220" s="561" t="s">
        <v>3232</v>
      </c>
      <c r="E1220" s="561" t="s">
        <v>684</v>
      </c>
      <c r="F1220" s="735">
        <v>0</v>
      </c>
      <c r="G1220" s="749">
        <v>0</v>
      </c>
      <c r="H1220" s="749"/>
      <c r="I1220" s="733"/>
      <c r="J1220" s="733"/>
      <c r="K1220" s="735">
        <v>0</v>
      </c>
      <c r="L1220" s="751">
        <v>0</v>
      </c>
    </row>
    <row r="1221" spans="1:12" x14ac:dyDescent="0.25">
      <c r="A1221" s="561" t="s">
        <v>3460</v>
      </c>
      <c r="B1221" s="749">
        <v>2023</v>
      </c>
      <c r="C1221" s="561" t="s">
        <v>685</v>
      </c>
      <c r="D1221" s="561" t="s">
        <v>3233</v>
      </c>
      <c r="E1221" s="561" t="s">
        <v>687</v>
      </c>
      <c r="F1221" s="735">
        <v>18540.46</v>
      </c>
      <c r="G1221" s="749">
        <v>0</v>
      </c>
      <c r="H1221" s="749"/>
      <c r="I1221" s="733"/>
      <c r="J1221" s="733"/>
      <c r="K1221" s="735">
        <v>0</v>
      </c>
      <c r="L1221" s="750">
        <v>18540.46</v>
      </c>
    </row>
    <row r="1222" spans="1:12" x14ac:dyDescent="0.25">
      <c r="A1222" s="561" t="s">
        <v>3460</v>
      </c>
      <c r="B1222" s="749">
        <v>2023</v>
      </c>
      <c r="C1222" s="561" t="s">
        <v>688</v>
      </c>
      <c r="D1222" s="561" t="s">
        <v>3234</v>
      </c>
      <c r="E1222" s="561" t="s">
        <v>50</v>
      </c>
      <c r="F1222" s="735">
        <v>0</v>
      </c>
      <c r="G1222" s="749">
        <v>0</v>
      </c>
      <c r="H1222" s="749"/>
      <c r="I1222" s="733"/>
      <c r="J1222" s="733"/>
      <c r="K1222" s="735">
        <v>0</v>
      </c>
      <c r="L1222" s="750">
        <v>0</v>
      </c>
    </row>
    <row r="1223" spans="1:12" x14ac:dyDescent="0.25">
      <c r="A1223" s="561" t="s">
        <v>3460</v>
      </c>
      <c r="B1223" s="749">
        <v>2023</v>
      </c>
      <c r="C1223" s="561" t="s">
        <v>690</v>
      </c>
      <c r="D1223" s="561" t="s">
        <v>3235</v>
      </c>
      <c r="E1223" s="561" t="s">
        <v>692</v>
      </c>
      <c r="F1223" s="735">
        <v>0</v>
      </c>
      <c r="G1223" s="749">
        <v>0</v>
      </c>
      <c r="H1223" s="749"/>
      <c r="I1223" s="733"/>
      <c r="J1223" s="733"/>
      <c r="K1223" s="735">
        <v>0</v>
      </c>
      <c r="L1223" s="750">
        <v>0</v>
      </c>
    </row>
    <row r="1224" spans="1:12" ht="21" x14ac:dyDescent="0.25">
      <c r="A1224" s="561" t="s">
        <v>3460</v>
      </c>
      <c r="B1224" s="749">
        <v>2023</v>
      </c>
      <c r="C1224" s="561" t="s">
        <v>693</v>
      </c>
      <c r="D1224" s="561" t="s">
        <v>3236</v>
      </c>
      <c r="E1224" s="561" t="s">
        <v>6</v>
      </c>
      <c r="F1224" s="735">
        <v>0</v>
      </c>
      <c r="G1224" s="749">
        <v>0</v>
      </c>
      <c r="H1224" s="749"/>
      <c r="I1224" s="733"/>
      <c r="J1224" s="733"/>
      <c r="K1224" s="735">
        <v>0</v>
      </c>
      <c r="L1224" s="750">
        <v>0</v>
      </c>
    </row>
    <row r="1225" spans="1:12" ht="21" x14ac:dyDescent="0.25">
      <c r="A1225" s="561" t="s">
        <v>3460</v>
      </c>
      <c r="B1225" s="749">
        <v>2023</v>
      </c>
      <c r="C1225" s="561" t="s">
        <v>695</v>
      </c>
      <c r="D1225" s="561" t="s">
        <v>3237</v>
      </c>
      <c r="E1225" s="561" t="s">
        <v>697</v>
      </c>
      <c r="F1225" s="735">
        <v>0</v>
      </c>
      <c r="G1225" s="749">
        <v>0</v>
      </c>
      <c r="H1225" s="749"/>
      <c r="I1225" s="733"/>
      <c r="J1225" s="733"/>
      <c r="K1225" s="735">
        <v>0</v>
      </c>
      <c r="L1225" s="750">
        <v>0</v>
      </c>
    </row>
    <row r="1226" spans="1:12" x14ac:dyDescent="0.25">
      <c r="A1226" s="561" t="s">
        <v>3460</v>
      </c>
      <c r="B1226" s="749">
        <v>2023</v>
      </c>
      <c r="C1226" s="561" t="s">
        <v>698</v>
      </c>
      <c r="D1226" s="561" t="s">
        <v>3238</v>
      </c>
      <c r="E1226" s="561" t="s">
        <v>700</v>
      </c>
      <c r="F1226" s="735">
        <v>0</v>
      </c>
      <c r="G1226" s="749">
        <v>0</v>
      </c>
      <c r="H1226" s="749"/>
      <c r="I1226" s="733"/>
      <c r="J1226" s="733"/>
      <c r="K1226" s="735">
        <v>0</v>
      </c>
      <c r="L1226" s="750">
        <v>0</v>
      </c>
    </row>
    <row r="1227" spans="1:12" ht="21" x14ac:dyDescent="0.25">
      <c r="A1227" s="561" t="s">
        <v>3460</v>
      </c>
      <c r="B1227" s="749">
        <v>2023</v>
      </c>
      <c r="C1227" s="561" t="s">
        <v>701</v>
      </c>
      <c r="D1227" s="561" t="s">
        <v>3239</v>
      </c>
      <c r="E1227" s="561" t="s">
        <v>1</v>
      </c>
      <c r="F1227" s="735">
        <v>-17873.55</v>
      </c>
      <c r="G1227" s="749">
        <v>1</v>
      </c>
      <c r="H1227" s="749"/>
      <c r="I1227" s="735">
        <v>-16910.169999999998</v>
      </c>
      <c r="J1227" s="735">
        <v>-963.38</v>
      </c>
      <c r="K1227" s="735">
        <v>-17873.55</v>
      </c>
      <c r="L1227" s="750">
        <v>-17873.55</v>
      </c>
    </row>
    <row r="1228" spans="1:12" ht="21" x14ac:dyDescent="0.25">
      <c r="A1228" s="561" t="s">
        <v>3460</v>
      </c>
      <c r="B1228" s="749">
        <v>2023</v>
      </c>
      <c r="C1228" s="561" t="s">
        <v>701</v>
      </c>
      <c r="D1228" s="561" t="s">
        <v>3239</v>
      </c>
      <c r="E1228" s="561" t="s">
        <v>703</v>
      </c>
      <c r="F1228" s="735">
        <v>0</v>
      </c>
      <c r="G1228" s="749">
        <v>0</v>
      </c>
      <c r="H1228" s="749"/>
      <c r="I1228" s="733"/>
      <c r="J1228" s="733"/>
      <c r="K1228" s="735">
        <v>0</v>
      </c>
      <c r="L1228" s="751">
        <v>0</v>
      </c>
    </row>
    <row r="1229" spans="1:12" ht="21" x14ac:dyDescent="0.25">
      <c r="A1229" s="561" t="s">
        <v>3460</v>
      </c>
      <c r="B1229" s="749">
        <v>2023</v>
      </c>
      <c r="C1229" s="561" t="s">
        <v>701</v>
      </c>
      <c r="D1229" s="561" t="s">
        <v>3239</v>
      </c>
      <c r="E1229" s="561" t="s">
        <v>704</v>
      </c>
      <c r="F1229" s="735">
        <v>0</v>
      </c>
      <c r="G1229" s="749">
        <v>0</v>
      </c>
      <c r="H1229" s="749"/>
      <c r="I1229" s="733"/>
      <c r="J1229" s="733"/>
      <c r="K1229" s="735">
        <v>0</v>
      </c>
      <c r="L1229" s="751">
        <v>0</v>
      </c>
    </row>
    <row r="1230" spans="1:12" ht="21" x14ac:dyDescent="0.25">
      <c r="A1230" s="561" t="s">
        <v>3460</v>
      </c>
      <c r="B1230" s="749">
        <v>2023</v>
      </c>
      <c r="C1230" s="561" t="s">
        <v>701</v>
      </c>
      <c r="D1230" s="561" t="s">
        <v>3239</v>
      </c>
      <c r="E1230" s="561" t="s">
        <v>705</v>
      </c>
      <c r="F1230" s="735">
        <v>0</v>
      </c>
      <c r="G1230" s="749">
        <v>0</v>
      </c>
      <c r="H1230" s="749"/>
      <c r="I1230" s="733"/>
      <c r="J1230" s="733"/>
      <c r="K1230" s="735">
        <v>0</v>
      </c>
      <c r="L1230" s="751">
        <v>0</v>
      </c>
    </row>
    <row r="1231" spans="1:12" ht="21" x14ac:dyDescent="0.25">
      <c r="A1231" s="561" t="s">
        <v>3460</v>
      </c>
      <c r="B1231" s="749">
        <v>2023</v>
      </c>
      <c r="C1231" s="561" t="s">
        <v>701</v>
      </c>
      <c r="D1231" s="561" t="s">
        <v>3239</v>
      </c>
      <c r="E1231" s="561" t="s">
        <v>706</v>
      </c>
      <c r="F1231" s="735">
        <v>0</v>
      </c>
      <c r="G1231" s="749">
        <v>0</v>
      </c>
      <c r="H1231" s="749"/>
      <c r="I1231" s="733"/>
      <c r="J1231" s="733"/>
      <c r="K1231" s="735">
        <v>0</v>
      </c>
      <c r="L1231" s="751">
        <v>0</v>
      </c>
    </row>
    <row r="1232" spans="1:12" x14ac:dyDescent="0.25">
      <c r="A1232" s="561" t="s">
        <v>3460</v>
      </c>
      <c r="B1232" s="749">
        <v>2023</v>
      </c>
      <c r="C1232" s="561" t="s">
        <v>707</v>
      </c>
      <c r="D1232" s="561" t="s">
        <v>3240</v>
      </c>
      <c r="E1232" s="561" t="s">
        <v>709</v>
      </c>
      <c r="F1232" s="735">
        <v>0</v>
      </c>
      <c r="G1232" s="749">
        <v>0</v>
      </c>
      <c r="H1232" s="749"/>
      <c r="I1232" s="733"/>
      <c r="J1232" s="733"/>
      <c r="K1232" s="735">
        <v>0</v>
      </c>
      <c r="L1232" s="750">
        <v>0</v>
      </c>
    </row>
    <row r="1233" spans="1:12" ht="21" x14ac:dyDescent="0.25">
      <c r="A1233" s="561" t="s">
        <v>3460</v>
      </c>
      <c r="B1233" s="749">
        <v>2023</v>
      </c>
      <c r="C1233" s="561" t="s">
        <v>710</v>
      </c>
      <c r="D1233" s="561" t="s">
        <v>3241</v>
      </c>
      <c r="E1233" s="561" t="s">
        <v>2</v>
      </c>
      <c r="F1233" s="735">
        <v>9658.82</v>
      </c>
      <c r="G1233" s="749">
        <v>1</v>
      </c>
      <c r="H1233" s="749"/>
      <c r="I1233" s="735">
        <v>8902.82</v>
      </c>
      <c r="J1233" s="735">
        <v>756</v>
      </c>
      <c r="K1233" s="735">
        <v>9658.82</v>
      </c>
      <c r="L1233" s="750">
        <v>9658.82</v>
      </c>
    </row>
    <row r="1234" spans="1:12" ht="21" x14ac:dyDescent="0.25">
      <c r="A1234" s="561" t="s">
        <v>3460</v>
      </c>
      <c r="B1234" s="749">
        <v>2023</v>
      </c>
      <c r="C1234" s="561" t="s">
        <v>712</v>
      </c>
      <c r="D1234" s="561" t="s">
        <v>3242</v>
      </c>
      <c r="E1234" s="561" t="s">
        <v>3</v>
      </c>
      <c r="F1234" s="735">
        <v>-15258.66</v>
      </c>
      <c r="G1234" s="749">
        <v>1</v>
      </c>
      <c r="H1234" s="749"/>
      <c r="I1234" s="735">
        <v>-15819.36</v>
      </c>
      <c r="J1234" s="735">
        <v>560.70000000000005</v>
      </c>
      <c r="K1234" s="735">
        <v>-15258.66</v>
      </c>
      <c r="L1234" s="750">
        <v>-15258.66</v>
      </c>
    </row>
    <row r="1235" spans="1:12" ht="21" x14ac:dyDescent="0.25">
      <c r="A1235" s="561" t="s">
        <v>3460</v>
      </c>
      <c r="B1235" s="749">
        <v>2023</v>
      </c>
      <c r="C1235" s="561" t="s">
        <v>714</v>
      </c>
      <c r="D1235" s="561" t="s">
        <v>3243</v>
      </c>
      <c r="E1235" s="561" t="s">
        <v>38</v>
      </c>
      <c r="F1235" s="735">
        <v>-213329.6</v>
      </c>
      <c r="G1235" s="749">
        <v>1</v>
      </c>
      <c r="H1235" s="749"/>
      <c r="I1235" s="735">
        <v>-214028.94</v>
      </c>
      <c r="J1235" s="735">
        <v>699.34</v>
      </c>
      <c r="K1235" s="735">
        <v>-213329.6</v>
      </c>
      <c r="L1235" s="750">
        <v>-213329.6</v>
      </c>
    </row>
    <row r="1236" spans="1:12" x14ac:dyDescent="0.25">
      <c r="A1236" s="561" t="s">
        <v>3460</v>
      </c>
      <c r="B1236" s="749">
        <v>2023</v>
      </c>
      <c r="C1236" s="561" t="s">
        <v>716</v>
      </c>
      <c r="D1236" s="561" t="s">
        <v>3244</v>
      </c>
      <c r="E1236" s="561" t="s">
        <v>66</v>
      </c>
      <c r="F1236" s="735">
        <v>-39857.94</v>
      </c>
      <c r="G1236" s="749">
        <v>1</v>
      </c>
      <c r="H1236" s="749"/>
      <c r="I1236" s="735">
        <v>-39379.74</v>
      </c>
      <c r="J1236" s="735">
        <v>-478.2</v>
      </c>
      <c r="K1236" s="735">
        <v>-39857.94</v>
      </c>
      <c r="L1236" s="750">
        <v>-39857.94</v>
      </c>
    </row>
    <row r="1237" spans="1:12" ht="21" x14ac:dyDescent="0.25">
      <c r="A1237" s="561" t="s">
        <v>3460</v>
      </c>
      <c r="B1237" s="749">
        <v>2023</v>
      </c>
      <c r="C1237" s="561" t="s">
        <v>718</v>
      </c>
      <c r="D1237" s="561" t="s">
        <v>3245</v>
      </c>
      <c r="E1237" s="561" t="s">
        <v>720</v>
      </c>
      <c r="F1237" s="735">
        <v>0</v>
      </c>
      <c r="G1237" s="749">
        <v>0</v>
      </c>
      <c r="H1237" s="749"/>
      <c r="I1237" s="733"/>
      <c r="J1237" s="733"/>
      <c r="K1237" s="735">
        <v>0</v>
      </c>
      <c r="L1237" s="750">
        <v>0</v>
      </c>
    </row>
    <row r="1238" spans="1:12" ht="31.5" x14ac:dyDescent="0.25">
      <c r="A1238" s="561" t="s">
        <v>3460</v>
      </c>
      <c r="B1238" s="749">
        <v>2023</v>
      </c>
      <c r="C1238" s="561" t="s">
        <v>721</v>
      </c>
      <c r="D1238" s="561" t="s">
        <v>3247</v>
      </c>
      <c r="E1238" s="561" t="s">
        <v>724</v>
      </c>
      <c r="F1238" s="735">
        <v>0</v>
      </c>
      <c r="G1238" s="749">
        <v>1</v>
      </c>
      <c r="H1238" s="749"/>
      <c r="I1238" s="733"/>
      <c r="J1238" s="733"/>
      <c r="K1238" s="735">
        <v>0</v>
      </c>
      <c r="L1238" s="750">
        <v>0</v>
      </c>
    </row>
    <row r="1239" spans="1:12" ht="31.5" x14ac:dyDescent="0.25">
      <c r="A1239" s="561" t="s">
        <v>3460</v>
      </c>
      <c r="B1239" s="749">
        <v>2023</v>
      </c>
      <c r="C1239" s="561" t="s">
        <v>721</v>
      </c>
      <c r="D1239" s="561" t="s">
        <v>3248</v>
      </c>
      <c r="E1239" s="561" t="s">
        <v>55</v>
      </c>
      <c r="F1239" s="735">
        <v>0</v>
      </c>
      <c r="G1239" s="749">
        <v>1</v>
      </c>
      <c r="H1239" s="749"/>
      <c r="I1239" s="733"/>
      <c r="J1239" s="733"/>
      <c r="K1239" s="735">
        <v>0</v>
      </c>
      <c r="L1239" s="750">
        <v>0</v>
      </c>
    </row>
    <row r="1240" spans="1:12" ht="31.5" x14ac:dyDescent="0.25">
      <c r="A1240" s="561" t="s">
        <v>3460</v>
      </c>
      <c r="B1240" s="749">
        <v>2023</v>
      </c>
      <c r="C1240" s="561" t="s">
        <v>721</v>
      </c>
      <c r="D1240" s="561" t="s">
        <v>3249</v>
      </c>
      <c r="E1240" s="561" t="s">
        <v>56</v>
      </c>
      <c r="F1240" s="735">
        <v>0</v>
      </c>
      <c r="G1240" s="749">
        <v>1</v>
      </c>
      <c r="H1240" s="749"/>
      <c r="I1240" s="733"/>
      <c r="J1240" s="733"/>
      <c r="K1240" s="735">
        <v>0</v>
      </c>
      <c r="L1240" s="750">
        <v>0</v>
      </c>
    </row>
    <row r="1241" spans="1:12" ht="31.5" x14ac:dyDescent="0.25">
      <c r="A1241" s="561" t="s">
        <v>3460</v>
      </c>
      <c r="B1241" s="749">
        <v>2023</v>
      </c>
      <c r="C1241" s="561" t="s">
        <v>721</v>
      </c>
      <c r="D1241" s="561" t="s">
        <v>3250</v>
      </c>
      <c r="E1241" s="561" t="s">
        <v>728</v>
      </c>
      <c r="F1241" s="735">
        <v>0</v>
      </c>
      <c r="G1241" s="749">
        <v>1</v>
      </c>
      <c r="H1241" s="749"/>
      <c r="I1241" s="733"/>
      <c r="J1241" s="733"/>
      <c r="K1241" s="735">
        <v>0</v>
      </c>
      <c r="L1241" s="750">
        <v>0</v>
      </c>
    </row>
    <row r="1242" spans="1:12" ht="31.5" x14ac:dyDescent="0.25">
      <c r="A1242" s="561" t="s">
        <v>3460</v>
      </c>
      <c r="B1242" s="749">
        <v>2023</v>
      </c>
      <c r="C1242" s="561" t="s">
        <v>721</v>
      </c>
      <c r="D1242" s="561" t="s">
        <v>3251</v>
      </c>
      <c r="E1242" s="561" t="s">
        <v>730</v>
      </c>
      <c r="F1242" s="735">
        <v>0</v>
      </c>
      <c r="G1242" s="749">
        <v>1</v>
      </c>
      <c r="H1242" s="749"/>
      <c r="I1242" s="733"/>
      <c r="J1242" s="733"/>
      <c r="K1242" s="735">
        <v>0</v>
      </c>
      <c r="L1242" s="750">
        <v>0</v>
      </c>
    </row>
    <row r="1243" spans="1:12" ht="31.5" x14ac:dyDescent="0.25">
      <c r="A1243" s="561" t="s">
        <v>3460</v>
      </c>
      <c r="B1243" s="749">
        <v>2023</v>
      </c>
      <c r="C1243" s="561" t="s">
        <v>721</v>
      </c>
      <c r="D1243" s="561" t="s">
        <v>3252</v>
      </c>
      <c r="E1243" s="561" t="s">
        <v>142</v>
      </c>
      <c r="F1243" s="735">
        <v>0</v>
      </c>
      <c r="G1243" s="749">
        <v>1</v>
      </c>
      <c r="H1243" s="749"/>
      <c r="I1243" s="733"/>
      <c r="J1243" s="733"/>
      <c r="K1243" s="735">
        <v>0</v>
      </c>
      <c r="L1243" s="750">
        <v>0</v>
      </c>
    </row>
    <row r="1244" spans="1:12" ht="31.5" x14ac:dyDescent="0.25">
      <c r="A1244" s="561" t="s">
        <v>3460</v>
      </c>
      <c r="B1244" s="749">
        <v>2023</v>
      </c>
      <c r="C1244" s="561" t="s">
        <v>721</v>
      </c>
      <c r="D1244" s="561" t="s">
        <v>3253</v>
      </c>
      <c r="E1244" s="561" t="s">
        <v>143</v>
      </c>
      <c r="F1244" s="735">
        <v>0</v>
      </c>
      <c r="G1244" s="749">
        <v>1</v>
      </c>
      <c r="H1244" s="749"/>
      <c r="I1244" s="733"/>
      <c r="J1244" s="733"/>
      <c r="K1244" s="735">
        <v>0</v>
      </c>
      <c r="L1244" s="750">
        <v>0</v>
      </c>
    </row>
    <row r="1245" spans="1:12" ht="31.5" x14ac:dyDescent="0.25">
      <c r="A1245" s="561" t="s">
        <v>3460</v>
      </c>
      <c r="B1245" s="749">
        <v>2023</v>
      </c>
      <c r="C1245" s="561" t="s">
        <v>721</v>
      </c>
      <c r="D1245" s="561" t="s">
        <v>3254</v>
      </c>
      <c r="E1245" s="561" t="s">
        <v>182</v>
      </c>
      <c r="F1245" s="735">
        <v>0</v>
      </c>
      <c r="G1245" s="749">
        <v>1</v>
      </c>
      <c r="H1245" s="749"/>
      <c r="I1245" s="733"/>
      <c r="J1245" s="733"/>
      <c r="K1245" s="735">
        <v>0</v>
      </c>
      <c r="L1245" s="750">
        <v>0</v>
      </c>
    </row>
    <row r="1246" spans="1:12" ht="31.5" x14ac:dyDescent="0.25">
      <c r="A1246" s="561" t="s">
        <v>3460</v>
      </c>
      <c r="B1246" s="749">
        <v>2023</v>
      </c>
      <c r="C1246" s="561" t="s">
        <v>721</v>
      </c>
      <c r="D1246" s="561" t="s">
        <v>3255</v>
      </c>
      <c r="E1246" s="561" t="s">
        <v>394</v>
      </c>
      <c r="F1246" s="735">
        <v>0</v>
      </c>
      <c r="G1246" s="749">
        <v>1</v>
      </c>
      <c r="H1246" s="749"/>
      <c r="I1246" s="733"/>
      <c r="J1246" s="733"/>
      <c r="K1246" s="735">
        <v>0</v>
      </c>
      <c r="L1246" s="750">
        <v>0</v>
      </c>
    </row>
    <row r="1247" spans="1:12" ht="31.5" x14ac:dyDescent="0.25">
      <c r="A1247" s="561" t="s">
        <v>3460</v>
      </c>
      <c r="B1247" s="749">
        <v>2023</v>
      </c>
      <c r="C1247" s="561" t="s">
        <v>721</v>
      </c>
      <c r="D1247" s="561" t="s">
        <v>3256</v>
      </c>
      <c r="E1247" s="561" t="s">
        <v>423</v>
      </c>
      <c r="F1247" s="735">
        <v>0</v>
      </c>
      <c r="G1247" s="749">
        <v>1</v>
      </c>
      <c r="H1247" s="749"/>
      <c r="I1247" s="733"/>
      <c r="J1247" s="733"/>
      <c r="K1247" s="735">
        <v>0</v>
      </c>
      <c r="L1247" s="750">
        <v>0</v>
      </c>
    </row>
    <row r="1248" spans="1:12" ht="31.5" x14ac:dyDescent="0.25">
      <c r="A1248" s="561" t="s">
        <v>3460</v>
      </c>
      <c r="B1248" s="749">
        <v>2023</v>
      </c>
      <c r="C1248" s="561" t="s">
        <v>721</v>
      </c>
      <c r="D1248" s="561" t="s">
        <v>3257</v>
      </c>
      <c r="E1248" s="561" t="s">
        <v>441</v>
      </c>
      <c r="F1248" s="735">
        <v>0</v>
      </c>
      <c r="G1248" s="749">
        <v>1</v>
      </c>
      <c r="H1248" s="749"/>
      <c r="I1248" s="733"/>
      <c r="J1248" s="733"/>
      <c r="K1248" s="735">
        <v>0</v>
      </c>
      <c r="L1248" s="750">
        <v>0</v>
      </c>
    </row>
    <row r="1249" spans="1:12" ht="31.5" x14ac:dyDescent="0.25">
      <c r="A1249" s="561" t="s">
        <v>3460</v>
      </c>
      <c r="B1249" s="749">
        <v>2023</v>
      </c>
      <c r="C1249" s="561" t="s">
        <v>721</v>
      </c>
      <c r="D1249" s="561" t="s">
        <v>3528</v>
      </c>
      <c r="E1249" s="561" t="s">
        <v>3016</v>
      </c>
      <c r="F1249" s="735">
        <v>0</v>
      </c>
      <c r="G1249" s="749">
        <v>1</v>
      </c>
      <c r="H1249" s="749"/>
      <c r="I1249" s="735">
        <v>163255.71</v>
      </c>
      <c r="J1249" s="735">
        <v>-151458.34</v>
      </c>
      <c r="K1249" s="735">
        <v>11797.37</v>
      </c>
      <c r="L1249" s="750">
        <v>11797.37</v>
      </c>
    </row>
    <row r="1250" spans="1:12" ht="31.5" x14ac:dyDescent="0.25">
      <c r="A1250" s="561" t="s">
        <v>3460</v>
      </c>
      <c r="B1250" s="749">
        <v>2023</v>
      </c>
      <c r="C1250" s="561" t="s">
        <v>721</v>
      </c>
      <c r="D1250" s="561" t="s">
        <v>3529</v>
      </c>
      <c r="E1250" s="561" t="s">
        <v>3058</v>
      </c>
      <c r="F1250" s="735">
        <v>0</v>
      </c>
      <c r="G1250" s="749">
        <v>1</v>
      </c>
      <c r="H1250" s="749"/>
      <c r="I1250" s="735">
        <v>-11799.92</v>
      </c>
      <c r="J1250" s="735">
        <v>8752.93</v>
      </c>
      <c r="K1250" s="735">
        <v>-3046.99</v>
      </c>
      <c r="L1250" s="750">
        <v>-3046.99</v>
      </c>
    </row>
    <row r="1251" spans="1:12" ht="31.5" x14ac:dyDescent="0.25">
      <c r="A1251" s="561" t="s">
        <v>3460</v>
      </c>
      <c r="B1251" s="749">
        <v>2023</v>
      </c>
      <c r="C1251" s="561" t="s">
        <v>721</v>
      </c>
      <c r="D1251" s="561" t="s">
        <v>3530</v>
      </c>
      <c r="E1251" s="561" t="s">
        <v>3063</v>
      </c>
      <c r="F1251" s="735">
        <v>0</v>
      </c>
      <c r="G1251" s="749">
        <v>1</v>
      </c>
      <c r="H1251" s="749"/>
      <c r="I1251" s="735">
        <v>8300.01</v>
      </c>
      <c r="J1251" s="735">
        <v>-3255.37</v>
      </c>
      <c r="K1251" s="735">
        <v>5044.6400000000003</v>
      </c>
      <c r="L1251" s="750">
        <v>5044.6400000000003</v>
      </c>
    </row>
    <row r="1252" spans="1:12" ht="31.5" x14ac:dyDescent="0.25">
      <c r="A1252" s="561" t="s">
        <v>3460</v>
      </c>
      <c r="B1252" s="749">
        <v>2023</v>
      </c>
      <c r="C1252" s="561" t="s">
        <v>721</v>
      </c>
      <c r="D1252" s="561" t="s">
        <v>3828</v>
      </c>
      <c r="E1252" s="561" t="s">
        <v>3425</v>
      </c>
      <c r="F1252" s="735">
        <v>0</v>
      </c>
      <c r="G1252" s="749">
        <v>1</v>
      </c>
      <c r="H1252" s="749"/>
      <c r="I1252" s="733"/>
      <c r="J1252" s="733"/>
      <c r="K1252" s="735">
        <v>0</v>
      </c>
      <c r="L1252" s="750">
        <v>0</v>
      </c>
    </row>
    <row r="1253" spans="1:12" ht="42" x14ac:dyDescent="0.25">
      <c r="A1253" s="561" t="s">
        <v>3460</v>
      </c>
      <c r="B1253" s="749">
        <v>2023</v>
      </c>
      <c r="C1253" s="561" t="s">
        <v>721</v>
      </c>
      <c r="D1253" s="561" t="s">
        <v>3829</v>
      </c>
      <c r="E1253" s="561" t="s">
        <v>737</v>
      </c>
      <c r="F1253" s="735">
        <v>13795.02</v>
      </c>
      <c r="G1253" s="749">
        <v>0</v>
      </c>
      <c r="H1253" s="749"/>
      <c r="I1253" s="733"/>
      <c r="J1253" s="733"/>
      <c r="K1253" s="735">
        <v>0</v>
      </c>
      <c r="L1253" s="750">
        <v>13795.02</v>
      </c>
    </row>
    <row r="1254" spans="1:12" x14ac:dyDescent="0.25">
      <c r="A1254" s="561" t="s">
        <v>3460</v>
      </c>
      <c r="B1254" s="749">
        <v>2023</v>
      </c>
      <c r="C1254" s="561" t="s">
        <v>738</v>
      </c>
      <c r="D1254" s="561" t="s">
        <v>3259</v>
      </c>
      <c r="E1254" s="561" t="s">
        <v>7</v>
      </c>
      <c r="F1254" s="735">
        <v>0</v>
      </c>
      <c r="G1254" s="749">
        <v>0</v>
      </c>
      <c r="H1254" s="749"/>
      <c r="I1254" s="733"/>
      <c r="J1254" s="733"/>
      <c r="K1254" s="735">
        <v>0</v>
      </c>
      <c r="L1254" s="750">
        <v>0</v>
      </c>
    </row>
    <row r="1255" spans="1:12" x14ac:dyDescent="0.25">
      <c r="A1255" s="561" t="s">
        <v>94</v>
      </c>
      <c r="B1255" s="749">
        <v>2023</v>
      </c>
      <c r="C1255" s="561" t="s">
        <v>647</v>
      </c>
      <c r="D1255" s="561" t="s">
        <v>1542</v>
      </c>
      <c r="E1255" s="561" t="s">
        <v>649</v>
      </c>
      <c r="F1255" s="735">
        <v>20541.45</v>
      </c>
      <c r="G1255" s="749">
        <v>0</v>
      </c>
      <c r="H1255" s="749"/>
      <c r="I1255" s="733"/>
      <c r="J1255" s="733"/>
      <c r="K1255" s="735">
        <v>0</v>
      </c>
      <c r="L1255" s="750">
        <v>20541.45</v>
      </c>
    </row>
    <row r="1256" spans="1:12" ht="21" x14ac:dyDescent="0.25">
      <c r="A1256" s="561" t="s">
        <v>94</v>
      </c>
      <c r="B1256" s="749">
        <v>2023</v>
      </c>
      <c r="C1256" s="561" t="s">
        <v>3691</v>
      </c>
      <c r="D1256" s="561" t="s">
        <v>3644</v>
      </c>
      <c r="E1256" s="561" t="s">
        <v>3675</v>
      </c>
      <c r="F1256" s="735">
        <v>0</v>
      </c>
      <c r="G1256" s="749">
        <v>0</v>
      </c>
      <c r="H1256" s="749"/>
      <c r="I1256" s="733"/>
      <c r="J1256" s="733"/>
      <c r="K1256" s="735">
        <v>0</v>
      </c>
      <c r="L1256" s="750">
        <v>0</v>
      </c>
    </row>
    <row r="1257" spans="1:12" x14ac:dyDescent="0.25">
      <c r="A1257" s="561" t="s">
        <v>94</v>
      </c>
      <c r="B1257" s="749">
        <v>2023</v>
      </c>
      <c r="C1257" s="561" t="s">
        <v>651</v>
      </c>
      <c r="D1257" s="561" t="s">
        <v>1543</v>
      </c>
      <c r="E1257" s="561" t="s">
        <v>653</v>
      </c>
      <c r="F1257" s="735">
        <v>0</v>
      </c>
      <c r="G1257" s="749">
        <v>0</v>
      </c>
      <c r="H1257" s="749"/>
      <c r="I1257" s="733"/>
      <c r="J1257" s="733"/>
      <c r="K1257" s="735">
        <v>0</v>
      </c>
      <c r="L1257" s="750">
        <v>0</v>
      </c>
    </row>
    <row r="1258" spans="1:12" ht="31.5" x14ac:dyDescent="0.25">
      <c r="A1258" s="561" t="s">
        <v>94</v>
      </c>
      <c r="B1258" s="749">
        <v>2023</v>
      </c>
      <c r="C1258" s="561" t="s">
        <v>654</v>
      </c>
      <c r="D1258" s="561" t="s">
        <v>1544</v>
      </c>
      <c r="E1258" s="561" t="s">
        <v>445</v>
      </c>
      <c r="F1258" s="735">
        <v>0</v>
      </c>
      <c r="G1258" s="749">
        <v>0</v>
      </c>
      <c r="H1258" s="749"/>
      <c r="I1258" s="733"/>
      <c r="J1258" s="733"/>
      <c r="K1258" s="735">
        <v>0</v>
      </c>
      <c r="L1258" s="750">
        <v>0</v>
      </c>
    </row>
    <row r="1259" spans="1:12" ht="21" x14ac:dyDescent="0.25">
      <c r="A1259" s="561" t="s">
        <v>94</v>
      </c>
      <c r="B1259" s="749">
        <v>2023</v>
      </c>
      <c r="C1259" s="561" t="s">
        <v>656</v>
      </c>
      <c r="D1259" s="561" t="s">
        <v>1545</v>
      </c>
      <c r="E1259" s="561" t="s">
        <v>658</v>
      </c>
      <c r="F1259" s="735">
        <v>0</v>
      </c>
      <c r="G1259" s="749">
        <v>0</v>
      </c>
      <c r="H1259" s="749"/>
      <c r="I1259" s="733"/>
      <c r="J1259" s="733"/>
      <c r="K1259" s="735">
        <v>0</v>
      </c>
      <c r="L1259" s="750">
        <v>0</v>
      </c>
    </row>
    <row r="1260" spans="1:12" ht="21" x14ac:dyDescent="0.25">
      <c r="A1260" s="561" t="s">
        <v>94</v>
      </c>
      <c r="B1260" s="749">
        <v>2023</v>
      </c>
      <c r="C1260" s="561" t="s">
        <v>659</v>
      </c>
      <c r="D1260" s="561" t="s">
        <v>1546</v>
      </c>
      <c r="E1260" s="561" t="s">
        <v>661</v>
      </c>
      <c r="F1260" s="735">
        <v>0</v>
      </c>
      <c r="G1260" s="749">
        <v>0</v>
      </c>
      <c r="H1260" s="749"/>
      <c r="I1260" s="733"/>
      <c r="J1260" s="733"/>
      <c r="K1260" s="735">
        <v>0</v>
      </c>
      <c r="L1260" s="750">
        <v>0</v>
      </c>
    </row>
    <row r="1261" spans="1:12" ht="21" x14ac:dyDescent="0.25">
      <c r="A1261" s="561" t="s">
        <v>94</v>
      </c>
      <c r="B1261" s="749">
        <v>2023</v>
      </c>
      <c r="C1261" s="561" t="s">
        <v>662</v>
      </c>
      <c r="D1261" s="561" t="s">
        <v>1547</v>
      </c>
      <c r="E1261" s="561" t="s">
        <v>664</v>
      </c>
      <c r="F1261" s="735">
        <v>0</v>
      </c>
      <c r="G1261" s="749">
        <v>0</v>
      </c>
      <c r="H1261" s="749"/>
      <c r="I1261" s="733"/>
      <c r="J1261" s="733"/>
      <c r="K1261" s="735">
        <v>0</v>
      </c>
      <c r="L1261" s="750">
        <v>0</v>
      </c>
    </row>
    <row r="1262" spans="1:12" ht="31.5" x14ac:dyDescent="0.25">
      <c r="A1262" s="561" t="s">
        <v>94</v>
      </c>
      <c r="B1262" s="749">
        <v>2023</v>
      </c>
      <c r="C1262" s="561" t="s">
        <v>665</v>
      </c>
      <c r="D1262" s="561" t="s">
        <v>1548</v>
      </c>
      <c r="E1262" s="561" t="s">
        <v>667</v>
      </c>
      <c r="F1262" s="735">
        <v>0</v>
      </c>
      <c r="G1262" s="749">
        <v>0</v>
      </c>
      <c r="H1262" s="749"/>
      <c r="I1262" s="733"/>
      <c r="J1262" s="733"/>
      <c r="K1262" s="735">
        <v>0</v>
      </c>
      <c r="L1262" s="750">
        <v>0</v>
      </c>
    </row>
    <row r="1263" spans="1:12" ht="21" x14ac:dyDescent="0.25">
      <c r="A1263" s="561" t="s">
        <v>94</v>
      </c>
      <c r="B1263" s="749">
        <v>2023</v>
      </c>
      <c r="C1263" s="561" t="s">
        <v>668</v>
      </c>
      <c r="D1263" s="561" t="s">
        <v>1549</v>
      </c>
      <c r="E1263" s="561" t="s">
        <v>12</v>
      </c>
      <c r="F1263" s="735">
        <v>0</v>
      </c>
      <c r="G1263" s="749">
        <v>0</v>
      </c>
      <c r="H1263" s="749"/>
      <c r="I1263" s="733"/>
      <c r="J1263" s="733"/>
      <c r="K1263" s="735">
        <v>0</v>
      </c>
      <c r="L1263" s="750">
        <v>0</v>
      </c>
    </row>
    <row r="1264" spans="1:12" ht="21" x14ac:dyDescent="0.25">
      <c r="A1264" s="561" t="s">
        <v>94</v>
      </c>
      <c r="B1264" s="749">
        <v>2023</v>
      </c>
      <c r="C1264" s="561" t="s">
        <v>670</v>
      </c>
      <c r="D1264" s="561" t="s">
        <v>1550</v>
      </c>
      <c r="E1264" s="561" t="s">
        <v>13</v>
      </c>
      <c r="F1264" s="735">
        <v>1324.54</v>
      </c>
      <c r="G1264" s="749">
        <v>0</v>
      </c>
      <c r="H1264" s="749"/>
      <c r="I1264" s="733"/>
      <c r="J1264" s="733"/>
      <c r="K1264" s="735">
        <v>0</v>
      </c>
      <c r="L1264" s="750">
        <v>1324.54</v>
      </c>
    </row>
    <row r="1265" spans="1:12" ht="21" x14ac:dyDescent="0.25">
      <c r="A1265" s="561" t="s">
        <v>94</v>
      </c>
      <c r="B1265" s="749">
        <v>2023</v>
      </c>
      <c r="C1265" s="561" t="s">
        <v>672</v>
      </c>
      <c r="D1265" s="561" t="s">
        <v>1551</v>
      </c>
      <c r="E1265" s="561" t="s">
        <v>15</v>
      </c>
      <c r="F1265" s="735">
        <v>0</v>
      </c>
      <c r="G1265" s="749">
        <v>0</v>
      </c>
      <c r="H1265" s="749"/>
      <c r="I1265" s="733"/>
      <c r="J1265" s="733"/>
      <c r="K1265" s="735">
        <v>0</v>
      </c>
      <c r="L1265" s="750">
        <v>0</v>
      </c>
    </row>
    <row r="1266" spans="1:12" x14ac:dyDescent="0.25">
      <c r="A1266" s="561" t="s">
        <v>94</v>
      </c>
      <c r="B1266" s="749">
        <v>2023</v>
      </c>
      <c r="C1266" s="561" t="s">
        <v>674</v>
      </c>
      <c r="D1266" s="561" t="s">
        <v>1552</v>
      </c>
      <c r="E1266" s="561" t="s">
        <v>676</v>
      </c>
      <c r="F1266" s="735">
        <v>0</v>
      </c>
      <c r="G1266" s="749">
        <v>0</v>
      </c>
      <c r="H1266" s="749"/>
      <c r="I1266" s="733"/>
      <c r="J1266" s="733"/>
      <c r="K1266" s="735">
        <v>0</v>
      </c>
      <c r="L1266" s="750">
        <v>0</v>
      </c>
    </row>
    <row r="1267" spans="1:12" x14ac:dyDescent="0.25">
      <c r="A1267" s="561" t="s">
        <v>94</v>
      </c>
      <c r="B1267" s="749">
        <v>2023</v>
      </c>
      <c r="C1267" s="561" t="s">
        <v>677</v>
      </c>
      <c r="D1267" s="561" t="s">
        <v>1553</v>
      </c>
      <c r="E1267" s="561" t="s">
        <v>23</v>
      </c>
      <c r="F1267" s="735">
        <v>62587.55</v>
      </c>
      <c r="G1267" s="749">
        <v>1</v>
      </c>
      <c r="H1267" s="749"/>
      <c r="I1267" s="735">
        <v>61507.15</v>
      </c>
      <c r="J1267" s="735">
        <v>1080.4000000000001</v>
      </c>
      <c r="K1267" s="735">
        <v>62587.55</v>
      </c>
      <c r="L1267" s="750">
        <v>62587.55</v>
      </c>
    </row>
    <row r="1268" spans="1:12" ht="21" x14ac:dyDescent="0.25">
      <c r="A1268" s="561" t="s">
        <v>94</v>
      </c>
      <c r="B1268" s="749">
        <v>2023</v>
      </c>
      <c r="C1268" s="561" t="s">
        <v>679</v>
      </c>
      <c r="D1268" s="561" t="s">
        <v>1554</v>
      </c>
      <c r="E1268" s="561" t="s">
        <v>131</v>
      </c>
      <c r="F1268" s="735">
        <v>-687.16</v>
      </c>
      <c r="G1268" s="749">
        <v>1</v>
      </c>
      <c r="H1268" s="749"/>
      <c r="I1268" s="735">
        <v>-673.12</v>
      </c>
      <c r="J1268" s="735">
        <v>-14.04</v>
      </c>
      <c r="K1268" s="735">
        <v>-687.16</v>
      </c>
      <c r="L1268" s="750">
        <v>-687.16</v>
      </c>
    </row>
    <row r="1269" spans="1:12" ht="31.5" x14ac:dyDescent="0.25">
      <c r="A1269" s="561" t="s">
        <v>94</v>
      </c>
      <c r="B1269" s="749">
        <v>2023</v>
      </c>
      <c r="C1269" s="561" t="s">
        <v>681</v>
      </c>
      <c r="D1269" s="561" t="s">
        <v>1555</v>
      </c>
      <c r="E1269" s="561" t="s">
        <v>683</v>
      </c>
      <c r="F1269" s="735">
        <v>-4092.44</v>
      </c>
      <c r="G1269" s="749">
        <v>0</v>
      </c>
      <c r="H1269" s="749"/>
      <c r="I1269" s="733"/>
      <c r="J1269" s="733"/>
      <c r="K1269" s="735">
        <v>0</v>
      </c>
      <c r="L1269" s="750">
        <v>-4092.44</v>
      </c>
    </row>
    <row r="1270" spans="1:12" ht="21" x14ac:dyDescent="0.25">
      <c r="A1270" s="561" t="s">
        <v>94</v>
      </c>
      <c r="B1270" s="749">
        <v>2023</v>
      </c>
      <c r="C1270" s="561" t="s">
        <v>681</v>
      </c>
      <c r="D1270" s="561" t="s">
        <v>1555</v>
      </c>
      <c r="E1270" s="561" t="s">
        <v>684</v>
      </c>
      <c r="F1270" s="735">
        <v>0</v>
      </c>
      <c r="G1270" s="749">
        <v>0</v>
      </c>
      <c r="H1270" s="749"/>
      <c r="I1270" s="733"/>
      <c r="J1270" s="733"/>
      <c r="K1270" s="735">
        <v>0</v>
      </c>
      <c r="L1270" s="751">
        <v>1150.57</v>
      </c>
    </row>
    <row r="1271" spans="1:12" x14ac:dyDescent="0.25">
      <c r="A1271" s="561" t="s">
        <v>94</v>
      </c>
      <c r="B1271" s="749">
        <v>2023</v>
      </c>
      <c r="C1271" s="561" t="s">
        <v>685</v>
      </c>
      <c r="D1271" s="561" t="s">
        <v>1556</v>
      </c>
      <c r="E1271" s="561" t="s">
        <v>687</v>
      </c>
      <c r="F1271" s="735">
        <v>0</v>
      </c>
      <c r="G1271" s="749">
        <v>0</v>
      </c>
      <c r="H1271" s="749"/>
      <c r="I1271" s="733"/>
      <c r="J1271" s="733"/>
      <c r="K1271" s="735">
        <v>0</v>
      </c>
      <c r="L1271" s="750">
        <v>0</v>
      </c>
    </row>
    <row r="1272" spans="1:12" x14ac:dyDescent="0.25">
      <c r="A1272" s="561" t="s">
        <v>94</v>
      </c>
      <c r="B1272" s="749">
        <v>2023</v>
      </c>
      <c r="C1272" s="561" t="s">
        <v>688</v>
      </c>
      <c r="D1272" s="561" t="s">
        <v>1557</v>
      </c>
      <c r="E1272" s="561" t="s">
        <v>50</v>
      </c>
      <c r="F1272" s="735">
        <v>0</v>
      </c>
      <c r="G1272" s="749">
        <v>0</v>
      </c>
      <c r="H1272" s="749"/>
      <c r="I1272" s="733"/>
      <c r="J1272" s="733"/>
      <c r="K1272" s="735">
        <v>0</v>
      </c>
      <c r="L1272" s="750">
        <v>0</v>
      </c>
    </row>
    <row r="1273" spans="1:12" x14ac:dyDescent="0.25">
      <c r="A1273" s="561" t="s">
        <v>94</v>
      </c>
      <c r="B1273" s="749">
        <v>2023</v>
      </c>
      <c r="C1273" s="561" t="s">
        <v>690</v>
      </c>
      <c r="D1273" s="561" t="s">
        <v>1558</v>
      </c>
      <c r="E1273" s="561" t="s">
        <v>692</v>
      </c>
      <c r="F1273" s="735">
        <v>0</v>
      </c>
      <c r="G1273" s="749">
        <v>0</v>
      </c>
      <c r="H1273" s="749"/>
      <c r="I1273" s="733"/>
      <c r="J1273" s="733"/>
      <c r="K1273" s="735">
        <v>0</v>
      </c>
      <c r="L1273" s="750">
        <v>0</v>
      </c>
    </row>
    <row r="1274" spans="1:12" ht="21" x14ac:dyDescent="0.25">
      <c r="A1274" s="561" t="s">
        <v>94</v>
      </c>
      <c r="B1274" s="749">
        <v>2023</v>
      </c>
      <c r="C1274" s="561" t="s">
        <v>693</v>
      </c>
      <c r="D1274" s="561" t="s">
        <v>1559</v>
      </c>
      <c r="E1274" s="561" t="s">
        <v>6</v>
      </c>
      <c r="F1274" s="735">
        <v>0</v>
      </c>
      <c r="G1274" s="749">
        <v>0</v>
      </c>
      <c r="H1274" s="749"/>
      <c r="I1274" s="733"/>
      <c r="J1274" s="733"/>
      <c r="K1274" s="735">
        <v>0</v>
      </c>
      <c r="L1274" s="750">
        <v>0</v>
      </c>
    </row>
    <row r="1275" spans="1:12" ht="21" x14ac:dyDescent="0.25">
      <c r="A1275" s="561" t="s">
        <v>94</v>
      </c>
      <c r="B1275" s="749">
        <v>2023</v>
      </c>
      <c r="C1275" s="561" t="s">
        <v>695</v>
      </c>
      <c r="D1275" s="561" t="s">
        <v>1560</v>
      </c>
      <c r="E1275" s="561" t="s">
        <v>697</v>
      </c>
      <c r="F1275" s="735">
        <v>0</v>
      </c>
      <c r="G1275" s="749">
        <v>0</v>
      </c>
      <c r="H1275" s="749"/>
      <c r="I1275" s="733"/>
      <c r="J1275" s="733"/>
      <c r="K1275" s="735">
        <v>0</v>
      </c>
      <c r="L1275" s="750">
        <v>0</v>
      </c>
    </row>
    <row r="1276" spans="1:12" x14ac:dyDescent="0.25">
      <c r="A1276" s="561" t="s">
        <v>94</v>
      </c>
      <c r="B1276" s="749">
        <v>2023</v>
      </c>
      <c r="C1276" s="561" t="s">
        <v>698</v>
      </c>
      <c r="D1276" s="561" t="s">
        <v>1561</v>
      </c>
      <c r="E1276" s="561" t="s">
        <v>700</v>
      </c>
      <c r="F1276" s="735">
        <v>-8622</v>
      </c>
      <c r="G1276" s="749">
        <v>0</v>
      </c>
      <c r="H1276" s="749"/>
      <c r="I1276" s="733"/>
      <c r="J1276" s="733"/>
      <c r="K1276" s="735">
        <v>0</v>
      </c>
      <c r="L1276" s="750">
        <v>-8622</v>
      </c>
    </row>
    <row r="1277" spans="1:12" ht="21" x14ac:dyDescent="0.25">
      <c r="A1277" s="561" t="s">
        <v>94</v>
      </c>
      <c r="B1277" s="749">
        <v>2023</v>
      </c>
      <c r="C1277" s="561" t="s">
        <v>701</v>
      </c>
      <c r="D1277" s="561" t="s">
        <v>1562</v>
      </c>
      <c r="E1277" s="561" t="s">
        <v>1</v>
      </c>
      <c r="F1277" s="735">
        <v>-7497.53</v>
      </c>
      <c r="G1277" s="749">
        <v>1</v>
      </c>
      <c r="H1277" s="749"/>
      <c r="I1277" s="735">
        <v>-7316.36</v>
      </c>
      <c r="J1277" s="735">
        <v>-181.17</v>
      </c>
      <c r="K1277" s="735">
        <v>-7497.53</v>
      </c>
      <c r="L1277" s="750">
        <v>-7497.53</v>
      </c>
    </row>
    <row r="1278" spans="1:12" ht="21" x14ac:dyDescent="0.25">
      <c r="A1278" s="561" t="s">
        <v>94</v>
      </c>
      <c r="B1278" s="749">
        <v>2023</v>
      </c>
      <c r="C1278" s="561" t="s">
        <v>701</v>
      </c>
      <c r="D1278" s="561" t="s">
        <v>1562</v>
      </c>
      <c r="E1278" s="561" t="s">
        <v>703</v>
      </c>
      <c r="F1278" s="735">
        <v>0</v>
      </c>
      <c r="G1278" s="749">
        <v>0</v>
      </c>
      <c r="H1278" s="749"/>
      <c r="I1278" s="733"/>
      <c r="J1278" s="733"/>
      <c r="K1278" s="735">
        <v>0</v>
      </c>
      <c r="L1278" s="751">
        <v>0</v>
      </c>
    </row>
    <row r="1279" spans="1:12" ht="21" x14ac:dyDescent="0.25">
      <c r="A1279" s="561" t="s">
        <v>94</v>
      </c>
      <c r="B1279" s="749">
        <v>2023</v>
      </c>
      <c r="C1279" s="561" t="s">
        <v>701</v>
      </c>
      <c r="D1279" s="561" t="s">
        <v>1562</v>
      </c>
      <c r="E1279" s="561" t="s">
        <v>704</v>
      </c>
      <c r="F1279" s="735">
        <v>0</v>
      </c>
      <c r="G1279" s="749">
        <v>0</v>
      </c>
      <c r="H1279" s="749"/>
      <c r="I1279" s="733"/>
      <c r="J1279" s="733"/>
      <c r="K1279" s="735">
        <v>0</v>
      </c>
      <c r="L1279" s="751">
        <v>0</v>
      </c>
    </row>
    <row r="1280" spans="1:12" ht="21" x14ac:dyDescent="0.25">
      <c r="A1280" s="561" t="s">
        <v>94</v>
      </c>
      <c r="B1280" s="749">
        <v>2023</v>
      </c>
      <c r="C1280" s="561" t="s">
        <v>701</v>
      </c>
      <c r="D1280" s="561" t="s">
        <v>1562</v>
      </c>
      <c r="E1280" s="561" t="s">
        <v>705</v>
      </c>
      <c r="F1280" s="735">
        <v>0</v>
      </c>
      <c r="G1280" s="749">
        <v>0</v>
      </c>
      <c r="H1280" s="749"/>
      <c r="I1280" s="733"/>
      <c r="J1280" s="733"/>
      <c r="K1280" s="735">
        <v>0</v>
      </c>
      <c r="L1280" s="751">
        <v>0.92</v>
      </c>
    </row>
    <row r="1281" spans="1:12" ht="21" x14ac:dyDescent="0.25">
      <c r="A1281" s="561" t="s">
        <v>94</v>
      </c>
      <c r="B1281" s="749">
        <v>2023</v>
      </c>
      <c r="C1281" s="561" t="s">
        <v>701</v>
      </c>
      <c r="D1281" s="561" t="s">
        <v>1562</v>
      </c>
      <c r="E1281" s="561" t="s">
        <v>706</v>
      </c>
      <c r="F1281" s="735">
        <v>0</v>
      </c>
      <c r="G1281" s="749">
        <v>0</v>
      </c>
      <c r="H1281" s="749"/>
      <c r="I1281" s="733"/>
      <c r="J1281" s="733"/>
      <c r="K1281" s="735">
        <v>0</v>
      </c>
      <c r="L1281" s="751">
        <v>39.49</v>
      </c>
    </row>
    <row r="1282" spans="1:12" x14ac:dyDescent="0.25">
      <c r="A1282" s="561" t="s">
        <v>94</v>
      </c>
      <c r="B1282" s="749">
        <v>2023</v>
      </c>
      <c r="C1282" s="561" t="s">
        <v>707</v>
      </c>
      <c r="D1282" s="561" t="s">
        <v>1563</v>
      </c>
      <c r="E1282" s="561" t="s">
        <v>709</v>
      </c>
      <c r="F1282" s="735">
        <v>0</v>
      </c>
      <c r="G1282" s="749">
        <v>0</v>
      </c>
      <c r="H1282" s="749"/>
      <c r="I1282" s="733"/>
      <c r="J1282" s="733"/>
      <c r="K1282" s="735">
        <v>0</v>
      </c>
      <c r="L1282" s="750">
        <v>0</v>
      </c>
    </row>
    <row r="1283" spans="1:12" ht="21" x14ac:dyDescent="0.25">
      <c r="A1283" s="561" t="s">
        <v>94</v>
      </c>
      <c r="B1283" s="749">
        <v>2023</v>
      </c>
      <c r="C1283" s="561" t="s">
        <v>710</v>
      </c>
      <c r="D1283" s="561" t="s">
        <v>1564</v>
      </c>
      <c r="E1283" s="561" t="s">
        <v>2</v>
      </c>
      <c r="F1283" s="735">
        <v>33500.49</v>
      </c>
      <c r="G1283" s="749">
        <v>1</v>
      </c>
      <c r="H1283" s="749"/>
      <c r="I1283" s="735">
        <v>32867.54</v>
      </c>
      <c r="J1283" s="735">
        <v>632.95000000000005</v>
      </c>
      <c r="K1283" s="735">
        <v>33500.49</v>
      </c>
      <c r="L1283" s="750">
        <v>33500.49</v>
      </c>
    </row>
    <row r="1284" spans="1:12" ht="21" x14ac:dyDescent="0.25">
      <c r="A1284" s="561" t="s">
        <v>94</v>
      </c>
      <c r="B1284" s="749">
        <v>2023</v>
      </c>
      <c r="C1284" s="561" t="s">
        <v>712</v>
      </c>
      <c r="D1284" s="561" t="s">
        <v>1565</v>
      </c>
      <c r="E1284" s="561" t="s">
        <v>3</v>
      </c>
      <c r="F1284" s="735">
        <v>398.95</v>
      </c>
      <c r="G1284" s="749">
        <v>1</v>
      </c>
      <c r="H1284" s="749"/>
      <c r="I1284" s="735">
        <v>377.93</v>
      </c>
      <c r="J1284" s="735">
        <v>21.02</v>
      </c>
      <c r="K1284" s="735">
        <v>398.95</v>
      </c>
      <c r="L1284" s="750">
        <v>398.95</v>
      </c>
    </row>
    <row r="1285" spans="1:12" ht="21" x14ac:dyDescent="0.25">
      <c r="A1285" s="561" t="s">
        <v>94</v>
      </c>
      <c r="B1285" s="749">
        <v>2023</v>
      </c>
      <c r="C1285" s="561" t="s">
        <v>714</v>
      </c>
      <c r="D1285" s="561" t="s">
        <v>1566</v>
      </c>
      <c r="E1285" s="561" t="s">
        <v>38</v>
      </c>
      <c r="F1285" s="735">
        <v>-21999.69</v>
      </c>
      <c r="G1285" s="749">
        <v>1</v>
      </c>
      <c r="H1285" s="749"/>
      <c r="I1285" s="735">
        <v>-18807</v>
      </c>
      <c r="J1285" s="735">
        <v>-3192.69</v>
      </c>
      <c r="K1285" s="735">
        <v>-21999.69</v>
      </c>
      <c r="L1285" s="750">
        <v>-21999.69</v>
      </c>
    </row>
    <row r="1286" spans="1:12" x14ac:dyDescent="0.25">
      <c r="A1286" s="561" t="s">
        <v>94</v>
      </c>
      <c r="B1286" s="749">
        <v>2023</v>
      </c>
      <c r="C1286" s="561" t="s">
        <v>716</v>
      </c>
      <c r="D1286" s="561" t="s">
        <v>1567</v>
      </c>
      <c r="E1286" s="561" t="s">
        <v>66</v>
      </c>
      <c r="F1286" s="735">
        <v>8947.8799999999992</v>
      </c>
      <c r="G1286" s="749">
        <v>1</v>
      </c>
      <c r="H1286" s="749"/>
      <c r="I1286" s="735">
        <v>8768.99</v>
      </c>
      <c r="J1286" s="735">
        <v>178.89</v>
      </c>
      <c r="K1286" s="735">
        <v>8947.8799999999992</v>
      </c>
      <c r="L1286" s="750">
        <v>8947.8799999999992</v>
      </c>
    </row>
    <row r="1287" spans="1:12" ht="21" x14ac:dyDescent="0.25">
      <c r="A1287" s="561" t="s">
        <v>94</v>
      </c>
      <c r="B1287" s="749">
        <v>2023</v>
      </c>
      <c r="C1287" s="561" t="s">
        <v>718</v>
      </c>
      <c r="D1287" s="561" t="s">
        <v>1568</v>
      </c>
      <c r="E1287" s="561" t="s">
        <v>720</v>
      </c>
      <c r="F1287" s="735">
        <v>27566.39</v>
      </c>
      <c r="G1287" s="749">
        <v>0</v>
      </c>
      <c r="H1287" s="749"/>
      <c r="I1287" s="733"/>
      <c r="J1287" s="733"/>
      <c r="K1287" s="735">
        <v>0</v>
      </c>
      <c r="L1287" s="750">
        <v>27566.39</v>
      </c>
    </row>
    <row r="1288" spans="1:12" ht="31.5" x14ac:dyDescent="0.25">
      <c r="A1288" s="561" t="s">
        <v>94</v>
      </c>
      <c r="B1288" s="749">
        <v>2023</v>
      </c>
      <c r="C1288" s="561" t="s">
        <v>721</v>
      </c>
      <c r="D1288" s="561" t="s">
        <v>1570</v>
      </c>
      <c r="E1288" s="561" t="s">
        <v>724</v>
      </c>
      <c r="F1288" s="735">
        <v>0</v>
      </c>
      <c r="G1288" s="749">
        <v>1</v>
      </c>
      <c r="H1288" s="749"/>
      <c r="I1288" s="733"/>
      <c r="J1288" s="733"/>
      <c r="K1288" s="735">
        <v>0</v>
      </c>
      <c r="L1288" s="750">
        <v>0</v>
      </c>
    </row>
    <row r="1289" spans="1:12" ht="31.5" x14ac:dyDescent="0.25">
      <c r="A1289" s="561" t="s">
        <v>94</v>
      </c>
      <c r="B1289" s="749">
        <v>2023</v>
      </c>
      <c r="C1289" s="561" t="s">
        <v>721</v>
      </c>
      <c r="D1289" s="561" t="s">
        <v>1571</v>
      </c>
      <c r="E1289" s="561" t="s">
        <v>55</v>
      </c>
      <c r="F1289" s="735">
        <v>0</v>
      </c>
      <c r="G1289" s="749">
        <v>1</v>
      </c>
      <c r="H1289" s="749"/>
      <c r="I1289" s="733"/>
      <c r="J1289" s="733"/>
      <c r="K1289" s="735">
        <v>0</v>
      </c>
      <c r="L1289" s="750">
        <v>0</v>
      </c>
    </row>
    <row r="1290" spans="1:12" ht="31.5" x14ac:dyDescent="0.25">
      <c r="A1290" s="561" t="s">
        <v>94</v>
      </c>
      <c r="B1290" s="749">
        <v>2023</v>
      </c>
      <c r="C1290" s="561" t="s">
        <v>721</v>
      </c>
      <c r="D1290" s="561" t="s">
        <v>1572</v>
      </c>
      <c r="E1290" s="561" t="s">
        <v>56</v>
      </c>
      <c r="F1290" s="735">
        <v>0</v>
      </c>
      <c r="G1290" s="749">
        <v>1</v>
      </c>
      <c r="H1290" s="749"/>
      <c r="I1290" s="733"/>
      <c r="J1290" s="733"/>
      <c r="K1290" s="735">
        <v>0</v>
      </c>
      <c r="L1290" s="750">
        <v>0</v>
      </c>
    </row>
    <row r="1291" spans="1:12" ht="31.5" x14ac:dyDescent="0.25">
      <c r="A1291" s="561" t="s">
        <v>94</v>
      </c>
      <c r="B1291" s="749">
        <v>2023</v>
      </c>
      <c r="C1291" s="561" t="s">
        <v>721</v>
      </c>
      <c r="D1291" s="561" t="s">
        <v>1573</v>
      </c>
      <c r="E1291" s="561" t="s">
        <v>728</v>
      </c>
      <c r="F1291" s="735">
        <v>0</v>
      </c>
      <c r="G1291" s="749">
        <v>1</v>
      </c>
      <c r="H1291" s="749"/>
      <c r="I1291" s="733"/>
      <c r="J1291" s="733"/>
      <c r="K1291" s="735">
        <v>0</v>
      </c>
      <c r="L1291" s="750">
        <v>0</v>
      </c>
    </row>
    <row r="1292" spans="1:12" ht="31.5" x14ac:dyDescent="0.25">
      <c r="A1292" s="561" t="s">
        <v>94</v>
      </c>
      <c r="B1292" s="749">
        <v>2023</v>
      </c>
      <c r="C1292" s="561" t="s">
        <v>721</v>
      </c>
      <c r="D1292" s="561" t="s">
        <v>1574</v>
      </c>
      <c r="E1292" s="561" t="s">
        <v>730</v>
      </c>
      <c r="F1292" s="735">
        <v>0</v>
      </c>
      <c r="G1292" s="749">
        <v>1</v>
      </c>
      <c r="H1292" s="749"/>
      <c r="I1292" s="733"/>
      <c r="J1292" s="733"/>
      <c r="K1292" s="735">
        <v>0</v>
      </c>
      <c r="L1292" s="750">
        <v>0</v>
      </c>
    </row>
    <row r="1293" spans="1:12" ht="31.5" x14ac:dyDescent="0.25">
      <c r="A1293" s="561" t="s">
        <v>94</v>
      </c>
      <c r="B1293" s="749">
        <v>2023</v>
      </c>
      <c r="C1293" s="561" t="s">
        <v>721</v>
      </c>
      <c r="D1293" s="561" t="s">
        <v>1575</v>
      </c>
      <c r="E1293" s="561" t="s">
        <v>142</v>
      </c>
      <c r="F1293" s="735">
        <v>0</v>
      </c>
      <c r="G1293" s="749">
        <v>1</v>
      </c>
      <c r="H1293" s="749"/>
      <c r="I1293" s="733"/>
      <c r="J1293" s="733"/>
      <c r="K1293" s="735">
        <v>0</v>
      </c>
      <c r="L1293" s="750">
        <v>0</v>
      </c>
    </row>
    <row r="1294" spans="1:12" ht="31.5" x14ac:dyDescent="0.25">
      <c r="A1294" s="561" t="s">
        <v>94</v>
      </c>
      <c r="B1294" s="749">
        <v>2023</v>
      </c>
      <c r="C1294" s="561" t="s">
        <v>721</v>
      </c>
      <c r="D1294" s="561" t="s">
        <v>1576</v>
      </c>
      <c r="E1294" s="561" t="s">
        <v>143</v>
      </c>
      <c r="F1294" s="735">
        <v>0</v>
      </c>
      <c r="G1294" s="749">
        <v>1</v>
      </c>
      <c r="H1294" s="749"/>
      <c r="I1294" s="733"/>
      <c r="J1294" s="733"/>
      <c r="K1294" s="735">
        <v>0</v>
      </c>
      <c r="L1294" s="750">
        <v>0</v>
      </c>
    </row>
    <row r="1295" spans="1:12" ht="31.5" x14ac:dyDescent="0.25">
      <c r="A1295" s="561" t="s">
        <v>94</v>
      </c>
      <c r="B1295" s="749">
        <v>2023</v>
      </c>
      <c r="C1295" s="561" t="s">
        <v>721</v>
      </c>
      <c r="D1295" s="561" t="s">
        <v>1577</v>
      </c>
      <c r="E1295" s="561" t="s">
        <v>182</v>
      </c>
      <c r="F1295" s="735">
        <v>0</v>
      </c>
      <c r="G1295" s="749">
        <v>1</v>
      </c>
      <c r="H1295" s="749"/>
      <c r="I1295" s="733"/>
      <c r="J1295" s="733"/>
      <c r="K1295" s="735">
        <v>0</v>
      </c>
      <c r="L1295" s="750">
        <v>0</v>
      </c>
    </row>
    <row r="1296" spans="1:12" ht="31.5" x14ac:dyDescent="0.25">
      <c r="A1296" s="561" t="s">
        <v>94</v>
      </c>
      <c r="B1296" s="749">
        <v>2023</v>
      </c>
      <c r="C1296" s="561" t="s">
        <v>721</v>
      </c>
      <c r="D1296" s="561" t="s">
        <v>1578</v>
      </c>
      <c r="E1296" s="561" t="s">
        <v>394</v>
      </c>
      <c r="F1296" s="735">
        <v>0</v>
      </c>
      <c r="G1296" s="749">
        <v>1</v>
      </c>
      <c r="H1296" s="749"/>
      <c r="I1296" s="733"/>
      <c r="J1296" s="733"/>
      <c r="K1296" s="735">
        <v>0</v>
      </c>
      <c r="L1296" s="750">
        <v>0</v>
      </c>
    </row>
    <row r="1297" spans="1:12" ht="31.5" x14ac:dyDescent="0.25">
      <c r="A1297" s="561" t="s">
        <v>94</v>
      </c>
      <c r="B1297" s="749">
        <v>2023</v>
      </c>
      <c r="C1297" s="561" t="s">
        <v>721</v>
      </c>
      <c r="D1297" s="561" t="s">
        <v>1579</v>
      </c>
      <c r="E1297" s="561" t="s">
        <v>423</v>
      </c>
      <c r="F1297" s="735">
        <v>0</v>
      </c>
      <c r="G1297" s="749">
        <v>1</v>
      </c>
      <c r="H1297" s="749"/>
      <c r="I1297" s="733"/>
      <c r="J1297" s="733"/>
      <c r="K1297" s="735">
        <v>0</v>
      </c>
      <c r="L1297" s="750">
        <v>0</v>
      </c>
    </row>
    <row r="1298" spans="1:12" ht="31.5" x14ac:dyDescent="0.25">
      <c r="A1298" s="561" t="s">
        <v>94</v>
      </c>
      <c r="B1298" s="749">
        <v>2023</v>
      </c>
      <c r="C1298" s="561" t="s">
        <v>721</v>
      </c>
      <c r="D1298" s="561" t="s">
        <v>3260</v>
      </c>
      <c r="E1298" s="561" t="s">
        <v>441</v>
      </c>
      <c r="F1298" s="735">
        <v>0</v>
      </c>
      <c r="G1298" s="749">
        <v>1</v>
      </c>
      <c r="H1298" s="749"/>
      <c r="I1298" s="733"/>
      <c r="J1298" s="733"/>
      <c r="K1298" s="735">
        <v>0</v>
      </c>
      <c r="L1298" s="750">
        <v>0</v>
      </c>
    </row>
    <row r="1299" spans="1:12" ht="31.5" x14ac:dyDescent="0.25">
      <c r="A1299" s="561" t="s">
        <v>94</v>
      </c>
      <c r="B1299" s="749">
        <v>2023</v>
      </c>
      <c r="C1299" s="561" t="s">
        <v>721</v>
      </c>
      <c r="D1299" s="561" t="s">
        <v>3531</v>
      </c>
      <c r="E1299" s="561" t="s">
        <v>3016</v>
      </c>
      <c r="F1299" s="735">
        <v>0</v>
      </c>
      <c r="G1299" s="749">
        <v>1</v>
      </c>
      <c r="H1299" s="749"/>
      <c r="I1299" s="735">
        <v>-71508.39</v>
      </c>
      <c r="J1299" s="735">
        <v>105910.74</v>
      </c>
      <c r="K1299" s="735">
        <v>34402.35</v>
      </c>
      <c r="L1299" s="750">
        <v>34402.35</v>
      </c>
    </row>
    <row r="1300" spans="1:12" ht="31.5" x14ac:dyDescent="0.25">
      <c r="A1300" s="561" t="s">
        <v>94</v>
      </c>
      <c r="B1300" s="749">
        <v>2023</v>
      </c>
      <c r="C1300" s="561" t="s">
        <v>721</v>
      </c>
      <c r="D1300" s="561" t="s">
        <v>3532</v>
      </c>
      <c r="E1300" s="561" t="s">
        <v>3058</v>
      </c>
      <c r="F1300" s="735">
        <v>0</v>
      </c>
      <c r="G1300" s="749">
        <v>1</v>
      </c>
      <c r="H1300" s="749"/>
      <c r="I1300" s="735">
        <v>20462.89</v>
      </c>
      <c r="J1300" s="735">
        <v>7582.56</v>
      </c>
      <c r="K1300" s="735">
        <v>28045.45</v>
      </c>
      <c r="L1300" s="750">
        <v>28045.45</v>
      </c>
    </row>
    <row r="1301" spans="1:12" ht="31.5" x14ac:dyDescent="0.25">
      <c r="A1301" s="561" t="s">
        <v>94</v>
      </c>
      <c r="B1301" s="749">
        <v>2023</v>
      </c>
      <c r="C1301" s="561" t="s">
        <v>721</v>
      </c>
      <c r="D1301" s="561" t="s">
        <v>3533</v>
      </c>
      <c r="E1301" s="561" t="s">
        <v>3063</v>
      </c>
      <c r="F1301" s="735">
        <v>0</v>
      </c>
      <c r="G1301" s="749">
        <v>1</v>
      </c>
      <c r="H1301" s="749"/>
      <c r="I1301" s="735">
        <v>28157.119999999999</v>
      </c>
      <c r="J1301" s="735">
        <v>24425.05</v>
      </c>
      <c r="K1301" s="735">
        <v>52582.17</v>
      </c>
      <c r="L1301" s="750">
        <v>52582.17</v>
      </c>
    </row>
    <row r="1302" spans="1:12" ht="31.5" x14ac:dyDescent="0.25">
      <c r="A1302" s="561" t="s">
        <v>94</v>
      </c>
      <c r="B1302" s="749">
        <v>2023</v>
      </c>
      <c r="C1302" s="561" t="s">
        <v>721</v>
      </c>
      <c r="D1302" s="561" t="s">
        <v>3830</v>
      </c>
      <c r="E1302" s="561" t="s">
        <v>3425</v>
      </c>
      <c r="F1302" s="735">
        <v>0</v>
      </c>
      <c r="G1302" s="749">
        <v>1</v>
      </c>
      <c r="H1302" s="749"/>
      <c r="I1302" s="735">
        <v>22109.5</v>
      </c>
      <c r="J1302" s="735">
        <v>-1528.57</v>
      </c>
      <c r="K1302" s="735">
        <v>20580.93</v>
      </c>
      <c r="L1302" s="750">
        <v>20580.93</v>
      </c>
    </row>
    <row r="1303" spans="1:12" ht="42" x14ac:dyDescent="0.25">
      <c r="A1303" s="561" t="s">
        <v>94</v>
      </c>
      <c r="B1303" s="749">
        <v>2023</v>
      </c>
      <c r="C1303" s="561" t="s">
        <v>721</v>
      </c>
      <c r="D1303" s="561" t="s">
        <v>3831</v>
      </c>
      <c r="E1303" s="561" t="s">
        <v>737</v>
      </c>
      <c r="F1303" s="735">
        <v>135610.9</v>
      </c>
      <c r="G1303" s="749">
        <v>0</v>
      </c>
      <c r="H1303" s="749"/>
      <c r="I1303" s="733"/>
      <c r="J1303" s="733"/>
      <c r="K1303" s="735">
        <v>0</v>
      </c>
      <c r="L1303" s="750">
        <v>135610.9</v>
      </c>
    </row>
    <row r="1304" spans="1:12" x14ac:dyDescent="0.25">
      <c r="A1304" s="561" t="s">
        <v>94</v>
      </c>
      <c r="B1304" s="749">
        <v>2023</v>
      </c>
      <c r="C1304" s="561" t="s">
        <v>738</v>
      </c>
      <c r="D1304" s="561" t="s">
        <v>1581</v>
      </c>
      <c r="E1304" s="561" t="s">
        <v>7</v>
      </c>
      <c r="F1304" s="735">
        <v>0</v>
      </c>
      <c r="G1304" s="749">
        <v>0</v>
      </c>
      <c r="H1304" s="749"/>
      <c r="I1304" s="733"/>
      <c r="J1304" s="733"/>
      <c r="K1304" s="735">
        <v>0</v>
      </c>
      <c r="L1304" s="750">
        <v>0</v>
      </c>
    </row>
    <row r="1305" spans="1:12" x14ac:dyDescent="0.25">
      <c r="A1305" s="561" t="s">
        <v>95</v>
      </c>
      <c r="B1305" s="749">
        <v>2023</v>
      </c>
      <c r="C1305" s="561" t="s">
        <v>647</v>
      </c>
      <c r="D1305" s="561" t="s">
        <v>1582</v>
      </c>
      <c r="E1305" s="561" t="s">
        <v>649</v>
      </c>
      <c r="F1305" s="735">
        <v>-62849.43</v>
      </c>
      <c r="G1305" s="749">
        <v>0</v>
      </c>
      <c r="H1305" s="749"/>
      <c r="I1305" s="733"/>
      <c r="J1305" s="733"/>
      <c r="K1305" s="735">
        <v>0</v>
      </c>
      <c r="L1305" s="750">
        <v>-62849.43</v>
      </c>
    </row>
    <row r="1306" spans="1:12" ht="21" x14ac:dyDescent="0.25">
      <c r="A1306" s="561" t="s">
        <v>95</v>
      </c>
      <c r="B1306" s="749">
        <v>2023</v>
      </c>
      <c r="C1306" s="561" t="s">
        <v>3691</v>
      </c>
      <c r="D1306" s="561" t="s">
        <v>3645</v>
      </c>
      <c r="E1306" s="561" t="s">
        <v>3675</v>
      </c>
      <c r="F1306" s="735">
        <v>0</v>
      </c>
      <c r="G1306" s="749">
        <v>0</v>
      </c>
      <c r="H1306" s="749"/>
      <c r="I1306" s="733"/>
      <c r="J1306" s="733"/>
      <c r="K1306" s="735">
        <v>0</v>
      </c>
      <c r="L1306" s="750">
        <v>0</v>
      </c>
    </row>
    <row r="1307" spans="1:12" x14ac:dyDescent="0.25">
      <c r="A1307" s="561" t="s">
        <v>95</v>
      </c>
      <c r="B1307" s="749">
        <v>2023</v>
      </c>
      <c r="C1307" s="561" t="s">
        <v>651</v>
      </c>
      <c r="D1307" s="561" t="s">
        <v>1583</v>
      </c>
      <c r="E1307" s="561" t="s">
        <v>653</v>
      </c>
      <c r="F1307" s="735">
        <v>-11581.81</v>
      </c>
      <c r="G1307" s="749">
        <v>0</v>
      </c>
      <c r="H1307" s="749"/>
      <c r="I1307" s="733"/>
      <c r="J1307" s="733"/>
      <c r="K1307" s="735">
        <v>0</v>
      </c>
      <c r="L1307" s="750">
        <v>-11581.81</v>
      </c>
    </row>
    <row r="1308" spans="1:12" ht="31.5" x14ac:dyDescent="0.25">
      <c r="A1308" s="561" t="s">
        <v>95</v>
      </c>
      <c r="B1308" s="749">
        <v>2023</v>
      </c>
      <c r="C1308" s="561" t="s">
        <v>654</v>
      </c>
      <c r="D1308" s="561" t="s">
        <v>1584</v>
      </c>
      <c r="E1308" s="561" t="s">
        <v>445</v>
      </c>
      <c r="F1308" s="735">
        <v>0</v>
      </c>
      <c r="G1308" s="749">
        <v>0</v>
      </c>
      <c r="H1308" s="749"/>
      <c r="I1308" s="733"/>
      <c r="J1308" s="733"/>
      <c r="K1308" s="735">
        <v>0</v>
      </c>
      <c r="L1308" s="750">
        <v>0</v>
      </c>
    </row>
    <row r="1309" spans="1:12" ht="21" x14ac:dyDescent="0.25">
      <c r="A1309" s="561" t="s">
        <v>95</v>
      </c>
      <c r="B1309" s="749">
        <v>2023</v>
      </c>
      <c r="C1309" s="561" t="s">
        <v>656</v>
      </c>
      <c r="D1309" s="561" t="s">
        <v>1585</v>
      </c>
      <c r="E1309" s="561" t="s">
        <v>658</v>
      </c>
      <c r="F1309" s="735">
        <v>0</v>
      </c>
      <c r="G1309" s="749">
        <v>0</v>
      </c>
      <c r="H1309" s="749"/>
      <c r="I1309" s="733"/>
      <c r="J1309" s="733"/>
      <c r="K1309" s="735">
        <v>0</v>
      </c>
      <c r="L1309" s="750">
        <v>0</v>
      </c>
    </row>
    <row r="1310" spans="1:12" ht="21" x14ac:dyDescent="0.25">
      <c r="A1310" s="561" t="s">
        <v>95</v>
      </c>
      <c r="B1310" s="749">
        <v>2023</v>
      </c>
      <c r="C1310" s="561" t="s">
        <v>659</v>
      </c>
      <c r="D1310" s="561" t="s">
        <v>1586</v>
      </c>
      <c r="E1310" s="561" t="s">
        <v>661</v>
      </c>
      <c r="F1310" s="735">
        <v>0</v>
      </c>
      <c r="G1310" s="749">
        <v>0</v>
      </c>
      <c r="H1310" s="749"/>
      <c r="I1310" s="733"/>
      <c r="J1310" s="733"/>
      <c r="K1310" s="735">
        <v>0</v>
      </c>
      <c r="L1310" s="750">
        <v>0</v>
      </c>
    </row>
    <row r="1311" spans="1:12" ht="21" x14ac:dyDescent="0.25">
      <c r="A1311" s="561" t="s">
        <v>95</v>
      </c>
      <c r="B1311" s="749">
        <v>2023</v>
      </c>
      <c r="C1311" s="561" t="s">
        <v>662</v>
      </c>
      <c r="D1311" s="561" t="s">
        <v>1587</v>
      </c>
      <c r="E1311" s="561" t="s">
        <v>664</v>
      </c>
      <c r="F1311" s="735">
        <v>0</v>
      </c>
      <c r="G1311" s="749">
        <v>0</v>
      </c>
      <c r="H1311" s="749"/>
      <c r="I1311" s="733"/>
      <c r="J1311" s="733"/>
      <c r="K1311" s="735">
        <v>0</v>
      </c>
      <c r="L1311" s="750">
        <v>0</v>
      </c>
    </row>
    <row r="1312" spans="1:12" ht="31.5" x14ac:dyDescent="0.25">
      <c r="A1312" s="561" t="s">
        <v>95</v>
      </c>
      <c r="B1312" s="749">
        <v>2023</v>
      </c>
      <c r="C1312" s="561" t="s">
        <v>665</v>
      </c>
      <c r="D1312" s="561" t="s">
        <v>1588</v>
      </c>
      <c r="E1312" s="561" t="s">
        <v>667</v>
      </c>
      <c r="F1312" s="735">
        <v>0</v>
      </c>
      <c r="G1312" s="749">
        <v>0</v>
      </c>
      <c r="H1312" s="749"/>
      <c r="I1312" s="733"/>
      <c r="J1312" s="733"/>
      <c r="K1312" s="735">
        <v>0</v>
      </c>
      <c r="L1312" s="750">
        <v>0</v>
      </c>
    </row>
    <row r="1313" spans="1:12" ht="21" x14ac:dyDescent="0.25">
      <c r="A1313" s="561" t="s">
        <v>95</v>
      </c>
      <c r="B1313" s="749">
        <v>2023</v>
      </c>
      <c r="C1313" s="561" t="s">
        <v>668</v>
      </c>
      <c r="D1313" s="561" t="s">
        <v>1589</v>
      </c>
      <c r="E1313" s="561" t="s">
        <v>12</v>
      </c>
      <c r="F1313" s="735">
        <v>0</v>
      </c>
      <c r="G1313" s="749">
        <v>0</v>
      </c>
      <c r="H1313" s="749"/>
      <c r="I1313" s="733"/>
      <c r="J1313" s="733"/>
      <c r="K1313" s="735">
        <v>0</v>
      </c>
      <c r="L1313" s="750">
        <v>0</v>
      </c>
    </row>
    <row r="1314" spans="1:12" ht="21" x14ac:dyDescent="0.25">
      <c r="A1314" s="561" t="s">
        <v>95</v>
      </c>
      <c r="B1314" s="749">
        <v>2023</v>
      </c>
      <c r="C1314" s="561" t="s">
        <v>670</v>
      </c>
      <c r="D1314" s="561" t="s">
        <v>1590</v>
      </c>
      <c r="E1314" s="561" t="s">
        <v>13</v>
      </c>
      <c r="F1314" s="735">
        <v>0</v>
      </c>
      <c r="G1314" s="749">
        <v>0</v>
      </c>
      <c r="H1314" s="749"/>
      <c r="I1314" s="733"/>
      <c r="J1314" s="733"/>
      <c r="K1314" s="735">
        <v>0</v>
      </c>
      <c r="L1314" s="750">
        <v>0</v>
      </c>
    </row>
    <row r="1315" spans="1:12" ht="21" x14ac:dyDescent="0.25">
      <c r="A1315" s="561" t="s">
        <v>95</v>
      </c>
      <c r="B1315" s="749">
        <v>2023</v>
      </c>
      <c r="C1315" s="561" t="s">
        <v>672</v>
      </c>
      <c r="D1315" s="561" t="s">
        <v>1591</v>
      </c>
      <c r="E1315" s="561" t="s">
        <v>15</v>
      </c>
      <c r="F1315" s="735">
        <v>0</v>
      </c>
      <c r="G1315" s="749">
        <v>0</v>
      </c>
      <c r="H1315" s="749"/>
      <c r="I1315" s="733"/>
      <c r="J1315" s="733"/>
      <c r="K1315" s="735">
        <v>0</v>
      </c>
      <c r="L1315" s="750">
        <v>0</v>
      </c>
    </row>
    <row r="1316" spans="1:12" x14ac:dyDescent="0.25">
      <c r="A1316" s="561" t="s">
        <v>95</v>
      </c>
      <c r="B1316" s="749">
        <v>2023</v>
      </c>
      <c r="C1316" s="561" t="s">
        <v>674</v>
      </c>
      <c r="D1316" s="561" t="s">
        <v>1592</v>
      </c>
      <c r="E1316" s="561" t="s">
        <v>676</v>
      </c>
      <c r="F1316" s="735">
        <v>19113.91</v>
      </c>
      <c r="G1316" s="749">
        <v>0</v>
      </c>
      <c r="H1316" s="749"/>
      <c r="I1316" s="733"/>
      <c r="J1316" s="733"/>
      <c r="K1316" s="735">
        <v>0</v>
      </c>
      <c r="L1316" s="750">
        <v>19113.91</v>
      </c>
    </row>
    <row r="1317" spans="1:12" x14ac:dyDescent="0.25">
      <c r="A1317" s="561" t="s">
        <v>95</v>
      </c>
      <c r="B1317" s="749">
        <v>2023</v>
      </c>
      <c r="C1317" s="561" t="s">
        <v>677</v>
      </c>
      <c r="D1317" s="561" t="s">
        <v>1593</v>
      </c>
      <c r="E1317" s="561" t="s">
        <v>23</v>
      </c>
      <c r="F1317" s="735">
        <v>86438.8</v>
      </c>
      <c r="G1317" s="749">
        <v>1</v>
      </c>
      <c r="H1317" s="749"/>
      <c r="I1317" s="735">
        <v>85000.41</v>
      </c>
      <c r="J1317" s="735">
        <v>1438.39</v>
      </c>
      <c r="K1317" s="735">
        <v>86438.8</v>
      </c>
      <c r="L1317" s="750">
        <v>86438.8</v>
      </c>
    </row>
    <row r="1318" spans="1:12" ht="21" x14ac:dyDescent="0.25">
      <c r="A1318" s="561" t="s">
        <v>95</v>
      </c>
      <c r="B1318" s="749">
        <v>2023</v>
      </c>
      <c r="C1318" s="561" t="s">
        <v>679</v>
      </c>
      <c r="D1318" s="561" t="s">
        <v>1594</v>
      </c>
      <c r="E1318" s="561" t="s">
        <v>131</v>
      </c>
      <c r="F1318" s="735">
        <v>-17453.689999999999</v>
      </c>
      <c r="G1318" s="749">
        <v>1</v>
      </c>
      <c r="H1318" s="749"/>
      <c r="I1318" s="735">
        <v>-17324.63</v>
      </c>
      <c r="J1318" s="735">
        <v>-129.06</v>
      </c>
      <c r="K1318" s="735">
        <v>-17453.689999999999</v>
      </c>
      <c r="L1318" s="750">
        <v>-17453.689999999999</v>
      </c>
    </row>
    <row r="1319" spans="1:12" ht="31.5" x14ac:dyDescent="0.25">
      <c r="A1319" s="561" t="s">
        <v>95</v>
      </c>
      <c r="B1319" s="749">
        <v>2023</v>
      </c>
      <c r="C1319" s="561" t="s">
        <v>681</v>
      </c>
      <c r="D1319" s="561" t="s">
        <v>1595</v>
      </c>
      <c r="E1319" s="561" t="s">
        <v>683</v>
      </c>
      <c r="F1319" s="735">
        <v>-7850.23</v>
      </c>
      <c r="G1319" s="749">
        <v>0</v>
      </c>
      <c r="H1319" s="749"/>
      <c r="I1319" s="733"/>
      <c r="J1319" s="733"/>
      <c r="K1319" s="735">
        <v>0</v>
      </c>
      <c r="L1319" s="750">
        <v>-7850.23</v>
      </c>
    </row>
    <row r="1320" spans="1:12" ht="21" x14ac:dyDescent="0.25">
      <c r="A1320" s="561" t="s">
        <v>95</v>
      </c>
      <c r="B1320" s="749">
        <v>2023</v>
      </c>
      <c r="C1320" s="561" t="s">
        <v>681</v>
      </c>
      <c r="D1320" s="561" t="s">
        <v>1595</v>
      </c>
      <c r="E1320" s="561" t="s">
        <v>684</v>
      </c>
      <c r="F1320" s="735">
        <v>0</v>
      </c>
      <c r="G1320" s="749">
        <v>0</v>
      </c>
      <c r="H1320" s="749"/>
      <c r="I1320" s="733"/>
      <c r="J1320" s="733"/>
      <c r="K1320" s="735">
        <v>0</v>
      </c>
      <c r="L1320" s="751">
        <v>0</v>
      </c>
    </row>
    <row r="1321" spans="1:12" x14ac:dyDescent="0.25">
      <c r="A1321" s="561" t="s">
        <v>95</v>
      </c>
      <c r="B1321" s="749">
        <v>2023</v>
      </c>
      <c r="C1321" s="561" t="s">
        <v>685</v>
      </c>
      <c r="D1321" s="561" t="s">
        <v>1596</v>
      </c>
      <c r="E1321" s="561" t="s">
        <v>687</v>
      </c>
      <c r="F1321" s="735">
        <v>0</v>
      </c>
      <c r="G1321" s="749">
        <v>0</v>
      </c>
      <c r="H1321" s="749"/>
      <c r="I1321" s="733"/>
      <c r="J1321" s="733"/>
      <c r="K1321" s="735">
        <v>0</v>
      </c>
      <c r="L1321" s="750">
        <v>0</v>
      </c>
    </row>
    <row r="1322" spans="1:12" x14ac:dyDescent="0.25">
      <c r="A1322" s="561" t="s">
        <v>95</v>
      </c>
      <c r="B1322" s="749">
        <v>2023</v>
      </c>
      <c r="C1322" s="561" t="s">
        <v>688</v>
      </c>
      <c r="D1322" s="561" t="s">
        <v>1597</v>
      </c>
      <c r="E1322" s="561" t="s">
        <v>50</v>
      </c>
      <c r="F1322" s="735">
        <v>0</v>
      </c>
      <c r="G1322" s="749">
        <v>0</v>
      </c>
      <c r="H1322" s="749"/>
      <c r="I1322" s="733"/>
      <c r="J1322" s="733"/>
      <c r="K1322" s="735">
        <v>0</v>
      </c>
      <c r="L1322" s="750">
        <v>0</v>
      </c>
    </row>
    <row r="1323" spans="1:12" x14ac:dyDescent="0.25">
      <c r="A1323" s="561" t="s">
        <v>95</v>
      </c>
      <c r="B1323" s="749">
        <v>2023</v>
      </c>
      <c r="C1323" s="561" t="s">
        <v>690</v>
      </c>
      <c r="D1323" s="561" t="s">
        <v>1598</v>
      </c>
      <c r="E1323" s="561" t="s">
        <v>692</v>
      </c>
      <c r="F1323" s="735">
        <v>0</v>
      </c>
      <c r="G1323" s="749">
        <v>0</v>
      </c>
      <c r="H1323" s="749"/>
      <c r="I1323" s="733"/>
      <c r="J1323" s="733"/>
      <c r="K1323" s="735">
        <v>0</v>
      </c>
      <c r="L1323" s="750">
        <v>0</v>
      </c>
    </row>
    <row r="1324" spans="1:12" ht="21" x14ac:dyDescent="0.25">
      <c r="A1324" s="561" t="s">
        <v>95</v>
      </c>
      <c r="B1324" s="749">
        <v>2023</v>
      </c>
      <c r="C1324" s="561" t="s">
        <v>693</v>
      </c>
      <c r="D1324" s="561" t="s">
        <v>1599</v>
      </c>
      <c r="E1324" s="561" t="s">
        <v>6</v>
      </c>
      <c r="F1324" s="735">
        <v>0</v>
      </c>
      <c r="G1324" s="749">
        <v>0</v>
      </c>
      <c r="H1324" s="749"/>
      <c r="I1324" s="733"/>
      <c r="J1324" s="733"/>
      <c r="K1324" s="735">
        <v>0</v>
      </c>
      <c r="L1324" s="750">
        <v>0</v>
      </c>
    </row>
    <row r="1325" spans="1:12" ht="21" x14ac:dyDescent="0.25">
      <c r="A1325" s="561" t="s">
        <v>95</v>
      </c>
      <c r="B1325" s="749">
        <v>2023</v>
      </c>
      <c r="C1325" s="561" t="s">
        <v>695</v>
      </c>
      <c r="D1325" s="561" t="s">
        <v>1600</v>
      </c>
      <c r="E1325" s="561" t="s">
        <v>697</v>
      </c>
      <c r="F1325" s="735">
        <v>0</v>
      </c>
      <c r="G1325" s="749">
        <v>0</v>
      </c>
      <c r="H1325" s="749"/>
      <c r="I1325" s="733"/>
      <c r="J1325" s="733"/>
      <c r="K1325" s="735">
        <v>0</v>
      </c>
      <c r="L1325" s="750">
        <v>0</v>
      </c>
    </row>
    <row r="1326" spans="1:12" x14ac:dyDescent="0.25">
      <c r="A1326" s="561" t="s">
        <v>95</v>
      </c>
      <c r="B1326" s="749">
        <v>2023</v>
      </c>
      <c r="C1326" s="561" t="s">
        <v>698</v>
      </c>
      <c r="D1326" s="561" t="s">
        <v>1601</v>
      </c>
      <c r="E1326" s="561" t="s">
        <v>700</v>
      </c>
      <c r="F1326" s="735">
        <v>0</v>
      </c>
      <c r="G1326" s="749">
        <v>0</v>
      </c>
      <c r="H1326" s="749"/>
      <c r="I1326" s="733"/>
      <c r="J1326" s="733"/>
      <c r="K1326" s="735">
        <v>0</v>
      </c>
      <c r="L1326" s="750">
        <v>0</v>
      </c>
    </row>
    <row r="1327" spans="1:12" ht="21" x14ac:dyDescent="0.25">
      <c r="A1327" s="561" t="s">
        <v>95</v>
      </c>
      <c r="B1327" s="749">
        <v>2023</v>
      </c>
      <c r="C1327" s="561" t="s">
        <v>701</v>
      </c>
      <c r="D1327" s="561" t="s">
        <v>1602</v>
      </c>
      <c r="E1327" s="561" t="s">
        <v>1</v>
      </c>
      <c r="F1327" s="735">
        <v>149294.37</v>
      </c>
      <c r="G1327" s="749">
        <v>1</v>
      </c>
      <c r="H1327" s="749"/>
      <c r="I1327" s="735">
        <v>146991.35</v>
      </c>
      <c r="J1327" s="735">
        <v>2303.02</v>
      </c>
      <c r="K1327" s="735">
        <v>149294.37</v>
      </c>
      <c r="L1327" s="750">
        <v>149294.37</v>
      </c>
    </row>
    <row r="1328" spans="1:12" ht="21" x14ac:dyDescent="0.25">
      <c r="A1328" s="561" t="s">
        <v>95</v>
      </c>
      <c r="B1328" s="749">
        <v>2023</v>
      </c>
      <c r="C1328" s="561" t="s">
        <v>701</v>
      </c>
      <c r="D1328" s="561" t="s">
        <v>1602</v>
      </c>
      <c r="E1328" s="561" t="s">
        <v>703</v>
      </c>
      <c r="F1328" s="735">
        <v>0</v>
      </c>
      <c r="G1328" s="749">
        <v>0</v>
      </c>
      <c r="H1328" s="749"/>
      <c r="I1328" s="733"/>
      <c r="J1328" s="733"/>
      <c r="K1328" s="735">
        <v>0</v>
      </c>
      <c r="L1328" s="751">
        <v>-5.58</v>
      </c>
    </row>
    <row r="1329" spans="1:12" ht="21" x14ac:dyDescent="0.25">
      <c r="A1329" s="561" t="s">
        <v>95</v>
      </c>
      <c r="B1329" s="749">
        <v>2023</v>
      </c>
      <c r="C1329" s="561" t="s">
        <v>701</v>
      </c>
      <c r="D1329" s="561" t="s">
        <v>1602</v>
      </c>
      <c r="E1329" s="561" t="s">
        <v>704</v>
      </c>
      <c r="F1329" s="735">
        <v>0</v>
      </c>
      <c r="G1329" s="749">
        <v>0</v>
      </c>
      <c r="H1329" s="749"/>
      <c r="I1329" s="733"/>
      <c r="J1329" s="733"/>
      <c r="K1329" s="735">
        <v>0</v>
      </c>
      <c r="L1329" s="751">
        <v>-62.08</v>
      </c>
    </row>
    <row r="1330" spans="1:12" ht="21" x14ac:dyDescent="0.25">
      <c r="A1330" s="561" t="s">
        <v>95</v>
      </c>
      <c r="B1330" s="749">
        <v>2023</v>
      </c>
      <c r="C1330" s="561" t="s">
        <v>701</v>
      </c>
      <c r="D1330" s="561" t="s">
        <v>1602</v>
      </c>
      <c r="E1330" s="561" t="s">
        <v>705</v>
      </c>
      <c r="F1330" s="735">
        <v>0</v>
      </c>
      <c r="G1330" s="749">
        <v>0</v>
      </c>
      <c r="H1330" s="749"/>
      <c r="I1330" s="733"/>
      <c r="J1330" s="733"/>
      <c r="K1330" s="735">
        <v>0</v>
      </c>
      <c r="L1330" s="751">
        <v>-2091.2800000000002</v>
      </c>
    </row>
    <row r="1331" spans="1:12" ht="21" x14ac:dyDescent="0.25">
      <c r="A1331" s="561" t="s">
        <v>95</v>
      </c>
      <c r="B1331" s="749">
        <v>2023</v>
      </c>
      <c r="C1331" s="561" t="s">
        <v>701</v>
      </c>
      <c r="D1331" s="561" t="s">
        <v>1602</v>
      </c>
      <c r="E1331" s="561" t="s">
        <v>706</v>
      </c>
      <c r="F1331" s="735">
        <v>0</v>
      </c>
      <c r="G1331" s="749">
        <v>0</v>
      </c>
      <c r="H1331" s="749"/>
      <c r="I1331" s="733"/>
      <c r="J1331" s="733"/>
      <c r="K1331" s="735">
        <v>0</v>
      </c>
      <c r="L1331" s="751">
        <v>-55126.01</v>
      </c>
    </row>
    <row r="1332" spans="1:12" x14ac:dyDescent="0.25">
      <c r="A1332" s="561" t="s">
        <v>95</v>
      </c>
      <c r="B1332" s="749">
        <v>2023</v>
      </c>
      <c r="C1332" s="561" t="s">
        <v>707</v>
      </c>
      <c r="D1332" s="561" t="s">
        <v>1603</v>
      </c>
      <c r="E1332" s="561" t="s">
        <v>709</v>
      </c>
      <c r="F1332" s="735">
        <v>0</v>
      </c>
      <c r="G1332" s="749">
        <v>0</v>
      </c>
      <c r="H1332" s="749"/>
      <c r="I1332" s="733"/>
      <c r="J1332" s="733"/>
      <c r="K1332" s="735">
        <v>0</v>
      </c>
      <c r="L1332" s="750">
        <v>0</v>
      </c>
    </row>
    <row r="1333" spans="1:12" ht="21" x14ac:dyDescent="0.25">
      <c r="A1333" s="561" t="s">
        <v>95</v>
      </c>
      <c r="B1333" s="749">
        <v>2023</v>
      </c>
      <c r="C1333" s="561" t="s">
        <v>710</v>
      </c>
      <c r="D1333" s="561" t="s">
        <v>1604</v>
      </c>
      <c r="E1333" s="561" t="s">
        <v>2</v>
      </c>
      <c r="F1333" s="735">
        <v>248652.13</v>
      </c>
      <c r="G1333" s="749">
        <v>1</v>
      </c>
      <c r="H1333" s="749"/>
      <c r="I1333" s="735">
        <v>244232.79</v>
      </c>
      <c r="J1333" s="735">
        <v>4419.34</v>
      </c>
      <c r="K1333" s="735">
        <v>248652.13</v>
      </c>
      <c r="L1333" s="750">
        <v>248652.13</v>
      </c>
    </row>
    <row r="1334" spans="1:12" ht="21" x14ac:dyDescent="0.25">
      <c r="A1334" s="561" t="s">
        <v>95</v>
      </c>
      <c r="B1334" s="749">
        <v>2023</v>
      </c>
      <c r="C1334" s="561" t="s">
        <v>712</v>
      </c>
      <c r="D1334" s="561" t="s">
        <v>1605</v>
      </c>
      <c r="E1334" s="561" t="s">
        <v>3</v>
      </c>
      <c r="F1334" s="735">
        <v>-10841.05</v>
      </c>
      <c r="G1334" s="749">
        <v>1</v>
      </c>
      <c r="H1334" s="749"/>
      <c r="I1334" s="735">
        <v>-10566.97</v>
      </c>
      <c r="J1334" s="735">
        <v>-274.08</v>
      </c>
      <c r="K1334" s="735">
        <v>-10841.05</v>
      </c>
      <c r="L1334" s="750">
        <v>-10841.05</v>
      </c>
    </row>
    <row r="1335" spans="1:12" ht="21" x14ac:dyDescent="0.25">
      <c r="A1335" s="561" t="s">
        <v>95</v>
      </c>
      <c r="B1335" s="749">
        <v>2023</v>
      </c>
      <c r="C1335" s="561" t="s">
        <v>714</v>
      </c>
      <c r="D1335" s="561" t="s">
        <v>1606</v>
      </c>
      <c r="E1335" s="561" t="s">
        <v>38</v>
      </c>
      <c r="F1335" s="735">
        <v>-515762.04</v>
      </c>
      <c r="G1335" s="749">
        <v>1</v>
      </c>
      <c r="H1335" s="749"/>
      <c r="I1335" s="735">
        <v>-496028.35</v>
      </c>
      <c r="J1335" s="735">
        <v>-19733.689999999999</v>
      </c>
      <c r="K1335" s="735">
        <v>-515762.04</v>
      </c>
      <c r="L1335" s="750">
        <v>-515762.04</v>
      </c>
    </row>
    <row r="1336" spans="1:12" x14ac:dyDescent="0.25">
      <c r="A1336" s="561" t="s">
        <v>95</v>
      </c>
      <c r="B1336" s="749">
        <v>2023</v>
      </c>
      <c r="C1336" s="561" t="s">
        <v>716</v>
      </c>
      <c r="D1336" s="561" t="s">
        <v>1607</v>
      </c>
      <c r="E1336" s="561" t="s">
        <v>66</v>
      </c>
      <c r="F1336" s="735">
        <v>-477632.83</v>
      </c>
      <c r="G1336" s="749">
        <v>1</v>
      </c>
      <c r="H1336" s="749"/>
      <c r="I1336" s="735">
        <v>-463400.19</v>
      </c>
      <c r="J1336" s="735">
        <v>-14232.64</v>
      </c>
      <c r="K1336" s="735">
        <v>-477632.83</v>
      </c>
      <c r="L1336" s="750">
        <v>-477632.83</v>
      </c>
    </row>
    <row r="1337" spans="1:12" ht="21" x14ac:dyDescent="0.25">
      <c r="A1337" s="561" t="s">
        <v>95</v>
      </c>
      <c r="B1337" s="749">
        <v>2023</v>
      </c>
      <c r="C1337" s="561" t="s">
        <v>718</v>
      </c>
      <c r="D1337" s="561" t="s">
        <v>1608</v>
      </c>
      <c r="E1337" s="561" t="s">
        <v>720</v>
      </c>
      <c r="F1337" s="735">
        <v>0</v>
      </c>
      <c r="G1337" s="749">
        <v>0</v>
      </c>
      <c r="H1337" s="749"/>
      <c r="I1337" s="733"/>
      <c r="J1337" s="733"/>
      <c r="K1337" s="735">
        <v>0</v>
      </c>
      <c r="L1337" s="750">
        <v>0</v>
      </c>
    </row>
    <row r="1338" spans="1:12" ht="31.5" x14ac:dyDescent="0.25">
      <c r="A1338" s="561" t="s">
        <v>95</v>
      </c>
      <c r="B1338" s="749">
        <v>2023</v>
      </c>
      <c r="C1338" s="561" t="s">
        <v>721</v>
      </c>
      <c r="D1338" s="561" t="s">
        <v>1610</v>
      </c>
      <c r="E1338" s="561" t="s">
        <v>724</v>
      </c>
      <c r="F1338" s="735">
        <v>0</v>
      </c>
      <c r="G1338" s="749">
        <v>1</v>
      </c>
      <c r="H1338" s="749"/>
      <c r="I1338" s="735">
        <v>-96834.95</v>
      </c>
      <c r="J1338" s="735">
        <v>-17370.77</v>
      </c>
      <c r="K1338" s="735">
        <v>-114205.72</v>
      </c>
      <c r="L1338" s="750">
        <v>-114205.72</v>
      </c>
    </row>
    <row r="1339" spans="1:12" ht="31.5" x14ac:dyDescent="0.25">
      <c r="A1339" s="561" t="s">
        <v>95</v>
      </c>
      <c r="B1339" s="749">
        <v>2023</v>
      </c>
      <c r="C1339" s="561" t="s">
        <v>721</v>
      </c>
      <c r="D1339" s="561" t="s">
        <v>1611</v>
      </c>
      <c r="E1339" s="561" t="s">
        <v>55</v>
      </c>
      <c r="F1339" s="735">
        <v>0</v>
      </c>
      <c r="G1339" s="749">
        <v>1</v>
      </c>
      <c r="H1339" s="749"/>
      <c r="I1339" s="733"/>
      <c r="J1339" s="733"/>
      <c r="K1339" s="735">
        <v>0</v>
      </c>
      <c r="L1339" s="750">
        <v>0</v>
      </c>
    </row>
    <row r="1340" spans="1:12" ht="31.5" x14ac:dyDescent="0.25">
      <c r="A1340" s="561" t="s">
        <v>95</v>
      </c>
      <c r="B1340" s="749">
        <v>2023</v>
      </c>
      <c r="C1340" s="561" t="s">
        <v>721</v>
      </c>
      <c r="D1340" s="561" t="s">
        <v>1612</v>
      </c>
      <c r="E1340" s="561" t="s">
        <v>56</v>
      </c>
      <c r="F1340" s="735">
        <v>0</v>
      </c>
      <c r="G1340" s="749">
        <v>1</v>
      </c>
      <c r="H1340" s="749"/>
      <c r="I1340" s="733"/>
      <c r="J1340" s="733"/>
      <c r="K1340" s="735">
        <v>0</v>
      </c>
      <c r="L1340" s="750">
        <v>0</v>
      </c>
    </row>
    <row r="1341" spans="1:12" ht="31.5" x14ac:dyDescent="0.25">
      <c r="A1341" s="561" t="s">
        <v>95</v>
      </c>
      <c r="B1341" s="749">
        <v>2023</v>
      </c>
      <c r="C1341" s="561" t="s">
        <v>721</v>
      </c>
      <c r="D1341" s="561" t="s">
        <v>1613</v>
      </c>
      <c r="E1341" s="561" t="s">
        <v>728</v>
      </c>
      <c r="F1341" s="735">
        <v>0</v>
      </c>
      <c r="G1341" s="749">
        <v>1</v>
      </c>
      <c r="H1341" s="749"/>
      <c r="I1341" s="733"/>
      <c r="J1341" s="733"/>
      <c r="K1341" s="735">
        <v>0</v>
      </c>
      <c r="L1341" s="750">
        <v>0</v>
      </c>
    </row>
    <row r="1342" spans="1:12" ht="31.5" x14ac:dyDescent="0.25">
      <c r="A1342" s="561" t="s">
        <v>95</v>
      </c>
      <c r="B1342" s="749">
        <v>2023</v>
      </c>
      <c r="C1342" s="561" t="s">
        <v>721</v>
      </c>
      <c r="D1342" s="561" t="s">
        <v>1614</v>
      </c>
      <c r="E1342" s="561" t="s">
        <v>730</v>
      </c>
      <c r="F1342" s="735">
        <v>0</v>
      </c>
      <c r="G1342" s="749">
        <v>1</v>
      </c>
      <c r="H1342" s="749"/>
      <c r="I1342" s="733"/>
      <c r="J1342" s="733"/>
      <c r="K1342" s="735">
        <v>0</v>
      </c>
      <c r="L1342" s="750">
        <v>0</v>
      </c>
    </row>
    <row r="1343" spans="1:12" ht="31.5" x14ac:dyDescent="0.25">
      <c r="A1343" s="561" t="s">
        <v>95</v>
      </c>
      <c r="B1343" s="749">
        <v>2023</v>
      </c>
      <c r="C1343" s="561" t="s">
        <v>721</v>
      </c>
      <c r="D1343" s="561" t="s">
        <v>1615</v>
      </c>
      <c r="E1343" s="561" t="s">
        <v>142</v>
      </c>
      <c r="F1343" s="735">
        <v>0</v>
      </c>
      <c r="G1343" s="749">
        <v>1</v>
      </c>
      <c r="H1343" s="749"/>
      <c r="I1343" s="733"/>
      <c r="J1343" s="733"/>
      <c r="K1343" s="735">
        <v>0</v>
      </c>
      <c r="L1343" s="750">
        <v>0</v>
      </c>
    </row>
    <row r="1344" spans="1:12" ht="31.5" x14ac:dyDescent="0.25">
      <c r="A1344" s="561" t="s">
        <v>95</v>
      </c>
      <c r="B1344" s="749">
        <v>2023</v>
      </c>
      <c r="C1344" s="561" t="s">
        <v>721</v>
      </c>
      <c r="D1344" s="561" t="s">
        <v>1616</v>
      </c>
      <c r="E1344" s="561" t="s">
        <v>143</v>
      </c>
      <c r="F1344" s="735">
        <v>0</v>
      </c>
      <c r="G1344" s="749">
        <v>1</v>
      </c>
      <c r="H1344" s="749"/>
      <c r="I1344" s="733"/>
      <c r="J1344" s="733"/>
      <c r="K1344" s="735">
        <v>0</v>
      </c>
      <c r="L1344" s="750">
        <v>0</v>
      </c>
    </row>
    <row r="1345" spans="1:12" ht="31.5" x14ac:dyDescent="0.25">
      <c r="A1345" s="561" t="s">
        <v>95</v>
      </c>
      <c r="B1345" s="749">
        <v>2023</v>
      </c>
      <c r="C1345" s="561" t="s">
        <v>721</v>
      </c>
      <c r="D1345" s="561" t="s">
        <v>1617</v>
      </c>
      <c r="E1345" s="561" t="s">
        <v>182</v>
      </c>
      <c r="F1345" s="735">
        <v>0</v>
      </c>
      <c r="G1345" s="749">
        <v>1</v>
      </c>
      <c r="H1345" s="749"/>
      <c r="I1345" s="733"/>
      <c r="J1345" s="733"/>
      <c r="K1345" s="735">
        <v>0</v>
      </c>
      <c r="L1345" s="750">
        <v>0</v>
      </c>
    </row>
    <row r="1346" spans="1:12" ht="31.5" x14ac:dyDescent="0.25">
      <c r="A1346" s="561" t="s">
        <v>95</v>
      </c>
      <c r="B1346" s="749">
        <v>2023</v>
      </c>
      <c r="C1346" s="561" t="s">
        <v>721</v>
      </c>
      <c r="D1346" s="561" t="s">
        <v>1618</v>
      </c>
      <c r="E1346" s="561" t="s">
        <v>394</v>
      </c>
      <c r="F1346" s="735">
        <v>0</v>
      </c>
      <c r="G1346" s="749">
        <v>1</v>
      </c>
      <c r="H1346" s="749"/>
      <c r="I1346" s="733"/>
      <c r="J1346" s="733"/>
      <c r="K1346" s="735">
        <v>0</v>
      </c>
      <c r="L1346" s="750">
        <v>0</v>
      </c>
    </row>
    <row r="1347" spans="1:12" ht="31.5" x14ac:dyDescent="0.25">
      <c r="A1347" s="561" t="s">
        <v>95</v>
      </c>
      <c r="B1347" s="749">
        <v>2023</v>
      </c>
      <c r="C1347" s="561" t="s">
        <v>721</v>
      </c>
      <c r="D1347" s="561" t="s">
        <v>1619</v>
      </c>
      <c r="E1347" s="561" t="s">
        <v>423</v>
      </c>
      <c r="F1347" s="735">
        <v>0</v>
      </c>
      <c r="G1347" s="749">
        <v>1</v>
      </c>
      <c r="H1347" s="749"/>
      <c r="I1347" s="733"/>
      <c r="J1347" s="733"/>
      <c r="K1347" s="735">
        <v>0</v>
      </c>
      <c r="L1347" s="750">
        <v>0</v>
      </c>
    </row>
    <row r="1348" spans="1:12" ht="31.5" x14ac:dyDescent="0.25">
      <c r="A1348" s="561" t="s">
        <v>95</v>
      </c>
      <c r="B1348" s="749">
        <v>2023</v>
      </c>
      <c r="C1348" s="561" t="s">
        <v>721</v>
      </c>
      <c r="D1348" s="561" t="s">
        <v>3261</v>
      </c>
      <c r="E1348" s="561" t="s">
        <v>441</v>
      </c>
      <c r="F1348" s="735">
        <v>0</v>
      </c>
      <c r="G1348" s="749">
        <v>1</v>
      </c>
      <c r="H1348" s="749"/>
      <c r="I1348" s="733"/>
      <c r="J1348" s="733"/>
      <c r="K1348" s="735">
        <v>0</v>
      </c>
      <c r="L1348" s="750">
        <v>0</v>
      </c>
    </row>
    <row r="1349" spans="1:12" ht="31.5" x14ac:dyDescent="0.25">
      <c r="A1349" s="561" t="s">
        <v>95</v>
      </c>
      <c r="B1349" s="749">
        <v>2023</v>
      </c>
      <c r="C1349" s="561" t="s">
        <v>721</v>
      </c>
      <c r="D1349" s="561" t="s">
        <v>3534</v>
      </c>
      <c r="E1349" s="561" t="s">
        <v>3016</v>
      </c>
      <c r="F1349" s="735">
        <v>0</v>
      </c>
      <c r="G1349" s="749">
        <v>1</v>
      </c>
      <c r="H1349" s="749"/>
      <c r="I1349" s="733"/>
      <c r="J1349" s="733"/>
      <c r="K1349" s="735">
        <v>0</v>
      </c>
      <c r="L1349" s="750">
        <v>0</v>
      </c>
    </row>
    <row r="1350" spans="1:12" ht="31.5" x14ac:dyDescent="0.25">
      <c r="A1350" s="561" t="s">
        <v>95</v>
      </c>
      <c r="B1350" s="749">
        <v>2023</v>
      </c>
      <c r="C1350" s="561" t="s">
        <v>721</v>
      </c>
      <c r="D1350" s="561" t="s">
        <v>3535</v>
      </c>
      <c r="E1350" s="561" t="s">
        <v>3058</v>
      </c>
      <c r="F1350" s="735">
        <v>0</v>
      </c>
      <c r="G1350" s="749">
        <v>1</v>
      </c>
      <c r="H1350" s="749"/>
      <c r="I1350" s="733"/>
      <c r="J1350" s="733"/>
      <c r="K1350" s="735">
        <v>0</v>
      </c>
      <c r="L1350" s="750">
        <v>0</v>
      </c>
    </row>
    <row r="1351" spans="1:12" ht="31.5" x14ac:dyDescent="0.25">
      <c r="A1351" s="561" t="s">
        <v>95</v>
      </c>
      <c r="B1351" s="749">
        <v>2023</v>
      </c>
      <c r="C1351" s="561" t="s">
        <v>721</v>
      </c>
      <c r="D1351" s="561" t="s">
        <v>3536</v>
      </c>
      <c r="E1351" s="561" t="s">
        <v>3063</v>
      </c>
      <c r="F1351" s="735">
        <v>0</v>
      </c>
      <c r="G1351" s="749">
        <v>1</v>
      </c>
      <c r="H1351" s="749"/>
      <c r="I1351" s="733"/>
      <c r="J1351" s="733"/>
      <c r="K1351" s="735">
        <v>0</v>
      </c>
      <c r="L1351" s="750">
        <v>0</v>
      </c>
    </row>
    <row r="1352" spans="1:12" ht="31.5" x14ac:dyDescent="0.25">
      <c r="A1352" s="561" t="s">
        <v>95</v>
      </c>
      <c r="B1352" s="749">
        <v>2023</v>
      </c>
      <c r="C1352" s="561" t="s">
        <v>721</v>
      </c>
      <c r="D1352" s="561" t="s">
        <v>3832</v>
      </c>
      <c r="E1352" s="561" t="s">
        <v>3425</v>
      </c>
      <c r="F1352" s="735">
        <v>0</v>
      </c>
      <c r="G1352" s="749">
        <v>1</v>
      </c>
      <c r="H1352" s="749"/>
      <c r="I1352" s="733"/>
      <c r="J1352" s="733"/>
      <c r="K1352" s="735">
        <v>0</v>
      </c>
      <c r="L1352" s="750">
        <v>0</v>
      </c>
    </row>
    <row r="1353" spans="1:12" ht="42" x14ac:dyDescent="0.25">
      <c r="A1353" s="561" t="s">
        <v>95</v>
      </c>
      <c r="B1353" s="749">
        <v>2023</v>
      </c>
      <c r="C1353" s="561" t="s">
        <v>721</v>
      </c>
      <c r="D1353" s="561" t="s">
        <v>3833</v>
      </c>
      <c r="E1353" s="561" t="s">
        <v>737</v>
      </c>
      <c r="F1353" s="735">
        <v>-114205.72</v>
      </c>
      <c r="G1353" s="749">
        <v>0</v>
      </c>
      <c r="H1353" s="749"/>
      <c r="I1353" s="733"/>
      <c r="J1353" s="733"/>
      <c r="K1353" s="735">
        <v>0</v>
      </c>
      <c r="L1353" s="750">
        <v>-114205.72</v>
      </c>
    </row>
    <row r="1354" spans="1:12" x14ac:dyDescent="0.25">
      <c r="A1354" s="561" t="s">
        <v>95</v>
      </c>
      <c r="B1354" s="749">
        <v>2023</v>
      </c>
      <c r="C1354" s="561" t="s">
        <v>738</v>
      </c>
      <c r="D1354" s="561" t="s">
        <v>1621</v>
      </c>
      <c r="E1354" s="561" t="s">
        <v>7</v>
      </c>
      <c r="F1354" s="735">
        <v>0</v>
      </c>
      <c r="G1354" s="749">
        <v>0</v>
      </c>
      <c r="H1354" s="749"/>
      <c r="I1354" s="733"/>
      <c r="J1354" s="733"/>
      <c r="K1354" s="735">
        <v>0</v>
      </c>
      <c r="L1354" s="750">
        <v>0</v>
      </c>
    </row>
    <row r="1355" spans="1:12" x14ac:dyDescent="0.25">
      <c r="A1355" s="561" t="s">
        <v>96</v>
      </c>
      <c r="B1355" s="749">
        <v>2023</v>
      </c>
      <c r="C1355" s="561" t="s">
        <v>647</v>
      </c>
      <c r="D1355" s="561" t="s">
        <v>1622</v>
      </c>
      <c r="E1355" s="561" t="s">
        <v>649</v>
      </c>
      <c r="F1355" s="735">
        <v>142960696.02000001</v>
      </c>
      <c r="G1355" s="749">
        <v>0</v>
      </c>
      <c r="H1355" s="749"/>
      <c r="I1355" s="733"/>
      <c r="J1355" s="733"/>
      <c r="K1355" s="735">
        <v>0</v>
      </c>
      <c r="L1355" s="750">
        <v>142960696.02000001</v>
      </c>
    </row>
    <row r="1356" spans="1:12" ht="21" x14ac:dyDescent="0.25">
      <c r="A1356" s="561" t="s">
        <v>96</v>
      </c>
      <c r="B1356" s="749">
        <v>2023</v>
      </c>
      <c r="C1356" s="561" t="s">
        <v>3691</v>
      </c>
      <c r="D1356" s="561" t="s">
        <v>3646</v>
      </c>
      <c r="E1356" s="561" t="s">
        <v>3675</v>
      </c>
      <c r="F1356" s="735">
        <v>0</v>
      </c>
      <c r="G1356" s="749">
        <v>0</v>
      </c>
      <c r="H1356" s="749"/>
      <c r="I1356" s="733"/>
      <c r="J1356" s="733"/>
      <c r="K1356" s="735">
        <v>0</v>
      </c>
      <c r="L1356" s="750">
        <v>0</v>
      </c>
    </row>
    <row r="1357" spans="1:12" x14ac:dyDescent="0.25">
      <c r="A1357" s="561" t="s">
        <v>96</v>
      </c>
      <c r="B1357" s="749">
        <v>2023</v>
      </c>
      <c r="C1357" s="561" t="s">
        <v>651</v>
      </c>
      <c r="D1357" s="561" t="s">
        <v>1623</v>
      </c>
      <c r="E1357" s="561" t="s">
        <v>653</v>
      </c>
      <c r="F1357" s="735">
        <v>-997600.73</v>
      </c>
      <c r="G1357" s="749">
        <v>0</v>
      </c>
      <c r="H1357" s="749"/>
      <c r="I1357" s="733"/>
      <c r="J1357" s="733"/>
      <c r="K1357" s="735">
        <v>0</v>
      </c>
      <c r="L1357" s="750">
        <v>-997600.73</v>
      </c>
    </row>
    <row r="1358" spans="1:12" ht="31.5" x14ac:dyDescent="0.25">
      <c r="A1358" s="561" t="s">
        <v>96</v>
      </c>
      <c r="B1358" s="749">
        <v>2023</v>
      </c>
      <c r="C1358" s="561" t="s">
        <v>654</v>
      </c>
      <c r="D1358" s="561" t="s">
        <v>1624</v>
      </c>
      <c r="E1358" s="561" t="s">
        <v>445</v>
      </c>
      <c r="F1358" s="735">
        <v>-4942260.08</v>
      </c>
      <c r="G1358" s="749">
        <v>0</v>
      </c>
      <c r="H1358" s="749"/>
      <c r="I1358" s="733"/>
      <c r="J1358" s="733"/>
      <c r="K1358" s="735">
        <v>0</v>
      </c>
      <c r="L1358" s="750">
        <v>-4942260.08</v>
      </c>
    </row>
    <row r="1359" spans="1:12" ht="21" x14ac:dyDescent="0.25">
      <c r="A1359" s="561" t="s">
        <v>96</v>
      </c>
      <c r="B1359" s="749">
        <v>2023</v>
      </c>
      <c r="C1359" s="561" t="s">
        <v>656</v>
      </c>
      <c r="D1359" s="561" t="s">
        <v>1625</v>
      </c>
      <c r="E1359" s="561" t="s">
        <v>658</v>
      </c>
      <c r="F1359" s="735">
        <v>32138500.800000001</v>
      </c>
      <c r="G1359" s="749">
        <v>0</v>
      </c>
      <c r="H1359" s="749"/>
      <c r="I1359" s="733"/>
      <c r="J1359" s="733"/>
      <c r="K1359" s="735">
        <v>0</v>
      </c>
      <c r="L1359" s="750">
        <v>32138500.800000001</v>
      </c>
    </row>
    <row r="1360" spans="1:12" ht="21" x14ac:dyDescent="0.25">
      <c r="A1360" s="561" t="s">
        <v>96</v>
      </c>
      <c r="B1360" s="749">
        <v>2023</v>
      </c>
      <c r="C1360" s="561" t="s">
        <v>659</v>
      </c>
      <c r="D1360" s="561" t="s">
        <v>1626</v>
      </c>
      <c r="E1360" s="561" t="s">
        <v>661</v>
      </c>
      <c r="F1360" s="735">
        <v>0</v>
      </c>
      <c r="G1360" s="749">
        <v>0</v>
      </c>
      <c r="H1360" s="749"/>
      <c r="I1360" s="733"/>
      <c r="J1360" s="733"/>
      <c r="K1360" s="735">
        <v>0</v>
      </c>
      <c r="L1360" s="750">
        <v>0</v>
      </c>
    </row>
    <row r="1361" spans="1:12" ht="21" x14ac:dyDescent="0.25">
      <c r="A1361" s="561" t="s">
        <v>96</v>
      </c>
      <c r="B1361" s="749">
        <v>2023</v>
      </c>
      <c r="C1361" s="561" t="s">
        <v>662</v>
      </c>
      <c r="D1361" s="561" t="s">
        <v>1627</v>
      </c>
      <c r="E1361" s="561" t="s">
        <v>664</v>
      </c>
      <c r="F1361" s="735">
        <v>0</v>
      </c>
      <c r="G1361" s="749">
        <v>0</v>
      </c>
      <c r="H1361" s="749"/>
      <c r="I1361" s="733"/>
      <c r="J1361" s="733"/>
      <c r="K1361" s="735">
        <v>0</v>
      </c>
      <c r="L1361" s="750">
        <v>0</v>
      </c>
    </row>
    <row r="1362" spans="1:12" ht="31.5" x14ac:dyDescent="0.25">
      <c r="A1362" s="561" t="s">
        <v>96</v>
      </c>
      <c r="B1362" s="749">
        <v>2023</v>
      </c>
      <c r="C1362" s="561" t="s">
        <v>665</v>
      </c>
      <c r="D1362" s="561" t="s">
        <v>1628</v>
      </c>
      <c r="E1362" s="561" t="s">
        <v>667</v>
      </c>
      <c r="F1362" s="735">
        <v>-4168931.31</v>
      </c>
      <c r="G1362" s="749">
        <v>0</v>
      </c>
      <c r="H1362" s="749"/>
      <c r="I1362" s="733"/>
      <c r="J1362" s="733"/>
      <c r="K1362" s="735">
        <v>0</v>
      </c>
      <c r="L1362" s="750">
        <v>-4168931.31</v>
      </c>
    </row>
    <row r="1363" spans="1:12" ht="21" x14ac:dyDescent="0.25">
      <c r="A1363" s="561" t="s">
        <v>96</v>
      </c>
      <c r="B1363" s="749">
        <v>2023</v>
      </c>
      <c r="C1363" s="561" t="s">
        <v>668</v>
      </c>
      <c r="D1363" s="561" t="s">
        <v>1629</v>
      </c>
      <c r="E1363" s="561" t="s">
        <v>12</v>
      </c>
      <c r="F1363" s="735">
        <v>0</v>
      </c>
      <c r="G1363" s="749">
        <v>0</v>
      </c>
      <c r="H1363" s="749"/>
      <c r="I1363" s="733"/>
      <c r="J1363" s="733"/>
      <c r="K1363" s="735">
        <v>0</v>
      </c>
      <c r="L1363" s="750">
        <v>0</v>
      </c>
    </row>
    <row r="1364" spans="1:12" ht="21" x14ac:dyDescent="0.25">
      <c r="A1364" s="561" t="s">
        <v>96</v>
      </c>
      <c r="B1364" s="749">
        <v>2023</v>
      </c>
      <c r="C1364" s="561" t="s">
        <v>670</v>
      </c>
      <c r="D1364" s="561" t="s">
        <v>1630</v>
      </c>
      <c r="E1364" s="561" t="s">
        <v>749</v>
      </c>
      <c r="F1364" s="735">
        <v>0</v>
      </c>
      <c r="G1364" s="749">
        <v>0</v>
      </c>
      <c r="H1364" s="749"/>
      <c r="I1364" s="733"/>
      <c r="J1364" s="733"/>
      <c r="K1364" s="735">
        <v>0</v>
      </c>
      <c r="L1364" s="750">
        <v>0</v>
      </c>
    </row>
    <row r="1365" spans="1:12" ht="21" x14ac:dyDescent="0.25">
      <c r="A1365" s="561" t="s">
        <v>96</v>
      </c>
      <c r="B1365" s="749">
        <v>2023</v>
      </c>
      <c r="C1365" s="561" t="s">
        <v>672</v>
      </c>
      <c r="D1365" s="561" t="s">
        <v>1631</v>
      </c>
      <c r="E1365" s="561" t="s">
        <v>15</v>
      </c>
      <c r="F1365" s="735">
        <v>-243434.64</v>
      </c>
      <c r="G1365" s="749">
        <v>0</v>
      </c>
      <c r="H1365" s="749"/>
      <c r="I1365" s="733"/>
      <c r="J1365" s="733"/>
      <c r="K1365" s="735">
        <v>0</v>
      </c>
      <c r="L1365" s="750">
        <v>-243434.64</v>
      </c>
    </row>
    <row r="1366" spans="1:12" x14ac:dyDescent="0.25">
      <c r="A1366" s="561" t="s">
        <v>96</v>
      </c>
      <c r="B1366" s="749">
        <v>2023</v>
      </c>
      <c r="C1366" s="561" t="s">
        <v>674</v>
      </c>
      <c r="D1366" s="561" t="s">
        <v>1632</v>
      </c>
      <c r="E1366" s="561" t="s">
        <v>676</v>
      </c>
      <c r="F1366" s="735">
        <v>1569909.06</v>
      </c>
      <c r="G1366" s="749">
        <v>0</v>
      </c>
      <c r="H1366" s="749"/>
      <c r="I1366" s="733"/>
      <c r="J1366" s="733"/>
      <c r="K1366" s="735">
        <v>0</v>
      </c>
      <c r="L1366" s="750">
        <v>1569909.06</v>
      </c>
    </row>
    <row r="1367" spans="1:12" x14ac:dyDescent="0.25">
      <c r="A1367" s="561" t="s">
        <v>96</v>
      </c>
      <c r="B1367" s="749">
        <v>2023</v>
      </c>
      <c r="C1367" s="561" t="s">
        <v>677</v>
      </c>
      <c r="D1367" s="561" t="s">
        <v>1633</v>
      </c>
      <c r="E1367" s="561" t="s">
        <v>23</v>
      </c>
      <c r="F1367" s="735">
        <v>11676601.58</v>
      </c>
      <c r="G1367" s="749">
        <v>1</v>
      </c>
      <c r="H1367" s="749"/>
      <c r="I1367" s="735">
        <v>11269560.93</v>
      </c>
      <c r="J1367" s="735">
        <v>407040.65</v>
      </c>
      <c r="K1367" s="735">
        <v>11676601.58</v>
      </c>
      <c r="L1367" s="750">
        <v>11676601.58</v>
      </c>
    </row>
    <row r="1368" spans="1:12" ht="21" x14ac:dyDescent="0.25">
      <c r="A1368" s="561" t="s">
        <v>96</v>
      </c>
      <c r="B1368" s="749">
        <v>2023</v>
      </c>
      <c r="C1368" s="561" t="s">
        <v>679</v>
      </c>
      <c r="D1368" s="561" t="s">
        <v>1634</v>
      </c>
      <c r="E1368" s="561" t="s">
        <v>131</v>
      </c>
      <c r="F1368" s="735">
        <v>-4932068.18</v>
      </c>
      <c r="G1368" s="749">
        <v>1</v>
      </c>
      <c r="H1368" s="749"/>
      <c r="I1368" s="735">
        <v>-4879429.8600000003</v>
      </c>
      <c r="J1368" s="735">
        <v>-52638.32</v>
      </c>
      <c r="K1368" s="735">
        <v>-4932068.18</v>
      </c>
      <c r="L1368" s="750">
        <v>-4932068.18</v>
      </c>
    </row>
    <row r="1369" spans="1:12" ht="31.5" x14ac:dyDescent="0.25">
      <c r="A1369" s="561" t="s">
        <v>96</v>
      </c>
      <c r="B1369" s="749">
        <v>2023</v>
      </c>
      <c r="C1369" s="561" t="s">
        <v>681</v>
      </c>
      <c r="D1369" s="561" t="s">
        <v>1635</v>
      </c>
      <c r="E1369" s="561" t="s">
        <v>683</v>
      </c>
      <c r="F1369" s="735">
        <v>0</v>
      </c>
      <c r="G1369" s="749">
        <v>0</v>
      </c>
      <c r="H1369" s="749"/>
      <c r="I1369" s="733"/>
      <c r="J1369" s="733"/>
      <c r="K1369" s="735">
        <v>0</v>
      </c>
      <c r="L1369" s="750">
        <v>0</v>
      </c>
    </row>
    <row r="1370" spans="1:12" ht="21" x14ac:dyDescent="0.25">
      <c r="A1370" s="561" t="s">
        <v>96</v>
      </c>
      <c r="B1370" s="749">
        <v>2023</v>
      </c>
      <c r="C1370" s="561" t="s">
        <v>681</v>
      </c>
      <c r="D1370" s="561" t="s">
        <v>1635</v>
      </c>
      <c r="E1370" s="561" t="s">
        <v>684</v>
      </c>
      <c r="F1370" s="735">
        <v>0</v>
      </c>
      <c r="G1370" s="749">
        <v>0</v>
      </c>
      <c r="H1370" s="749"/>
      <c r="I1370" s="733"/>
      <c r="J1370" s="733"/>
      <c r="K1370" s="735">
        <v>0</v>
      </c>
      <c r="L1370" s="751">
        <v>0</v>
      </c>
    </row>
    <row r="1371" spans="1:12" x14ac:dyDescent="0.25">
      <c r="A1371" s="561" t="s">
        <v>96</v>
      </c>
      <c r="B1371" s="749">
        <v>2023</v>
      </c>
      <c r="C1371" s="561" t="s">
        <v>685</v>
      </c>
      <c r="D1371" s="561" t="s">
        <v>1636</v>
      </c>
      <c r="E1371" s="561" t="s">
        <v>687</v>
      </c>
      <c r="F1371" s="735">
        <v>0</v>
      </c>
      <c r="G1371" s="749">
        <v>0</v>
      </c>
      <c r="H1371" s="749"/>
      <c r="I1371" s="733"/>
      <c r="J1371" s="733"/>
      <c r="K1371" s="735">
        <v>0</v>
      </c>
      <c r="L1371" s="750">
        <v>0</v>
      </c>
    </row>
    <row r="1372" spans="1:12" x14ac:dyDescent="0.25">
      <c r="A1372" s="561" t="s">
        <v>96</v>
      </c>
      <c r="B1372" s="749">
        <v>2023</v>
      </c>
      <c r="C1372" s="561" t="s">
        <v>688</v>
      </c>
      <c r="D1372" s="561" t="s">
        <v>1637</v>
      </c>
      <c r="E1372" s="561" t="s">
        <v>50</v>
      </c>
      <c r="F1372" s="735">
        <v>0</v>
      </c>
      <c r="G1372" s="749">
        <v>0</v>
      </c>
      <c r="H1372" s="749"/>
      <c r="I1372" s="733"/>
      <c r="J1372" s="733"/>
      <c r="K1372" s="735">
        <v>0</v>
      </c>
      <c r="L1372" s="750">
        <v>0</v>
      </c>
    </row>
    <row r="1373" spans="1:12" x14ac:dyDescent="0.25">
      <c r="A1373" s="561" t="s">
        <v>96</v>
      </c>
      <c r="B1373" s="749">
        <v>2023</v>
      </c>
      <c r="C1373" s="561" t="s">
        <v>690</v>
      </c>
      <c r="D1373" s="561" t="s">
        <v>1638</v>
      </c>
      <c r="E1373" s="561" t="s">
        <v>692</v>
      </c>
      <c r="F1373" s="735">
        <v>0</v>
      </c>
      <c r="G1373" s="749">
        <v>0</v>
      </c>
      <c r="H1373" s="749"/>
      <c r="I1373" s="733"/>
      <c r="J1373" s="733"/>
      <c r="K1373" s="735">
        <v>0</v>
      </c>
      <c r="L1373" s="750">
        <v>0</v>
      </c>
    </row>
    <row r="1374" spans="1:12" ht="21" x14ac:dyDescent="0.25">
      <c r="A1374" s="561" t="s">
        <v>96</v>
      </c>
      <c r="B1374" s="749">
        <v>2023</v>
      </c>
      <c r="C1374" s="561" t="s">
        <v>693</v>
      </c>
      <c r="D1374" s="561" t="s">
        <v>1639</v>
      </c>
      <c r="E1374" s="561" t="s">
        <v>6</v>
      </c>
      <c r="F1374" s="735">
        <v>0</v>
      </c>
      <c r="G1374" s="749">
        <v>0</v>
      </c>
      <c r="H1374" s="749"/>
      <c r="I1374" s="733"/>
      <c r="J1374" s="733"/>
      <c r="K1374" s="735">
        <v>0</v>
      </c>
      <c r="L1374" s="750">
        <v>0</v>
      </c>
    </row>
    <row r="1375" spans="1:12" ht="21" x14ac:dyDescent="0.25">
      <c r="A1375" s="561" t="s">
        <v>96</v>
      </c>
      <c r="B1375" s="749">
        <v>2023</v>
      </c>
      <c r="C1375" s="561" t="s">
        <v>695</v>
      </c>
      <c r="D1375" s="561" t="s">
        <v>1640</v>
      </c>
      <c r="E1375" s="561" t="s">
        <v>697</v>
      </c>
      <c r="F1375" s="735">
        <v>0</v>
      </c>
      <c r="G1375" s="749">
        <v>0</v>
      </c>
      <c r="H1375" s="749"/>
      <c r="I1375" s="733"/>
      <c r="J1375" s="733"/>
      <c r="K1375" s="735">
        <v>0</v>
      </c>
      <c r="L1375" s="750">
        <v>0</v>
      </c>
    </row>
    <row r="1376" spans="1:12" x14ac:dyDescent="0.25">
      <c r="A1376" s="561" t="s">
        <v>96</v>
      </c>
      <c r="B1376" s="749">
        <v>2023</v>
      </c>
      <c r="C1376" s="561" t="s">
        <v>698</v>
      </c>
      <c r="D1376" s="561" t="s">
        <v>1641</v>
      </c>
      <c r="E1376" s="561" t="s">
        <v>700</v>
      </c>
      <c r="F1376" s="735">
        <v>-4551825.8499999996</v>
      </c>
      <c r="G1376" s="749">
        <v>0</v>
      </c>
      <c r="H1376" s="749"/>
      <c r="I1376" s="733"/>
      <c r="J1376" s="733"/>
      <c r="K1376" s="735">
        <v>0</v>
      </c>
      <c r="L1376" s="750">
        <v>-4551825.8499999996</v>
      </c>
    </row>
    <row r="1377" spans="1:12" ht="21" x14ac:dyDescent="0.25">
      <c r="A1377" s="561" t="s">
        <v>96</v>
      </c>
      <c r="B1377" s="749">
        <v>2023</v>
      </c>
      <c r="C1377" s="561" t="s">
        <v>701</v>
      </c>
      <c r="D1377" s="561" t="s">
        <v>1642</v>
      </c>
      <c r="E1377" s="561" t="s">
        <v>1</v>
      </c>
      <c r="F1377" s="735">
        <v>15985189.970000001</v>
      </c>
      <c r="G1377" s="749">
        <v>1</v>
      </c>
      <c r="H1377" s="749"/>
      <c r="I1377" s="735">
        <v>16263052.689999999</v>
      </c>
      <c r="J1377" s="735">
        <v>-277862.71999999997</v>
      </c>
      <c r="K1377" s="735">
        <v>15985189.970000001</v>
      </c>
      <c r="L1377" s="750">
        <v>15985189.970000001</v>
      </c>
    </row>
    <row r="1378" spans="1:12" ht="21" x14ac:dyDescent="0.25">
      <c r="A1378" s="561" t="s">
        <v>96</v>
      </c>
      <c r="B1378" s="749">
        <v>2023</v>
      </c>
      <c r="C1378" s="561" t="s">
        <v>701</v>
      </c>
      <c r="D1378" s="561" t="s">
        <v>1642</v>
      </c>
      <c r="E1378" s="561" t="s">
        <v>703</v>
      </c>
      <c r="F1378" s="735">
        <v>0</v>
      </c>
      <c r="G1378" s="749">
        <v>0</v>
      </c>
      <c r="H1378" s="749"/>
      <c r="I1378" s="733"/>
      <c r="J1378" s="733"/>
      <c r="K1378" s="735">
        <v>0</v>
      </c>
      <c r="L1378" s="751">
        <v>0</v>
      </c>
    </row>
    <row r="1379" spans="1:12" ht="21" x14ac:dyDescent="0.25">
      <c r="A1379" s="561" t="s">
        <v>96</v>
      </c>
      <c r="B1379" s="749">
        <v>2023</v>
      </c>
      <c r="C1379" s="561" t="s">
        <v>701</v>
      </c>
      <c r="D1379" s="561" t="s">
        <v>1642</v>
      </c>
      <c r="E1379" s="561" t="s">
        <v>704</v>
      </c>
      <c r="F1379" s="735">
        <v>0</v>
      </c>
      <c r="G1379" s="749">
        <v>0</v>
      </c>
      <c r="H1379" s="749"/>
      <c r="I1379" s="733"/>
      <c r="J1379" s="733"/>
      <c r="K1379" s="735">
        <v>0</v>
      </c>
      <c r="L1379" s="751">
        <v>0</v>
      </c>
    </row>
    <row r="1380" spans="1:12" ht="21" x14ac:dyDescent="0.25">
      <c r="A1380" s="561" t="s">
        <v>96</v>
      </c>
      <c r="B1380" s="749">
        <v>2023</v>
      </c>
      <c r="C1380" s="561" t="s">
        <v>701</v>
      </c>
      <c r="D1380" s="561" t="s">
        <v>1642</v>
      </c>
      <c r="E1380" s="561" t="s">
        <v>705</v>
      </c>
      <c r="F1380" s="735">
        <v>0</v>
      </c>
      <c r="G1380" s="749">
        <v>0</v>
      </c>
      <c r="H1380" s="749"/>
      <c r="I1380" s="733"/>
      <c r="J1380" s="733"/>
      <c r="K1380" s="735">
        <v>0</v>
      </c>
      <c r="L1380" s="751">
        <v>-285588.57</v>
      </c>
    </row>
    <row r="1381" spans="1:12" ht="21" x14ac:dyDescent="0.25">
      <c r="A1381" s="561" t="s">
        <v>96</v>
      </c>
      <c r="B1381" s="749">
        <v>2023</v>
      </c>
      <c r="C1381" s="561" t="s">
        <v>701</v>
      </c>
      <c r="D1381" s="561" t="s">
        <v>1642</v>
      </c>
      <c r="E1381" s="561" t="s">
        <v>706</v>
      </c>
      <c r="F1381" s="735">
        <v>0</v>
      </c>
      <c r="G1381" s="749">
        <v>0</v>
      </c>
      <c r="H1381" s="749"/>
      <c r="I1381" s="733"/>
      <c r="J1381" s="733"/>
      <c r="K1381" s="735">
        <v>0</v>
      </c>
      <c r="L1381" s="751">
        <v>-13136103.810000001</v>
      </c>
    </row>
    <row r="1382" spans="1:12" x14ac:dyDescent="0.25">
      <c r="A1382" s="561" t="s">
        <v>96</v>
      </c>
      <c r="B1382" s="749">
        <v>2023</v>
      </c>
      <c r="C1382" s="561" t="s">
        <v>707</v>
      </c>
      <c r="D1382" s="561" t="s">
        <v>1643</v>
      </c>
      <c r="E1382" s="561" t="s">
        <v>709</v>
      </c>
      <c r="F1382" s="735">
        <v>0</v>
      </c>
      <c r="G1382" s="749">
        <v>0</v>
      </c>
      <c r="H1382" s="749"/>
      <c r="I1382" s="733"/>
      <c r="J1382" s="733"/>
      <c r="K1382" s="735">
        <v>0</v>
      </c>
      <c r="L1382" s="750">
        <v>0</v>
      </c>
    </row>
    <row r="1383" spans="1:12" ht="21" x14ac:dyDescent="0.25">
      <c r="A1383" s="561" t="s">
        <v>96</v>
      </c>
      <c r="B1383" s="749">
        <v>2023</v>
      </c>
      <c r="C1383" s="561" t="s">
        <v>710</v>
      </c>
      <c r="D1383" s="561" t="s">
        <v>1644</v>
      </c>
      <c r="E1383" s="561" t="s">
        <v>2</v>
      </c>
      <c r="F1383" s="735">
        <v>25759128.399999999</v>
      </c>
      <c r="G1383" s="749">
        <v>1</v>
      </c>
      <c r="H1383" s="749"/>
      <c r="I1383" s="735">
        <v>25511733.309999999</v>
      </c>
      <c r="J1383" s="735">
        <v>247395.09</v>
      </c>
      <c r="K1383" s="735">
        <v>25759128.399999999</v>
      </c>
      <c r="L1383" s="750">
        <v>25759128.399999999</v>
      </c>
    </row>
    <row r="1384" spans="1:12" ht="21" x14ac:dyDescent="0.25">
      <c r="A1384" s="561" t="s">
        <v>96</v>
      </c>
      <c r="B1384" s="749">
        <v>2023</v>
      </c>
      <c r="C1384" s="561" t="s">
        <v>712</v>
      </c>
      <c r="D1384" s="561" t="s">
        <v>1645</v>
      </c>
      <c r="E1384" s="561" t="s">
        <v>3</v>
      </c>
      <c r="F1384" s="735">
        <v>-30473527.199999999</v>
      </c>
      <c r="G1384" s="749">
        <v>1</v>
      </c>
      <c r="H1384" s="749"/>
      <c r="I1384" s="735">
        <v>-29709975.710000001</v>
      </c>
      <c r="J1384" s="735">
        <v>-763551.49</v>
      </c>
      <c r="K1384" s="735">
        <v>-30473527.199999999</v>
      </c>
      <c r="L1384" s="750">
        <v>-30473527.199999999</v>
      </c>
    </row>
    <row r="1385" spans="1:12" ht="21" x14ac:dyDescent="0.25">
      <c r="A1385" s="561" t="s">
        <v>96</v>
      </c>
      <c r="B1385" s="749">
        <v>2023</v>
      </c>
      <c r="C1385" s="561" t="s">
        <v>714</v>
      </c>
      <c r="D1385" s="561" t="s">
        <v>1646</v>
      </c>
      <c r="E1385" s="561" t="s">
        <v>38</v>
      </c>
      <c r="F1385" s="735">
        <v>-87168686.390000001</v>
      </c>
      <c r="G1385" s="749">
        <v>1</v>
      </c>
      <c r="H1385" s="749"/>
      <c r="I1385" s="735">
        <v>-85348701.430000007</v>
      </c>
      <c r="J1385" s="735">
        <v>-1819984.96</v>
      </c>
      <c r="K1385" s="735">
        <v>-87168686.390000001</v>
      </c>
      <c r="L1385" s="750">
        <v>-87168686.390000001</v>
      </c>
    </row>
    <row r="1386" spans="1:12" x14ac:dyDescent="0.25">
      <c r="A1386" s="561" t="s">
        <v>96</v>
      </c>
      <c r="B1386" s="749">
        <v>2023</v>
      </c>
      <c r="C1386" s="561" t="s">
        <v>716</v>
      </c>
      <c r="D1386" s="561" t="s">
        <v>1647</v>
      </c>
      <c r="E1386" s="561" t="s">
        <v>66</v>
      </c>
      <c r="F1386" s="735">
        <v>11551994.49</v>
      </c>
      <c r="G1386" s="749">
        <v>1</v>
      </c>
      <c r="H1386" s="749"/>
      <c r="I1386" s="735">
        <v>11367536.449999999</v>
      </c>
      <c r="J1386" s="735">
        <v>184458.04</v>
      </c>
      <c r="K1386" s="735">
        <v>11551994.49</v>
      </c>
      <c r="L1386" s="750">
        <v>11551994.49</v>
      </c>
    </row>
    <row r="1387" spans="1:12" x14ac:dyDescent="0.25">
      <c r="A1387" s="561" t="s">
        <v>96</v>
      </c>
      <c r="B1387" s="749">
        <v>2023</v>
      </c>
      <c r="C1387" s="561" t="s">
        <v>718</v>
      </c>
      <c r="D1387" s="561" t="s">
        <v>1648</v>
      </c>
      <c r="E1387" s="561" t="s">
        <v>768</v>
      </c>
      <c r="F1387" s="735">
        <v>-78392022.25</v>
      </c>
      <c r="G1387" s="749">
        <v>0</v>
      </c>
      <c r="H1387" s="749"/>
      <c r="I1387" s="733"/>
      <c r="J1387" s="733"/>
      <c r="K1387" s="735">
        <v>0</v>
      </c>
      <c r="L1387" s="750">
        <v>-78392022.25</v>
      </c>
    </row>
    <row r="1388" spans="1:12" ht="31.5" x14ac:dyDescent="0.25">
      <c r="A1388" s="561" t="s">
        <v>96</v>
      </c>
      <c r="B1388" s="749">
        <v>2023</v>
      </c>
      <c r="C1388" s="561" t="s">
        <v>721</v>
      </c>
      <c r="D1388" s="561" t="s">
        <v>1650</v>
      </c>
      <c r="E1388" s="561" t="s">
        <v>724</v>
      </c>
      <c r="F1388" s="735">
        <v>0</v>
      </c>
      <c r="G1388" s="749">
        <v>1</v>
      </c>
      <c r="H1388" s="749"/>
      <c r="I1388" s="735">
        <v>0</v>
      </c>
      <c r="J1388" s="735">
        <v>0</v>
      </c>
      <c r="K1388" s="735">
        <v>0</v>
      </c>
      <c r="L1388" s="750">
        <v>0</v>
      </c>
    </row>
    <row r="1389" spans="1:12" ht="31.5" x14ac:dyDescent="0.25">
      <c r="A1389" s="561" t="s">
        <v>96</v>
      </c>
      <c r="B1389" s="749">
        <v>2023</v>
      </c>
      <c r="C1389" s="561" t="s">
        <v>721</v>
      </c>
      <c r="D1389" s="561" t="s">
        <v>1651</v>
      </c>
      <c r="E1389" s="561" t="s">
        <v>55</v>
      </c>
      <c r="F1389" s="735">
        <v>0</v>
      </c>
      <c r="G1389" s="749">
        <v>1</v>
      </c>
      <c r="H1389" s="749"/>
      <c r="I1389" s="735">
        <v>0</v>
      </c>
      <c r="J1389" s="735">
        <v>0</v>
      </c>
      <c r="K1389" s="735">
        <v>0</v>
      </c>
      <c r="L1389" s="750">
        <v>0</v>
      </c>
    </row>
    <row r="1390" spans="1:12" ht="31.5" x14ac:dyDescent="0.25">
      <c r="A1390" s="561" t="s">
        <v>96</v>
      </c>
      <c r="B1390" s="749">
        <v>2023</v>
      </c>
      <c r="C1390" s="561" t="s">
        <v>721</v>
      </c>
      <c r="D1390" s="561" t="s">
        <v>1652</v>
      </c>
      <c r="E1390" s="561" t="s">
        <v>56</v>
      </c>
      <c r="F1390" s="735">
        <v>0</v>
      </c>
      <c r="G1390" s="749">
        <v>1</v>
      </c>
      <c r="H1390" s="749"/>
      <c r="I1390" s="735">
        <v>0</v>
      </c>
      <c r="J1390" s="735">
        <v>0</v>
      </c>
      <c r="K1390" s="735">
        <v>0</v>
      </c>
      <c r="L1390" s="750">
        <v>0</v>
      </c>
    </row>
    <row r="1391" spans="1:12" ht="31.5" x14ac:dyDescent="0.25">
      <c r="A1391" s="561" t="s">
        <v>96</v>
      </c>
      <c r="B1391" s="749">
        <v>2023</v>
      </c>
      <c r="C1391" s="561" t="s">
        <v>721</v>
      </c>
      <c r="D1391" s="561" t="s">
        <v>1653</v>
      </c>
      <c r="E1391" s="561" t="s">
        <v>728</v>
      </c>
      <c r="F1391" s="735">
        <v>0</v>
      </c>
      <c r="G1391" s="749">
        <v>1</v>
      </c>
      <c r="H1391" s="749"/>
      <c r="I1391" s="735">
        <v>0</v>
      </c>
      <c r="J1391" s="735">
        <v>0</v>
      </c>
      <c r="K1391" s="735">
        <v>0</v>
      </c>
      <c r="L1391" s="750">
        <v>0</v>
      </c>
    </row>
    <row r="1392" spans="1:12" ht="31.5" x14ac:dyDescent="0.25">
      <c r="A1392" s="561" t="s">
        <v>96</v>
      </c>
      <c r="B1392" s="749">
        <v>2023</v>
      </c>
      <c r="C1392" s="561" t="s">
        <v>721</v>
      </c>
      <c r="D1392" s="561" t="s">
        <v>1654</v>
      </c>
      <c r="E1392" s="561" t="s">
        <v>730</v>
      </c>
      <c r="F1392" s="735">
        <v>0</v>
      </c>
      <c r="G1392" s="749">
        <v>1</v>
      </c>
      <c r="H1392" s="749"/>
      <c r="I1392" s="735">
        <v>0</v>
      </c>
      <c r="J1392" s="735">
        <v>0</v>
      </c>
      <c r="K1392" s="735">
        <v>0</v>
      </c>
      <c r="L1392" s="750">
        <v>0</v>
      </c>
    </row>
    <row r="1393" spans="1:12" ht="31.5" x14ac:dyDescent="0.25">
      <c r="A1393" s="561" t="s">
        <v>96</v>
      </c>
      <c r="B1393" s="749">
        <v>2023</v>
      </c>
      <c r="C1393" s="561" t="s">
        <v>721</v>
      </c>
      <c r="D1393" s="561" t="s">
        <v>1655</v>
      </c>
      <c r="E1393" s="561" t="s">
        <v>142</v>
      </c>
      <c r="F1393" s="735">
        <v>0</v>
      </c>
      <c r="G1393" s="749">
        <v>1</v>
      </c>
      <c r="H1393" s="749"/>
      <c r="I1393" s="735">
        <v>0</v>
      </c>
      <c r="J1393" s="735">
        <v>0</v>
      </c>
      <c r="K1393" s="735">
        <v>0</v>
      </c>
      <c r="L1393" s="750">
        <v>0</v>
      </c>
    </row>
    <row r="1394" spans="1:12" ht="31.5" x14ac:dyDescent="0.25">
      <c r="A1394" s="561" t="s">
        <v>96</v>
      </c>
      <c r="B1394" s="749">
        <v>2023</v>
      </c>
      <c r="C1394" s="561" t="s">
        <v>721</v>
      </c>
      <c r="D1394" s="561" t="s">
        <v>1656</v>
      </c>
      <c r="E1394" s="561" t="s">
        <v>143</v>
      </c>
      <c r="F1394" s="735">
        <v>0</v>
      </c>
      <c r="G1394" s="749">
        <v>1</v>
      </c>
      <c r="H1394" s="749"/>
      <c r="I1394" s="735">
        <v>0</v>
      </c>
      <c r="J1394" s="735">
        <v>0</v>
      </c>
      <c r="K1394" s="735">
        <v>0</v>
      </c>
      <c r="L1394" s="750">
        <v>0</v>
      </c>
    </row>
    <row r="1395" spans="1:12" ht="31.5" x14ac:dyDescent="0.25">
      <c r="A1395" s="561" t="s">
        <v>96</v>
      </c>
      <c r="B1395" s="749">
        <v>2023</v>
      </c>
      <c r="C1395" s="561" t="s">
        <v>721</v>
      </c>
      <c r="D1395" s="561" t="s">
        <v>1657</v>
      </c>
      <c r="E1395" s="561" t="s">
        <v>182</v>
      </c>
      <c r="F1395" s="735">
        <v>0</v>
      </c>
      <c r="G1395" s="749">
        <v>1</v>
      </c>
      <c r="H1395" s="749"/>
      <c r="I1395" s="735">
        <v>410417.76</v>
      </c>
      <c r="J1395" s="735">
        <v>126355.34</v>
      </c>
      <c r="K1395" s="735">
        <v>536773.1</v>
      </c>
      <c r="L1395" s="750">
        <v>536773.1</v>
      </c>
    </row>
    <row r="1396" spans="1:12" ht="31.5" x14ac:dyDescent="0.25">
      <c r="A1396" s="561" t="s">
        <v>96</v>
      </c>
      <c r="B1396" s="749">
        <v>2023</v>
      </c>
      <c r="C1396" s="561" t="s">
        <v>721</v>
      </c>
      <c r="D1396" s="561" t="s">
        <v>1658</v>
      </c>
      <c r="E1396" s="561" t="s">
        <v>394</v>
      </c>
      <c r="F1396" s="735">
        <v>0</v>
      </c>
      <c r="G1396" s="749">
        <v>1</v>
      </c>
      <c r="H1396" s="749"/>
      <c r="I1396" s="735">
        <v>0</v>
      </c>
      <c r="J1396" s="735">
        <v>0</v>
      </c>
      <c r="K1396" s="735">
        <v>0</v>
      </c>
      <c r="L1396" s="750">
        <v>0</v>
      </c>
    </row>
    <row r="1397" spans="1:12" ht="31.5" x14ac:dyDescent="0.25">
      <c r="A1397" s="561" t="s">
        <v>96</v>
      </c>
      <c r="B1397" s="749">
        <v>2023</v>
      </c>
      <c r="C1397" s="561" t="s">
        <v>721</v>
      </c>
      <c r="D1397" s="561" t="s">
        <v>1659</v>
      </c>
      <c r="E1397" s="561" t="s">
        <v>423</v>
      </c>
      <c r="F1397" s="735">
        <v>0</v>
      </c>
      <c r="G1397" s="749">
        <v>1</v>
      </c>
      <c r="H1397" s="749"/>
      <c r="I1397" s="735">
        <v>0</v>
      </c>
      <c r="J1397" s="735">
        <v>0</v>
      </c>
      <c r="K1397" s="735">
        <v>0</v>
      </c>
      <c r="L1397" s="750">
        <v>0</v>
      </c>
    </row>
    <row r="1398" spans="1:12" ht="31.5" x14ac:dyDescent="0.25">
      <c r="A1398" s="561" t="s">
        <v>96</v>
      </c>
      <c r="B1398" s="749">
        <v>2023</v>
      </c>
      <c r="C1398" s="561" t="s">
        <v>721</v>
      </c>
      <c r="D1398" s="561" t="s">
        <v>3262</v>
      </c>
      <c r="E1398" s="561" t="s">
        <v>441</v>
      </c>
      <c r="F1398" s="735">
        <v>0</v>
      </c>
      <c r="G1398" s="749">
        <v>1</v>
      </c>
      <c r="H1398" s="749"/>
      <c r="I1398" s="735">
        <v>-196396.62</v>
      </c>
      <c r="J1398" s="735">
        <v>112469.66</v>
      </c>
      <c r="K1398" s="735">
        <v>-83926.96</v>
      </c>
      <c r="L1398" s="750">
        <v>-83926.96</v>
      </c>
    </row>
    <row r="1399" spans="1:12" ht="31.5" x14ac:dyDescent="0.25">
      <c r="A1399" s="561" t="s">
        <v>96</v>
      </c>
      <c r="B1399" s="749">
        <v>2023</v>
      </c>
      <c r="C1399" s="561" t="s">
        <v>721</v>
      </c>
      <c r="D1399" s="561" t="s">
        <v>3537</v>
      </c>
      <c r="E1399" s="561" t="s">
        <v>3016</v>
      </c>
      <c r="F1399" s="735">
        <v>0</v>
      </c>
      <c r="G1399" s="749">
        <v>1</v>
      </c>
      <c r="H1399" s="749"/>
      <c r="I1399" s="735">
        <v>9026160.2599999998</v>
      </c>
      <c r="J1399" s="735">
        <v>-3299285.46</v>
      </c>
      <c r="K1399" s="735">
        <v>5726874.7999999998</v>
      </c>
      <c r="L1399" s="750">
        <v>5726874.7999999998</v>
      </c>
    </row>
    <row r="1400" spans="1:12" ht="31.5" x14ac:dyDescent="0.25">
      <c r="A1400" s="561" t="s">
        <v>96</v>
      </c>
      <c r="B1400" s="749">
        <v>2023</v>
      </c>
      <c r="C1400" s="561" t="s">
        <v>721</v>
      </c>
      <c r="D1400" s="561" t="s">
        <v>3538</v>
      </c>
      <c r="E1400" s="561" t="s">
        <v>3058</v>
      </c>
      <c r="F1400" s="735">
        <v>0</v>
      </c>
      <c r="G1400" s="749">
        <v>1</v>
      </c>
      <c r="H1400" s="749"/>
      <c r="I1400" s="735">
        <v>0</v>
      </c>
      <c r="J1400" s="735">
        <v>0</v>
      </c>
      <c r="K1400" s="735">
        <v>0</v>
      </c>
      <c r="L1400" s="750">
        <v>0</v>
      </c>
    </row>
    <row r="1401" spans="1:12" ht="31.5" x14ac:dyDescent="0.25">
      <c r="A1401" s="561" t="s">
        <v>96</v>
      </c>
      <c r="B1401" s="749">
        <v>2023</v>
      </c>
      <c r="C1401" s="561" t="s">
        <v>721</v>
      </c>
      <c r="D1401" s="561" t="s">
        <v>3539</v>
      </c>
      <c r="E1401" s="561" t="s">
        <v>3063</v>
      </c>
      <c r="F1401" s="735">
        <v>0</v>
      </c>
      <c r="G1401" s="749">
        <v>1</v>
      </c>
      <c r="H1401" s="749"/>
      <c r="I1401" s="735">
        <v>-76540307.409999996</v>
      </c>
      <c r="J1401" s="735">
        <v>6468543.9299999997</v>
      </c>
      <c r="K1401" s="735">
        <v>-70071763.480000004</v>
      </c>
      <c r="L1401" s="750">
        <v>-70071763.480000004</v>
      </c>
    </row>
    <row r="1402" spans="1:12" ht="31.5" x14ac:dyDescent="0.25">
      <c r="A1402" s="561" t="s">
        <v>96</v>
      </c>
      <c r="B1402" s="749">
        <v>2023</v>
      </c>
      <c r="C1402" s="561" t="s">
        <v>721</v>
      </c>
      <c r="D1402" s="561" t="s">
        <v>3834</v>
      </c>
      <c r="E1402" s="561" t="s">
        <v>3425</v>
      </c>
      <c r="F1402" s="735">
        <v>0</v>
      </c>
      <c r="G1402" s="749">
        <v>1</v>
      </c>
      <c r="H1402" s="749"/>
      <c r="I1402" s="735">
        <v>-1417630.58</v>
      </c>
      <c r="J1402" s="735">
        <v>196528.43</v>
      </c>
      <c r="K1402" s="735">
        <v>-1221102.1499999999</v>
      </c>
      <c r="L1402" s="750">
        <v>-1221102.1499999999</v>
      </c>
    </row>
    <row r="1403" spans="1:12" ht="42" x14ac:dyDescent="0.25">
      <c r="A1403" s="561" t="s">
        <v>96</v>
      </c>
      <c r="B1403" s="749">
        <v>2023</v>
      </c>
      <c r="C1403" s="561" t="s">
        <v>721</v>
      </c>
      <c r="D1403" s="561" t="s">
        <v>3835</v>
      </c>
      <c r="E1403" s="561" t="s">
        <v>737</v>
      </c>
      <c r="F1403" s="735">
        <v>-65113144.689999998</v>
      </c>
      <c r="G1403" s="749">
        <v>0</v>
      </c>
      <c r="H1403" s="749"/>
      <c r="I1403" s="733"/>
      <c r="J1403" s="733"/>
      <c r="K1403" s="735">
        <v>0</v>
      </c>
      <c r="L1403" s="750">
        <v>-65113144.689999998</v>
      </c>
    </row>
    <row r="1404" spans="1:12" x14ac:dyDescent="0.25">
      <c r="A1404" s="561" t="s">
        <v>96</v>
      </c>
      <c r="B1404" s="749">
        <v>2023</v>
      </c>
      <c r="C1404" s="561" t="s">
        <v>738</v>
      </c>
      <c r="D1404" s="561" t="s">
        <v>1661</v>
      </c>
      <c r="E1404" s="561" t="s">
        <v>7</v>
      </c>
      <c r="F1404" s="735">
        <v>-31235161.379999999</v>
      </c>
      <c r="G1404" s="749">
        <v>0</v>
      </c>
      <c r="H1404" s="749"/>
      <c r="I1404" s="733"/>
      <c r="J1404" s="733"/>
      <c r="K1404" s="735">
        <v>0</v>
      </c>
      <c r="L1404" s="750">
        <v>-31235161.379999999</v>
      </c>
    </row>
    <row r="1405" spans="1:12" x14ac:dyDescent="0.25">
      <c r="A1405" s="561" t="s">
        <v>1662</v>
      </c>
      <c r="B1405" s="749">
        <v>2023</v>
      </c>
      <c r="C1405" s="561" t="s">
        <v>647</v>
      </c>
      <c r="D1405" s="561" t="s">
        <v>1663</v>
      </c>
      <c r="E1405" s="561" t="s">
        <v>649</v>
      </c>
      <c r="F1405" s="735">
        <v>26350197.359999999</v>
      </c>
      <c r="G1405" s="749">
        <v>0</v>
      </c>
      <c r="H1405" s="749"/>
      <c r="I1405" s="733"/>
      <c r="J1405" s="733"/>
      <c r="K1405" s="735">
        <v>0</v>
      </c>
      <c r="L1405" s="750">
        <v>26350197.359999999</v>
      </c>
    </row>
    <row r="1406" spans="1:12" ht="21" x14ac:dyDescent="0.25">
      <c r="A1406" s="561" t="s">
        <v>1662</v>
      </c>
      <c r="B1406" s="749">
        <v>2023</v>
      </c>
      <c r="C1406" s="561" t="s">
        <v>3691</v>
      </c>
      <c r="D1406" s="561" t="s">
        <v>3647</v>
      </c>
      <c r="E1406" s="561" t="s">
        <v>3675</v>
      </c>
      <c r="F1406" s="735">
        <v>0</v>
      </c>
      <c r="G1406" s="749">
        <v>0</v>
      </c>
      <c r="H1406" s="749"/>
      <c r="I1406" s="733"/>
      <c r="J1406" s="733"/>
      <c r="K1406" s="735">
        <v>0</v>
      </c>
      <c r="L1406" s="750">
        <v>0</v>
      </c>
    </row>
    <row r="1407" spans="1:12" x14ac:dyDescent="0.25">
      <c r="A1407" s="561" t="s">
        <v>1662</v>
      </c>
      <c r="B1407" s="749">
        <v>2023</v>
      </c>
      <c r="C1407" s="561" t="s">
        <v>651</v>
      </c>
      <c r="D1407" s="561" t="s">
        <v>1664</v>
      </c>
      <c r="E1407" s="561" t="s">
        <v>653</v>
      </c>
      <c r="F1407" s="735">
        <v>0</v>
      </c>
      <c r="G1407" s="749">
        <v>0</v>
      </c>
      <c r="H1407" s="749"/>
      <c r="I1407" s="733"/>
      <c r="J1407" s="733"/>
      <c r="K1407" s="735">
        <v>0</v>
      </c>
      <c r="L1407" s="750">
        <v>0</v>
      </c>
    </row>
    <row r="1408" spans="1:12" ht="31.5" x14ac:dyDescent="0.25">
      <c r="A1408" s="561" t="s">
        <v>1662</v>
      </c>
      <c r="B1408" s="749">
        <v>2023</v>
      </c>
      <c r="C1408" s="561" t="s">
        <v>654</v>
      </c>
      <c r="D1408" s="561" t="s">
        <v>1665</v>
      </c>
      <c r="E1408" s="561" t="s">
        <v>445</v>
      </c>
      <c r="F1408" s="735">
        <v>0</v>
      </c>
      <c r="G1408" s="749">
        <v>0</v>
      </c>
      <c r="H1408" s="749"/>
      <c r="I1408" s="733"/>
      <c r="J1408" s="733"/>
      <c r="K1408" s="735">
        <v>0</v>
      </c>
      <c r="L1408" s="750">
        <v>0</v>
      </c>
    </row>
    <row r="1409" spans="1:12" ht="21" x14ac:dyDescent="0.25">
      <c r="A1409" s="561" t="s">
        <v>1662</v>
      </c>
      <c r="B1409" s="749">
        <v>2023</v>
      </c>
      <c r="C1409" s="561" t="s">
        <v>656</v>
      </c>
      <c r="D1409" s="561" t="s">
        <v>1666</v>
      </c>
      <c r="E1409" s="561" t="s">
        <v>658</v>
      </c>
      <c r="F1409" s="735">
        <v>36457477</v>
      </c>
      <c r="G1409" s="749">
        <v>0</v>
      </c>
      <c r="H1409" s="749"/>
      <c r="I1409" s="733"/>
      <c r="J1409" s="733"/>
      <c r="K1409" s="735">
        <v>0</v>
      </c>
      <c r="L1409" s="750">
        <v>36457477</v>
      </c>
    </row>
    <row r="1410" spans="1:12" ht="21" x14ac:dyDescent="0.25">
      <c r="A1410" s="561" t="s">
        <v>1662</v>
      </c>
      <c r="B1410" s="749">
        <v>2023</v>
      </c>
      <c r="C1410" s="561" t="s">
        <v>659</v>
      </c>
      <c r="D1410" s="561" t="s">
        <v>1667</v>
      </c>
      <c r="E1410" s="561" t="s">
        <v>661</v>
      </c>
      <c r="F1410" s="735">
        <v>0</v>
      </c>
      <c r="G1410" s="749">
        <v>0</v>
      </c>
      <c r="H1410" s="749"/>
      <c r="I1410" s="733"/>
      <c r="J1410" s="733"/>
      <c r="K1410" s="735">
        <v>0</v>
      </c>
      <c r="L1410" s="750">
        <v>0</v>
      </c>
    </row>
    <row r="1411" spans="1:12" ht="21" x14ac:dyDescent="0.25">
      <c r="A1411" s="561" t="s">
        <v>1662</v>
      </c>
      <c r="B1411" s="749">
        <v>2023</v>
      </c>
      <c r="C1411" s="561" t="s">
        <v>662</v>
      </c>
      <c r="D1411" s="561" t="s">
        <v>1668</v>
      </c>
      <c r="E1411" s="561" t="s">
        <v>664</v>
      </c>
      <c r="F1411" s="735">
        <v>0</v>
      </c>
      <c r="G1411" s="749">
        <v>0</v>
      </c>
      <c r="H1411" s="749"/>
      <c r="I1411" s="733"/>
      <c r="J1411" s="733"/>
      <c r="K1411" s="735">
        <v>0</v>
      </c>
      <c r="L1411" s="750">
        <v>0</v>
      </c>
    </row>
    <row r="1412" spans="1:12" ht="31.5" x14ac:dyDescent="0.25">
      <c r="A1412" s="561" t="s">
        <v>1662</v>
      </c>
      <c r="B1412" s="749">
        <v>2023</v>
      </c>
      <c r="C1412" s="561" t="s">
        <v>665</v>
      </c>
      <c r="D1412" s="561" t="s">
        <v>1669</v>
      </c>
      <c r="E1412" s="561" t="s">
        <v>667</v>
      </c>
      <c r="F1412" s="735">
        <v>0</v>
      </c>
      <c r="G1412" s="749">
        <v>0</v>
      </c>
      <c r="H1412" s="749"/>
      <c r="I1412" s="733"/>
      <c r="J1412" s="733"/>
      <c r="K1412" s="735">
        <v>0</v>
      </c>
      <c r="L1412" s="750">
        <v>0</v>
      </c>
    </row>
    <row r="1413" spans="1:12" ht="21" x14ac:dyDescent="0.25">
      <c r="A1413" s="561" t="s">
        <v>1662</v>
      </c>
      <c r="B1413" s="749">
        <v>2023</v>
      </c>
      <c r="C1413" s="561" t="s">
        <v>668</v>
      </c>
      <c r="D1413" s="561" t="s">
        <v>1670</v>
      </c>
      <c r="E1413" s="561" t="s">
        <v>12</v>
      </c>
      <c r="F1413" s="735">
        <v>0</v>
      </c>
      <c r="G1413" s="749">
        <v>0</v>
      </c>
      <c r="H1413" s="749"/>
      <c r="I1413" s="733"/>
      <c r="J1413" s="733"/>
      <c r="K1413" s="735">
        <v>0</v>
      </c>
      <c r="L1413" s="750">
        <v>0</v>
      </c>
    </row>
    <row r="1414" spans="1:12" ht="21" x14ac:dyDescent="0.25">
      <c r="A1414" s="561" t="s">
        <v>1662</v>
      </c>
      <c r="B1414" s="749">
        <v>2023</v>
      </c>
      <c r="C1414" s="561" t="s">
        <v>670</v>
      </c>
      <c r="D1414" s="561" t="s">
        <v>1671</v>
      </c>
      <c r="E1414" s="561" t="s">
        <v>749</v>
      </c>
      <c r="F1414" s="735">
        <v>0</v>
      </c>
      <c r="G1414" s="749">
        <v>0</v>
      </c>
      <c r="H1414" s="749"/>
      <c r="I1414" s="733"/>
      <c r="J1414" s="733"/>
      <c r="K1414" s="735">
        <v>0</v>
      </c>
      <c r="L1414" s="750">
        <v>0</v>
      </c>
    </row>
    <row r="1415" spans="1:12" ht="21" x14ac:dyDescent="0.25">
      <c r="A1415" s="561" t="s">
        <v>1662</v>
      </c>
      <c r="B1415" s="749">
        <v>2023</v>
      </c>
      <c r="C1415" s="561" t="s">
        <v>672</v>
      </c>
      <c r="D1415" s="561" t="s">
        <v>1672</v>
      </c>
      <c r="E1415" s="561" t="s">
        <v>15</v>
      </c>
      <c r="F1415" s="735">
        <v>0</v>
      </c>
      <c r="G1415" s="749">
        <v>0</v>
      </c>
      <c r="H1415" s="749"/>
      <c r="I1415" s="733"/>
      <c r="J1415" s="733"/>
      <c r="K1415" s="735">
        <v>0</v>
      </c>
      <c r="L1415" s="750">
        <v>0</v>
      </c>
    </row>
    <row r="1416" spans="1:12" x14ac:dyDescent="0.25">
      <c r="A1416" s="561" t="s">
        <v>1662</v>
      </c>
      <c r="B1416" s="749">
        <v>2023</v>
      </c>
      <c r="C1416" s="561" t="s">
        <v>674</v>
      </c>
      <c r="D1416" s="561" t="s">
        <v>1673</v>
      </c>
      <c r="E1416" s="561" t="s">
        <v>676</v>
      </c>
      <c r="F1416" s="735">
        <v>0</v>
      </c>
      <c r="G1416" s="749">
        <v>0</v>
      </c>
      <c r="H1416" s="749"/>
      <c r="I1416" s="733"/>
      <c r="J1416" s="733"/>
      <c r="K1416" s="735">
        <v>0</v>
      </c>
      <c r="L1416" s="750">
        <v>0</v>
      </c>
    </row>
    <row r="1417" spans="1:12" x14ac:dyDescent="0.25">
      <c r="A1417" s="561" t="s">
        <v>1662</v>
      </c>
      <c r="B1417" s="749">
        <v>2023</v>
      </c>
      <c r="C1417" s="561" t="s">
        <v>677</v>
      </c>
      <c r="D1417" s="561" t="s">
        <v>1674</v>
      </c>
      <c r="E1417" s="561" t="s">
        <v>23</v>
      </c>
      <c r="F1417" s="735">
        <v>0</v>
      </c>
      <c r="G1417" s="749">
        <v>1</v>
      </c>
      <c r="H1417" s="749"/>
      <c r="I1417" s="735">
        <v>0</v>
      </c>
      <c r="J1417" s="735">
        <v>0</v>
      </c>
      <c r="K1417" s="735">
        <v>0</v>
      </c>
      <c r="L1417" s="750">
        <v>0</v>
      </c>
    </row>
    <row r="1418" spans="1:12" ht="21" x14ac:dyDescent="0.25">
      <c r="A1418" s="561" t="s">
        <v>1662</v>
      </c>
      <c r="B1418" s="749">
        <v>2023</v>
      </c>
      <c r="C1418" s="561" t="s">
        <v>679</v>
      </c>
      <c r="D1418" s="561" t="s">
        <v>1675</v>
      </c>
      <c r="E1418" s="561" t="s">
        <v>131</v>
      </c>
      <c r="F1418" s="735">
        <v>0</v>
      </c>
      <c r="G1418" s="749">
        <v>1</v>
      </c>
      <c r="H1418" s="749"/>
      <c r="I1418" s="735">
        <v>0</v>
      </c>
      <c r="J1418" s="735">
        <v>0</v>
      </c>
      <c r="K1418" s="735">
        <v>0</v>
      </c>
      <c r="L1418" s="750">
        <v>0</v>
      </c>
    </row>
    <row r="1419" spans="1:12" ht="31.5" x14ac:dyDescent="0.25">
      <c r="A1419" s="561" t="s">
        <v>1662</v>
      </c>
      <c r="B1419" s="749">
        <v>2023</v>
      </c>
      <c r="C1419" s="561" t="s">
        <v>681</v>
      </c>
      <c r="D1419" s="561" t="s">
        <v>1676</v>
      </c>
      <c r="E1419" s="561" t="s">
        <v>683</v>
      </c>
      <c r="F1419" s="735">
        <v>0</v>
      </c>
      <c r="G1419" s="749">
        <v>0</v>
      </c>
      <c r="H1419" s="749"/>
      <c r="I1419" s="733"/>
      <c r="J1419" s="733"/>
      <c r="K1419" s="735">
        <v>0</v>
      </c>
      <c r="L1419" s="750">
        <v>0</v>
      </c>
    </row>
    <row r="1420" spans="1:12" ht="21" x14ac:dyDescent="0.25">
      <c r="A1420" s="561" t="s">
        <v>1662</v>
      </c>
      <c r="B1420" s="749">
        <v>2023</v>
      </c>
      <c r="C1420" s="561" t="s">
        <v>681</v>
      </c>
      <c r="D1420" s="561" t="s">
        <v>1676</v>
      </c>
      <c r="E1420" s="561" t="s">
        <v>684</v>
      </c>
      <c r="F1420" s="735">
        <v>0</v>
      </c>
      <c r="G1420" s="749">
        <v>0</v>
      </c>
      <c r="H1420" s="749"/>
      <c r="I1420" s="733"/>
      <c r="J1420" s="733"/>
      <c r="K1420" s="735">
        <v>0</v>
      </c>
      <c r="L1420" s="751">
        <v>0</v>
      </c>
    </row>
    <row r="1421" spans="1:12" x14ac:dyDescent="0.25">
      <c r="A1421" s="561" t="s">
        <v>1662</v>
      </c>
      <c r="B1421" s="749">
        <v>2023</v>
      </c>
      <c r="C1421" s="561" t="s">
        <v>685</v>
      </c>
      <c r="D1421" s="561" t="s">
        <v>1677</v>
      </c>
      <c r="E1421" s="561" t="s">
        <v>687</v>
      </c>
      <c r="F1421" s="735">
        <v>0</v>
      </c>
      <c r="G1421" s="749">
        <v>0</v>
      </c>
      <c r="H1421" s="749"/>
      <c r="I1421" s="733"/>
      <c r="J1421" s="733"/>
      <c r="K1421" s="735">
        <v>0</v>
      </c>
      <c r="L1421" s="750">
        <v>0</v>
      </c>
    </row>
    <row r="1422" spans="1:12" x14ac:dyDescent="0.25">
      <c r="A1422" s="561" t="s">
        <v>1662</v>
      </c>
      <c r="B1422" s="749">
        <v>2023</v>
      </c>
      <c r="C1422" s="561" t="s">
        <v>688</v>
      </c>
      <c r="D1422" s="561" t="s">
        <v>1678</v>
      </c>
      <c r="E1422" s="561" t="s">
        <v>50</v>
      </c>
      <c r="F1422" s="735">
        <v>0</v>
      </c>
      <c r="G1422" s="749">
        <v>0</v>
      </c>
      <c r="H1422" s="749"/>
      <c r="I1422" s="733"/>
      <c r="J1422" s="733"/>
      <c r="K1422" s="735">
        <v>0</v>
      </c>
      <c r="L1422" s="750">
        <v>0</v>
      </c>
    </row>
    <row r="1423" spans="1:12" x14ac:dyDescent="0.25">
      <c r="A1423" s="561" t="s">
        <v>1662</v>
      </c>
      <c r="B1423" s="749">
        <v>2023</v>
      </c>
      <c r="C1423" s="561" t="s">
        <v>690</v>
      </c>
      <c r="D1423" s="561" t="s">
        <v>1679</v>
      </c>
      <c r="E1423" s="561" t="s">
        <v>692</v>
      </c>
      <c r="F1423" s="735">
        <v>0</v>
      </c>
      <c r="G1423" s="749">
        <v>0</v>
      </c>
      <c r="H1423" s="749"/>
      <c r="I1423" s="733"/>
      <c r="J1423" s="733"/>
      <c r="K1423" s="735">
        <v>0</v>
      </c>
      <c r="L1423" s="750">
        <v>0</v>
      </c>
    </row>
    <row r="1424" spans="1:12" ht="21" x14ac:dyDescent="0.25">
      <c r="A1424" s="561" t="s">
        <v>1662</v>
      </c>
      <c r="B1424" s="749">
        <v>2023</v>
      </c>
      <c r="C1424" s="561" t="s">
        <v>693</v>
      </c>
      <c r="D1424" s="561" t="s">
        <v>1680</v>
      </c>
      <c r="E1424" s="561" t="s">
        <v>6</v>
      </c>
      <c r="F1424" s="735">
        <v>0</v>
      </c>
      <c r="G1424" s="749">
        <v>0</v>
      </c>
      <c r="H1424" s="749"/>
      <c r="I1424" s="733"/>
      <c r="J1424" s="733"/>
      <c r="K1424" s="735">
        <v>0</v>
      </c>
      <c r="L1424" s="750">
        <v>0</v>
      </c>
    </row>
    <row r="1425" spans="1:12" ht="21" x14ac:dyDescent="0.25">
      <c r="A1425" s="561" t="s">
        <v>1662</v>
      </c>
      <c r="B1425" s="749">
        <v>2023</v>
      </c>
      <c r="C1425" s="561" t="s">
        <v>695</v>
      </c>
      <c r="D1425" s="561" t="s">
        <v>1681</v>
      </c>
      <c r="E1425" s="561" t="s">
        <v>697</v>
      </c>
      <c r="F1425" s="735">
        <v>0</v>
      </c>
      <c r="G1425" s="749">
        <v>0</v>
      </c>
      <c r="H1425" s="749"/>
      <c r="I1425" s="733"/>
      <c r="J1425" s="733"/>
      <c r="K1425" s="735">
        <v>0</v>
      </c>
      <c r="L1425" s="750">
        <v>0</v>
      </c>
    </row>
    <row r="1426" spans="1:12" x14ac:dyDescent="0.25">
      <c r="A1426" s="561" t="s">
        <v>1662</v>
      </c>
      <c r="B1426" s="749">
        <v>2023</v>
      </c>
      <c r="C1426" s="561" t="s">
        <v>698</v>
      </c>
      <c r="D1426" s="561" t="s">
        <v>1682</v>
      </c>
      <c r="E1426" s="561" t="s">
        <v>700</v>
      </c>
      <c r="F1426" s="735">
        <v>0</v>
      </c>
      <c r="G1426" s="749">
        <v>0</v>
      </c>
      <c r="H1426" s="749"/>
      <c r="I1426" s="733"/>
      <c r="J1426" s="733"/>
      <c r="K1426" s="735">
        <v>0</v>
      </c>
      <c r="L1426" s="750">
        <v>0</v>
      </c>
    </row>
    <row r="1427" spans="1:12" ht="21" x14ac:dyDescent="0.25">
      <c r="A1427" s="561" t="s">
        <v>1662</v>
      </c>
      <c r="B1427" s="749">
        <v>2023</v>
      </c>
      <c r="C1427" s="561" t="s">
        <v>701</v>
      </c>
      <c r="D1427" s="561" t="s">
        <v>1683</v>
      </c>
      <c r="E1427" s="561" t="s">
        <v>1</v>
      </c>
      <c r="F1427" s="735">
        <v>0</v>
      </c>
      <c r="G1427" s="749">
        <v>1</v>
      </c>
      <c r="H1427" s="749"/>
      <c r="I1427" s="735">
        <v>0</v>
      </c>
      <c r="J1427" s="735">
        <v>0</v>
      </c>
      <c r="K1427" s="735">
        <v>0</v>
      </c>
      <c r="L1427" s="750">
        <v>0</v>
      </c>
    </row>
    <row r="1428" spans="1:12" ht="21" x14ac:dyDescent="0.25">
      <c r="A1428" s="561" t="s">
        <v>1662</v>
      </c>
      <c r="B1428" s="749">
        <v>2023</v>
      </c>
      <c r="C1428" s="561" t="s">
        <v>701</v>
      </c>
      <c r="D1428" s="561" t="s">
        <v>1683</v>
      </c>
      <c r="E1428" s="561" t="s">
        <v>703</v>
      </c>
      <c r="F1428" s="735">
        <v>0</v>
      </c>
      <c r="G1428" s="749">
        <v>0</v>
      </c>
      <c r="H1428" s="749"/>
      <c r="I1428" s="733"/>
      <c r="J1428" s="733"/>
      <c r="K1428" s="735">
        <v>0</v>
      </c>
      <c r="L1428" s="751">
        <v>0</v>
      </c>
    </row>
    <row r="1429" spans="1:12" ht="21" x14ac:dyDescent="0.25">
      <c r="A1429" s="561" t="s">
        <v>1662</v>
      </c>
      <c r="B1429" s="749">
        <v>2023</v>
      </c>
      <c r="C1429" s="561" t="s">
        <v>701</v>
      </c>
      <c r="D1429" s="561" t="s">
        <v>1683</v>
      </c>
      <c r="E1429" s="561" t="s">
        <v>704</v>
      </c>
      <c r="F1429" s="735">
        <v>0</v>
      </c>
      <c r="G1429" s="749">
        <v>0</v>
      </c>
      <c r="H1429" s="749"/>
      <c r="I1429" s="733"/>
      <c r="J1429" s="733"/>
      <c r="K1429" s="735">
        <v>0</v>
      </c>
      <c r="L1429" s="751">
        <v>0</v>
      </c>
    </row>
    <row r="1430" spans="1:12" ht="21" x14ac:dyDescent="0.25">
      <c r="A1430" s="561" t="s">
        <v>1662</v>
      </c>
      <c r="B1430" s="749">
        <v>2023</v>
      </c>
      <c r="C1430" s="561" t="s">
        <v>701</v>
      </c>
      <c r="D1430" s="561" t="s">
        <v>1683</v>
      </c>
      <c r="E1430" s="561" t="s">
        <v>705</v>
      </c>
      <c r="F1430" s="735">
        <v>0</v>
      </c>
      <c r="G1430" s="749">
        <v>0</v>
      </c>
      <c r="H1430" s="749"/>
      <c r="I1430" s="733"/>
      <c r="J1430" s="733"/>
      <c r="K1430" s="735">
        <v>0</v>
      </c>
      <c r="L1430" s="751">
        <v>0</v>
      </c>
    </row>
    <row r="1431" spans="1:12" ht="21" x14ac:dyDescent="0.25">
      <c r="A1431" s="561" t="s">
        <v>1662</v>
      </c>
      <c r="B1431" s="749">
        <v>2023</v>
      </c>
      <c r="C1431" s="561" t="s">
        <v>701</v>
      </c>
      <c r="D1431" s="561" t="s">
        <v>1683</v>
      </c>
      <c r="E1431" s="561" t="s">
        <v>706</v>
      </c>
      <c r="F1431" s="735">
        <v>0</v>
      </c>
      <c r="G1431" s="749">
        <v>0</v>
      </c>
      <c r="H1431" s="749"/>
      <c r="I1431" s="733"/>
      <c r="J1431" s="733"/>
      <c r="K1431" s="735">
        <v>0</v>
      </c>
      <c r="L1431" s="751">
        <v>0</v>
      </c>
    </row>
    <row r="1432" spans="1:12" x14ac:dyDescent="0.25">
      <c r="A1432" s="561" t="s">
        <v>1662</v>
      </c>
      <c r="B1432" s="749">
        <v>2023</v>
      </c>
      <c r="C1432" s="561" t="s">
        <v>707</v>
      </c>
      <c r="D1432" s="561" t="s">
        <v>1684</v>
      </c>
      <c r="E1432" s="561" t="s">
        <v>709</v>
      </c>
      <c r="F1432" s="735">
        <v>0</v>
      </c>
      <c r="G1432" s="749">
        <v>0</v>
      </c>
      <c r="H1432" s="749"/>
      <c r="I1432" s="733"/>
      <c r="J1432" s="733"/>
      <c r="K1432" s="735">
        <v>0</v>
      </c>
      <c r="L1432" s="750">
        <v>0</v>
      </c>
    </row>
    <row r="1433" spans="1:12" ht="21" x14ac:dyDescent="0.25">
      <c r="A1433" s="561" t="s">
        <v>1662</v>
      </c>
      <c r="B1433" s="749">
        <v>2023</v>
      </c>
      <c r="C1433" s="561" t="s">
        <v>710</v>
      </c>
      <c r="D1433" s="561" t="s">
        <v>1685</v>
      </c>
      <c r="E1433" s="561" t="s">
        <v>2</v>
      </c>
      <c r="F1433" s="735">
        <v>0</v>
      </c>
      <c r="G1433" s="749">
        <v>1</v>
      </c>
      <c r="H1433" s="749"/>
      <c r="I1433" s="735">
        <v>0</v>
      </c>
      <c r="J1433" s="735">
        <v>0</v>
      </c>
      <c r="K1433" s="735">
        <v>0</v>
      </c>
      <c r="L1433" s="750">
        <v>0</v>
      </c>
    </row>
    <row r="1434" spans="1:12" ht="21" x14ac:dyDescent="0.25">
      <c r="A1434" s="561" t="s">
        <v>1662</v>
      </c>
      <c r="B1434" s="749">
        <v>2023</v>
      </c>
      <c r="C1434" s="561" t="s">
        <v>712</v>
      </c>
      <c r="D1434" s="561" t="s">
        <v>1686</v>
      </c>
      <c r="E1434" s="561" t="s">
        <v>3</v>
      </c>
      <c r="F1434" s="735">
        <v>0</v>
      </c>
      <c r="G1434" s="749">
        <v>1</v>
      </c>
      <c r="H1434" s="749"/>
      <c r="I1434" s="735">
        <v>0</v>
      </c>
      <c r="J1434" s="735">
        <v>0</v>
      </c>
      <c r="K1434" s="735">
        <v>0</v>
      </c>
      <c r="L1434" s="750">
        <v>0</v>
      </c>
    </row>
    <row r="1435" spans="1:12" ht="21" x14ac:dyDescent="0.25">
      <c r="A1435" s="561" t="s">
        <v>1662</v>
      </c>
      <c r="B1435" s="749">
        <v>2023</v>
      </c>
      <c r="C1435" s="561" t="s">
        <v>714</v>
      </c>
      <c r="D1435" s="561" t="s">
        <v>1687</v>
      </c>
      <c r="E1435" s="561" t="s">
        <v>38</v>
      </c>
      <c r="F1435" s="735">
        <v>0</v>
      </c>
      <c r="G1435" s="749">
        <v>1</v>
      </c>
      <c r="H1435" s="749"/>
      <c r="I1435" s="735">
        <v>0</v>
      </c>
      <c r="J1435" s="735">
        <v>0</v>
      </c>
      <c r="K1435" s="735">
        <v>0</v>
      </c>
      <c r="L1435" s="750">
        <v>0</v>
      </c>
    </row>
    <row r="1436" spans="1:12" x14ac:dyDescent="0.25">
      <c r="A1436" s="561" t="s">
        <v>1662</v>
      </c>
      <c r="B1436" s="749">
        <v>2023</v>
      </c>
      <c r="C1436" s="561" t="s">
        <v>716</v>
      </c>
      <c r="D1436" s="561" t="s">
        <v>1688</v>
      </c>
      <c r="E1436" s="561" t="s">
        <v>66</v>
      </c>
      <c r="F1436" s="735">
        <v>0</v>
      </c>
      <c r="G1436" s="749">
        <v>1</v>
      </c>
      <c r="H1436" s="749"/>
      <c r="I1436" s="735">
        <v>0</v>
      </c>
      <c r="J1436" s="735">
        <v>0</v>
      </c>
      <c r="K1436" s="735">
        <v>0</v>
      </c>
      <c r="L1436" s="750">
        <v>0</v>
      </c>
    </row>
    <row r="1437" spans="1:12" x14ac:dyDescent="0.25">
      <c r="A1437" s="561" t="s">
        <v>1662</v>
      </c>
      <c r="B1437" s="749">
        <v>2023</v>
      </c>
      <c r="C1437" s="561" t="s">
        <v>718</v>
      </c>
      <c r="D1437" s="561" t="s">
        <v>1689</v>
      </c>
      <c r="E1437" s="561" t="s">
        <v>768</v>
      </c>
      <c r="F1437" s="735">
        <v>0</v>
      </c>
      <c r="G1437" s="749">
        <v>0</v>
      </c>
      <c r="H1437" s="749"/>
      <c r="I1437" s="733"/>
      <c r="J1437" s="733"/>
      <c r="K1437" s="735">
        <v>0</v>
      </c>
      <c r="L1437" s="750">
        <v>0</v>
      </c>
    </row>
    <row r="1438" spans="1:12" ht="31.5" x14ac:dyDescent="0.25">
      <c r="A1438" s="561" t="s">
        <v>1662</v>
      </c>
      <c r="B1438" s="749">
        <v>2023</v>
      </c>
      <c r="C1438" s="561" t="s">
        <v>721</v>
      </c>
      <c r="D1438" s="561" t="s">
        <v>1691</v>
      </c>
      <c r="E1438" s="561" t="s">
        <v>724</v>
      </c>
      <c r="F1438" s="735">
        <v>0</v>
      </c>
      <c r="G1438" s="749">
        <v>1</v>
      </c>
      <c r="H1438" s="749"/>
      <c r="I1438" s="735">
        <v>0</v>
      </c>
      <c r="J1438" s="735">
        <v>0</v>
      </c>
      <c r="K1438" s="735">
        <v>0</v>
      </c>
      <c r="L1438" s="750">
        <v>0</v>
      </c>
    </row>
    <row r="1439" spans="1:12" ht="31.5" x14ac:dyDescent="0.25">
      <c r="A1439" s="561" t="s">
        <v>1662</v>
      </c>
      <c r="B1439" s="749">
        <v>2023</v>
      </c>
      <c r="C1439" s="561" t="s">
        <v>721</v>
      </c>
      <c r="D1439" s="561" t="s">
        <v>1692</v>
      </c>
      <c r="E1439" s="561" t="s">
        <v>55</v>
      </c>
      <c r="F1439" s="735">
        <v>0</v>
      </c>
      <c r="G1439" s="749">
        <v>1</v>
      </c>
      <c r="H1439" s="749"/>
      <c r="I1439" s="735">
        <v>0</v>
      </c>
      <c r="J1439" s="735">
        <v>0</v>
      </c>
      <c r="K1439" s="735">
        <v>0</v>
      </c>
      <c r="L1439" s="750">
        <v>0</v>
      </c>
    </row>
    <row r="1440" spans="1:12" ht="31.5" x14ac:dyDescent="0.25">
      <c r="A1440" s="561" t="s">
        <v>1662</v>
      </c>
      <c r="B1440" s="749">
        <v>2023</v>
      </c>
      <c r="C1440" s="561" t="s">
        <v>721</v>
      </c>
      <c r="D1440" s="561" t="s">
        <v>1693</v>
      </c>
      <c r="E1440" s="561" t="s">
        <v>56</v>
      </c>
      <c r="F1440" s="735">
        <v>0</v>
      </c>
      <c r="G1440" s="749">
        <v>1</v>
      </c>
      <c r="H1440" s="749"/>
      <c r="I1440" s="735">
        <v>0</v>
      </c>
      <c r="J1440" s="735">
        <v>0</v>
      </c>
      <c r="K1440" s="735">
        <v>0</v>
      </c>
      <c r="L1440" s="750">
        <v>0</v>
      </c>
    </row>
    <row r="1441" spans="1:12" ht="31.5" x14ac:dyDescent="0.25">
      <c r="A1441" s="561" t="s">
        <v>1662</v>
      </c>
      <c r="B1441" s="749">
        <v>2023</v>
      </c>
      <c r="C1441" s="561" t="s">
        <v>721</v>
      </c>
      <c r="D1441" s="561" t="s">
        <v>1694</v>
      </c>
      <c r="E1441" s="561" t="s">
        <v>728</v>
      </c>
      <c r="F1441" s="735">
        <v>0</v>
      </c>
      <c r="G1441" s="749">
        <v>1</v>
      </c>
      <c r="H1441" s="749"/>
      <c r="I1441" s="735">
        <v>0</v>
      </c>
      <c r="J1441" s="735">
        <v>0</v>
      </c>
      <c r="K1441" s="735">
        <v>0</v>
      </c>
      <c r="L1441" s="750">
        <v>0</v>
      </c>
    </row>
    <row r="1442" spans="1:12" ht="31.5" x14ac:dyDescent="0.25">
      <c r="A1442" s="561" t="s">
        <v>1662</v>
      </c>
      <c r="B1442" s="749">
        <v>2023</v>
      </c>
      <c r="C1442" s="561" t="s">
        <v>721</v>
      </c>
      <c r="D1442" s="561" t="s">
        <v>1695</v>
      </c>
      <c r="E1442" s="561" t="s">
        <v>730</v>
      </c>
      <c r="F1442" s="735">
        <v>0</v>
      </c>
      <c r="G1442" s="749">
        <v>1</v>
      </c>
      <c r="H1442" s="749"/>
      <c r="I1442" s="735">
        <v>0</v>
      </c>
      <c r="J1442" s="735">
        <v>0</v>
      </c>
      <c r="K1442" s="735">
        <v>0</v>
      </c>
      <c r="L1442" s="750">
        <v>0</v>
      </c>
    </row>
    <row r="1443" spans="1:12" ht="31.5" x14ac:dyDescent="0.25">
      <c r="A1443" s="561" t="s">
        <v>1662</v>
      </c>
      <c r="B1443" s="749">
        <v>2023</v>
      </c>
      <c r="C1443" s="561" t="s">
        <v>721</v>
      </c>
      <c r="D1443" s="561" t="s">
        <v>1696</v>
      </c>
      <c r="E1443" s="561" t="s">
        <v>142</v>
      </c>
      <c r="F1443" s="735">
        <v>0</v>
      </c>
      <c r="G1443" s="749">
        <v>1</v>
      </c>
      <c r="H1443" s="749"/>
      <c r="I1443" s="735">
        <v>0</v>
      </c>
      <c r="J1443" s="735">
        <v>0</v>
      </c>
      <c r="K1443" s="735">
        <v>0</v>
      </c>
      <c r="L1443" s="750">
        <v>0</v>
      </c>
    </row>
    <row r="1444" spans="1:12" ht="31.5" x14ac:dyDescent="0.25">
      <c r="A1444" s="561" t="s">
        <v>1662</v>
      </c>
      <c r="B1444" s="749">
        <v>2023</v>
      </c>
      <c r="C1444" s="561" t="s">
        <v>721</v>
      </c>
      <c r="D1444" s="561" t="s">
        <v>1697</v>
      </c>
      <c r="E1444" s="561" t="s">
        <v>143</v>
      </c>
      <c r="F1444" s="735">
        <v>0</v>
      </c>
      <c r="G1444" s="749">
        <v>1</v>
      </c>
      <c r="H1444" s="749"/>
      <c r="I1444" s="735">
        <v>0</v>
      </c>
      <c r="J1444" s="735">
        <v>0</v>
      </c>
      <c r="K1444" s="735">
        <v>0</v>
      </c>
      <c r="L1444" s="750">
        <v>0</v>
      </c>
    </row>
    <row r="1445" spans="1:12" ht="31.5" x14ac:dyDescent="0.25">
      <c r="A1445" s="561" t="s">
        <v>1662</v>
      </c>
      <c r="B1445" s="749">
        <v>2023</v>
      </c>
      <c r="C1445" s="561" t="s">
        <v>721</v>
      </c>
      <c r="D1445" s="561" t="s">
        <v>1698</v>
      </c>
      <c r="E1445" s="561" t="s">
        <v>182</v>
      </c>
      <c r="F1445" s="735">
        <v>0</v>
      </c>
      <c r="G1445" s="749">
        <v>1</v>
      </c>
      <c r="H1445" s="749"/>
      <c r="I1445" s="735">
        <v>0</v>
      </c>
      <c r="J1445" s="735">
        <v>0</v>
      </c>
      <c r="K1445" s="735">
        <v>0</v>
      </c>
      <c r="L1445" s="750">
        <v>0</v>
      </c>
    </row>
    <row r="1446" spans="1:12" ht="31.5" x14ac:dyDescent="0.25">
      <c r="A1446" s="561" t="s">
        <v>1662</v>
      </c>
      <c r="B1446" s="749">
        <v>2023</v>
      </c>
      <c r="C1446" s="561" t="s">
        <v>721</v>
      </c>
      <c r="D1446" s="561" t="s">
        <v>1699</v>
      </c>
      <c r="E1446" s="561" t="s">
        <v>394</v>
      </c>
      <c r="F1446" s="735">
        <v>0</v>
      </c>
      <c r="G1446" s="749">
        <v>1</v>
      </c>
      <c r="H1446" s="749"/>
      <c r="I1446" s="735">
        <v>0</v>
      </c>
      <c r="J1446" s="735">
        <v>0</v>
      </c>
      <c r="K1446" s="735">
        <v>0</v>
      </c>
      <c r="L1446" s="750">
        <v>0</v>
      </c>
    </row>
    <row r="1447" spans="1:12" ht="31.5" x14ac:dyDescent="0.25">
      <c r="A1447" s="561" t="s">
        <v>1662</v>
      </c>
      <c r="B1447" s="749">
        <v>2023</v>
      </c>
      <c r="C1447" s="561" t="s">
        <v>721</v>
      </c>
      <c r="D1447" s="561" t="s">
        <v>1700</v>
      </c>
      <c r="E1447" s="561" t="s">
        <v>423</v>
      </c>
      <c r="F1447" s="735">
        <v>0</v>
      </c>
      <c r="G1447" s="749">
        <v>1</v>
      </c>
      <c r="H1447" s="749"/>
      <c r="I1447" s="735">
        <v>0</v>
      </c>
      <c r="J1447" s="735">
        <v>0</v>
      </c>
      <c r="K1447" s="735">
        <v>0</v>
      </c>
      <c r="L1447" s="750">
        <v>0</v>
      </c>
    </row>
    <row r="1448" spans="1:12" ht="31.5" x14ac:dyDescent="0.25">
      <c r="A1448" s="561" t="s">
        <v>1662</v>
      </c>
      <c r="B1448" s="749">
        <v>2023</v>
      </c>
      <c r="C1448" s="561" t="s">
        <v>721</v>
      </c>
      <c r="D1448" s="561" t="s">
        <v>3263</v>
      </c>
      <c r="E1448" s="561" t="s">
        <v>441</v>
      </c>
      <c r="F1448" s="735">
        <v>0</v>
      </c>
      <c r="G1448" s="749">
        <v>1</v>
      </c>
      <c r="H1448" s="749"/>
      <c r="I1448" s="735">
        <v>0</v>
      </c>
      <c r="J1448" s="735">
        <v>0</v>
      </c>
      <c r="K1448" s="735">
        <v>0</v>
      </c>
      <c r="L1448" s="750">
        <v>0</v>
      </c>
    </row>
    <row r="1449" spans="1:12" ht="31.5" x14ac:dyDescent="0.25">
      <c r="A1449" s="561" t="s">
        <v>1662</v>
      </c>
      <c r="B1449" s="749">
        <v>2023</v>
      </c>
      <c r="C1449" s="561" t="s">
        <v>721</v>
      </c>
      <c r="D1449" s="561" t="s">
        <v>3540</v>
      </c>
      <c r="E1449" s="561" t="s">
        <v>3016</v>
      </c>
      <c r="F1449" s="735">
        <v>0</v>
      </c>
      <c r="G1449" s="749">
        <v>1</v>
      </c>
      <c r="H1449" s="749"/>
      <c r="I1449" s="735">
        <v>0</v>
      </c>
      <c r="J1449" s="735">
        <v>0</v>
      </c>
      <c r="K1449" s="735">
        <v>0</v>
      </c>
      <c r="L1449" s="750">
        <v>0</v>
      </c>
    </row>
    <row r="1450" spans="1:12" ht="31.5" x14ac:dyDescent="0.25">
      <c r="A1450" s="561" t="s">
        <v>1662</v>
      </c>
      <c r="B1450" s="749">
        <v>2023</v>
      </c>
      <c r="C1450" s="561" t="s">
        <v>721</v>
      </c>
      <c r="D1450" s="561" t="s">
        <v>3541</v>
      </c>
      <c r="E1450" s="561" t="s">
        <v>3058</v>
      </c>
      <c r="F1450" s="735">
        <v>0</v>
      </c>
      <c r="G1450" s="749">
        <v>1</v>
      </c>
      <c r="H1450" s="749"/>
      <c r="I1450" s="735">
        <v>0</v>
      </c>
      <c r="J1450" s="735">
        <v>0</v>
      </c>
      <c r="K1450" s="735">
        <v>0</v>
      </c>
      <c r="L1450" s="750">
        <v>0</v>
      </c>
    </row>
    <row r="1451" spans="1:12" ht="31.5" x14ac:dyDescent="0.25">
      <c r="A1451" s="561" t="s">
        <v>1662</v>
      </c>
      <c r="B1451" s="749">
        <v>2023</v>
      </c>
      <c r="C1451" s="561" t="s">
        <v>721</v>
      </c>
      <c r="D1451" s="561" t="s">
        <v>3542</v>
      </c>
      <c r="E1451" s="561" t="s">
        <v>3063</v>
      </c>
      <c r="F1451" s="735">
        <v>0</v>
      </c>
      <c r="G1451" s="749">
        <v>1</v>
      </c>
      <c r="H1451" s="749"/>
      <c r="I1451" s="735">
        <v>0</v>
      </c>
      <c r="J1451" s="735">
        <v>0</v>
      </c>
      <c r="K1451" s="735">
        <v>0</v>
      </c>
      <c r="L1451" s="750">
        <v>0</v>
      </c>
    </row>
    <row r="1452" spans="1:12" ht="31.5" x14ac:dyDescent="0.25">
      <c r="A1452" s="561" t="s">
        <v>1662</v>
      </c>
      <c r="B1452" s="749">
        <v>2023</v>
      </c>
      <c r="C1452" s="561" t="s">
        <v>721</v>
      </c>
      <c r="D1452" s="561" t="s">
        <v>3836</v>
      </c>
      <c r="E1452" s="561" t="s">
        <v>3425</v>
      </c>
      <c r="F1452" s="735">
        <v>0</v>
      </c>
      <c r="G1452" s="749">
        <v>1</v>
      </c>
      <c r="H1452" s="749"/>
      <c r="I1452" s="735">
        <v>0</v>
      </c>
      <c r="J1452" s="735">
        <v>0</v>
      </c>
      <c r="K1452" s="735">
        <v>0</v>
      </c>
      <c r="L1452" s="750">
        <v>0</v>
      </c>
    </row>
    <row r="1453" spans="1:12" ht="42" x14ac:dyDescent="0.25">
      <c r="A1453" s="561" t="s">
        <v>1662</v>
      </c>
      <c r="B1453" s="749">
        <v>2023</v>
      </c>
      <c r="C1453" s="561" t="s">
        <v>721</v>
      </c>
      <c r="D1453" s="561" t="s">
        <v>3837</v>
      </c>
      <c r="E1453" s="561" t="s">
        <v>737</v>
      </c>
      <c r="F1453" s="735">
        <v>0</v>
      </c>
      <c r="G1453" s="749">
        <v>0</v>
      </c>
      <c r="H1453" s="749"/>
      <c r="I1453" s="733"/>
      <c r="J1453" s="733"/>
      <c r="K1453" s="735">
        <v>0</v>
      </c>
      <c r="L1453" s="750">
        <v>0</v>
      </c>
    </row>
    <row r="1454" spans="1:12" x14ac:dyDescent="0.25">
      <c r="A1454" s="561" t="s">
        <v>1662</v>
      </c>
      <c r="B1454" s="749">
        <v>2023</v>
      </c>
      <c r="C1454" s="561" t="s">
        <v>738</v>
      </c>
      <c r="D1454" s="561" t="s">
        <v>1702</v>
      </c>
      <c r="E1454" s="561" t="s">
        <v>7</v>
      </c>
      <c r="F1454" s="735">
        <v>0</v>
      </c>
      <c r="G1454" s="749">
        <v>0</v>
      </c>
      <c r="H1454" s="749"/>
      <c r="I1454" s="733"/>
      <c r="J1454" s="733"/>
      <c r="K1454" s="735">
        <v>0</v>
      </c>
      <c r="L1454" s="750">
        <v>0</v>
      </c>
    </row>
    <row r="1455" spans="1:12" x14ac:dyDescent="0.25">
      <c r="A1455" s="561" t="s">
        <v>97</v>
      </c>
      <c r="B1455" s="749">
        <v>2023</v>
      </c>
      <c r="C1455" s="561" t="s">
        <v>647</v>
      </c>
      <c r="D1455" s="561" t="s">
        <v>1703</v>
      </c>
      <c r="E1455" s="561" t="s">
        <v>649</v>
      </c>
      <c r="F1455" s="735">
        <v>2623464.42</v>
      </c>
      <c r="G1455" s="749">
        <v>0</v>
      </c>
      <c r="H1455" s="749"/>
      <c r="I1455" s="733"/>
      <c r="J1455" s="733"/>
      <c r="K1455" s="735">
        <v>0</v>
      </c>
      <c r="L1455" s="750">
        <v>2623464.42</v>
      </c>
    </row>
    <row r="1456" spans="1:12" ht="21" x14ac:dyDescent="0.25">
      <c r="A1456" s="561" t="s">
        <v>97</v>
      </c>
      <c r="B1456" s="749">
        <v>2023</v>
      </c>
      <c r="C1456" s="561" t="s">
        <v>3691</v>
      </c>
      <c r="D1456" s="561" t="s">
        <v>3648</v>
      </c>
      <c r="E1456" s="561" t="s">
        <v>3675</v>
      </c>
      <c r="F1456" s="735">
        <v>0</v>
      </c>
      <c r="G1456" s="749">
        <v>0</v>
      </c>
      <c r="H1456" s="749"/>
      <c r="I1456" s="733"/>
      <c r="J1456" s="733"/>
      <c r="K1456" s="735">
        <v>0</v>
      </c>
      <c r="L1456" s="750">
        <v>0</v>
      </c>
    </row>
    <row r="1457" spans="1:12" x14ac:dyDescent="0.25">
      <c r="A1457" s="561" t="s">
        <v>97</v>
      </c>
      <c r="B1457" s="749">
        <v>2023</v>
      </c>
      <c r="C1457" s="561" t="s">
        <v>651</v>
      </c>
      <c r="D1457" s="561" t="s">
        <v>1704</v>
      </c>
      <c r="E1457" s="561" t="s">
        <v>653</v>
      </c>
      <c r="F1457" s="735">
        <v>0</v>
      </c>
      <c r="G1457" s="749">
        <v>0</v>
      </c>
      <c r="H1457" s="749"/>
      <c r="I1457" s="733"/>
      <c r="J1457" s="733"/>
      <c r="K1457" s="735">
        <v>0</v>
      </c>
      <c r="L1457" s="750">
        <v>0</v>
      </c>
    </row>
    <row r="1458" spans="1:12" ht="31.5" x14ac:dyDescent="0.25">
      <c r="A1458" s="561" t="s">
        <v>97</v>
      </c>
      <c r="B1458" s="749">
        <v>2023</v>
      </c>
      <c r="C1458" s="561" t="s">
        <v>654</v>
      </c>
      <c r="D1458" s="561" t="s">
        <v>1705</v>
      </c>
      <c r="E1458" s="561" t="s">
        <v>445</v>
      </c>
      <c r="F1458" s="735">
        <v>-29762.32</v>
      </c>
      <c r="G1458" s="749">
        <v>0</v>
      </c>
      <c r="H1458" s="749"/>
      <c r="I1458" s="733"/>
      <c r="J1458" s="733"/>
      <c r="K1458" s="735">
        <v>0</v>
      </c>
      <c r="L1458" s="750">
        <v>-29762.32</v>
      </c>
    </row>
    <row r="1459" spans="1:12" ht="21" x14ac:dyDescent="0.25">
      <c r="A1459" s="561" t="s">
        <v>97</v>
      </c>
      <c r="B1459" s="749">
        <v>2023</v>
      </c>
      <c r="C1459" s="561" t="s">
        <v>656</v>
      </c>
      <c r="D1459" s="561" t="s">
        <v>1706</v>
      </c>
      <c r="E1459" s="561" t="s">
        <v>658</v>
      </c>
      <c r="F1459" s="735">
        <v>0</v>
      </c>
      <c r="G1459" s="749">
        <v>0</v>
      </c>
      <c r="H1459" s="749"/>
      <c r="I1459" s="733"/>
      <c r="J1459" s="733"/>
      <c r="K1459" s="735">
        <v>0</v>
      </c>
      <c r="L1459" s="750">
        <v>0</v>
      </c>
    </row>
    <row r="1460" spans="1:12" ht="21" x14ac:dyDescent="0.25">
      <c r="A1460" s="561" t="s">
        <v>97</v>
      </c>
      <c r="B1460" s="749">
        <v>2023</v>
      </c>
      <c r="C1460" s="561" t="s">
        <v>659</v>
      </c>
      <c r="D1460" s="561" t="s">
        <v>1707</v>
      </c>
      <c r="E1460" s="561" t="s">
        <v>661</v>
      </c>
      <c r="F1460" s="735">
        <v>0</v>
      </c>
      <c r="G1460" s="749">
        <v>0</v>
      </c>
      <c r="H1460" s="749"/>
      <c r="I1460" s="733"/>
      <c r="J1460" s="733"/>
      <c r="K1460" s="735">
        <v>0</v>
      </c>
      <c r="L1460" s="750">
        <v>0</v>
      </c>
    </row>
    <row r="1461" spans="1:12" ht="21" x14ac:dyDescent="0.25">
      <c r="A1461" s="561" t="s">
        <v>97</v>
      </c>
      <c r="B1461" s="749">
        <v>2023</v>
      </c>
      <c r="C1461" s="561" t="s">
        <v>662</v>
      </c>
      <c r="D1461" s="561" t="s">
        <v>1708</v>
      </c>
      <c r="E1461" s="561" t="s">
        <v>664</v>
      </c>
      <c r="F1461" s="735">
        <v>0</v>
      </c>
      <c r="G1461" s="749">
        <v>0</v>
      </c>
      <c r="H1461" s="749"/>
      <c r="I1461" s="733"/>
      <c r="J1461" s="733"/>
      <c r="K1461" s="735">
        <v>0</v>
      </c>
      <c r="L1461" s="750">
        <v>0</v>
      </c>
    </row>
    <row r="1462" spans="1:12" ht="31.5" x14ac:dyDescent="0.25">
      <c r="A1462" s="561" t="s">
        <v>97</v>
      </c>
      <c r="B1462" s="749">
        <v>2023</v>
      </c>
      <c r="C1462" s="561" t="s">
        <v>665</v>
      </c>
      <c r="D1462" s="561" t="s">
        <v>1709</v>
      </c>
      <c r="E1462" s="561" t="s">
        <v>667</v>
      </c>
      <c r="F1462" s="735">
        <v>0</v>
      </c>
      <c r="G1462" s="749">
        <v>0</v>
      </c>
      <c r="H1462" s="749"/>
      <c r="I1462" s="733"/>
      <c r="J1462" s="733"/>
      <c r="K1462" s="735">
        <v>0</v>
      </c>
      <c r="L1462" s="750">
        <v>0</v>
      </c>
    </row>
    <row r="1463" spans="1:12" ht="21" x14ac:dyDescent="0.25">
      <c r="A1463" s="561" t="s">
        <v>97</v>
      </c>
      <c r="B1463" s="749">
        <v>2023</v>
      </c>
      <c r="C1463" s="561" t="s">
        <v>668</v>
      </c>
      <c r="D1463" s="561" t="s">
        <v>1710</v>
      </c>
      <c r="E1463" s="561" t="s">
        <v>12</v>
      </c>
      <c r="F1463" s="735">
        <v>0</v>
      </c>
      <c r="G1463" s="749">
        <v>0</v>
      </c>
      <c r="H1463" s="749"/>
      <c r="I1463" s="733"/>
      <c r="J1463" s="733"/>
      <c r="K1463" s="735">
        <v>0</v>
      </c>
      <c r="L1463" s="750">
        <v>0</v>
      </c>
    </row>
    <row r="1464" spans="1:12" ht="21" x14ac:dyDescent="0.25">
      <c r="A1464" s="561" t="s">
        <v>97</v>
      </c>
      <c r="B1464" s="749">
        <v>2023</v>
      </c>
      <c r="C1464" s="561" t="s">
        <v>670</v>
      </c>
      <c r="D1464" s="561" t="s">
        <v>1711</v>
      </c>
      <c r="E1464" s="561" t="s">
        <v>13</v>
      </c>
      <c r="F1464" s="735">
        <v>0</v>
      </c>
      <c r="G1464" s="749">
        <v>0</v>
      </c>
      <c r="H1464" s="749"/>
      <c r="I1464" s="733"/>
      <c r="J1464" s="733"/>
      <c r="K1464" s="735">
        <v>0</v>
      </c>
      <c r="L1464" s="750">
        <v>0</v>
      </c>
    </row>
    <row r="1465" spans="1:12" ht="21" x14ac:dyDescent="0.25">
      <c r="A1465" s="561" t="s">
        <v>97</v>
      </c>
      <c r="B1465" s="749">
        <v>2023</v>
      </c>
      <c r="C1465" s="561" t="s">
        <v>672</v>
      </c>
      <c r="D1465" s="561" t="s">
        <v>1712</v>
      </c>
      <c r="E1465" s="561" t="s">
        <v>15</v>
      </c>
      <c r="F1465" s="735">
        <v>0</v>
      </c>
      <c r="G1465" s="749">
        <v>0</v>
      </c>
      <c r="H1465" s="749"/>
      <c r="I1465" s="733"/>
      <c r="J1465" s="733"/>
      <c r="K1465" s="735">
        <v>0</v>
      </c>
      <c r="L1465" s="750">
        <v>0</v>
      </c>
    </row>
    <row r="1466" spans="1:12" x14ac:dyDescent="0.25">
      <c r="A1466" s="561" t="s">
        <v>97</v>
      </c>
      <c r="B1466" s="749">
        <v>2023</v>
      </c>
      <c r="C1466" s="561" t="s">
        <v>674</v>
      </c>
      <c r="D1466" s="561" t="s">
        <v>1713</v>
      </c>
      <c r="E1466" s="561" t="s">
        <v>676</v>
      </c>
      <c r="F1466" s="735">
        <v>0</v>
      </c>
      <c r="G1466" s="749">
        <v>0</v>
      </c>
      <c r="H1466" s="749"/>
      <c r="I1466" s="733"/>
      <c r="J1466" s="733"/>
      <c r="K1466" s="735">
        <v>0</v>
      </c>
      <c r="L1466" s="750">
        <v>0</v>
      </c>
    </row>
    <row r="1467" spans="1:12" x14ac:dyDescent="0.25">
      <c r="A1467" s="561" t="s">
        <v>97</v>
      </c>
      <c r="B1467" s="749">
        <v>2023</v>
      </c>
      <c r="C1467" s="561" t="s">
        <v>677</v>
      </c>
      <c r="D1467" s="561" t="s">
        <v>1714</v>
      </c>
      <c r="E1467" s="561" t="s">
        <v>23</v>
      </c>
      <c r="F1467" s="735">
        <v>-345313.79</v>
      </c>
      <c r="G1467" s="749">
        <v>1</v>
      </c>
      <c r="H1467" s="749"/>
      <c r="I1467" s="735">
        <v>-337532.18</v>
      </c>
      <c r="J1467" s="735">
        <v>-7781.61</v>
      </c>
      <c r="K1467" s="735">
        <v>-345313.79</v>
      </c>
      <c r="L1467" s="750">
        <v>-345313.79</v>
      </c>
    </row>
    <row r="1468" spans="1:12" ht="21" x14ac:dyDescent="0.25">
      <c r="A1468" s="561" t="s">
        <v>97</v>
      </c>
      <c r="B1468" s="749">
        <v>2023</v>
      </c>
      <c r="C1468" s="561" t="s">
        <v>679</v>
      </c>
      <c r="D1468" s="561" t="s">
        <v>1715</v>
      </c>
      <c r="E1468" s="561" t="s">
        <v>131</v>
      </c>
      <c r="F1468" s="735">
        <v>-1242898.01</v>
      </c>
      <c r="G1468" s="749">
        <v>1</v>
      </c>
      <c r="H1468" s="749"/>
      <c r="I1468" s="735">
        <v>-1230945.75</v>
      </c>
      <c r="J1468" s="735">
        <v>-11952.26</v>
      </c>
      <c r="K1468" s="735">
        <v>-1242898.01</v>
      </c>
      <c r="L1468" s="750">
        <v>-1242898.01</v>
      </c>
    </row>
    <row r="1469" spans="1:12" ht="31.5" x14ac:dyDescent="0.25">
      <c r="A1469" s="561" t="s">
        <v>97</v>
      </c>
      <c r="B1469" s="749">
        <v>2023</v>
      </c>
      <c r="C1469" s="561" t="s">
        <v>681</v>
      </c>
      <c r="D1469" s="561" t="s">
        <v>1716</v>
      </c>
      <c r="E1469" s="561" t="s">
        <v>683</v>
      </c>
      <c r="F1469" s="735">
        <v>0</v>
      </c>
      <c r="G1469" s="749">
        <v>0</v>
      </c>
      <c r="H1469" s="749"/>
      <c r="I1469" s="733"/>
      <c r="J1469" s="733"/>
      <c r="K1469" s="735">
        <v>0</v>
      </c>
      <c r="L1469" s="750">
        <v>0</v>
      </c>
    </row>
    <row r="1470" spans="1:12" ht="21" x14ac:dyDescent="0.25">
      <c r="A1470" s="561" t="s">
        <v>97</v>
      </c>
      <c r="B1470" s="749">
        <v>2023</v>
      </c>
      <c r="C1470" s="561" t="s">
        <v>681</v>
      </c>
      <c r="D1470" s="561" t="s">
        <v>1716</v>
      </c>
      <c r="E1470" s="561" t="s">
        <v>684</v>
      </c>
      <c r="F1470" s="735">
        <v>0</v>
      </c>
      <c r="G1470" s="749">
        <v>0</v>
      </c>
      <c r="H1470" s="749"/>
      <c r="I1470" s="733"/>
      <c r="J1470" s="733"/>
      <c r="K1470" s="735">
        <v>0</v>
      </c>
      <c r="L1470" s="751">
        <v>0</v>
      </c>
    </row>
    <row r="1471" spans="1:12" x14ac:dyDescent="0.25">
      <c r="A1471" s="561" t="s">
        <v>97</v>
      </c>
      <c r="B1471" s="749">
        <v>2023</v>
      </c>
      <c r="C1471" s="561" t="s">
        <v>685</v>
      </c>
      <c r="D1471" s="561" t="s">
        <v>1717</v>
      </c>
      <c r="E1471" s="561" t="s">
        <v>687</v>
      </c>
      <c r="F1471" s="735">
        <v>0</v>
      </c>
      <c r="G1471" s="749">
        <v>0</v>
      </c>
      <c r="H1471" s="749"/>
      <c r="I1471" s="733"/>
      <c r="J1471" s="733"/>
      <c r="K1471" s="735">
        <v>0</v>
      </c>
      <c r="L1471" s="750">
        <v>0</v>
      </c>
    </row>
    <row r="1472" spans="1:12" x14ac:dyDescent="0.25">
      <c r="A1472" s="561" t="s">
        <v>97</v>
      </c>
      <c r="B1472" s="749">
        <v>2023</v>
      </c>
      <c r="C1472" s="561" t="s">
        <v>688</v>
      </c>
      <c r="D1472" s="561" t="s">
        <v>1718</v>
      </c>
      <c r="E1472" s="561" t="s">
        <v>50</v>
      </c>
      <c r="F1472" s="735">
        <v>-103411.21</v>
      </c>
      <c r="G1472" s="749">
        <v>0</v>
      </c>
      <c r="H1472" s="749"/>
      <c r="I1472" s="733"/>
      <c r="J1472" s="733"/>
      <c r="K1472" s="735">
        <v>0</v>
      </c>
      <c r="L1472" s="750">
        <v>-103411.21</v>
      </c>
    </row>
    <row r="1473" spans="1:12" x14ac:dyDescent="0.25">
      <c r="A1473" s="561" t="s">
        <v>97</v>
      </c>
      <c r="B1473" s="749">
        <v>2023</v>
      </c>
      <c r="C1473" s="561" t="s">
        <v>690</v>
      </c>
      <c r="D1473" s="561" t="s">
        <v>1719</v>
      </c>
      <c r="E1473" s="561" t="s">
        <v>692</v>
      </c>
      <c r="F1473" s="735">
        <v>0</v>
      </c>
      <c r="G1473" s="749">
        <v>0</v>
      </c>
      <c r="H1473" s="749"/>
      <c r="I1473" s="733"/>
      <c r="J1473" s="733"/>
      <c r="K1473" s="735">
        <v>0</v>
      </c>
      <c r="L1473" s="750">
        <v>0</v>
      </c>
    </row>
    <row r="1474" spans="1:12" ht="21" x14ac:dyDescent="0.25">
      <c r="A1474" s="561" t="s">
        <v>97</v>
      </c>
      <c r="B1474" s="749">
        <v>2023</v>
      </c>
      <c r="C1474" s="561" t="s">
        <v>693</v>
      </c>
      <c r="D1474" s="561" t="s">
        <v>1720</v>
      </c>
      <c r="E1474" s="561" t="s">
        <v>6</v>
      </c>
      <c r="F1474" s="735">
        <v>0</v>
      </c>
      <c r="G1474" s="749">
        <v>0</v>
      </c>
      <c r="H1474" s="749"/>
      <c r="I1474" s="733"/>
      <c r="J1474" s="733"/>
      <c r="K1474" s="735">
        <v>0</v>
      </c>
      <c r="L1474" s="750">
        <v>0</v>
      </c>
    </row>
    <row r="1475" spans="1:12" ht="21" x14ac:dyDescent="0.25">
      <c r="A1475" s="561" t="s">
        <v>97</v>
      </c>
      <c r="B1475" s="749">
        <v>2023</v>
      </c>
      <c r="C1475" s="561" t="s">
        <v>695</v>
      </c>
      <c r="D1475" s="561" t="s">
        <v>1721</v>
      </c>
      <c r="E1475" s="561" t="s">
        <v>697</v>
      </c>
      <c r="F1475" s="735">
        <v>0</v>
      </c>
      <c r="G1475" s="749">
        <v>0</v>
      </c>
      <c r="H1475" s="749"/>
      <c r="I1475" s="733"/>
      <c r="J1475" s="733"/>
      <c r="K1475" s="735">
        <v>0</v>
      </c>
      <c r="L1475" s="750">
        <v>0</v>
      </c>
    </row>
    <row r="1476" spans="1:12" x14ac:dyDescent="0.25">
      <c r="A1476" s="561" t="s">
        <v>97</v>
      </c>
      <c r="B1476" s="749">
        <v>2023</v>
      </c>
      <c r="C1476" s="561" t="s">
        <v>698</v>
      </c>
      <c r="D1476" s="561" t="s">
        <v>1722</v>
      </c>
      <c r="E1476" s="561" t="s">
        <v>700</v>
      </c>
      <c r="F1476" s="735">
        <v>0</v>
      </c>
      <c r="G1476" s="749">
        <v>0</v>
      </c>
      <c r="H1476" s="749"/>
      <c r="I1476" s="733"/>
      <c r="J1476" s="733"/>
      <c r="K1476" s="735">
        <v>0</v>
      </c>
      <c r="L1476" s="750">
        <v>0</v>
      </c>
    </row>
    <row r="1477" spans="1:12" ht="21" x14ac:dyDescent="0.25">
      <c r="A1477" s="561" t="s">
        <v>97</v>
      </c>
      <c r="B1477" s="749">
        <v>2023</v>
      </c>
      <c r="C1477" s="561" t="s">
        <v>701</v>
      </c>
      <c r="D1477" s="561" t="s">
        <v>1723</v>
      </c>
      <c r="E1477" s="561" t="s">
        <v>1</v>
      </c>
      <c r="F1477" s="735">
        <v>16418337.949999999</v>
      </c>
      <c r="G1477" s="749">
        <v>1</v>
      </c>
      <c r="H1477" s="749"/>
      <c r="I1477" s="735">
        <v>16141855.66</v>
      </c>
      <c r="J1477" s="735">
        <v>276482.28999999998</v>
      </c>
      <c r="K1477" s="735">
        <v>16418337.949999999</v>
      </c>
      <c r="L1477" s="750">
        <v>16418337.949999999</v>
      </c>
    </row>
    <row r="1478" spans="1:12" ht="21" x14ac:dyDescent="0.25">
      <c r="A1478" s="561" t="s">
        <v>97</v>
      </c>
      <c r="B1478" s="749">
        <v>2023</v>
      </c>
      <c r="C1478" s="561" t="s">
        <v>701</v>
      </c>
      <c r="D1478" s="561" t="s">
        <v>1723</v>
      </c>
      <c r="E1478" s="561" t="s">
        <v>703</v>
      </c>
      <c r="F1478" s="735">
        <v>0</v>
      </c>
      <c r="G1478" s="749">
        <v>0</v>
      </c>
      <c r="H1478" s="749"/>
      <c r="I1478" s="733"/>
      <c r="J1478" s="733"/>
      <c r="K1478" s="735">
        <v>0</v>
      </c>
      <c r="L1478" s="751">
        <v>0</v>
      </c>
    </row>
    <row r="1479" spans="1:12" ht="21" x14ac:dyDescent="0.25">
      <c r="A1479" s="561" t="s">
        <v>97</v>
      </c>
      <c r="B1479" s="749">
        <v>2023</v>
      </c>
      <c r="C1479" s="561" t="s">
        <v>701</v>
      </c>
      <c r="D1479" s="561" t="s">
        <v>1723</v>
      </c>
      <c r="E1479" s="561" t="s">
        <v>704</v>
      </c>
      <c r="F1479" s="735">
        <v>0</v>
      </c>
      <c r="G1479" s="749">
        <v>0</v>
      </c>
      <c r="H1479" s="749"/>
      <c r="I1479" s="733"/>
      <c r="J1479" s="733"/>
      <c r="K1479" s="735">
        <v>0</v>
      </c>
      <c r="L1479" s="751">
        <v>0</v>
      </c>
    </row>
    <row r="1480" spans="1:12" ht="21" x14ac:dyDescent="0.25">
      <c r="A1480" s="561" t="s">
        <v>97</v>
      </c>
      <c r="B1480" s="749">
        <v>2023</v>
      </c>
      <c r="C1480" s="561" t="s">
        <v>701</v>
      </c>
      <c r="D1480" s="561" t="s">
        <v>1723</v>
      </c>
      <c r="E1480" s="561" t="s">
        <v>705</v>
      </c>
      <c r="F1480" s="735">
        <v>0</v>
      </c>
      <c r="G1480" s="749">
        <v>0</v>
      </c>
      <c r="H1480" s="749"/>
      <c r="I1480" s="733"/>
      <c r="J1480" s="733"/>
      <c r="K1480" s="735">
        <v>0</v>
      </c>
      <c r="L1480" s="751">
        <v>-27903.17</v>
      </c>
    </row>
    <row r="1481" spans="1:12" ht="21" x14ac:dyDescent="0.25">
      <c r="A1481" s="561" t="s">
        <v>97</v>
      </c>
      <c r="B1481" s="749">
        <v>2023</v>
      </c>
      <c r="C1481" s="561" t="s">
        <v>701</v>
      </c>
      <c r="D1481" s="561" t="s">
        <v>1723</v>
      </c>
      <c r="E1481" s="561" t="s">
        <v>706</v>
      </c>
      <c r="F1481" s="735">
        <v>0</v>
      </c>
      <c r="G1481" s="749">
        <v>0</v>
      </c>
      <c r="H1481" s="749"/>
      <c r="I1481" s="733"/>
      <c r="J1481" s="733"/>
      <c r="K1481" s="735">
        <v>0</v>
      </c>
      <c r="L1481" s="751">
        <v>-1368509.43</v>
      </c>
    </row>
    <row r="1482" spans="1:12" x14ac:dyDescent="0.25">
      <c r="A1482" s="561" t="s">
        <v>97</v>
      </c>
      <c r="B1482" s="749">
        <v>2023</v>
      </c>
      <c r="C1482" s="561" t="s">
        <v>707</v>
      </c>
      <c r="D1482" s="561" t="s">
        <v>1724</v>
      </c>
      <c r="E1482" s="561" t="s">
        <v>709</v>
      </c>
      <c r="F1482" s="735">
        <v>0</v>
      </c>
      <c r="G1482" s="749">
        <v>0</v>
      </c>
      <c r="H1482" s="749"/>
      <c r="I1482" s="733"/>
      <c r="J1482" s="733"/>
      <c r="K1482" s="735">
        <v>0</v>
      </c>
      <c r="L1482" s="750">
        <v>0</v>
      </c>
    </row>
    <row r="1483" spans="1:12" ht="21" x14ac:dyDescent="0.25">
      <c r="A1483" s="561" t="s">
        <v>97</v>
      </c>
      <c r="B1483" s="749">
        <v>2023</v>
      </c>
      <c r="C1483" s="561" t="s">
        <v>710</v>
      </c>
      <c r="D1483" s="561" t="s">
        <v>1725</v>
      </c>
      <c r="E1483" s="561" t="s">
        <v>2</v>
      </c>
      <c r="F1483" s="735">
        <v>14485319.75</v>
      </c>
      <c r="G1483" s="749">
        <v>1</v>
      </c>
      <c r="H1483" s="749"/>
      <c r="I1483" s="735">
        <v>14245576.08</v>
      </c>
      <c r="J1483" s="735">
        <v>239743.67</v>
      </c>
      <c r="K1483" s="735">
        <v>14485319.75</v>
      </c>
      <c r="L1483" s="750">
        <v>14485319.75</v>
      </c>
    </row>
    <row r="1484" spans="1:12" ht="21" x14ac:dyDescent="0.25">
      <c r="A1484" s="561" t="s">
        <v>97</v>
      </c>
      <c r="B1484" s="749">
        <v>2023</v>
      </c>
      <c r="C1484" s="561" t="s">
        <v>712</v>
      </c>
      <c r="D1484" s="561" t="s">
        <v>1726</v>
      </c>
      <c r="E1484" s="561" t="s">
        <v>3</v>
      </c>
      <c r="F1484" s="735">
        <v>-4357142.3600000003</v>
      </c>
      <c r="G1484" s="749">
        <v>1</v>
      </c>
      <c r="H1484" s="749"/>
      <c r="I1484" s="735">
        <v>-4296135.5199999996</v>
      </c>
      <c r="J1484" s="735">
        <v>-61006.84</v>
      </c>
      <c r="K1484" s="735">
        <v>-4357142.3600000003</v>
      </c>
      <c r="L1484" s="750">
        <v>-4357142.3600000003</v>
      </c>
    </row>
    <row r="1485" spans="1:12" ht="21" x14ac:dyDescent="0.25">
      <c r="A1485" s="561" t="s">
        <v>97</v>
      </c>
      <c r="B1485" s="749">
        <v>2023</v>
      </c>
      <c r="C1485" s="561" t="s">
        <v>714</v>
      </c>
      <c r="D1485" s="561" t="s">
        <v>1727</v>
      </c>
      <c r="E1485" s="561" t="s">
        <v>38</v>
      </c>
      <c r="F1485" s="735">
        <v>3866959.85</v>
      </c>
      <c r="G1485" s="749">
        <v>1</v>
      </c>
      <c r="H1485" s="749"/>
      <c r="I1485" s="735">
        <v>3810077.57</v>
      </c>
      <c r="J1485" s="735">
        <v>56882.28</v>
      </c>
      <c r="K1485" s="735">
        <v>3866959.85</v>
      </c>
      <c r="L1485" s="750">
        <v>3866959.85</v>
      </c>
    </row>
    <row r="1486" spans="1:12" x14ac:dyDescent="0.25">
      <c r="A1486" s="561" t="s">
        <v>97</v>
      </c>
      <c r="B1486" s="749">
        <v>2023</v>
      </c>
      <c r="C1486" s="561" t="s">
        <v>716</v>
      </c>
      <c r="D1486" s="561" t="s">
        <v>1728</v>
      </c>
      <c r="E1486" s="561" t="s">
        <v>66</v>
      </c>
      <c r="F1486" s="735">
        <v>-9135711.0099999998</v>
      </c>
      <c r="G1486" s="749">
        <v>1</v>
      </c>
      <c r="H1486" s="749"/>
      <c r="I1486" s="735">
        <v>-8952608.1300000008</v>
      </c>
      <c r="J1486" s="735">
        <v>-183102.88</v>
      </c>
      <c r="K1486" s="735">
        <v>-9135711.0099999998</v>
      </c>
      <c r="L1486" s="750">
        <v>-9135711.0099999998</v>
      </c>
    </row>
    <row r="1487" spans="1:12" ht="21" x14ac:dyDescent="0.25">
      <c r="A1487" s="561" t="s">
        <v>97</v>
      </c>
      <c r="B1487" s="749">
        <v>2023</v>
      </c>
      <c r="C1487" s="561" t="s">
        <v>718</v>
      </c>
      <c r="D1487" s="561" t="s">
        <v>1729</v>
      </c>
      <c r="E1487" s="561" t="s">
        <v>720</v>
      </c>
      <c r="F1487" s="735">
        <v>61504.959999999999</v>
      </c>
      <c r="G1487" s="749">
        <v>0</v>
      </c>
      <c r="H1487" s="749"/>
      <c r="I1487" s="733"/>
      <c r="J1487" s="733"/>
      <c r="K1487" s="735">
        <v>0</v>
      </c>
      <c r="L1487" s="750">
        <v>61504.959999999999</v>
      </c>
    </row>
    <row r="1488" spans="1:12" ht="31.5" x14ac:dyDescent="0.25">
      <c r="A1488" s="561" t="s">
        <v>97</v>
      </c>
      <c r="B1488" s="749">
        <v>2023</v>
      </c>
      <c r="C1488" s="561" t="s">
        <v>721</v>
      </c>
      <c r="D1488" s="561" t="s">
        <v>1731</v>
      </c>
      <c r="E1488" s="561" t="s">
        <v>724</v>
      </c>
      <c r="F1488" s="735">
        <v>0</v>
      </c>
      <c r="G1488" s="749">
        <v>1</v>
      </c>
      <c r="H1488" s="749"/>
      <c r="I1488" s="733"/>
      <c r="J1488" s="733"/>
      <c r="K1488" s="735">
        <v>0</v>
      </c>
      <c r="L1488" s="750">
        <v>0</v>
      </c>
    </row>
    <row r="1489" spans="1:12" ht="31.5" x14ac:dyDescent="0.25">
      <c r="A1489" s="561" t="s">
        <v>97</v>
      </c>
      <c r="B1489" s="749">
        <v>2023</v>
      </c>
      <c r="C1489" s="561" t="s">
        <v>721</v>
      </c>
      <c r="D1489" s="561" t="s">
        <v>1732</v>
      </c>
      <c r="E1489" s="561" t="s">
        <v>55</v>
      </c>
      <c r="F1489" s="735">
        <v>0</v>
      </c>
      <c r="G1489" s="749">
        <v>1</v>
      </c>
      <c r="H1489" s="749"/>
      <c r="I1489" s="733"/>
      <c r="J1489" s="733"/>
      <c r="K1489" s="735">
        <v>0</v>
      </c>
      <c r="L1489" s="750">
        <v>0</v>
      </c>
    </row>
    <row r="1490" spans="1:12" ht="31.5" x14ac:dyDescent="0.25">
      <c r="A1490" s="561" t="s">
        <v>97</v>
      </c>
      <c r="B1490" s="749">
        <v>2023</v>
      </c>
      <c r="C1490" s="561" t="s">
        <v>721</v>
      </c>
      <c r="D1490" s="561" t="s">
        <v>1733</v>
      </c>
      <c r="E1490" s="561" t="s">
        <v>56</v>
      </c>
      <c r="F1490" s="735">
        <v>0</v>
      </c>
      <c r="G1490" s="749">
        <v>1</v>
      </c>
      <c r="H1490" s="749"/>
      <c r="I1490" s="733"/>
      <c r="J1490" s="733"/>
      <c r="K1490" s="735">
        <v>0</v>
      </c>
      <c r="L1490" s="750">
        <v>0</v>
      </c>
    </row>
    <row r="1491" spans="1:12" ht="31.5" x14ac:dyDescent="0.25">
      <c r="A1491" s="561" t="s">
        <v>97</v>
      </c>
      <c r="B1491" s="749">
        <v>2023</v>
      </c>
      <c r="C1491" s="561" t="s">
        <v>721</v>
      </c>
      <c r="D1491" s="561" t="s">
        <v>1734</v>
      </c>
      <c r="E1491" s="561" t="s">
        <v>728</v>
      </c>
      <c r="F1491" s="735">
        <v>0</v>
      </c>
      <c r="G1491" s="749">
        <v>1</v>
      </c>
      <c r="H1491" s="749"/>
      <c r="I1491" s="733"/>
      <c r="J1491" s="733"/>
      <c r="K1491" s="735">
        <v>0</v>
      </c>
      <c r="L1491" s="750">
        <v>0</v>
      </c>
    </row>
    <row r="1492" spans="1:12" ht="31.5" x14ac:dyDescent="0.25">
      <c r="A1492" s="561" t="s">
        <v>97</v>
      </c>
      <c r="B1492" s="749">
        <v>2023</v>
      </c>
      <c r="C1492" s="561" t="s">
        <v>721</v>
      </c>
      <c r="D1492" s="561" t="s">
        <v>1735</v>
      </c>
      <c r="E1492" s="561" t="s">
        <v>730</v>
      </c>
      <c r="F1492" s="735">
        <v>0</v>
      </c>
      <c r="G1492" s="749">
        <v>1</v>
      </c>
      <c r="H1492" s="749"/>
      <c r="I1492" s="733"/>
      <c r="J1492" s="733"/>
      <c r="K1492" s="735">
        <v>0</v>
      </c>
      <c r="L1492" s="750">
        <v>0</v>
      </c>
    </row>
    <row r="1493" spans="1:12" ht="31.5" x14ac:dyDescent="0.25">
      <c r="A1493" s="561" t="s">
        <v>97</v>
      </c>
      <c r="B1493" s="749">
        <v>2023</v>
      </c>
      <c r="C1493" s="561" t="s">
        <v>721</v>
      </c>
      <c r="D1493" s="561" t="s">
        <v>1736</v>
      </c>
      <c r="E1493" s="561" t="s">
        <v>142</v>
      </c>
      <c r="F1493" s="735">
        <v>0</v>
      </c>
      <c r="G1493" s="749">
        <v>1</v>
      </c>
      <c r="H1493" s="749"/>
      <c r="I1493" s="733"/>
      <c r="J1493" s="733"/>
      <c r="K1493" s="735">
        <v>0</v>
      </c>
      <c r="L1493" s="750">
        <v>0</v>
      </c>
    </row>
    <row r="1494" spans="1:12" ht="31.5" x14ac:dyDescent="0.25">
      <c r="A1494" s="561" t="s">
        <v>97</v>
      </c>
      <c r="B1494" s="749">
        <v>2023</v>
      </c>
      <c r="C1494" s="561" t="s">
        <v>721</v>
      </c>
      <c r="D1494" s="561" t="s">
        <v>1737</v>
      </c>
      <c r="E1494" s="561" t="s">
        <v>143</v>
      </c>
      <c r="F1494" s="735">
        <v>0</v>
      </c>
      <c r="G1494" s="749">
        <v>1</v>
      </c>
      <c r="H1494" s="749"/>
      <c r="I1494" s="733"/>
      <c r="J1494" s="733"/>
      <c r="K1494" s="735">
        <v>0</v>
      </c>
      <c r="L1494" s="750">
        <v>0</v>
      </c>
    </row>
    <row r="1495" spans="1:12" ht="31.5" x14ac:dyDescent="0.25">
      <c r="A1495" s="561" t="s">
        <v>97</v>
      </c>
      <c r="B1495" s="749">
        <v>2023</v>
      </c>
      <c r="C1495" s="561" t="s">
        <v>721</v>
      </c>
      <c r="D1495" s="561" t="s">
        <v>1738</v>
      </c>
      <c r="E1495" s="561" t="s">
        <v>182</v>
      </c>
      <c r="F1495" s="735">
        <v>0</v>
      </c>
      <c r="G1495" s="749">
        <v>1</v>
      </c>
      <c r="H1495" s="749"/>
      <c r="I1495" s="733"/>
      <c r="J1495" s="733"/>
      <c r="K1495" s="735">
        <v>0</v>
      </c>
      <c r="L1495" s="750">
        <v>0</v>
      </c>
    </row>
    <row r="1496" spans="1:12" ht="31.5" x14ac:dyDescent="0.25">
      <c r="A1496" s="561" t="s">
        <v>97</v>
      </c>
      <c r="B1496" s="749">
        <v>2023</v>
      </c>
      <c r="C1496" s="561" t="s">
        <v>721</v>
      </c>
      <c r="D1496" s="561" t="s">
        <v>1739</v>
      </c>
      <c r="E1496" s="561" t="s">
        <v>394</v>
      </c>
      <c r="F1496" s="735">
        <v>0</v>
      </c>
      <c r="G1496" s="749">
        <v>1</v>
      </c>
      <c r="H1496" s="749"/>
      <c r="I1496" s="733"/>
      <c r="J1496" s="733"/>
      <c r="K1496" s="735">
        <v>0</v>
      </c>
      <c r="L1496" s="750">
        <v>0</v>
      </c>
    </row>
    <row r="1497" spans="1:12" ht="31.5" x14ac:dyDescent="0.25">
      <c r="A1497" s="561" t="s">
        <v>97</v>
      </c>
      <c r="B1497" s="749">
        <v>2023</v>
      </c>
      <c r="C1497" s="561" t="s">
        <v>721</v>
      </c>
      <c r="D1497" s="561" t="s">
        <v>1740</v>
      </c>
      <c r="E1497" s="561" t="s">
        <v>423</v>
      </c>
      <c r="F1497" s="735">
        <v>0</v>
      </c>
      <c r="G1497" s="749">
        <v>1</v>
      </c>
      <c r="H1497" s="749"/>
      <c r="I1497" s="733"/>
      <c r="J1497" s="733"/>
      <c r="K1497" s="735">
        <v>0</v>
      </c>
      <c r="L1497" s="750">
        <v>0</v>
      </c>
    </row>
    <row r="1498" spans="1:12" ht="31.5" x14ac:dyDescent="0.25">
      <c r="A1498" s="561" t="s">
        <v>97</v>
      </c>
      <c r="B1498" s="749">
        <v>2023</v>
      </c>
      <c r="C1498" s="561" t="s">
        <v>721</v>
      </c>
      <c r="D1498" s="561" t="s">
        <v>3264</v>
      </c>
      <c r="E1498" s="561" t="s">
        <v>441</v>
      </c>
      <c r="F1498" s="735">
        <v>0</v>
      </c>
      <c r="G1498" s="749">
        <v>1</v>
      </c>
      <c r="H1498" s="749"/>
      <c r="I1498" s="733"/>
      <c r="J1498" s="733"/>
      <c r="K1498" s="735">
        <v>0</v>
      </c>
      <c r="L1498" s="750">
        <v>0</v>
      </c>
    </row>
    <row r="1499" spans="1:12" ht="31.5" x14ac:dyDescent="0.25">
      <c r="A1499" s="561" t="s">
        <v>97</v>
      </c>
      <c r="B1499" s="749">
        <v>2023</v>
      </c>
      <c r="C1499" s="561" t="s">
        <v>721</v>
      </c>
      <c r="D1499" s="561" t="s">
        <v>3543</v>
      </c>
      <c r="E1499" s="561" t="s">
        <v>3016</v>
      </c>
      <c r="F1499" s="735">
        <v>0</v>
      </c>
      <c r="G1499" s="749">
        <v>1</v>
      </c>
      <c r="H1499" s="749"/>
      <c r="I1499" s="735">
        <v>144575.89000000001</v>
      </c>
      <c r="J1499" s="735">
        <v>-122856.17</v>
      </c>
      <c r="K1499" s="735">
        <v>21719.72</v>
      </c>
      <c r="L1499" s="750">
        <v>21719.72</v>
      </c>
    </row>
    <row r="1500" spans="1:12" ht="31.5" x14ac:dyDescent="0.25">
      <c r="A1500" s="561" t="s">
        <v>97</v>
      </c>
      <c r="B1500" s="749">
        <v>2023</v>
      </c>
      <c r="C1500" s="561" t="s">
        <v>721</v>
      </c>
      <c r="D1500" s="561" t="s">
        <v>3544</v>
      </c>
      <c r="E1500" s="561" t="s">
        <v>3058</v>
      </c>
      <c r="F1500" s="735">
        <v>0</v>
      </c>
      <c r="G1500" s="749">
        <v>1</v>
      </c>
      <c r="H1500" s="749"/>
      <c r="I1500" s="735">
        <v>-95657.55</v>
      </c>
      <c r="J1500" s="735">
        <v>-48037.599999999999</v>
      </c>
      <c r="K1500" s="735">
        <v>-143695.15</v>
      </c>
      <c r="L1500" s="750">
        <v>-143695.15</v>
      </c>
    </row>
    <row r="1501" spans="1:12" ht="31.5" x14ac:dyDescent="0.25">
      <c r="A1501" s="561" t="s">
        <v>97</v>
      </c>
      <c r="B1501" s="749">
        <v>2023</v>
      </c>
      <c r="C1501" s="561" t="s">
        <v>721</v>
      </c>
      <c r="D1501" s="561" t="s">
        <v>3545</v>
      </c>
      <c r="E1501" s="561" t="s">
        <v>3063</v>
      </c>
      <c r="F1501" s="735">
        <v>0</v>
      </c>
      <c r="G1501" s="749">
        <v>1</v>
      </c>
      <c r="H1501" s="749"/>
      <c r="I1501" s="735">
        <v>-236847.25</v>
      </c>
      <c r="J1501" s="735">
        <v>-217241.19</v>
      </c>
      <c r="K1501" s="735">
        <v>-454088.44</v>
      </c>
      <c r="L1501" s="750">
        <v>-454088.44</v>
      </c>
    </row>
    <row r="1502" spans="1:12" ht="31.5" x14ac:dyDescent="0.25">
      <c r="A1502" s="561" t="s">
        <v>97</v>
      </c>
      <c r="B1502" s="749">
        <v>2023</v>
      </c>
      <c r="C1502" s="561" t="s">
        <v>721</v>
      </c>
      <c r="D1502" s="561" t="s">
        <v>3838</v>
      </c>
      <c r="E1502" s="561" t="s">
        <v>3425</v>
      </c>
      <c r="F1502" s="735">
        <v>0</v>
      </c>
      <c r="G1502" s="749">
        <v>1</v>
      </c>
      <c r="H1502" s="749"/>
      <c r="I1502" s="735">
        <v>186685.08</v>
      </c>
      <c r="J1502" s="735">
        <v>-71633.42</v>
      </c>
      <c r="K1502" s="735">
        <v>115051.66</v>
      </c>
      <c r="L1502" s="750">
        <v>115051.66</v>
      </c>
    </row>
    <row r="1503" spans="1:12" ht="42" x14ac:dyDescent="0.25">
      <c r="A1503" s="561" t="s">
        <v>97</v>
      </c>
      <c r="B1503" s="749">
        <v>2023</v>
      </c>
      <c r="C1503" s="561" t="s">
        <v>721</v>
      </c>
      <c r="D1503" s="561" t="s">
        <v>3839</v>
      </c>
      <c r="E1503" s="561" t="s">
        <v>737</v>
      </c>
      <c r="F1503" s="735">
        <v>-461012.21</v>
      </c>
      <c r="G1503" s="749">
        <v>0</v>
      </c>
      <c r="H1503" s="749"/>
      <c r="I1503" s="733"/>
      <c r="J1503" s="733"/>
      <c r="K1503" s="735">
        <v>0</v>
      </c>
      <c r="L1503" s="750">
        <v>-461012.21</v>
      </c>
    </row>
    <row r="1504" spans="1:12" x14ac:dyDescent="0.25">
      <c r="A1504" s="561" t="s">
        <v>97</v>
      </c>
      <c r="B1504" s="749">
        <v>2023</v>
      </c>
      <c r="C1504" s="561" t="s">
        <v>738</v>
      </c>
      <c r="D1504" s="561" t="s">
        <v>1742</v>
      </c>
      <c r="E1504" s="561" t="s">
        <v>7</v>
      </c>
      <c r="F1504" s="735">
        <v>-1191671.67</v>
      </c>
      <c r="G1504" s="749">
        <v>0</v>
      </c>
      <c r="H1504" s="749"/>
      <c r="I1504" s="733"/>
      <c r="J1504" s="733"/>
      <c r="K1504" s="735">
        <v>0</v>
      </c>
      <c r="L1504" s="750">
        <v>-1191671.67</v>
      </c>
    </row>
    <row r="1505" spans="1:12" x14ac:dyDescent="0.25">
      <c r="A1505" s="561" t="s">
        <v>200</v>
      </c>
      <c r="B1505" s="749">
        <v>2023</v>
      </c>
      <c r="C1505" s="561" t="s">
        <v>647</v>
      </c>
      <c r="D1505" s="561" t="s">
        <v>3840</v>
      </c>
      <c r="E1505" s="561" t="s">
        <v>649</v>
      </c>
      <c r="F1505" s="735">
        <v>-130165.42</v>
      </c>
      <c r="G1505" s="749">
        <v>0</v>
      </c>
      <c r="H1505" s="749"/>
      <c r="I1505" s="733"/>
      <c r="J1505" s="733"/>
      <c r="K1505" s="735">
        <v>0</v>
      </c>
      <c r="L1505" s="750">
        <v>-130165.42</v>
      </c>
    </row>
    <row r="1506" spans="1:12" ht="21" x14ac:dyDescent="0.25">
      <c r="A1506" s="561" t="s">
        <v>200</v>
      </c>
      <c r="B1506" s="749">
        <v>2023</v>
      </c>
      <c r="C1506" s="561" t="s">
        <v>3691</v>
      </c>
      <c r="D1506" s="561" t="s">
        <v>3649</v>
      </c>
      <c r="E1506" s="561" t="s">
        <v>3675</v>
      </c>
      <c r="F1506" s="735">
        <v>0</v>
      </c>
      <c r="G1506" s="749">
        <v>0</v>
      </c>
      <c r="H1506" s="749"/>
      <c r="I1506" s="733"/>
      <c r="J1506" s="733"/>
      <c r="K1506" s="735">
        <v>0</v>
      </c>
      <c r="L1506" s="750">
        <v>0</v>
      </c>
    </row>
    <row r="1507" spans="1:12" x14ac:dyDescent="0.25">
      <c r="A1507" s="561" t="s">
        <v>200</v>
      </c>
      <c r="B1507" s="749">
        <v>2023</v>
      </c>
      <c r="C1507" s="561" t="s">
        <v>651</v>
      </c>
      <c r="D1507" s="561" t="s">
        <v>3841</v>
      </c>
      <c r="E1507" s="561" t="s">
        <v>653</v>
      </c>
      <c r="F1507" s="735">
        <v>251613.51</v>
      </c>
      <c r="G1507" s="749">
        <v>0</v>
      </c>
      <c r="H1507" s="749"/>
      <c r="I1507" s="733"/>
      <c r="J1507" s="733"/>
      <c r="K1507" s="735">
        <v>0</v>
      </c>
      <c r="L1507" s="750">
        <v>251613.51</v>
      </c>
    </row>
    <row r="1508" spans="1:12" ht="31.5" x14ac:dyDescent="0.25">
      <c r="A1508" s="561" t="s">
        <v>200</v>
      </c>
      <c r="B1508" s="749">
        <v>2023</v>
      </c>
      <c r="C1508" s="561" t="s">
        <v>654</v>
      </c>
      <c r="D1508" s="561" t="s">
        <v>3842</v>
      </c>
      <c r="E1508" s="561" t="s">
        <v>445</v>
      </c>
      <c r="F1508" s="735">
        <v>419.37</v>
      </c>
      <c r="G1508" s="749">
        <v>0</v>
      </c>
      <c r="H1508" s="749"/>
      <c r="I1508" s="733"/>
      <c r="J1508" s="733"/>
      <c r="K1508" s="735">
        <v>0</v>
      </c>
      <c r="L1508" s="750">
        <v>419.37</v>
      </c>
    </row>
    <row r="1509" spans="1:12" ht="21" x14ac:dyDescent="0.25">
      <c r="A1509" s="561" t="s">
        <v>200</v>
      </c>
      <c r="B1509" s="749">
        <v>2023</v>
      </c>
      <c r="C1509" s="561" t="s">
        <v>656</v>
      </c>
      <c r="D1509" s="561" t="s">
        <v>3843</v>
      </c>
      <c r="E1509" s="561" t="s">
        <v>658</v>
      </c>
      <c r="F1509" s="735">
        <v>0</v>
      </c>
      <c r="G1509" s="749">
        <v>0</v>
      </c>
      <c r="H1509" s="749"/>
      <c r="I1509" s="733"/>
      <c r="J1509" s="733"/>
      <c r="K1509" s="735">
        <v>0</v>
      </c>
      <c r="L1509" s="750">
        <v>0</v>
      </c>
    </row>
    <row r="1510" spans="1:12" ht="21" x14ac:dyDescent="0.25">
      <c r="A1510" s="561" t="s">
        <v>200</v>
      </c>
      <c r="B1510" s="749">
        <v>2023</v>
      </c>
      <c r="C1510" s="561" t="s">
        <v>659</v>
      </c>
      <c r="D1510" s="561" t="s">
        <v>3844</v>
      </c>
      <c r="E1510" s="561" t="s">
        <v>661</v>
      </c>
      <c r="F1510" s="735">
        <v>0</v>
      </c>
      <c r="G1510" s="749">
        <v>0</v>
      </c>
      <c r="H1510" s="749"/>
      <c r="I1510" s="733"/>
      <c r="J1510" s="733"/>
      <c r="K1510" s="735">
        <v>0</v>
      </c>
      <c r="L1510" s="750">
        <v>0</v>
      </c>
    </row>
    <row r="1511" spans="1:12" ht="21" x14ac:dyDescent="0.25">
      <c r="A1511" s="561" t="s">
        <v>200</v>
      </c>
      <c r="B1511" s="749">
        <v>2023</v>
      </c>
      <c r="C1511" s="561" t="s">
        <v>662</v>
      </c>
      <c r="D1511" s="561" t="s">
        <v>3845</v>
      </c>
      <c r="E1511" s="561" t="s">
        <v>664</v>
      </c>
      <c r="F1511" s="735">
        <v>0</v>
      </c>
      <c r="G1511" s="749">
        <v>0</v>
      </c>
      <c r="H1511" s="749"/>
      <c r="I1511" s="733"/>
      <c r="J1511" s="733"/>
      <c r="K1511" s="735">
        <v>0</v>
      </c>
      <c r="L1511" s="750">
        <v>0</v>
      </c>
    </row>
    <row r="1512" spans="1:12" ht="31.5" x14ac:dyDescent="0.25">
      <c r="A1512" s="561" t="s">
        <v>200</v>
      </c>
      <c r="B1512" s="749">
        <v>2023</v>
      </c>
      <c r="C1512" s="561" t="s">
        <v>665</v>
      </c>
      <c r="D1512" s="561" t="s">
        <v>3846</v>
      </c>
      <c r="E1512" s="561" t="s">
        <v>667</v>
      </c>
      <c r="F1512" s="735">
        <v>0</v>
      </c>
      <c r="G1512" s="749">
        <v>0</v>
      </c>
      <c r="H1512" s="749"/>
      <c r="I1512" s="733"/>
      <c r="J1512" s="733"/>
      <c r="K1512" s="735">
        <v>0</v>
      </c>
      <c r="L1512" s="750">
        <v>0</v>
      </c>
    </row>
    <row r="1513" spans="1:12" ht="21" x14ac:dyDescent="0.25">
      <c r="A1513" s="561" t="s">
        <v>200</v>
      </c>
      <c r="B1513" s="749">
        <v>2023</v>
      </c>
      <c r="C1513" s="561" t="s">
        <v>668</v>
      </c>
      <c r="D1513" s="561" t="s">
        <v>3847</v>
      </c>
      <c r="E1513" s="561" t="s">
        <v>12</v>
      </c>
      <c r="F1513" s="735">
        <v>0</v>
      </c>
      <c r="G1513" s="749">
        <v>0</v>
      </c>
      <c r="H1513" s="749"/>
      <c r="I1513" s="733"/>
      <c r="J1513" s="733"/>
      <c r="K1513" s="735">
        <v>0</v>
      </c>
      <c r="L1513" s="750">
        <v>0</v>
      </c>
    </row>
    <row r="1514" spans="1:12" ht="21" x14ac:dyDescent="0.25">
      <c r="A1514" s="561" t="s">
        <v>200</v>
      </c>
      <c r="B1514" s="749">
        <v>2023</v>
      </c>
      <c r="C1514" s="561" t="s">
        <v>670</v>
      </c>
      <c r="D1514" s="561" t="s">
        <v>3848</v>
      </c>
      <c r="E1514" s="561" t="s">
        <v>13</v>
      </c>
      <c r="F1514" s="735">
        <v>0</v>
      </c>
      <c r="G1514" s="749">
        <v>0</v>
      </c>
      <c r="H1514" s="749"/>
      <c r="I1514" s="733"/>
      <c r="J1514" s="733"/>
      <c r="K1514" s="735">
        <v>0</v>
      </c>
      <c r="L1514" s="750">
        <v>0</v>
      </c>
    </row>
    <row r="1515" spans="1:12" ht="21" x14ac:dyDescent="0.25">
      <c r="A1515" s="561" t="s">
        <v>200</v>
      </c>
      <c r="B1515" s="749">
        <v>2023</v>
      </c>
      <c r="C1515" s="561" t="s">
        <v>672</v>
      </c>
      <c r="D1515" s="561" t="s">
        <v>3849</v>
      </c>
      <c r="E1515" s="561" t="s">
        <v>15</v>
      </c>
      <c r="F1515" s="735">
        <v>0</v>
      </c>
      <c r="G1515" s="749">
        <v>0</v>
      </c>
      <c r="H1515" s="749"/>
      <c r="I1515" s="733"/>
      <c r="J1515" s="733"/>
      <c r="K1515" s="735">
        <v>0</v>
      </c>
      <c r="L1515" s="750">
        <v>0</v>
      </c>
    </row>
    <row r="1516" spans="1:12" x14ac:dyDescent="0.25">
      <c r="A1516" s="561" t="s">
        <v>200</v>
      </c>
      <c r="B1516" s="749">
        <v>2023</v>
      </c>
      <c r="C1516" s="561" t="s">
        <v>674</v>
      </c>
      <c r="D1516" s="561" t="s">
        <v>3850</v>
      </c>
      <c r="E1516" s="561" t="s">
        <v>676</v>
      </c>
      <c r="F1516" s="735">
        <v>9285.5499999999993</v>
      </c>
      <c r="G1516" s="749">
        <v>0</v>
      </c>
      <c r="H1516" s="749"/>
      <c r="I1516" s="733"/>
      <c r="J1516" s="733"/>
      <c r="K1516" s="735">
        <v>0</v>
      </c>
      <c r="L1516" s="750">
        <v>9285.5499999999993</v>
      </c>
    </row>
    <row r="1517" spans="1:12" x14ac:dyDescent="0.25">
      <c r="A1517" s="561" t="s">
        <v>200</v>
      </c>
      <c r="B1517" s="749">
        <v>2023</v>
      </c>
      <c r="C1517" s="561" t="s">
        <v>677</v>
      </c>
      <c r="D1517" s="561" t="s">
        <v>3851</v>
      </c>
      <c r="E1517" s="561" t="s">
        <v>23</v>
      </c>
      <c r="F1517" s="735">
        <v>1544050.39</v>
      </c>
      <c r="G1517" s="749">
        <v>1</v>
      </c>
      <c r="H1517" s="749"/>
      <c r="I1517" s="735">
        <v>1512816.43</v>
      </c>
      <c r="J1517" s="735">
        <v>31233.96</v>
      </c>
      <c r="K1517" s="735">
        <v>1544050.39</v>
      </c>
      <c r="L1517" s="750">
        <v>1544050.39</v>
      </c>
    </row>
    <row r="1518" spans="1:12" ht="21" x14ac:dyDescent="0.25">
      <c r="A1518" s="561" t="s">
        <v>200</v>
      </c>
      <c r="B1518" s="749">
        <v>2023</v>
      </c>
      <c r="C1518" s="561" t="s">
        <v>679</v>
      </c>
      <c r="D1518" s="561" t="s">
        <v>3852</v>
      </c>
      <c r="E1518" s="561" t="s">
        <v>131</v>
      </c>
      <c r="F1518" s="735">
        <v>-72753.64</v>
      </c>
      <c r="G1518" s="749">
        <v>1</v>
      </c>
      <c r="H1518" s="749"/>
      <c r="I1518" s="735">
        <v>-71976.11</v>
      </c>
      <c r="J1518" s="735">
        <v>-777.53</v>
      </c>
      <c r="K1518" s="735">
        <v>-72753.64</v>
      </c>
      <c r="L1518" s="750">
        <v>-72753.64</v>
      </c>
    </row>
    <row r="1519" spans="1:12" ht="31.5" x14ac:dyDescent="0.25">
      <c r="A1519" s="561" t="s">
        <v>200</v>
      </c>
      <c r="B1519" s="749">
        <v>2023</v>
      </c>
      <c r="C1519" s="561" t="s">
        <v>681</v>
      </c>
      <c r="D1519" s="561" t="s">
        <v>3853</v>
      </c>
      <c r="E1519" s="561" t="s">
        <v>683</v>
      </c>
      <c r="F1519" s="735">
        <v>-50766.61</v>
      </c>
      <c r="G1519" s="749">
        <v>0</v>
      </c>
      <c r="H1519" s="749"/>
      <c r="I1519" s="733"/>
      <c r="J1519" s="733"/>
      <c r="K1519" s="735">
        <v>0</v>
      </c>
      <c r="L1519" s="750">
        <v>-50766.61</v>
      </c>
    </row>
    <row r="1520" spans="1:12" ht="21" x14ac:dyDescent="0.25">
      <c r="A1520" s="561" t="s">
        <v>200</v>
      </c>
      <c r="B1520" s="749">
        <v>2023</v>
      </c>
      <c r="C1520" s="561" t="s">
        <v>681</v>
      </c>
      <c r="D1520" s="561" t="s">
        <v>3853</v>
      </c>
      <c r="E1520" s="561" t="s">
        <v>684</v>
      </c>
      <c r="F1520" s="735">
        <v>0</v>
      </c>
      <c r="G1520" s="749">
        <v>0</v>
      </c>
      <c r="H1520" s="749"/>
      <c r="I1520" s="733"/>
      <c r="J1520" s="733"/>
      <c r="K1520" s="735">
        <v>0</v>
      </c>
      <c r="L1520" s="751">
        <v>-50766.61</v>
      </c>
    </row>
    <row r="1521" spans="1:12" x14ac:dyDescent="0.25">
      <c r="A1521" s="561" t="s">
        <v>200</v>
      </c>
      <c r="B1521" s="749">
        <v>2023</v>
      </c>
      <c r="C1521" s="561" t="s">
        <v>685</v>
      </c>
      <c r="D1521" s="561" t="s">
        <v>3854</v>
      </c>
      <c r="E1521" s="561" t="s">
        <v>687</v>
      </c>
      <c r="F1521" s="735">
        <v>0</v>
      </c>
      <c r="G1521" s="749">
        <v>0</v>
      </c>
      <c r="H1521" s="749"/>
      <c r="I1521" s="733"/>
      <c r="J1521" s="733"/>
      <c r="K1521" s="735">
        <v>0</v>
      </c>
      <c r="L1521" s="750">
        <v>0</v>
      </c>
    </row>
    <row r="1522" spans="1:12" x14ac:dyDescent="0.25">
      <c r="A1522" s="561" t="s">
        <v>200</v>
      </c>
      <c r="B1522" s="749">
        <v>2023</v>
      </c>
      <c r="C1522" s="561" t="s">
        <v>688</v>
      </c>
      <c r="D1522" s="561" t="s">
        <v>3855</v>
      </c>
      <c r="E1522" s="561" t="s">
        <v>50</v>
      </c>
      <c r="F1522" s="735">
        <v>0</v>
      </c>
      <c r="G1522" s="749">
        <v>0</v>
      </c>
      <c r="H1522" s="749"/>
      <c r="I1522" s="733"/>
      <c r="J1522" s="733"/>
      <c r="K1522" s="735">
        <v>0</v>
      </c>
      <c r="L1522" s="750">
        <v>0</v>
      </c>
    </row>
    <row r="1523" spans="1:12" x14ac:dyDescent="0.25">
      <c r="A1523" s="561" t="s">
        <v>200</v>
      </c>
      <c r="B1523" s="749">
        <v>2023</v>
      </c>
      <c r="C1523" s="561" t="s">
        <v>690</v>
      </c>
      <c r="D1523" s="561" t="s">
        <v>3856</v>
      </c>
      <c r="E1523" s="561" t="s">
        <v>692</v>
      </c>
      <c r="F1523" s="735">
        <v>0</v>
      </c>
      <c r="G1523" s="749">
        <v>0</v>
      </c>
      <c r="H1523" s="749"/>
      <c r="I1523" s="733"/>
      <c r="J1523" s="733"/>
      <c r="K1523" s="735">
        <v>0</v>
      </c>
      <c r="L1523" s="750">
        <v>0</v>
      </c>
    </row>
    <row r="1524" spans="1:12" ht="21" x14ac:dyDescent="0.25">
      <c r="A1524" s="561" t="s">
        <v>200</v>
      </c>
      <c r="B1524" s="749">
        <v>2023</v>
      </c>
      <c r="C1524" s="561" t="s">
        <v>693</v>
      </c>
      <c r="D1524" s="561" t="s">
        <v>3857</v>
      </c>
      <c r="E1524" s="561" t="s">
        <v>6</v>
      </c>
      <c r="F1524" s="735">
        <v>0</v>
      </c>
      <c r="G1524" s="749">
        <v>0</v>
      </c>
      <c r="H1524" s="749"/>
      <c r="I1524" s="733"/>
      <c r="J1524" s="733"/>
      <c r="K1524" s="735">
        <v>0</v>
      </c>
      <c r="L1524" s="750">
        <v>0</v>
      </c>
    </row>
    <row r="1525" spans="1:12" ht="21" x14ac:dyDescent="0.25">
      <c r="A1525" s="561" t="s">
        <v>200</v>
      </c>
      <c r="B1525" s="749">
        <v>2023</v>
      </c>
      <c r="C1525" s="561" t="s">
        <v>695</v>
      </c>
      <c r="D1525" s="561" t="s">
        <v>3858</v>
      </c>
      <c r="E1525" s="561" t="s">
        <v>697</v>
      </c>
      <c r="F1525" s="735">
        <v>0</v>
      </c>
      <c r="G1525" s="749">
        <v>0</v>
      </c>
      <c r="H1525" s="749"/>
      <c r="I1525" s="733"/>
      <c r="J1525" s="733"/>
      <c r="K1525" s="735">
        <v>0</v>
      </c>
      <c r="L1525" s="750">
        <v>0</v>
      </c>
    </row>
    <row r="1526" spans="1:12" x14ac:dyDescent="0.25">
      <c r="A1526" s="561" t="s">
        <v>200</v>
      </c>
      <c r="B1526" s="749">
        <v>2023</v>
      </c>
      <c r="C1526" s="561" t="s">
        <v>698</v>
      </c>
      <c r="D1526" s="561" t="s">
        <v>3859</v>
      </c>
      <c r="E1526" s="561" t="s">
        <v>700</v>
      </c>
      <c r="F1526" s="735">
        <v>0</v>
      </c>
      <c r="G1526" s="749">
        <v>0</v>
      </c>
      <c r="H1526" s="749"/>
      <c r="I1526" s="733"/>
      <c r="J1526" s="733"/>
      <c r="K1526" s="735">
        <v>0</v>
      </c>
      <c r="L1526" s="750">
        <v>0</v>
      </c>
    </row>
    <row r="1527" spans="1:12" ht="21" x14ac:dyDescent="0.25">
      <c r="A1527" s="561" t="s">
        <v>200</v>
      </c>
      <c r="B1527" s="749">
        <v>2023</v>
      </c>
      <c r="C1527" s="561" t="s">
        <v>701</v>
      </c>
      <c r="D1527" s="561" t="s">
        <v>3860</v>
      </c>
      <c r="E1527" s="561" t="s">
        <v>1</v>
      </c>
      <c r="F1527" s="735">
        <v>889163.23</v>
      </c>
      <c r="G1527" s="749">
        <v>1</v>
      </c>
      <c r="H1527" s="749"/>
      <c r="I1527" s="735">
        <v>873127.45</v>
      </c>
      <c r="J1527" s="735">
        <v>16035.78</v>
      </c>
      <c r="K1527" s="735">
        <v>889163.23</v>
      </c>
      <c r="L1527" s="750">
        <v>889163.23</v>
      </c>
    </row>
    <row r="1528" spans="1:12" ht="21" x14ac:dyDescent="0.25">
      <c r="A1528" s="561" t="s">
        <v>200</v>
      </c>
      <c r="B1528" s="749">
        <v>2023</v>
      </c>
      <c r="C1528" s="561" t="s">
        <v>701</v>
      </c>
      <c r="D1528" s="561" t="s">
        <v>3860</v>
      </c>
      <c r="E1528" s="561" t="s">
        <v>703</v>
      </c>
      <c r="F1528" s="735">
        <v>0</v>
      </c>
      <c r="G1528" s="749">
        <v>0</v>
      </c>
      <c r="H1528" s="749"/>
      <c r="I1528" s="733"/>
      <c r="J1528" s="733"/>
      <c r="K1528" s="735">
        <v>0</v>
      </c>
      <c r="L1528" s="751">
        <v>0</v>
      </c>
    </row>
    <row r="1529" spans="1:12" ht="21" x14ac:dyDescent="0.25">
      <c r="A1529" s="561" t="s">
        <v>200</v>
      </c>
      <c r="B1529" s="749">
        <v>2023</v>
      </c>
      <c r="C1529" s="561" t="s">
        <v>701</v>
      </c>
      <c r="D1529" s="561" t="s">
        <v>3860</v>
      </c>
      <c r="E1529" s="561" t="s">
        <v>704</v>
      </c>
      <c r="F1529" s="735">
        <v>0</v>
      </c>
      <c r="G1529" s="749">
        <v>0</v>
      </c>
      <c r="H1529" s="749"/>
      <c r="I1529" s="733"/>
      <c r="J1529" s="733"/>
      <c r="K1529" s="735">
        <v>0</v>
      </c>
      <c r="L1529" s="751">
        <v>0</v>
      </c>
    </row>
    <row r="1530" spans="1:12" ht="21" x14ac:dyDescent="0.25">
      <c r="A1530" s="561" t="s">
        <v>200</v>
      </c>
      <c r="B1530" s="749">
        <v>2023</v>
      </c>
      <c r="C1530" s="561" t="s">
        <v>701</v>
      </c>
      <c r="D1530" s="561" t="s">
        <v>3860</v>
      </c>
      <c r="E1530" s="561" t="s">
        <v>705</v>
      </c>
      <c r="F1530" s="735">
        <v>0</v>
      </c>
      <c r="G1530" s="749">
        <v>0</v>
      </c>
      <c r="H1530" s="749"/>
      <c r="I1530" s="733"/>
      <c r="J1530" s="733"/>
      <c r="K1530" s="735">
        <v>0</v>
      </c>
      <c r="L1530" s="751">
        <v>-1477.25</v>
      </c>
    </row>
    <row r="1531" spans="1:12" ht="21" x14ac:dyDescent="0.25">
      <c r="A1531" s="561" t="s">
        <v>200</v>
      </c>
      <c r="B1531" s="749">
        <v>2023</v>
      </c>
      <c r="C1531" s="561" t="s">
        <v>701</v>
      </c>
      <c r="D1531" s="561" t="s">
        <v>3860</v>
      </c>
      <c r="E1531" s="561" t="s">
        <v>706</v>
      </c>
      <c r="F1531" s="735">
        <v>0</v>
      </c>
      <c r="G1531" s="749">
        <v>0</v>
      </c>
      <c r="H1531" s="749"/>
      <c r="I1531" s="733"/>
      <c r="J1531" s="733"/>
      <c r="K1531" s="735">
        <v>0</v>
      </c>
      <c r="L1531" s="751">
        <v>-65622.080000000002</v>
      </c>
    </row>
    <row r="1532" spans="1:12" x14ac:dyDescent="0.25">
      <c r="A1532" s="561" t="s">
        <v>200</v>
      </c>
      <c r="B1532" s="749">
        <v>2023</v>
      </c>
      <c r="C1532" s="561" t="s">
        <v>707</v>
      </c>
      <c r="D1532" s="561" t="s">
        <v>3861</v>
      </c>
      <c r="E1532" s="561" t="s">
        <v>709</v>
      </c>
      <c r="F1532" s="735">
        <v>0</v>
      </c>
      <c r="G1532" s="749">
        <v>0</v>
      </c>
      <c r="H1532" s="749"/>
      <c r="I1532" s="733"/>
      <c r="J1532" s="733"/>
      <c r="K1532" s="735">
        <v>0</v>
      </c>
      <c r="L1532" s="750">
        <v>0</v>
      </c>
    </row>
    <row r="1533" spans="1:12" ht="21" x14ac:dyDescent="0.25">
      <c r="A1533" s="561" t="s">
        <v>200</v>
      </c>
      <c r="B1533" s="749">
        <v>2023</v>
      </c>
      <c r="C1533" s="561" t="s">
        <v>710</v>
      </c>
      <c r="D1533" s="561" t="s">
        <v>3862</v>
      </c>
      <c r="E1533" s="561" t="s">
        <v>2</v>
      </c>
      <c r="F1533" s="735">
        <v>1681900.5</v>
      </c>
      <c r="G1533" s="749">
        <v>1</v>
      </c>
      <c r="H1533" s="749"/>
      <c r="I1533" s="735">
        <v>1651914.87</v>
      </c>
      <c r="J1533" s="735">
        <v>29985.63</v>
      </c>
      <c r="K1533" s="735">
        <v>1681900.5</v>
      </c>
      <c r="L1533" s="750">
        <v>1681900.5</v>
      </c>
    </row>
    <row r="1534" spans="1:12" ht="21" x14ac:dyDescent="0.25">
      <c r="A1534" s="561" t="s">
        <v>200</v>
      </c>
      <c r="B1534" s="749">
        <v>2023</v>
      </c>
      <c r="C1534" s="561" t="s">
        <v>712</v>
      </c>
      <c r="D1534" s="561" t="s">
        <v>3863</v>
      </c>
      <c r="E1534" s="561" t="s">
        <v>3</v>
      </c>
      <c r="F1534" s="735">
        <v>1209999.8500000001</v>
      </c>
      <c r="G1534" s="749">
        <v>1</v>
      </c>
      <c r="H1534" s="749"/>
      <c r="I1534" s="735">
        <v>1187267.3999999999</v>
      </c>
      <c r="J1534" s="735">
        <v>22732.45</v>
      </c>
      <c r="K1534" s="735">
        <v>1209999.8500000001</v>
      </c>
      <c r="L1534" s="750">
        <v>1209999.8500000001</v>
      </c>
    </row>
    <row r="1535" spans="1:12" ht="21" x14ac:dyDescent="0.25">
      <c r="A1535" s="561" t="s">
        <v>200</v>
      </c>
      <c r="B1535" s="749">
        <v>2023</v>
      </c>
      <c r="C1535" s="561" t="s">
        <v>714</v>
      </c>
      <c r="D1535" s="561" t="s">
        <v>3864</v>
      </c>
      <c r="E1535" s="561" t="s">
        <v>38</v>
      </c>
      <c r="F1535" s="735">
        <v>1305175.8999999999</v>
      </c>
      <c r="G1535" s="749">
        <v>1</v>
      </c>
      <c r="H1535" s="749"/>
      <c r="I1535" s="735">
        <v>1280208.7</v>
      </c>
      <c r="J1535" s="735">
        <v>24967.200000000001</v>
      </c>
      <c r="K1535" s="735">
        <v>1305175.8999999999</v>
      </c>
      <c r="L1535" s="750">
        <v>1305175.8999999999</v>
      </c>
    </row>
    <row r="1536" spans="1:12" x14ac:dyDescent="0.25">
      <c r="A1536" s="561" t="s">
        <v>200</v>
      </c>
      <c r="B1536" s="749">
        <v>2023</v>
      </c>
      <c r="C1536" s="561" t="s">
        <v>716</v>
      </c>
      <c r="D1536" s="561" t="s">
        <v>3865</v>
      </c>
      <c r="E1536" s="561" t="s">
        <v>66</v>
      </c>
      <c r="F1536" s="735">
        <v>89146.75</v>
      </c>
      <c r="G1536" s="749">
        <v>1</v>
      </c>
      <c r="H1536" s="749"/>
      <c r="I1536" s="735">
        <v>86596.59</v>
      </c>
      <c r="J1536" s="735">
        <v>2550.16</v>
      </c>
      <c r="K1536" s="735">
        <v>89146.75</v>
      </c>
      <c r="L1536" s="750">
        <v>89146.75</v>
      </c>
    </row>
    <row r="1537" spans="1:12" ht="21" x14ac:dyDescent="0.25">
      <c r="A1537" s="561" t="s">
        <v>200</v>
      </c>
      <c r="B1537" s="749">
        <v>2023</v>
      </c>
      <c r="C1537" s="561" t="s">
        <v>718</v>
      </c>
      <c r="D1537" s="561" t="s">
        <v>3866</v>
      </c>
      <c r="E1537" s="561" t="s">
        <v>720</v>
      </c>
      <c r="F1537" s="735">
        <v>-1008488</v>
      </c>
      <c r="G1537" s="749">
        <v>0</v>
      </c>
      <c r="H1537" s="749"/>
      <c r="I1537" s="733"/>
      <c r="J1537" s="733"/>
      <c r="K1537" s="735">
        <v>0</v>
      </c>
      <c r="L1537" s="750">
        <v>-1008488</v>
      </c>
    </row>
    <row r="1538" spans="1:12" ht="31.5" x14ac:dyDescent="0.25">
      <c r="A1538" s="561" t="s">
        <v>200</v>
      </c>
      <c r="B1538" s="749">
        <v>2023</v>
      </c>
      <c r="C1538" s="561" t="s">
        <v>721</v>
      </c>
      <c r="D1538" s="561" t="s">
        <v>3867</v>
      </c>
      <c r="E1538" s="561" t="s">
        <v>724</v>
      </c>
      <c r="F1538" s="735">
        <v>0</v>
      </c>
      <c r="G1538" s="749">
        <v>1</v>
      </c>
      <c r="H1538" s="749"/>
      <c r="I1538" s="735">
        <v>0</v>
      </c>
      <c r="J1538" s="735">
        <v>0</v>
      </c>
      <c r="K1538" s="735">
        <v>0</v>
      </c>
      <c r="L1538" s="750">
        <v>0</v>
      </c>
    </row>
    <row r="1539" spans="1:12" ht="31.5" x14ac:dyDescent="0.25">
      <c r="A1539" s="561" t="s">
        <v>200</v>
      </c>
      <c r="B1539" s="749">
        <v>2023</v>
      </c>
      <c r="C1539" s="561" t="s">
        <v>721</v>
      </c>
      <c r="D1539" s="561" t="s">
        <v>3868</v>
      </c>
      <c r="E1539" s="561" t="s">
        <v>55</v>
      </c>
      <c r="F1539" s="735">
        <v>0</v>
      </c>
      <c r="G1539" s="749">
        <v>1</v>
      </c>
      <c r="H1539" s="749"/>
      <c r="I1539" s="735">
        <v>0</v>
      </c>
      <c r="J1539" s="735">
        <v>0</v>
      </c>
      <c r="K1539" s="735">
        <v>0</v>
      </c>
      <c r="L1539" s="750">
        <v>0</v>
      </c>
    </row>
    <row r="1540" spans="1:12" ht="31.5" x14ac:dyDescent="0.25">
      <c r="A1540" s="561" t="s">
        <v>200</v>
      </c>
      <c r="B1540" s="749">
        <v>2023</v>
      </c>
      <c r="C1540" s="561" t="s">
        <v>721</v>
      </c>
      <c r="D1540" s="561" t="s">
        <v>3869</v>
      </c>
      <c r="E1540" s="561" t="s">
        <v>56</v>
      </c>
      <c r="F1540" s="735">
        <v>0</v>
      </c>
      <c r="G1540" s="749">
        <v>1</v>
      </c>
      <c r="H1540" s="749"/>
      <c r="I1540" s="735">
        <v>0</v>
      </c>
      <c r="J1540" s="735">
        <v>0</v>
      </c>
      <c r="K1540" s="735">
        <v>0</v>
      </c>
      <c r="L1540" s="750">
        <v>0</v>
      </c>
    </row>
    <row r="1541" spans="1:12" ht="31.5" x14ac:dyDescent="0.25">
      <c r="A1541" s="561" t="s">
        <v>200</v>
      </c>
      <c r="B1541" s="749">
        <v>2023</v>
      </c>
      <c r="C1541" s="561" t="s">
        <v>721</v>
      </c>
      <c r="D1541" s="561" t="s">
        <v>3870</v>
      </c>
      <c r="E1541" s="561" t="s">
        <v>728</v>
      </c>
      <c r="F1541" s="735">
        <v>0</v>
      </c>
      <c r="G1541" s="749">
        <v>1</v>
      </c>
      <c r="H1541" s="749"/>
      <c r="I1541" s="735">
        <v>0</v>
      </c>
      <c r="J1541" s="735">
        <v>0</v>
      </c>
      <c r="K1541" s="735">
        <v>0</v>
      </c>
      <c r="L1541" s="750">
        <v>0</v>
      </c>
    </row>
    <row r="1542" spans="1:12" ht="31.5" x14ac:dyDescent="0.25">
      <c r="A1542" s="561" t="s">
        <v>200</v>
      </c>
      <c r="B1542" s="749">
        <v>2023</v>
      </c>
      <c r="C1542" s="561" t="s">
        <v>721</v>
      </c>
      <c r="D1542" s="561" t="s">
        <v>3871</v>
      </c>
      <c r="E1542" s="561" t="s">
        <v>730</v>
      </c>
      <c r="F1542" s="735">
        <v>0</v>
      </c>
      <c r="G1542" s="749">
        <v>1</v>
      </c>
      <c r="H1542" s="749"/>
      <c r="I1542" s="735">
        <v>0</v>
      </c>
      <c r="J1542" s="735">
        <v>0</v>
      </c>
      <c r="K1542" s="735">
        <v>0</v>
      </c>
      <c r="L1542" s="750">
        <v>0</v>
      </c>
    </row>
    <row r="1543" spans="1:12" ht="31.5" x14ac:dyDescent="0.25">
      <c r="A1543" s="561" t="s">
        <v>200</v>
      </c>
      <c r="B1543" s="749">
        <v>2023</v>
      </c>
      <c r="C1543" s="561" t="s">
        <v>721</v>
      </c>
      <c r="D1543" s="561" t="s">
        <v>3872</v>
      </c>
      <c r="E1543" s="561" t="s">
        <v>142</v>
      </c>
      <c r="F1543" s="735">
        <v>0</v>
      </c>
      <c r="G1543" s="749">
        <v>1</v>
      </c>
      <c r="H1543" s="749"/>
      <c r="I1543" s="735">
        <v>0</v>
      </c>
      <c r="J1543" s="735">
        <v>0</v>
      </c>
      <c r="K1543" s="735">
        <v>0</v>
      </c>
      <c r="L1543" s="750">
        <v>0</v>
      </c>
    </row>
    <row r="1544" spans="1:12" ht="31.5" x14ac:dyDescent="0.25">
      <c r="A1544" s="561" t="s">
        <v>200</v>
      </c>
      <c r="B1544" s="749">
        <v>2023</v>
      </c>
      <c r="C1544" s="561" t="s">
        <v>721</v>
      </c>
      <c r="D1544" s="561" t="s">
        <v>3873</v>
      </c>
      <c r="E1544" s="561" t="s">
        <v>143</v>
      </c>
      <c r="F1544" s="735">
        <v>0</v>
      </c>
      <c r="G1544" s="749">
        <v>1</v>
      </c>
      <c r="H1544" s="749"/>
      <c r="I1544" s="735">
        <v>0</v>
      </c>
      <c r="J1544" s="735">
        <v>0</v>
      </c>
      <c r="K1544" s="735">
        <v>0</v>
      </c>
      <c r="L1544" s="750">
        <v>0</v>
      </c>
    </row>
    <row r="1545" spans="1:12" ht="31.5" x14ac:dyDescent="0.25">
      <c r="A1545" s="561" t="s">
        <v>200</v>
      </c>
      <c r="B1545" s="749">
        <v>2023</v>
      </c>
      <c r="C1545" s="561" t="s">
        <v>721</v>
      </c>
      <c r="D1545" s="561" t="s">
        <v>3874</v>
      </c>
      <c r="E1545" s="561" t="s">
        <v>182</v>
      </c>
      <c r="F1545" s="735">
        <v>0</v>
      </c>
      <c r="G1545" s="749">
        <v>1</v>
      </c>
      <c r="H1545" s="749"/>
      <c r="I1545" s="735">
        <v>0</v>
      </c>
      <c r="J1545" s="735">
        <v>0</v>
      </c>
      <c r="K1545" s="735">
        <v>0</v>
      </c>
      <c r="L1545" s="750">
        <v>0</v>
      </c>
    </row>
    <row r="1546" spans="1:12" ht="31.5" x14ac:dyDescent="0.25">
      <c r="A1546" s="561" t="s">
        <v>200</v>
      </c>
      <c r="B1546" s="749">
        <v>2023</v>
      </c>
      <c r="C1546" s="561" t="s">
        <v>721</v>
      </c>
      <c r="D1546" s="561" t="s">
        <v>3875</v>
      </c>
      <c r="E1546" s="561" t="s">
        <v>394</v>
      </c>
      <c r="F1546" s="735">
        <v>0</v>
      </c>
      <c r="G1546" s="749">
        <v>1</v>
      </c>
      <c r="H1546" s="749"/>
      <c r="I1546" s="735">
        <v>0</v>
      </c>
      <c r="J1546" s="735">
        <v>0</v>
      </c>
      <c r="K1546" s="735">
        <v>0</v>
      </c>
      <c r="L1546" s="750">
        <v>0</v>
      </c>
    </row>
    <row r="1547" spans="1:12" ht="31.5" x14ac:dyDescent="0.25">
      <c r="A1547" s="561" t="s">
        <v>200</v>
      </c>
      <c r="B1547" s="749">
        <v>2023</v>
      </c>
      <c r="C1547" s="561" t="s">
        <v>721</v>
      </c>
      <c r="D1547" s="561" t="s">
        <v>3876</v>
      </c>
      <c r="E1547" s="561" t="s">
        <v>423</v>
      </c>
      <c r="F1547" s="735">
        <v>0</v>
      </c>
      <c r="G1547" s="749">
        <v>1</v>
      </c>
      <c r="H1547" s="749"/>
      <c r="I1547" s="735">
        <v>0</v>
      </c>
      <c r="J1547" s="735">
        <v>0</v>
      </c>
      <c r="K1547" s="735">
        <v>0</v>
      </c>
      <c r="L1547" s="750">
        <v>0</v>
      </c>
    </row>
    <row r="1548" spans="1:12" ht="31.5" x14ac:dyDescent="0.25">
      <c r="A1548" s="561" t="s">
        <v>200</v>
      </c>
      <c r="B1548" s="749">
        <v>2023</v>
      </c>
      <c r="C1548" s="561" t="s">
        <v>721</v>
      </c>
      <c r="D1548" s="561" t="s">
        <v>3877</v>
      </c>
      <c r="E1548" s="561" t="s">
        <v>441</v>
      </c>
      <c r="F1548" s="735">
        <v>0</v>
      </c>
      <c r="G1548" s="749">
        <v>1</v>
      </c>
      <c r="H1548" s="749"/>
      <c r="I1548" s="735">
        <v>0</v>
      </c>
      <c r="J1548" s="735">
        <v>0</v>
      </c>
      <c r="K1548" s="735">
        <v>0</v>
      </c>
      <c r="L1548" s="750">
        <v>0</v>
      </c>
    </row>
    <row r="1549" spans="1:12" ht="31.5" x14ac:dyDescent="0.25">
      <c r="A1549" s="561" t="s">
        <v>200</v>
      </c>
      <c r="B1549" s="749">
        <v>2023</v>
      </c>
      <c r="C1549" s="561" t="s">
        <v>721</v>
      </c>
      <c r="D1549" s="561" t="s">
        <v>3878</v>
      </c>
      <c r="E1549" s="561" t="s">
        <v>3016</v>
      </c>
      <c r="F1549" s="735">
        <v>0</v>
      </c>
      <c r="G1549" s="749">
        <v>1</v>
      </c>
      <c r="H1549" s="749"/>
      <c r="I1549" s="735">
        <v>-78207.86</v>
      </c>
      <c r="J1549" s="735">
        <v>51391.34</v>
      </c>
      <c r="K1549" s="735">
        <v>-26816.52</v>
      </c>
      <c r="L1549" s="750">
        <v>-26816.52</v>
      </c>
    </row>
    <row r="1550" spans="1:12" ht="31.5" x14ac:dyDescent="0.25">
      <c r="A1550" s="561" t="s">
        <v>200</v>
      </c>
      <c r="B1550" s="749">
        <v>2023</v>
      </c>
      <c r="C1550" s="561" t="s">
        <v>721</v>
      </c>
      <c r="D1550" s="561" t="s">
        <v>3879</v>
      </c>
      <c r="E1550" s="561" t="s">
        <v>3058</v>
      </c>
      <c r="F1550" s="735">
        <v>0</v>
      </c>
      <c r="G1550" s="749">
        <v>1</v>
      </c>
      <c r="H1550" s="749"/>
      <c r="I1550" s="735">
        <v>-329760.18</v>
      </c>
      <c r="J1550" s="735">
        <v>163969.64000000001</v>
      </c>
      <c r="K1550" s="735">
        <v>-165790.54</v>
      </c>
      <c r="L1550" s="750">
        <v>-165790.54</v>
      </c>
    </row>
    <row r="1551" spans="1:12" ht="31.5" x14ac:dyDescent="0.25">
      <c r="A1551" s="561" t="s">
        <v>200</v>
      </c>
      <c r="B1551" s="749">
        <v>2023</v>
      </c>
      <c r="C1551" s="561" t="s">
        <v>721</v>
      </c>
      <c r="D1551" s="561" t="s">
        <v>3880</v>
      </c>
      <c r="E1551" s="561" t="s">
        <v>3063</v>
      </c>
      <c r="F1551" s="735">
        <v>0</v>
      </c>
      <c r="G1551" s="749">
        <v>1</v>
      </c>
      <c r="H1551" s="749"/>
      <c r="I1551" s="735">
        <v>-46312.93</v>
      </c>
      <c r="J1551" s="735">
        <v>21466.16</v>
      </c>
      <c r="K1551" s="735">
        <v>-24846.77</v>
      </c>
      <c r="L1551" s="750">
        <v>-24846.77</v>
      </c>
    </row>
    <row r="1552" spans="1:12" ht="31.5" x14ac:dyDescent="0.25">
      <c r="A1552" s="561" t="s">
        <v>200</v>
      </c>
      <c r="B1552" s="749">
        <v>2023</v>
      </c>
      <c r="C1552" s="561" t="s">
        <v>721</v>
      </c>
      <c r="D1552" s="561" t="s">
        <v>3881</v>
      </c>
      <c r="E1552" s="561" t="s">
        <v>3425</v>
      </c>
      <c r="F1552" s="735">
        <v>0</v>
      </c>
      <c r="G1552" s="749">
        <v>1</v>
      </c>
      <c r="H1552" s="749"/>
      <c r="I1552" s="735">
        <v>104890.79</v>
      </c>
      <c r="J1552" s="735">
        <v>51614.87</v>
      </c>
      <c r="K1552" s="735">
        <v>156505.66</v>
      </c>
      <c r="L1552" s="750">
        <v>156505.66</v>
      </c>
    </row>
    <row r="1553" spans="1:12" ht="42" x14ac:dyDescent="0.25">
      <c r="A1553" s="561" t="s">
        <v>200</v>
      </c>
      <c r="B1553" s="749">
        <v>2023</v>
      </c>
      <c r="C1553" s="561" t="s">
        <v>721</v>
      </c>
      <c r="D1553" s="561" t="s">
        <v>3882</v>
      </c>
      <c r="E1553" s="561" t="s">
        <v>737</v>
      </c>
      <c r="F1553" s="735">
        <v>-60948.17</v>
      </c>
      <c r="G1553" s="749">
        <v>0</v>
      </c>
      <c r="H1553" s="749"/>
      <c r="I1553" s="733"/>
      <c r="J1553" s="733"/>
      <c r="K1553" s="735">
        <v>0</v>
      </c>
      <c r="L1553" s="750">
        <v>-60948.17</v>
      </c>
    </row>
    <row r="1554" spans="1:12" x14ac:dyDescent="0.25">
      <c r="A1554" s="561" t="s">
        <v>200</v>
      </c>
      <c r="B1554" s="749">
        <v>2023</v>
      </c>
      <c r="C1554" s="561" t="s">
        <v>738</v>
      </c>
      <c r="D1554" s="561" t="s">
        <v>3883</v>
      </c>
      <c r="E1554" s="561" t="s">
        <v>7</v>
      </c>
      <c r="F1554" s="735">
        <v>0</v>
      </c>
      <c r="G1554" s="749">
        <v>0</v>
      </c>
      <c r="H1554" s="749"/>
      <c r="I1554" s="733"/>
      <c r="J1554" s="733"/>
      <c r="K1554" s="735">
        <v>0</v>
      </c>
      <c r="L1554" s="750">
        <v>0</v>
      </c>
    </row>
    <row r="1555" spans="1:12" x14ac:dyDescent="0.25">
      <c r="A1555" s="561" t="s">
        <v>98</v>
      </c>
      <c r="B1555" s="749">
        <v>2023</v>
      </c>
      <c r="C1555" s="561" t="s">
        <v>647</v>
      </c>
      <c r="D1555" s="561" t="s">
        <v>1784</v>
      </c>
      <c r="E1555" s="561" t="s">
        <v>649</v>
      </c>
      <c r="F1555" s="735">
        <v>-566441</v>
      </c>
      <c r="G1555" s="749">
        <v>0</v>
      </c>
      <c r="H1555" s="749"/>
      <c r="I1555" s="733"/>
      <c r="J1555" s="733"/>
      <c r="K1555" s="735">
        <v>0</v>
      </c>
      <c r="L1555" s="750">
        <v>-566441</v>
      </c>
    </row>
    <row r="1556" spans="1:12" ht="21" x14ac:dyDescent="0.25">
      <c r="A1556" s="561" t="s">
        <v>98</v>
      </c>
      <c r="B1556" s="749">
        <v>2023</v>
      </c>
      <c r="C1556" s="561" t="s">
        <v>3691</v>
      </c>
      <c r="D1556" s="561" t="s">
        <v>3650</v>
      </c>
      <c r="E1556" s="561" t="s">
        <v>3675</v>
      </c>
      <c r="F1556" s="735">
        <v>0</v>
      </c>
      <c r="G1556" s="749">
        <v>0</v>
      </c>
      <c r="H1556" s="749"/>
      <c r="I1556" s="733"/>
      <c r="J1556" s="733"/>
      <c r="K1556" s="735">
        <v>0</v>
      </c>
      <c r="L1556" s="750">
        <v>0</v>
      </c>
    </row>
    <row r="1557" spans="1:12" x14ac:dyDescent="0.25">
      <c r="A1557" s="561" t="s">
        <v>98</v>
      </c>
      <c r="B1557" s="749">
        <v>2023</v>
      </c>
      <c r="C1557" s="561" t="s">
        <v>651</v>
      </c>
      <c r="D1557" s="561" t="s">
        <v>1785</v>
      </c>
      <c r="E1557" s="561" t="s">
        <v>653</v>
      </c>
      <c r="F1557" s="735">
        <v>168738</v>
      </c>
      <c r="G1557" s="749">
        <v>0</v>
      </c>
      <c r="H1557" s="749"/>
      <c r="I1557" s="733"/>
      <c r="J1557" s="733"/>
      <c r="K1557" s="735">
        <v>0</v>
      </c>
      <c r="L1557" s="750">
        <v>168738</v>
      </c>
    </row>
    <row r="1558" spans="1:12" ht="31.5" x14ac:dyDescent="0.25">
      <c r="A1558" s="561" t="s">
        <v>98</v>
      </c>
      <c r="B1558" s="749">
        <v>2023</v>
      </c>
      <c r="C1558" s="561" t="s">
        <v>654</v>
      </c>
      <c r="D1558" s="561" t="s">
        <v>1786</v>
      </c>
      <c r="E1558" s="561" t="s">
        <v>445</v>
      </c>
      <c r="F1558" s="735">
        <v>0</v>
      </c>
      <c r="G1558" s="749">
        <v>0</v>
      </c>
      <c r="H1558" s="749"/>
      <c r="I1558" s="733"/>
      <c r="J1558" s="733"/>
      <c r="K1558" s="735">
        <v>0</v>
      </c>
      <c r="L1558" s="750">
        <v>0</v>
      </c>
    </row>
    <row r="1559" spans="1:12" ht="21" x14ac:dyDescent="0.25">
      <c r="A1559" s="561" t="s">
        <v>98</v>
      </c>
      <c r="B1559" s="749">
        <v>2023</v>
      </c>
      <c r="C1559" s="561" t="s">
        <v>656</v>
      </c>
      <c r="D1559" s="561" t="s">
        <v>1787</v>
      </c>
      <c r="E1559" s="561" t="s">
        <v>658</v>
      </c>
      <c r="F1559" s="735">
        <v>0</v>
      </c>
      <c r="G1559" s="749">
        <v>0</v>
      </c>
      <c r="H1559" s="749"/>
      <c r="I1559" s="733"/>
      <c r="J1559" s="733"/>
      <c r="K1559" s="735">
        <v>0</v>
      </c>
      <c r="L1559" s="750">
        <v>0</v>
      </c>
    </row>
    <row r="1560" spans="1:12" ht="21" x14ac:dyDescent="0.25">
      <c r="A1560" s="561" t="s">
        <v>98</v>
      </c>
      <c r="B1560" s="749">
        <v>2023</v>
      </c>
      <c r="C1560" s="561" t="s">
        <v>659</v>
      </c>
      <c r="D1560" s="561" t="s">
        <v>1788</v>
      </c>
      <c r="E1560" s="561" t="s">
        <v>661</v>
      </c>
      <c r="F1560" s="735">
        <v>0</v>
      </c>
      <c r="G1560" s="749">
        <v>0</v>
      </c>
      <c r="H1560" s="749"/>
      <c r="I1560" s="733"/>
      <c r="J1560" s="733"/>
      <c r="K1560" s="735">
        <v>0</v>
      </c>
      <c r="L1560" s="750">
        <v>0</v>
      </c>
    </row>
    <row r="1561" spans="1:12" ht="21" x14ac:dyDescent="0.25">
      <c r="A1561" s="561" t="s">
        <v>98</v>
      </c>
      <c r="B1561" s="749">
        <v>2023</v>
      </c>
      <c r="C1561" s="561" t="s">
        <v>662</v>
      </c>
      <c r="D1561" s="561" t="s">
        <v>1789</v>
      </c>
      <c r="E1561" s="561" t="s">
        <v>664</v>
      </c>
      <c r="F1561" s="735">
        <v>0</v>
      </c>
      <c r="G1561" s="749">
        <v>0</v>
      </c>
      <c r="H1561" s="749"/>
      <c r="I1561" s="733"/>
      <c r="J1561" s="733"/>
      <c r="K1561" s="735">
        <v>0</v>
      </c>
      <c r="L1561" s="750">
        <v>0</v>
      </c>
    </row>
    <row r="1562" spans="1:12" ht="31.5" x14ac:dyDescent="0.25">
      <c r="A1562" s="561" t="s">
        <v>98</v>
      </c>
      <c r="B1562" s="749">
        <v>2023</v>
      </c>
      <c r="C1562" s="561" t="s">
        <v>665</v>
      </c>
      <c r="D1562" s="561" t="s">
        <v>1790</v>
      </c>
      <c r="E1562" s="561" t="s">
        <v>667</v>
      </c>
      <c r="F1562" s="735">
        <v>0</v>
      </c>
      <c r="G1562" s="749">
        <v>0</v>
      </c>
      <c r="H1562" s="749"/>
      <c r="I1562" s="733"/>
      <c r="J1562" s="733"/>
      <c r="K1562" s="735">
        <v>0</v>
      </c>
      <c r="L1562" s="750">
        <v>0</v>
      </c>
    </row>
    <row r="1563" spans="1:12" ht="21" x14ac:dyDescent="0.25">
      <c r="A1563" s="561" t="s">
        <v>98</v>
      </c>
      <c r="B1563" s="749">
        <v>2023</v>
      </c>
      <c r="C1563" s="561" t="s">
        <v>668</v>
      </c>
      <c r="D1563" s="561" t="s">
        <v>1791</v>
      </c>
      <c r="E1563" s="561" t="s">
        <v>12</v>
      </c>
      <c r="F1563" s="735">
        <v>0</v>
      </c>
      <c r="G1563" s="749">
        <v>0</v>
      </c>
      <c r="H1563" s="749"/>
      <c r="I1563" s="733"/>
      <c r="J1563" s="733"/>
      <c r="K1563" s="735">
        <v>0</v>
      </c>
      <c r="L1563" s="750">
        <v>0</v>
      </c>
    </row>
    <row r="1564" spans="1:12" ht="21" x14ac:dyDescent="0.25">
      <c r="A1564" s="561" t="s">
        <v>98</v>
      </c>
      <c r="B1564" s="749">
        <v>2023</v>
      </c>
      <c r="C1564" s="561" t="s">
        <v>670</v>
      </c>
      <c r="D1564" s="561" t="s">
        <v>1792</v>
      </c>
      <c r="E1564" s="561" t="s">
        <v>13</v>
      </c>
      <c r="F1564" s="735">
        <v>0</v>
      </c>
      <c r="G1564" s="749">
        <v>0</v>
      </c>
      <c r="H1564" s="749"/>
      <c r="I1564" s="733"/>
      <c r="J1564" s="733"/>
      <c r="K1564" s="735">
        <v>0</v>
      </c>
      <c r="L1564" s="750">
        <v>0</v>
      </c>
    </row>
    <row r="1565" spans="1:12" ht="21" x14ac:dyDescent="0.25">
      <c r="A1565" s="561" t="s">
        <v>98</v>
      </c>
      <c r="B1565" s="749">
        <v>2023</v>
      </c>
      <c r="C1565" s="561" t="s">
        <v>672</v>
      </c>
      <c r="D1565" s="561" t="s">
        <v>1793</v>
      </c>
      <c r="E1565" s="561" t="s">
        <v>15</v>
      </c>
      <c r="F1565" s="735">
        <v>0</v>
      </c>
      <c r="G1565" s="749">
        <v>0</v>
      </c>
      <c r="H1565" s="749"/>
      <c r="I1565" s="733"/>
      <c r="J1565" s="733"/>
      <c r="K1565" s="735">
        <v>0</v>
      </c>
      <c r="L1565" s="750">
        <v>0</v>
      </c>
    </row>
    <row r="1566" spans="1:12" x14ac:dyDescent="0.25">
      <c r="A1566" s="561" t="s">
        <v>98</v>
      </c>
      <c r="B1566" s="749">
        <v>2023</v>
      </c>
      <c r="C1566" s="561" t="s">
        <v>674</v>
      </c>
      <c r="D1566" s="561" t="s">
        <v>1794</v>
      </c>
      <c r="E1566" s="561" t="s">
        <v>676</v>
      </c>
      <c r="F1566" s="735">
        <v>604635</v>
      </c>
      <c r="G1566" s="749">
        <v>0</v>
      </c>
      <c r="H1566" s="749"/>
      <c r="I1566" s="733"/>
      <c r="J1566" s="733"/>
      <c r="K1566" s="735">
        <v>0</v>
      </c>
      <c r="L1566" s="750">
        <v>604635</v>
      </c>
    </row>
    <row r="1567" spans="1:12" x14ac:dyDescent="0.25">
      <c r="A1567" s="561" t="s">
        <v>98</v>
      </c>
      <c r="B1567" s="749">
        <v>2023</v>
      </c>
      <c r="C1567" s="561" t="s">
        <v>677</v>
      </c>
      <c r="D1567" s="561" t="s">
        <v>1795</v>
      </c>
      <c r="E1567" s="561" t="s">
        <v>23</v>
      </c>
      <c r="F1567" s="735">
        <v>-280713.99</v>
      </c>
      <c r="G1567" s="749">
        <v>1</v>
      </c>
      <c r="H1567" s="749"/>
      <c r="I1567" s="735">
        <v>-278559.13</v>
      </c>
      <c r="J1567" s="735">
        <v>-2154.86</v>
      </c>
      <c r="K1567" s="735">
        <v>-280713.99</v>
      </c>
      <c r="L1567" s="750">
        <v>-280713.99</v>
      </c>
    </row>
    <row r="1568" spans="1:12" ht="21" x14ac:dyDescent="0.25">
      <c r="A1568" s="561" t="s">
        <v>98</v>
      </c>
      <c r="B1568" s="749">
        <v>2023</v>
      </c>
      <c r="C1568" s="561" t="s">
        <v>679</v>
      </c>
      <c r="D1568" s="561" t="s">
        <v>1796</v>
      </c>
      <c r="E1568" s="561" t="s">
        <v>131</v>
      </c>
      <c r="F1568" s="735">
        <v>-96167.22</v>
      </c>
      <c r="G1568" s="749">
        <v>1</v>
      </c>
      <c r="H1568" s="749"/>
      <c r="I1568" s="735">
        <v>-94999.3</v>
      </c>
      <c r="J1568" s="735">
        <v>-1167.92</v>
      </c>
      <c r="K1568" s="735">
        <v>-96167.22</v>
      </c>
      <c r="L1568" s="750">
        <v>-96167.22</v>
      </c>
    </row>
    <row r="1569" spans="1:12" ht="31.5" x14ac:dyDescent="0.25">
      <c r="A1569" s="561" t="s">
        <v>98</v>
      </c>
      <c r="B1569" s="749">
        <v>2023</v>
      </c>
      <c r="C1569" s="561" t="s">
        <v>681</v>
      </c>
      <c r="D1569" s="561" t="s">
        <v>1797</v>
      </c>
      <c r="E1569" s="561" t="s">
        <v>683</v>
      </c>
      <c r="F1569" s="735">
        <v>0</v>
      </c>
      <c r="G1569" s="749">
        <v>0</v>
      </c>
      <c r="H1569" s="749"/>
      <c r="I1569" s="733"/>
      <c r="J1569" s="733"/>
      <c r="K1569" s="735">
        <v>0</v>
      </c>
      <c r="L1569" s="750">
        <v>0</v>
      </c>
    </row>
    <row r="1570" spans="1:12" ht="21" x14ac:dyDescent="0.25">
      <c r="A1570" s="561" t="s">
        <v>98</v>
      </c>
      <c r="B1570" s="749">
        <v>2023</v>
      </c>
      <c r="C1570" s="561" t="s">
        <v>681</v>
      </c>
      <c r="D1570" s="561" t="s">
        <v>1797</v>
      </c>
      <c r="E1570" s="561" t="s">
        <v>684</v>
      </c>
      <c r="F1570" s="735">
        <v>0</v>
      </c>
      <c r="G1570" s="749">
        <v>0</v>
      </c>
      <c r="H1570" s="749"/>
      <c r="I1570" s="733"/>
      <c r="J1570" s="733"/>
      <c r="K1570" s="735">
        <v>0</v>
      </c>
      <c r="L1570" s="751">
        <v>0</v>
      </c>
    </row>
    <row r="1571" spans="1:12" x14ac:dyDescent="0.25">
      <c r="A1571" s="561" t="s">
        <v>98</v>
      </c>
      <c r="B1571" s="749">
        <v>2023</v>
      </c>
      <c r="C1571" s="561" t="s">
        <v>685</v>
      </c>
      <c r="D1571" s="561" t="s">
        <v>1798</v>
      </c>
      <c r="E1571" s="561" t="s">
        <v>687</v>
      </c>
      <c r="F1571" s="735">
        <v>0</v>
      </c>
      <c r="G1571" s="749">
        <v>0</v>
      </c>
      <c r="H1571" s="749"/>
      <c r="I1571" s="733"/>
      <c r="J1571" s="733"/>
      <c r="K1571" s="735">
        <v>0</v>
      </c>
      <c r="L1571" s="750">
        <v>0</v>
      </c>
    </row>
    <row r="1572" spans="1:12" x14ac:dyDescent="0.25">
      <c r="A1572" s="561" t="s">
        <v>98</v>
      </c>
      <c r="B1572" s="749">
        <v>2023</v>
      </c>
      <c r="C1572" s="561" t="s">
        <v>688</v>
      </c>
      <c r="D1572" s="561" t="s">
        <v>1799</v>
      </c>
      <c r="E1572" s="561" t="s">
        <v>50</v>
      </c>
      <c r="F1572" s="735">
        <v>277862</v>
      </c>
      <c r="G1572" s="749">
        <v>0</v>
      </c>
      <c r="H1572" s="749"/>
      <c r="I1572" s="733"/>
      <c r="J1572" s="733"/>
      <c r="K1572" s="735">
        <v>0</v>
      </c>
      <c r="L1572" s="750">
        <v>277862</v>
      </c>
    </row>
    <row r="1573" spans="1:12" x14ac:dyDescent="0.25">
      <c r="A1573" s="561" t="s">
        <v>98</v>
      </c>
      <c r="B1573" s="749">
        <v>2023</v>
      </c>
      <c r="C1573" s="561" t="s">
        <v>690</v>
      </c>
      <c r="D1573" s="561" t="s">
        <v>1800</v>
      </c>
      <c r="E1573" s="561" t="s">
        <v>692</v>
      </c>
      <c r="F1573" s="735">
        <v>0</v>
      </c>
      <c r="G1573" s="749">
        <v>0</v>
      </c>
      <c r="H1573" s="749"/>
      <c r="I1573" s="733"/>
      <c r="J1573" s="733"/>
      <c r="K1573" s="735">
        <v>0</v>
      </c>
      <c r="L1573" s="750">
        <v>0</v>
      </c>
    </row>
    <row r="1574" spans="1:12" ht="21" x14ac:dyDescent="0.25">
      <c r="A1574" s="561" t="s">
        <v>98</v>
      </c>
      <c r="B1574" s="749">
        <v>2023</v>
      </c>
      <c r="C1574" s="561" t="s">
        <v>693</v>
      </c>
      <c r="D1574" s="561" t="s">
        <v>1801</v>
      </c>
      <c r="E1574" s="561" t="s">
        <v>6</v>
      </c>
      <c r="F1574" s="735">
        <v>0</v>
      </c>
      <c r="G1574" s="749">
        <v>0</v>
      </c>
      <c r="H1574" s="749"/>
      <c r="I1574" s="733"/>
      <c r="J1574" s="733"/>
      <c r="K1574" s="735">
        <v>0</v>
      </c>
      <c r="L1574" s="750">
        <v>0</v>
      </c>
    </row>
    <row r="1575" spans="1:12" ht="21" x14ac:dyDescent="0.25">
      <c r="A1575" s="561" t="s">
        <v>98</v>
      </c>
      <c r="B1575" s="749">
        <v>2023</v>
      </c>
      <c r="C1575" s="561" t="s">
        <v>695</v>
      </c>
      <c r="D1575" s="561" t="s">
        <v>1802</v>
      </c>
      <c r="E1575" s="561" t="s">
        <v>697</v>
      </c>
      <c r="F1575" s="735">
        <v>0</v>
      </c>
      <c r="G1575" s="749">
        <v>0</v>
      </c>
      <c r="H1575" s="749"/>
      <c r="I1575" s="733"/>
      <c r="J1575" s="733"/>
      <c r="K1575" s="735">
        <v>0</v>
      </c>
      <c r="L1575" s="750">
        <v>0</v>
      </c>
    </row>
    <row r="1576" spans="1:12" x14ac:dyDescent="0.25">
      <c r="A1576" s="561" t="s">
        <v>98</v>
      </c>
      <c r="B1576" s="749">
        <v>2023</v>
      </c>
      <c r="C1576" s="561" t="s">
        <v>698</v>
      </c>
      <c r="D1576" s="561" t="s">
        <v>1803</v>
      </c>
      <c r="E1576" s="561" t="s">
        <v>700</v>
      </c>
      <c r="F1576" s="735">
        <v>0</v>
      </c>
      <c r="G1576" s="749">
        <v>0</v>
      </c>
      <c r="H1576" s="749"/>
      <c r="I1576" s="733"/>
      <c r="J1576" s="733"/>
      <c r="K1576" s="735">
        <v>0</v>
      </c>
      <c r="L1576" s="750">
        <v>0</v>
      </c>
    </row>
    <row r="1577" spans="1:12" ht="21" x14ac:dyDescent="0.25">
      <c r="A1577" s="561" t="s">
        <v>98</v>
      </c>
      <c r="B1577" s="749">
        <v>2023</v>
      </c>
      <c r="C1577" s="561" t="s">
        <v>701</v>
      </c>
      <c r="D1577" s="561" t="s">
        <v>1804</v>
      </c>
      <c r="E1577" s="561" t="s">
        <v>1</v>
      </c>
      <c r="F1577" s="735">
        <v>1908407.18</v>
      </c>
      <c r="G1577" s="749">
        <v>1</v>
      </c>
      <c r="H1577" s="749"/>
      <c r="I1577" s="735">
        <v>1878088.52</v>
      </c>
      <c r="J1577" s="735">
        <v>30318.66</v>
      </c>
      <c r="K1577" s="735">
        <v>1908407.18</v>
      </c>
      <c r="L1577" s="750">
        <v>1908407.18</v>
      </c>
    </row>
    <row r="1578" spans="1:12" ht="21" x14ac:dyDescent="0.25">
      <c r="A1578" s="561" t="s">
        <v>98</v>
      </c>
      <c r="B1578" s="749">
        <v>2023</v>
      </c>
      <c r="C1578" s="561" t="s">
        <v>701</v>
      </c>
      <c r="D1578" s="561" t="s">
        <v>1804</v>
      </c>
      <c r="E1578" s="561" t="s">
        <v>703</v>
      </c>
      <c r="F1578" s="735">
        <v>0</v>
      </c>
      <c r="G1578" s="749">
        <v>0</v>
      </c>
      <c r="H1578" s="749"/>
      <c r="I1578" s="733"/>
      <c r="J1578" s="733"/>
      <c r="K1578" s="735">
        <v>0</v>
      </c>
      <c r="L1578" s="751">
        <v>0</v>
      </c>
    </row>
    <row r="1579" spans="1:12" ht="21" x14ac:dyDescent="0.25">
      <c r="A1579" s="561" t="s">
        <v>98</v>
      </c>
      <c r="B1579" s="749">
        <v>2023</v>
      </c>
      <c r="C1579" s="561" t="s">
        <v>701</v>
      </c>
      <c r="D1579" s="561" t="s">
        <v>1804</v>
      </c>
      <c r="E1579" s="561" t="s">
        <v>704</v>
      </c>
      <c r="F1579" s="735">
        <v>0</v>
      </c>
      <c r="G1579" s="749">
        <v>0</v>
      </c>
      <c r="H1579" s="749"/>
      <c r="I1579" s="733"/>
      <c r="J1579" s="733"/>
      <c r="K1579" s="735">
        <v>0</v>
      </c>
      <c r="L1579" s="751">
        <v>0</v>
      </c>
    </row>
    <row r="1580" spans="1:12" ht="21" x14ac:dyDescent="0.25">
      <c r="A1580" s="561" t="s">
        <v>98</v>
      </c>
      <c r="B1580" s="749">
        <v>2023</v>
      </c>
      <c r="C1580" s="561" t="s">
        <v>701</v>
      </c>
      <c r="D1580" s="561" t="s">
        <v>1804</v>
      </c>
      <c r="E1580" s="561" t="s">
        <v>705</v>
      </c>
      <c r="F1580" s="735">
        <v>0</v>
      </c>
      <c r="G1580" s="749">
        <v>0</v>
      </c>
      <c r="H1580" s="749"/>
      <c r="I1580" s="733"/>
      <c r="J1580" s="733"/>
      <c r="K1580" s="735">
        <v>0</v>
      </c>
      <c r="L1580" s="751">
        <v>-2459.37</v>
      </c>
    </row>
    <row r="1581" spans="1:12" ht="21" x14ac:dyDescent="0.25">
      <c r="A1581" s="561" t="s">
        <v>98</v>
      </c>
      <c r="B1581" s="749">
        <v>2023</v>
      </c>
      <c r="C1581" s="561" t="s">
        <v>701</v>
      </c>
      <c r="D1581" s="561" t="s">
        <v>1804</v>
      </c>
      <c r="E1581" s="561" t="s">
        <v>706</v>
      </c>
      <c r="F1581" s="735">
        <v>0</v>
      </c>
      <c r="G1581" s="749">
        <v>0</v>
      </c>
      <c r="H1581" s="749"/>
      <c r="I1581" s="733"/>
      <c r="J1581" s="733"/>
      <c r="K1581" s="735">
        <v>0</v>
      </c>
      <c r="L1581" s="751">
        <v>-124736.45</v>
      </c>
    </row>
    <row r="1582" spans="1:12" x14ac:dyDescent="0.25">
      <c r="A1582" s="561" t="s">
        <v>98</v>
      </c>
      <c r="B1582" s="749">
        <v>2023</v>
      </c>
      <c r="C1582" s="561" t="s">
        <v>707</v>
      </c>
      <c r="D1582" s="561" t="s">
        <v>1805</v>
      </c>
      <c r="E1582" s="561" t="s">
        <v>709</v>
      </c>
      <c r="F1582" s="735">
        <v>0</v>
      </c>
      <c r="G1582" s="749">
        <v>0</v>
      </c>
      <c r="H1582" s="749"/>
      <c r="I1582" s="733"/>
      <c r="J1582" s="733"/>
      <c r="K1582" s="735">
        <v>0</v>
      </c>
      <c r="L1582" s="750">
        <v>0</v>
      </c>
    </row>
    <row r="1583" spans="1:12" ht="21" x14ac:dyDescent="0.25">
      <c r="A1583" s="561" t="s">
        <v>98</v>
      </c>
      <c r="B1583" s="749">
        <v>2023</v>
      </c>
      <c r="C1583" s="561" t="s">
        <v>710</v>
      </c>
      <c r="D1583" s="561" t="s">
        <v>1806</v>
      </c>
      <c r="E1583" s="561" t="s">
        <v>2</v>
      </c>
      <c r="F1583" s="735">
        <v>1154135.6100000001</v>
      </c>
      <c r="G1583" s="749">
        <v>1</v>
      </c>
      <c r="H1583" s="749"/>
      <c r="I1583" s="735">
        <v>1139380.3700000001</v>
      </c>
      <c r="J1583" s="735">
        <v>14755.24</v>
      </c>
      <c r="K1583" s="735">
        <v>1154135.6100000001</v>
      </c>
      <c r="L1583" s="750">
        <v>1154135.6100000001</v>
      </c>
    </row>
    <row r="1584" spans="1:12" ht="21" x14ac:dyDescent="0.25">
      <c r="A1584" s="561" t="s">
        <v>98</v>
      </c>
      <c r="B1584" s="749">
        <v>2023</v>
      </c>
      <c r="C1584" s="561" t="s">
        <v>712</v>
      </c>
      <c r="D1584" s="561" t="s">
        <v>1807</v>
      </c>
      <c r="E1584" s="561" t="s">
        <v>3</v>
      </c>
      <c r="F1584" s="735">
        <v>85391.9</v>
      </c>
      <c r="G1584" s="749">
        <v>1</v>
      </c>
      <c r="H1584" s="749"/>
      <c r="I1584" s="735">
        <v>86022.47</v>
      </c>
      <c r="J1584" s="735">
        <v>-630.57000000000005</v>
      </c>
      <c r="K1584" s="735">
        <v>85391.9</v>
      </c>
      <c r="L1584" s="750">
        <v>85391.9</v>
      </c>
    </row>
    <row r="1585" spans="1:12" ht="21" x14ac:dyDescent="0.25">
      <c r="A1585" s="561" t="s">
        <v>98</v>
      </c>
      <c r="B1585" s="749">
        <v>2023</v>
      </c>
      <c r="C1585" s="561" t="s">
        <v>714</v>
      </c>
      <c r="D1585" s="561" t="s">
        <v>1808</v>
      </c>
      <c r="E1585" s="561" t="s">
        <v>38</v>
      </c>
      <c r="F1585" s="735">
        <v>187142.73</v>
      </c>
      <c r="G1585" s="749">
        <v>1</v>
      </c>
      <c r="H1585" s="749"/>
      <c r="I1585" s="735">
        <v>178843.03</v>
      </c>
      <c r="J1585" s="735">
        <v>8299.7000000000007</v>
      </c>
      <c r="K1585" s="735">
        <v>187142.73</v>
      </c>
      <c r="L1585" s="750">
        <v>187142.73</v>
      </c>
    </row>
    <row r="1586" spans="1:12" x14ac:dyDescent="0.25">
      <c r="A1586" s="561" t="s">
        <v>98</v>
      </c>
      <c r="B1586" s="749">
        <v>2023</v>
      </c>
      <c r="C1586" s="561" t="s">
        <v>716</v>
      </c>
      <c r="D1586" s="561" t="s">
        <v>1809</v>
      </c>
      <c r="E1586" s="561" t="s">
        <v>66</v>
      </c>
      <c r="F1586" s="735">
        <v>-812134.1</v>
      </c>
      <c r="G1586" s="749">
        <v>1</v>
      </c>
      <c r="H1586" s="749"/>
      <c r="I1586" s="735">
        <v>-795544.21</v>
      </c>
      <c r="J1586" s="735">
        <v>-16589.89</v>
      </c>
      <c r="K1586" s="735">
        <v>-812134.1</v>
      </c>
      <c r="L1586" s="750">
        <v>-812134.1</v>
      </c>
    </row>
    <row r="1587" spans="1:12" ht="21" x14ac:dyDescent="0.25">
      <c r="A1587" s="561" t="s">
        <v>98</v>
      </c>
      <c r="B1587" s="749">
        <v>2023</v>
      </c>
      <c r="C1587" s="561" t="s">
        <v>718</v>
      </c>
      <c r="D1587" s="561" t="s">
        <v>1810</v>
      </c>
      <c r="E1587" s="561" t="s">
        <v>720</v>
      </c>
      <c r="F1587" s="735">
        <v>-532437</v>
      </c>
      <c r="G1587" s="749">
        <v>0</v>
      </c>
      <c r="H1587" s="749"/>
      <c r="I1587" s="733"/>
      <c r="J1587" s="733"/>
      <c r="K1587" s="735">
        <v>0</v>
      </c>
      <c r="L1587" s="750">
        <v>-532437</v>
      </c>
    </row>
    <row r="1588" spans="1:12" ht="31.5" x14ac:dyDescent="0.25">
      <c r="A1588" s="561" t="s">
        <v>98</v>
      </c>
      <c r="B1588" s="749">
        <v>2023</v>
      </c>
      <c r="C1588" s="561" t="s">
        <v>721</v>
      </c>
      <c r="D1588" s="561" t="s">
        <v>1812</v>
      </c>
      <c r="E1588" s="561" t="s">
        <v>724</v>
      </c>
      <c r="F1588" s="735">
        <v>0</v>
      </c>
      <c r="G1588" s="749">
        <v>1</v>
      </c>
      <c r="H1588" s="749"/>
      <c r="I1588" s="733"/>
      <c r="J1588" s="733"/>
      <c r="K1588" s="735">
        <v>0</v>
      </c>
      <c r="L1588" s="750">
        <v>0</v>
      </c>
    </row>
    <row r="1589" spans="1:12" ht="31.5" x14ac:dyDescent="0.25">
      <c r="A1589" s="561" t="s">
        <v>98</v>
      </c>
      <c r="B1589" s="749">
        <v>2023</v>
      </c>
      <c r="C1589" s="561" t="s">
        <v>721</v>
      </c>
      <c r="D1589" s="561" t="s">
        <v>1813</v>
      </c>
      <c r="E1589" s="561" t="s">
        <v>55</v>
      </c>
      <c r="F1589" s="735">
        <v>0</v>
      </c>
      <c r="G1589" s="749">
        <v>1</v>
      </c>
      <c r="H1589" s="749"/>
      <c r="I1589" s="733"/>
      <c r="J1589" s="733"/>
      <c r="K1589" s="735">
        <v>0</v>
      </c>
      <c r="L1589" s="750">
        <v>0</v>
      </c>
    </row>
    <row r="1590" spans="1:12" ht="31.5" x14ac:dyDescent="0.25">
      <c r="A1590" s="561" t="s">
        <v>98</v>
      </c>
      <c r="B1590" s="749">
        <v>2023</v>
      </c>
      <c r="C1590" s="561" t="s">
        <v>721</v>
      </c>
      <c r="D1590" s="561" t="s">
        <v>1814</v>
      </c>
      <c r="E1590" s="561" t="s">
        <v>56</v>
      </c>
      <c r="F1590" s="735">
        <v>0</v>
      </c>
      <c r="G1590" s="749">
        <v>1</v>
      </c>
      <c r="H1590" s="749"/>
      <c r="I1590" s="733"/>
      <c r="J1590" s="733"/>
      <c r="K1590" s="735">
        <v>0</v>
      </c>
      <c r="L1590" s="750">
        <v>0</v>
      </c>
    </row>
    <row r="1591" spans="1:12" ht="31.5" x14ac:dyDescent="0.25">
      <c r="A1591" s="561" t="s">
        <v>98</v>
      </c>
      <c r="B1591" s="749">
        <v>2023</v>
      </c>
      <c r="C1591" s="561" t="s">
        <v>721</v>
      </c>
      <c r="D1591" s="561" t="s">
        <v>1815</v>
      </c>
      <c r="E1591" s="561" t="s">
        <v>728</v>
      </c>
      <c r="F1591" s="735">
        <v>0</v>
      </c>
      <c r="G1591" s="749">
        <v>1</v>
      </c>
      <c r="H1591" s="749"/>
      <c r="I1591" s="733"/>
      <c r="J1591" s="733"/>
      <c r="K1591" s="735">
        <v>0</v>
      </c>
      <c r="L1591" s="750">
        <v>0</v>
      </c>
    </row>
    <row r="1592" spans="1:12" ht="31.5" x14ac:dyDescent="0.25">
      <c r="A1592" s="561" t="s">
        <v>98</v>
      </c>
      <c r="B1592" s="749">
        <v>2023</v>
      </c>
      <c r="C1592" s="561" t="s">
        <v>721</v>
      </c>
      <c r="D1592" s="561" t="s">
        <v>1816</v>
      </c>
      <c r="E1592" s="561" t="s">
        <v>730</v>
      </c>
      <c r="F1592" s="735">
        <v>0</v>
      </c>
      <c r="G1592" s="749">
        <v>1</v>
      </c>
      <c r="H1592" s="749"/>
      <c r="I1592" s="733"/>
      <c r="J1592" s="733"/>
      <c r="K1592" s="735">
        <v>0</v>
      </c>
      <c r="L1592" s="750">
        <v>0</v>
      </c>
    </row>
    <row r="1593" spans="1:12" ht="31.5" x14ac:dyDescent="0.25">
      <c r="A1593" s="561" t="s">
        <v>98</v>
      </c>
      <c r="B1593" s="749">
        <v>2023</v>
      </c>
      <c r="C1593" s="561" t="s">
        <v>721</v>
      </c>
      <c r="D1593" s="561" t="s">
        <v>1817</v>
      </c>
      <c r="E1593" s="561" t="s">
        <v>142</v>
      </c>
      <c r="F1593" s="735">
        <v>0</v>
      </c>
      <c r="G1593" s="749">
        <v>1</v>
      </c>
      <c r="H1593" s="749"/>
      <c r="I1593" s="733"/>
      <c r="J1593" s="733"/>
      <c r="K1593" s="735">
        <v>0</v>
      </c>
      <c r="L1593" s="750">
        <v>0</v>
      </c>
    </row>
    <row r="1594" spans="1:12" ht="31.5" x14ac:dyDescent="0.25">
      <c r="A1594" s="561" t="s">
        <v>98</v>
      </c>
      <c r="B1594" s="749">
        <v>2023</v>
      </c>
      <c r="C1594" s="561" t="s">
        <v>721</v>
      </c>
      <c r="D1594" s="561" t="s">
        <v>1818</v>
      </c>
      <c r="E1594" s="561" t="s">
        <v>143</v>
      </c>
      <c r="F1594" s="735">
        <v>0</v>
      </c>
      <c r="G1594" s="749">
        <v>1</v>
      </c>
      <c r="H1594" s="749"/>
      <c r="I1594" s="733"/>
      <c r="J1594" s="733"/>
      <c r="K1594" s="735">
        <v>0</v>
      </c>
      <c r="L1594" s="750">
        <v>0</v>
      </c>
    </row>
    <row r="1595" spans="1:12" ht="31.5" x14ac:dyDescent="0.25">
      <c r="A1595" s="561" t="s">
        <v>98</v>
      </c>
      <c r="B1595" s="749">
        <v>2023</v>
      </c>
      <c r="C1595" s="561" t="s">
        <v>721</v>
      </c>
      <c r="D1595" s="561" t="s">
        <v>1819</v>
      </c>
      <c r="E1595" s="561" t="s">
        <v>182</v>
      </c>
      <c r="F1595" s="735">
        <v>0</v>
      </c>
      <c r="G1595" s="749">
        <v>1</v>
      </c>
      <c r="H1595" s="749"/>
      <c r="I1595" s="733"/>
      <c r="J1595" s="733"/>
      <c r="K1595" s="735">
        <v>0</v>
      </c>
      <c r="L1595" s="750">
        <v>0</v>
      </c>
    </row>
    <row r="1596" spans="1:12" ht="31.5" x14ac:dyDescent="0.25">
      <c r="A1596" s="561" t="s">
        <v>98</v>
      </c>
      <c r="B1596" s="749">
        <v>2023</v>
      </c>
      <c r="C1596" s="561" t="s">
        <v>721</v>
      </c>
      <c r="D1596" s="561" t="s">
        <v>1820</v>
      </c>
      <c r="E1596" s="561" t="s">
        <v>394</v>
      </c>
      <c r="F1596" s="735">
        <v>0</v>
      </c>
      <c r="G1596" s="749">
        <v>1</v>
      </c>
      <c r="H1596" s="749"/>
      <c r="I1596" s="733"/>
      <c r="J1596" s="733"/>
      <c r="K1596" s="735">
        <v>0</v>
      </c>
      <c r="L1596" s="750">
        <v>0</v>
      </c>
    </row>
    <row r="1597" spans="1:12" ht="31.5" x14ac:dyDescent="0.25">
      <c r="A1597" s="561" t="s">
        <v>98</v>
      </c>
      <c r="B1597" s="749">
        <v>2023</v>
      </c>
      <c r="C1597" s="561" t="s">
        <v>721</v>
      </c>
      <c r="D1597" s="561" t="s">
        <v>1821</v>
      </c>
      <c r="E1597" s="561" t="s">
        <v>423</v>
      </c>
      <c r="F1597" s="735">
        <v>0</v>
      </c>
      <c r="G1597" s="749">
        <v>1</v>
      </c>
      <c r="H1597" s="749"/>
      <c r="I1597" s="733"/>
      <c r="J1597" s="733"/>
      <c r="K1597" s="735">
        <v>0</v>
      </c>
      <c r="L1597" s="750">
        <v>0</v>
      </c>
    </row>
    <row r="1598" spans="1:12" ht="31.5" x14ac:dyDescent="0.25">
      <c r="A1598" s="561" t="s">
        <v>98</v>
      </c>
      <c r="B1598" s="749">
        <v>2023</v>
      </c>
      <c r="C1598" s="561" t="s">
        <v>721</v>
      </c>
      <c r="D1598" s="561" t="s">
        <v>3266</v>
      </c>
      <c r="E1598" s="561" t="s">
        <v>441</v>
      </c>
      <c r="F1598" s="735">
        <v>0</v>
      </c>
      <c r="G1598" s="749">
        <v>1</v>
      </c>
      <c r="H1598" s="749"/>
      <c r="I1598" s="733"/>
      <c r="J1598" s="733"/>
      <c r="K1598" s="735">
        <v>0</v>
      </c>
      <c r="L1598" s="750">
        <v>0</v>
      </c>
    </row>
    <row r="1599" spans="1:12" ht="31.5" x14ac:dyDescent="0.25">
      <c r="A1599" s="561" t="s">
        <v>98</v>
      </c>
      <c r="B1599" s="749">
        <v>2023</v>
      </c>
      <c r="C1599" s="561" t="s">
        <v>721</v>
      </c>
      <c r="D1599" s="561" t="s">
        <v>3546</v>
      </c>
      <c r="E1599" s="561" t="s">
        <v>3016</v>
      </c>
      <c r="F1599" s="735">
        <v>0</v>
      </c>
      <c r="G1599" s="749">
        <v>1</v>
      </c>
      <c r="H1599" s="749"/>
      <c r="I1599" s="735">
        <v>-411589</v>
      </c>
      <c r="J1599" s="735">
        <v>404614</v>
      </c>
      <c r="K1599" s="735">
        <v>-6975</v>
      </c>
      <c r="L1599" s="750">
        <v>-6975</v>
      </c>
    </row>
    <row r="1600" spans="1:12" ht="31.5" x14ac:dyDescent="0.25">
      <c r="A1600" s="561" t="s">
        <v>98</v>
      </c>
      <c r="B1600" s="749">
        <v>2023</v>
      </c>
      <c r="C1600" s="561" t="s">
        <v>721</v>
      </c>
      <c r="D1600" s="561" t="s">
        <v>3547</v>
      </c>
      <c r="E1600" s="561" t="s">
        <v>3058</v>
      </c>
      <c r="F1600" s="735">
        <v>0</v>
      </c>
      <c r="G1600" s="749">
        <v>1</v>
      </c>
      <c r="H1600" s="749"/>
      <c r="I1600" s="735">
        <v>14888.45</v>
      </c>
      <c r="J1600" s="735">
        <v>-5525.86</v>
      </c>
      <c r="K1600" s="735">
        <v>9362.59</v>
      </c>
      <c r="L1600" s="750">
        <v>9362.59</v>
      </c>
    </row>
    <row r="1601" spans="1:12" ht="31.5" x14ac:dyDescent="0.25">
      <c r="A1601" s="561" t="s">
        <v>98</v>
      </c>
      <c r="B1601" s="749">
        <v>2023</v>
      </c>
      <c r="C1601" s="561" t="s">
        <v>721</v>
      </c>
      <c r="D1601" s="561" t="s">
        <v>3548</v>
      </c>
      <c r="E1601" s="561" t="s">
        <v>3063</v>
      </c>
      <c r="F1601" s="735">
        <v>0</v>
      </c>
      <c r="G1601" s="749">
        <v>1</v>
      </c>
      <c r="H1601" s="749"/>
      <c r="I1601" s="735">
        <v>-25550.82</v>
      </c>
      <c r="J1601" s="735">
        <v>150676.94</v>
      </c>
      <c r="K1601" s="735">
        <v>125126.12</v>
      </c>
      <c r="L1601" s="750">
        <v>125126.12</v>
      </c>
    </row>
    <row r="1602" spans="1:12" ht="31.5" x14ac:dyDescent="0.25">
      <c r="A1602" s="561" t="s">
        <v>98</v>
      </c>
      <c r="B1602" s="749">
        <v>2023</v>
      </c>
      <c r="C1602" s="561" t="s">
        <v>721</v>
      </c>
      <c r="D1602" s="561" t="s">
        <v>3884</v>
      </c>
      <c r="E1602" s="561" t="s">
        <v>3425</v>
      </c>
      <c r="F1602" s="735">
        <v>0</v>
      </c>
      <c r="G1602" s="749">
        <v>1</v>
      </c>
      <c r="H1602" s="749"/>
      <c r="I1602" s="735">
        <v>7197.64</v>
      </c>
      <c r="J1602" s="735">
        <v>1904.95</v>
      </c>
      <c r="K1602" s="735">
        <v>9102.59</v>
      </c>
      <c r="L1602" s="750">
        <v>9102.59</v>
      </c>
    </row>
    <row r="1603" spans="1:12" ht="42" x14ac:dyDescent="0.25">
      <c r="A1603" s="561" t="s">
        <v>98</v>
      </c>
      <c r="B1603" s="749">
        <v>2023</v>
      </c>
      <c r="C1603" s="561" t="s">
        <v>721</v>
      </c>
      <c r="D1603" s="561" t="s">
        <v>3885</v>
      </c>
      <c r="E1603" s="561" t="s">
        <v>737</v>
      </c>
      <c r="F1603" s="735">
        <v>136616.29999999999</v>
      </c>
      <c r="G1603" s="749">
        <v>0</v>
      </c>
      <c r="H1603" s="749"/>
      <c r="I1603" s="733"/>
      <c r="J1603" s="733"/>
      <c r="K1603" s="735">
        <v>0</v>
      </c>
      <c r="L1603" s="750">
        <v>136616.29999999999</v>
      </c>
    </row>
    <row r="1604" spans="1:12" x14ac:dyDescent="0.25">
      <c r="A1604" s="561" t="s">
        <v>98</v>
      </c>
      <c r="B1604" s="749">
        <v>2023</v>
      </c>
      <c r="C1604" s="561" t="s">
        <v>738</v>
      </c>
      <c r="D1604" s="561" t="s">
        <v>1823</v>
      </c>
      <c r="E1604" s="561" t="s">
        <v>7</v>
      </c>
      <c r="F1604" s="735">
        <v>0</v>
      </c>
      <c r="G1604" s="749">
        <v>0</v>
      </c>
      <c r="H1604" s="749"/>
      <c r="I1604" s="733"/>
      <c r="J1604" s="733"/>
      <c r="K1604" s="735">
        <v>0</v>
      </c>
      <c r="L1604" s="750">
        <v>0</v>
      </c>
    </row>
    <row r="1605" spans="1:12" x14ac:dyDescent="0.25">
      <c r="A1605" s="561" t="s">
        <v>100</v>
      </c>
      <c r="B1605" s="749">
        <v>2023</v>
      </c>
      <c r="C1605" s="561" t="s">
        <v>647</v>
      </c>
      <c r="D1605" s="561" t="s">
        <v>1864</v>
      </c>
      <c r="E1605" s="561" t="s">
        <v>649</v>
      </c>
      <c r="F1605" s="735">
        <v>-73380.84</v>
      </c>
      <c r="G1605" s="749">
        <v>0</v>
      </c>
      <c r="H1605" s="749"/>
      <c r="I1605" s="733"/>
      <c r="J1605" s="733"/>
      <c r="K1605" s="735">
        <v>0</v>
      </c>
      <c r="L1605" s="750">
        <v>-73380.84</v>
      </c>
    </row>
    <row r="1606" spans="1:12" ht="21" x14ac:dyDescent="0.25">
      <c r="A1606" s="561" t="s">
        <v>100</v>
      </c>
      <c r="B1606" s="749">
        <v>2023</v>
      </c>
      <c r="C1606" s="561" t="s">
        <v>3691</v>
      </c>
      <c r="D1606" s="561" t="s">
        <v>3651</v>
      </c>
      <c r="E1606" s="561" t="s">
        <v>3675</v>
      </c>
      <c r="F1606" s="735">
        <v>29543.97</v>
      </c>
      <c r="G1606" s="749">
        <v>0</v>
      </c>
      <c r="H1606" s="749"/>
      <c r="I1606" s="733"/>
      <c r="J1606" s="733"/>
      <c r="K1606" s="735">
        <v>0</v>
      </c>
      <c r="L1606" s="750">
        <v>29543.97</v>
      </c>
    </row>
    <row r="1607" spans="1:12" x14ac:dyDescent="0.25">
      <c r="A1607" s="561" t="s">
        <v>100</v>
      </c>
      <c r="B1607" s="749">
        <v>2023</v>
      </c>
      <c r="C1607" s="561" t="s">
        <v>651</v>
      </c>
      <c r="D1607" s="561" t="s">
        <v>1865</v>
      </c>
      <c r="E1607" s="561" t="s">
        <v>653</v>
      </c>
      <c r="F1607" s="735">
        <v>-590.25</v>
      </c>
      <c r="G1607" s="749">
        <v>0</v>
      </c>
      <c r="H1607" s="749"/>
      <c r="I1607" s="733"/>
      <c r="J1607" s="733"/>
      <c r="K1607" s="735">
        <v>0</v>
      </c>
      <c r="L1607" s="750">
        <v>-590.25</v>
      </c>
    </row>
    <row r="1608" spans="1:12" ht="31.5" x14ac:dyDescent="0.25">
      <c r="A1608" s="561" t="s">
        <v>100</v>
      </c>
      <c r="B1608" s="749">
        <v>2023</v>
      </c>
      <c r="C1608" s="561" t="s">
        <v>654</v>
      </c>
      <c r="D1608" s="561" t="s">
        <v>1866</v>
      </c>
      <c r="E1608" s="561" t="s">
        <v>445</v>
      </c>
      <c r="F1608" s="735">
        <v>0</v>
      </c>
      <c r="G1608" s="749">
        <v>0</v>
      </c>
      <c r="H1608" s="749"/>
      <c r="I1608" s="733"/>
      <c r="J1608" s="733"/>
      <c r="K1608" s="735">
        <v>0</v>
      </c>
      <c r="L1608" s="750">
        <v>0</v>
      </c>
    </row>
    <row r="1609" spans="1:12" ht="21" x14ac:dyDescent="0.25">
      <c r="A1609" s="561" t="s">
        <v>100</v>
      </c>
      <c r="B1609" s="749">
        <v>2023</v>
      </c>
      <c r="C1609" s="561" t="s">
        <v>656</v>
      </c>
      <c r="D1609" s="561" t="s">
        <v>1867</v>
      </c>
      <c r="E1609" s="561" t="s">
        <v>658</v>
      </c>
      <c r="F1609" s="735">
        <v>0</v>
      </c>
      <c r="G1609" s="749">
        <v>0</v>
      </c>
      <c r="H1609" s="749"/>
      <c r="I1609" s="733"/>
      <c r="J1609" s="733"/>
      <c r="K1609" s="735">
        <v>0</v>
      </c>
      <c r="L1609" s="750">
        <v>0</v>
      </c>
    </row>
    <row r="1610" spans="1:12" ht="21" x14ac:dyDescent="0.25">
      <c r="A1610" s="561" t="s">
        <v>100</v>
      </c>
      <c r="B1610" s="749">
        <v>2023</v>
      </c>
      <c r="C1610" s="561" t="s">
        <v>659</v>
      </c>
      <c r="D1610" s="561" t="s">
        <v>1868</v>
      </c>
      <c r="E1610" s="561" t="s">
        <v>661</v>
      </c>
      <c r="F1610" s="735">
        <v>0</v>
      </c>
      <c r="G1610" s="749">
        <v>0</v>
      </c>
      <c r="H1610" s="749"/>
      <c r="I1610" s="733"/>
      <c r="J1610" s="733"/>
      <c r="K1610" s="735">
        <v>0</v>
      </c>
      <c r="L1610" s="750">
        <v>0</v>
      </c>
    </row>
    <row r="1611" spans="1:12" ht="21" x14ac:dyDescent="0.25">
      <c r="A1611" s="561" t="s">
        <v>100</v>
      </c>
      <c r="B1611" s="749">
        <v>2023</v>
      </c>
      <c r="C1611" s="561" t="s">
        <v>662</v>
      </c>
      <c r="D1611" s="561" t="s">
        <v>1869</v>
      </c>
      <c r="E1611" s="561" t="s">
        <v>664</v>
      </c>
      <c r="F1611" s="735">
        <v>0</v>
      </c>
      <c r="G1611" s="749">
        <v>0</v>
      </c>
      <c r="H1611" s="749"/>
      <c r="I1611" s="733"/>
      <c r="J1611" s="733"/>
      <c r="K1611" s="735">
        <v>0</v>
      </c>
      <c r="L1611" s="750">
        <v>0</v>
      </c>
    </row>
    <row r="1612" spans="1:12" ht="31.5" x14ac:dyDescent="0.25">
      <c r="A1612" s="561" t="s">
        <v>100</v>
      </c>
      <c r="B1612" s="749">
        <v>2023</v>
      </c>
      <c r="C1612" s="561" t="s">
        <v>665</v>
      </c>
      <c r="D1612" s="561" t="s">
        <v>1870</v>
      </c>
      <c r="E1612" s="561" t="s">
        <v>667</v>
      </c>
      <c r="F1612" s="735">
        <v>0</v>
      </c>
      <c r="G1612" s="749">
        <v>0</v>
      </c>
      <c r="H1612" s="749"/>
      <c r="I1612" s="733"/>
      <c r="J1612" s="733"/>
      <c r="K1612" s="735">
        <v>0</v>
      </c>
      <c r="L1612" s="750">
        <v>0</v>
      </c>
    </row>
    <row r="1613" spans="1:12" ht="21" x14ac:dyDescent="0.25">
      <c r="A1613" s="561" t="s">
        <v>100</v>
      </c>
      <c r="B1613" s="749">
        <v>2023</v>
      </c>
      <c r="C1613" s="561" t="s">
        <v>668</v>
      </c>
      <c r="D1613" s="561" t="s">
        <v>1871</v>
      </c>
      <c r="E1613" s="561" t="s">
        <v>12</v>
      </c>
      <c r="F1613" s="735">
        <v>0</v>
      </c>
      <c r="G1613" s="749">
        <v>0</v>
      </c>
      <c r="H1613" s="749"/>
      <c r="I1613" s="733"/>
      <c r="J1613" s="733"/>
      <c r="K1613" s="735">
        <v>0</v>
      </c>
      <c r="L1613" s="750">
        <v>0</v>
      </c>
    </row>
    <row r="1614" spans="1:12" ht="21" x14ac:dyDescent="0.25">
      <c r="A1614" s="561" t="s">
        <v>100</v>
      </c>
      <c r="B1614" s="749">
        <v>2023</v>
      </c>
      <c r="C1614" s="561" t="s">
        <v>670</v>
      </c>
      <c r="D1614" s="561" t="s">
        <v>1872</v>
      </c>
      <c r="E1614" s="561" t="s">
        <v>13</v>
      </c>
      <c r="F1614" s="735">
        <v>0</v>
      </c>
      <c r="G1614" s="749">
        <v>0</v>
      </c>
      <c r="H1614" s="749"/>
      <c r="I1614" s="733"/>
      <c r="J1614" s="733"/>
      <c r="K1614" s="735">
        <v>0</v>
      </c>
      <c r="L1614" s="750">
        <v>0</v>
      </c>
    </row>
    <row r="1615" spans="1:12" ht="21" x14ac:dyDescent="0.25">
      <c r="A1615" s="561" t="s">
        <v>100</v>
      </c>
      <c r="B1615" s="749">
        <v>2023</v>
      </c>
      <c r="C1615" s="561" t="s">
        <v>672</v>
      </c>
      <c r="D1615" s="561" t="s">
        <v>1873</v>
      </c>
      <c r="E1615" s="561" t="s">
        <v>15</v>
      </c>
      <c r="F1615" s="735">
        <v>0</v>
      </c>
      <c r="G1615" s="749">
        <v>0</v>
      </c>
      <c r="H1615" s="749"/>
      <c r="I1615" s="733"/>
      <c r="J1615" s="733"/>
      <c r="K1615" s="735">
        <v>0</v>
      </c>
      <c r="L1615" s="750">
        <v>0</v>
      </c>
    </row>
    <row r="1616" spans="1:12" x14ac:dyDescent="0.25">
      <c r="A1616" s="561" t="s">
        <v>100</v>
      </c>
      <c r="B1616" s="749">
        <v>2023</v>
      </c>
      <c r="C1616" s="561" t="s">
        <v>674</v>
      </c>
      <c r="D1616" s="561" t="s">
        <v>1874</v>
      </c>
      <c r="E1616" s="561" t="s">
        <v>676</v>
      </c>
      <c r="F1616" s="735">
        <v>3187.77</v>
      </c>
      <c r="G1616" s="749">
        <v>0</v>
      </c>
      <c r="H1616" s="749"/>
      <c r="I1616" s="733"/>
      <c r="J1616" s="733"/>
      <c r="K1616" s="735">
        <v>0</v>
      </c>
      <c r="L1616" s="750">
        <v>3187.77</v>
      </c>
    </row>
    <row r="1617" spans="1:12" x14ac:dyDescent="0.25">
      <c r="A1617" s="561" t="s">
        <v>100</v>
      </c>
      <c r="B1617" s="749">
        <v>2023</v>
      </c>
      <c r="C1617" s="561" t="s">
        <v>677</v>
      </c>
      <c r="D1617" s="561" t="s">
        <v>1875</v>
      </c>
      <c r="E1617" s="561" t="s">
        <v>23</v>
      </c>
      <c r="F1617" s="735">
        <v>280105.56</v>
      </c>
      <c r="G1617" s="749">
        <v>1</v>
      </c>
      <c r="H1617" s="749"/>
      <c r="I1617" s="735">
        <v>257121.89</v>
      </c>
      <c r="J1617" s="735">
        <v>22983.67</v>
      </c>
      <c r="K1617" s="735">
        <v>280105.56</v>
      </c>
      <c r="L1617" s="750">
        <v>280105.56</v>
      </c>
    </row>
    <row r="1618" spans="1:12" ht="21" x14ac:dyDescent="0.25">
      <c r="A1618" s="561" t="s">
        <v>100</v>
      </c>
      <c r="B1618" s="749">
        <v>2023</v>
      </c>
      <c r="C1618" s="561" t="s">
        <v>679</v>
      </c>
      <c r="D1618" s="561" t="s">
        <v>1876</v>
      </c>
      <c r="E1618" s="561" t="s">
        <v>131</v>
      </c>
      <c r="F1618" s="735">
        <v>-36502.120000000003</v>
      </c>
      <c r="G1618" s="749">
        <v>1</v>
      </c>
      <c r="H1618" s="749"/>
      <c r="I1618" s="735">
        <v>-36033.22</v>
      </c>
      <c r="J1618" s="735">
        <v>-468.9</v>
      </c>
      <c r="K1618" s="735">
        <v>-36502.120000000003</v>
      </c>
      <c r="L1618" s="750">
        <v>-36502.120000000003</v>
      </c>
    </row>
    <row r="1619" spans="1:12" ht="31.5" x14ac:dyDescent="0.25">
      <c r="A1619" s="561" t="s">
        <v>100</v>
      </c>
      <c r="B1619" s="749">
        <v>2023</v>
      </c>
      <c r="C1619" s="561" t="s">
        <v>681</v>
      </c>
      <c r="D1619" s="561" t="s">
        <v>1877</v>
      </c>
      <c r="E1619" s="561" t="s">
        <v>683</v>
      </c>
      <c r="F1619" s="735">
        <v>0</v>
      </c>
      <c r="G1619" s="749">
        <v>0</v>
      </c>
      <c r="H1619" s="749"/>
      <c r="I1619" s="733"/>
      <c r="J1619" s="733"/>
      <c r="K1619" s="735">
        <v>0</v>
      </c>
      <c r="L1619" s="750">
        <v>0</v>
      </c>
    </row>
    <row r="1620" spans="1:12" ht="21" x14ac:dyDescent="0.25">
      <c r="A1620" s="561" t="s">
        <v>100</v>
      </c>
      <c r="B1620" s="749">
        <v>2023</v>
      </c>
      <c r="C1620" s="561" t="s">
        <v>681</v>
      </c>
      <c r="D1620" s="561" t="s">
        <v>1877</v>
      </c>
      <c r="E1620" s="561" t="s">
        <v>684</v>
      </c>
      <c r="F1620" s="735">
        <v>0</v>
      </c>
      <c r="G1620" s="749">
        <v>0</v>
      </c>
      <c r="H1620" s="749"/>
      <c r="I1620" s="733"/>
      <c r="J1620" s="733"/>
      <c r="K1620" s="735">
        <v>0</v>
      </c>
      <c r="L1620" s="751">
        <v>0</v>
      </c>
    </row>
    <row r="1621" spans="1:12" x14ac:dyDescent="0.25">
      <c r="A1621" s="561" t="s">
        <v>100</v>
      </c>
      <c r="B1621" s="749">
        <v>2023</v>
      </c>
      <c r="C1621" s="561" t="s">
        <v>685</v>
      </c>
      <c r="D1621" s="561" t="s">
        <v>1878</v>
      </c>
      <c r="E1621" s="561" t="s">
        <v>687</v>
      </c>
      <c r="F1621" s="735">
        <v>0</v>
      </c>
      <c r="G1621" s="749">
        <v>0</v>
      </c>
      <c r="H1621" s="749"/>
      <c r="I1621" s="733"/>
      <c r="J1621" s="733"/>
      <c r="K1621" s="735">
        <v>0</v>
      </c>
      <c r="L1621" s="750">
        <v>0</v>
      </c>
    </row>
    <row r="1622" spans="1:12" x14ac:dyDescent="0.25">
      <c r="A1622" s="561" t="s">
        <v>100</v>
      </c>
      <c r="B1622" s="749">
        <v>2023</v>
      </c>
      <c r="C1622" s="561" t="s">
        <v>688</v>
      </c>
      <c r="D1622" s="561" t="s">
        <v>1879</v>
      </c>
      <c r="E1622" s="561" t="s">
        <v>50</v>
      </c>
      <c r="F1622" s="735">
        <v>0</v>
      </c>
      <c r="G1622" s="749">
        <v>0</v>
      </c>
      <c r="H1622" s="749"/>
      <c r="I1622" s="733"/>
      <c r="J1622" s="733"/>
      <c r="K1622" s="735">
        <v>0</v>
      </c>
      <c r="L1622" s="750">
        <v>0</v>
      </c>
    </row>
    <row r="1623" spans="1:12" x14ac:dyDescent="0.25">
      <c r="A1623" s="561" t="s">
        <v>100</v>
      </c>
      <c r="B1623" s="749">
        <v>2023</v>
      </c>
      <c r="C1623" s="561" t="s">
        <v>690</v>
      </c>
      <c r="D1623" s="561" t="s">
        <v>1880</v>
      </c>
      <c r="E1623" s="561" t="s">
        <v>692</v>
      </c>
      <c r="F1623" s="735">
        <v>0</v>
      </c>
      <c r="G1623" s="749">
        <v>0</v>
      </c>
      <c r="H1623" s="749"/>
      <c r="I1623" s="733"/>
      <c r="J1623" s="733"/>
      <c r="K1623" s="735">
        <v>0</v>
      </c>
      <c r="L1623" s="750">
        <v>0</v>
      </c>
    </row>
    <row r="1624" spans="1:12" ht="21" x14ac:dyDescent="0.25">
      <c r="A1624" s="561" t="s">
        <v>100</v>
      </c>
      <c r="B1624" s="749">
        <v>2023</v>
      </c>
      <c r="C1624" s="561" t="s">
        <v>693</v>
      </c>
      <c r="D1624" s="561" t="s">
        <v>1881</v>
      </c>
      <c r="E1624" s="561" t="s">
        <v>6</v>
      </c>
      <c r="F1624" s="735">
        <v>0</v>
      </c>
      <c r="G1624" s="749">
        <v>0</v>
      </c>
      <c r="H1624" s="749"/>
      <c r="I1624" s="733"/>
      <c r="J1624" s="733"/>
      <c r="K1624" s="735">
        <v>0</v>
      </c>
      <c r="L1624" s="750">
        <v>0</v>
      </c>
    </row>
    <row r="1625" spans="1:12" ht="21" x14ac:dyDescent="0.25">
      <c r="A1625" s="561" t="s">
        <v>100</v>
      </c>
      <c r="B1625" s="749">
        <v>2023</v>
      </c>
      <c r="C1625" s="561" t="s">
        <v>695</v>
      </c>
      <c r="D1625" s="561" t="s">
        <v>1882</v>
      </c>
      <c r="E1625" s="561" t="s">
        <v>697</v>
      </c>
      <c r="F1625" s="735">
        <v>0</v>
      </c>
      <c r="G1625" s="749">
        <v>0</v>
      </c>
      <c r="H1625" s="749"/>
      <c r="I1625" s="733"/>
      <c r="J1625" s="733"/>
      <c r="K1625" s="735">
        <v>0</v>
      </c>
      <c r="L1625" s="750">
        <v>0</v>
      </c>
    </row>
    <row r="1626" spans="1:12" x14ac:dyDescent="0.25">
      <c r="A1626" s="561" t="s">
        <v>100</v>
      </c>
      <c r="B1626" s="749">
        <v>2023</v>
      </c>
      <c r="C1626" s="561" t="s">
        <v>698</v>
      </c>
      <c r="D1626" s="561" t="s">
        <v>1883</v>
      </c>
      <c r="E1626" s="561" t="s">
        <v>700</v>
      </c>
      <c r="F1626" s="735">
        <v>0</v>
      </c>
      <c r="G1626" s="749">
        <v>0</v>
      </c>
      <c r="H1626" s="749"/>
      <c r="I1626" s="733"/>
      <c r="J1626" s="733"/>
      <c r="K1626" s="735">
        <v>0</v>
      </c>
      <c r="L1626" s="750">
        <v>0</v>
      </c>
    </row>
    <row r="1627" spans="1:12" ht="21" x14ac:dyDescent="0.25">
      <c r="A1627" s="561" t="s">
        <v>100</v>
      </c>
      <c r="B1627" s="749">
        <v>2023</v>
      </c>
      <c r="C1627" s="561" t="s">
        <v>701</v>
      </c>
      <c r="D1627" s="561" t="s">
        <v>1884</v>
      </c>
      <c r="E1627" s="561" t="s">
        <v>1</v>
      </c>
      <c r="F1627" s="735">
        <v>690725.35</v>
      </c>
      <c r="G1627" s="749">
        <v>1</v>
      </c>
      <c r="H1627" s="749"/>
      <c r="I1627" s="735">
        <v>681115.02</v>
      </c>
      <c r="J1627" s="735">
        <v>9610.33</v>
      </c>
      <c r="K1627" s="735">
        <v>690725.35</v>
      </c>
      <c r="L1627" s="750">
        <v>690725.35</v>
      </c>
    </row>
    <row r="1628" spans="1:12" ht="21" x14ac:dyDescent="0.25">
      <c r="A1628" s="561" t="s">
        <v>100</v>
      </c>
      <c r="B1628" s="749">
        <v>2023</v>
      </c>
      <c r="C1628" s="561" t="s">
        <v>701</v>
      </c>
      <c r="D1628" s="561" t="s">
        <v>1884</v>
      </c>
      <c r="E1628" s="561" t="s">
        <v>703</v>
      </c>
      <c r="F1628" s="735">
        <v>0</v>
      </c>
      <c r="G1628" s="749">
        <v>0</v>
      </c>
      <c r="H1628" s="749"/>
      <c r="I1628" s="733"/>
      <c r="J1628" s="733"/>
      <c r="K1628" s="735">
        <v>0</v>
      </c>
      <c r="L1628" s="751">
        <v>0</v>
      </c>
    </row>
    <row r="1629" spans="1:12" ht="21" x14ac:dyDescent="0.25">
      <c r="A1629" s="561" t="s">
        <v>100</v>
      </c>
      <c r="B1629" s="749">
        <v>2023</v>
      </c>
      <c r="C1629" s="561" t="s">
        <v>701</v>
      </c>
      <c r="D1629" s="561" t="s">
        <v>1884</v>
      </c>
      <c r="E1629" s="561" t="s">
        <v>704</v>
      </c>
      <c r="F1629" s="735">
        <v>0</v>
      </c>
      <c r="G1629" s="749">
        <v>0</v>
      </c>
      <c r="H1629" s="749"/>
      <c r="I1629" s="733"/>
      <c r="J1629" s="733"/>
      <c r="K1629" s="735">
        <v>0</v>
      </c>
      <c r="L1629" s="751">
        <v>0</v>
      </c>
    </row>
    <row r="1630" spans="1:12" ht="21" x14ac:dyDescent="0.25">
      <c r="A1630" s="561" t="s">
        <v>100</v>
      </c>
      <c r="B1630" s="749">
        <v>2023</v>
      </c>
      <c r="C1630" s="561" t="s">
        <v>701</v>
      </c>
      <c r="D1630" s="561" t="s">
        <v>1884</v>
      </c>
      <c r="E1630" s="561" t="s">
        <v>705</v>
      </c>
      <c r="F1630" s="735">
        <v>0</v>
      </c>
      <c r="G1630" s="749">
        <v>0</v>
      </c>
      <c r="H1630" s="749"/>
      <c r="I1630" s="733"/>
      <c r="J1630" s="733"/>
      <c r="K1630" s="735">
        <v>0</v>
      </c>
      <c r="L1630" s="751">
        <v>0</v>
      </c>
    </row>
    <row r="1631" spans="1:12" ht="21" x14ac:dyDescent="0.25">
      <c r="A1631" s="561" t="s">
        <v>100</v>
      </c>
      <c r="B1631" s="749">
        <v>2023</v>
      </c>
      <c r="C1631" s="561" t="s">
        <v>701</v>
      </c>
      <c r="D1631" s="561" t="s">
        <v>1884</v>
      </c>
      <c r="E1631" s="561" t="s">
        <v>706</v>
      </c>
      <c r="F1631" s="735">
        <v>0</v>
      </c>
      <c r="G1631" s="749">
        <v>0</v>
      </c>
      <c r="H1631" s="749"/>
      <c r="I1631" s="733"/>
      <c r="J1631" s="733"/>
      <c r="K1631" s="735">
        <v>0</v>
      </c>
      <c r="L1631" s="751">
        <v>0</v>
      </c>
    </row>
    <row r="1632" spans="1:12" x14ac:dyDescent="0.25">
      <c r="A1632" s="561" t="s">
        <v>100</v>
      </c>
      <c r="B1632" s="749">
        <v>2023</v>
      </c>
      <c r="C1632" s="561" t="s">
        <v>707</v>
      </c>
      <c r="D1632" s="561" t="s">
        <v>1885</v>
      </c>
      <c r="E1632" s="561" t="s">
        <v>709</v>
      </c>
      <c r="F1632" s="735">
        <v>0</v>
      </c>
      <c r="G1632" s="749">
        <v>0</v>
      </c>
      <c r="H1632" s="749"/>
      <c r="I1632" s="733"/>
      <c r="J1632" s="733"/>
      <c r="K1632" s="735">
        <v>0</v>
      </c>
      <c r="L1632" s="750">
        <v>0</v>
      </c>
    </row>
    <row r="1633" spans="1:12" ht="21" x14ac:dyDescent="0.25">
      <c r="A1633" s="561" t="s">
        <v>100</v>
      </c>
      <c r="B1633" s="749">
        <v>2023</v>
      </c>
      <c r="C1633" s="561" t="s">
        <v>710</v>
      </c>
      <c r="D1633" s="561" t="s">
        <v>1886</v>
      </c>
      <c r="E1633" s="561" t="s">
        <v>2</v>
      </c>
      <c r="F1633" s="735">
        <v>522706.01</v>
      </c>
      <c r="G1633" s="749">
        <v>1</v>
      </c>
      <c r="H1633" s="749"/>
      <c r="I1633" s="735">
        <v>515237.12</v>
      </c>
      <c r="J1633" s="735">
        <v>7468.89</v>
      </c>
      <c r="K1633" s="735">
        <v>522706.01</v>
      </c>
      <c r="L1633" s="750">
        <v>522706.01</v>
      </c>
    </row>
    <row r="1634" spans="1:12" ht="21" x14ac:dyDescent="0.25">
      <c r="A1634" s="561" t="s">
        <v>100</v>
      </c>
      <c r="B1634" s="749">
        <v>2023</v>
      </c>
      <c r="C1634" s="561" t="s">
        <v>712</v>
      </c>
      <c r="D1634" s="561" t="s">
        <v>1887</v>
      </c>
      <c r="E1634" s="561" t="s">
        <v>3</v>
      </c>
      <c r="F1634" s="735">
        <v>117507</v>
      </c>
      <c r="G1634" s="749">
        <v>1</v>
      </c>
      <c r="H1634" s="749"/>
      <c r="I1634" s="735">
        <v>115264.01</v>
      </c>
      <c r="J1634" s="735">
        <v>2242.9899999999998</v>
      </c>
      <c r="K1634" s="735">
        <v>117507</v>
      </c>
      <c r="L1634" s="750">
        <v>117507</v>
      </c>
    </row>
    <row r="1635" spans="1:12" ht="21" x14ac:dyDescent="0.25">
      <c r="A1635" s="561" t="s">
        <v>100</v>
      </c>
      <c r="B1635" s="749">
        <v>2023</v>
      </c>
      <c r="C1635" s="561" t="s">
        <v>714</v>
      </c>
      <c r="D1635" s="561" t="s">
        <v>1888</v>
      </c>
      <c r="E1635" s="561" t="s">
        <v>38</v>
      </c>
      <c r="F1635" s="735">
        <v>179866.2</v>
      </c>
      <c r="G1635" s="749">
        <v>1</v>
      </c>
      <c r="H1635" s="749"/>
      <c r="I1635" s="735">
        <v>183828.76</v>
      </c>
      <c r="J1635" s="735">
        <v>-3962.56</v>
      </c>
      <c r="K1635" s="735">
        <v>179866.2</v>
      </c>
      <c r="L1635" s="750">
        <v>179866.2</v>
      </c>
    </row>
    <row r="1636" spans="1:12" x14ac:dyDescent="0.25">
      <c r="A1636" s="561" t="s">
        <v>100</v>
      </c>
      <c r="B1636" s="749">
        <v>2023</v>
      </c>
      <c r="C1636" s="561" t="s">
        <v>716</v>
      </c>
      <c r="D1636" s="561" t="s">
        <v>1889</v>
      </c>
      <c r="E1636" s="561" t="s">
        <v>66</v>
      </c>
      <c r="F1636" s="735">
        <v>-1787064.21</v>
      </c>
      <c r="G1636" s="749">
        <v>1</v>
      </c>
      <c r="H1636" s="749"/>
      <c r="I1636" s="735">
        <v>-1694331.4</v>
      </c>
      <c r="J1636" s="735">
        <v>-92732.81</v>
      </c>
      <c r="K1636" s="735">
        <v>-1787064.21</v>
      </c>
      <c r="L1636" s="750">
        <v>-1787064.21</v>
      </c>
    </row>
    <row r="1637" spans="1:12" ht="21" x14ac:dyDescent="0.25">
      <c r="A1637" s="561" t="s">
        <v>100</v>
      </c>
      <c r="B1637" s="749">
        <v>2023</v>
      </c>
      <c r="C1637" s="561" t="s">
        <v>718</v>
      </c>
      <c r="D1637" s="561" t="s">
        <v>1890</v>
      </c>
      <c r="E1637" s="561" t="s">
        <v>720</v>
      </c>
      <c r="F1637" s="735">
        <v>-56181.52</v>
      </c>
      <c r="G1637" s="749">
        <v>0</v>
      </c>
      <c r="H1637" s="749"/>
      <c r="I1637" s="733"/>
      <c r="J1637" s="733"/>
      <c r="K1637" s="735">
        <v>0</v>
      </c>
      <c r="L1637" s="750">
        <v>-56181.52</v>
      </c>
    </row>
    <row r="1638" spans="1:12" ht="31.5" x14ac:dyDescent="0.25">
      <c r="A1638" s="561" t="s">
        <v>100</v>
      </c>
      <c r="B1638" s="749">
        <v>2023</v>
      </c>
      <c r="C1638" s="561" t="s">
        <v>721</v>
      </c>
      <c r="D1638" s="561" t="s">
        <v>1892</v>
      </c>
      <c r="E1638" s="561" t="s">
        <v>724</v>
      </c>
      <c r="F1638" s="735">
        <v>0</v>
      </c>
      <c r="G1638" s="749">
        <v>1</v>
      </c>
      <c r="H1638" s="749"/>
      <c r="I1638" s="733"/>
      <c r="J1638" s="733"/>
      <c r="K1638" s="735">
        <v>0</v>
      </c>
      <c r="L1638" s="750">
        <v>0</v>
      </c>
    </row>
    <row r="1639" spans="1:12" ht="31.5" x14ac:dyDescent="0.25">
      <c r="A1639" s="561" t="s">
        <v>100</v>
      </c>
      <c r="B1639" s="749">
        <v>2023</v>
      </c>
      <c r="C1639" s="561" t="s">
        <v>721</v>
      </c>
      <c r="D1639" s="561" t="s">
        <v>1893</v>
      </c>
      <c r="E1639" s="561" t="s">
        <v>55</v>
      </c>
      <c r="F1639" s="735">
        <v>0</v>
      </c>
      <c r="G1639" s="749">
        <v>1</v>
      </c>
      <c r="H1639" s="749"/>
      <c r="I1639" s="733"/>
      <c r="J1639" s="733"/>
      <c r="K1639" s="735">
        <v>0</v>
      </c>
      <c r="L1639" s="750">
        <v>0</v>
      </c>
    </row>
    <row r="1640" spans="1:12" ht="31.5" x14ac:dyDescent="0.25">
      <c r="A1640" s="561" t="s">
        <v>100</v>
      </c>
      <c r="B1640" s="749">
        <v>2023</v>
      </c>
      <c r="C1640" s="561" t="s">
        <v>721</v>
      </c>
      <c r="D1640" s="561" t="s">
        <v>1894</v>
      </c>
      <c r="E1640" s="561" t="s">
        <v>56</v>
      </c>
      <c r="F1640" s="735">
        <v>0</v>
      </c>
      <c r="G1640" s="749">
        <v>1</v>
      </c>
      <c r="H1640" s="749"/>
      <c r="I1640" s="733"/>
      <c r="J1640" s="733"/>
      <c r="K1640" s="735">
        <v>0</v>
      </c>
      <c r="L1640" s="750">
        <v>0</v>
      </c>
    </row>
    <row r="1641" spans="1:12" ht="31.5" x14ac:dyDescent="0.25">
      <c r="A1641" s="561" t="s">
        <v>100</v>
      </c>
      <c r="B1641" s="749">
        <v>2023</v>
      </c>
      <c r="C1641" s="561" t="s">
        <v>721</v>
      </c>
      <c r="D1641" s="561" t="s">
        <v>1895</v>
      </c>
      <c r="E1641" s="561" t="s">
        <v>728</v>
      </c>
      <c r="F1641" s="735">
        <v>0</v>
      </c>
      <c r="G1641" s="749">
        <v>1</v>
      </c>
      <c r="H1641" s="749"/>
      <c r="I1641" s="733"/>
      <c r="J1641" s="733"/>
      <c r="K1641" s="735">
        <v>0</v>
      </c>
      <c r="L1641" s="750">
        <v>0</v>
      </c>
    </row>
    <row r="1642" spans="1:12" ht="31.5" x14ac:dyDescent="0.25">
      <c r="A1642" s="561" t="s">
        <v>100</v>
      </c>
      <c r="B1642" s="749">
        <v>2023</v>
      </c>
      <c r="C1642" s="561" t="s">
        <v>721</v>
      </c>
      <c r="D1642" s="561" t="s">
        <v>1896</v>
      </c>
      <c r="E1642" s="561" t="s">
        <v>730</v>
      </c>
      <c r="F1642" s="735">
        <v>0</v>
      </c>
      <c r="G1642" s="749">
        <v>1</v>
      </c>
      <c r="H1642" s="749"/>
      <c r="I1642" s="733"/>
      <c r="J1642" s="733"/>
      <c r="K1642" s="735">
        <v>0</v>
      </c>
      <c r="L1642" s="750">
        <v>0</v>
      </c>
    </row>
    <row r="1643" spans="1:12" ht="31.5" x14ac:dyDescent="0.25">
      <c r="A1643" s="561" t="s">
        <v>100</v>
      </c>
      <c r="B1643" s="749">
        <v>2023</v>
      </c>
      <c r="C1643" s="561" t="s">
        <v>721</v>
      </c>
      <c r="D1643" s="561" t="s">
        <v>1897</v>
      </c>
      <c r="E1643" s="561" t="s">
        <v>142</v>
      </c>
      <c r="F1643" s="735">
        <v>0</v>
      </c>
      <c r="G1643" s="749">
        <v>1</v>
      </c>
      <c r="H1643" s="749"/>
      <c r="I1643" s="733"/>
      <c r="J1643" s="733"/>
      <c r="K1643" s="735">
        <v>0</v>
      </c>
      <c r="L1643" s="750">
        <v>0</v>
      </c>
    </row>
    <row r="1644" spans="1:12" ht="31.5" x14ac:dyDescent="0.25">
      <c r="A1644" s="561" t="s">
        <v>100</v>
      </c>
      <c r="B1644" s="749">
        <v>2023</v>
      </c>
      <c r="C1644" s="561" t="s">
        <v>721</v>
      </c>
      <c r="D1644" s="561" t="s">
        <v>1898</v>
      </c>
      <c r="E1644" s="561" t="s">
        <v>143</v>
      </c>
      <c r="F1644" s="735">
        <v>0</v>
      </c>
      <c r="G1644" s="749">
        <v>1</v>
      </c>
      <c r="H1644" s="749"/>
      <c r="I1644" s="733"/>
      <c r="J1644" s="733"/>
      <c r="K1644" s="735">
        <v>0</v>
      </c>
      <c r="L1644" s="750">
        <v>0</v>
      </c>
    </row>
    <row r="1645" spans="1:12" ht="31.5" x14ac:dyDescent="0.25">
      <c r="A1645" s="561" t="s">
        <v>100</v>
      </c>
      <c r="B1645" s="749">
        <v>2023</v>
      </c>
      <c r="C1645" s="561" t="s">
        <v>721</v>
      </c>
      <c r="D1645" s="561" t="s">
        <v>1899</v>
      </c>
      <c r="E1645" s="561" t="s">
        <v>182</v>
      </c>
      <c r="F1645" s="735">
        <v>0</v>
      </c>
      <c r="G1645" s="749">
        <v>1</v>
      </c>
      <c r="H1645" s="749"/>
      <c r="I1645" s="733"/>
      <c r="J1645" s="733"/>
      <c r="K1645" s="735">
        <v>0</v>
      </c>
      <c r="L1645" s="750">
        <v>0</v>
      </c>
    </row>
    <row r="1646" spans="1:12" ht="31.5" x14ac:dyDescent="0.25">
      <c r="A1646" s="561" t="s">
        <v>100</v>
      </c>
      <c r="B1646" s="749">
        <v>2023</v>
      </c>
      <c r="C1646" s="561" t="s">
        <v>721</v>
      </c>
      <c r="D1646" s="561" t="s">
        <v>1900</v>
      </c>
      <c r="E1646" s="561" t="s">
        <v>394</v>
      </c>
      <c r="F1646" s="735">
        <v>0</v>
      </c>
      <c r="G1646" s="749">
        <v>1</v>
      </c>
      <c r="H1646" s="749"/>
      <c r="I1646" s="733"/>
      <c r="J1646" s="733"/>
      <c r="K1646" s="735">
        <v>0</v>
      </c>
      <c r="L1646" s="750">
        <v>0</v>
      </c>
    </row>
    <row r="1647" spans="1:12" ht="31.5" x14ac:dyDescent="0.25">
      <c r="A1647" s="561" t="s">
        <v>100</v>
      </c>
      <c r="B1647" s="749">
        <v>2023</v>
      </c>
      <c r="C1647" s="561" t="s">
        <v>721</v>
      </c>
      <c r="D1647" s="561" t="s">
        <v>1901</v>
      </c>
      <c r="E1647" s="561" t="s">
        <v>423</v>
      </c>
      <c r="F1647" s="735">
        <v>0</v>
      </c>
      <c r="G1647" s="749">
        <v>1</v>
      </c>
      <c r="H1647" s="749"/>
      <c r="I1647" s="733"/>
      <c r="J1647" s="733"/>
      <c r="K1647" s="735">
        <v>0</v>
      </c>
      <c r="L1647" s="750">
        <v>0</v>
      </c>
    </row>
    <row r="1648" spans="1:12" ht="31.5" x14ac:dyDescent="0.25">
      <c r="A1648" s="561" t="s">
        <v>100</v>
      </c>
      <c r="B1648" s="749">
        <v>2023</v>
      </c>
      <c r="C1648" s="561" t="s">
        <v>721</v>
      </c>
      <c r="D1648" s="561" t="s">
        <v>3268</v>
      </c>
      <c r="E1648" s="561" t="s">
        <v>441</v>
      </c>
      <c r="F1648" s="735">
        <v>0</v>
      </c>
      <c r="G1648" s="749">
        <v>1</v>
      </c>
      <c r="H1648" s="749"/>
      <c r="I1648" s="733"/>
      <c r="J1648" s="733"/>
      <c r="K1648" s="735">
        <v>0</v>
      </c>
      <c r="L1648" s="750">
        <v>0</v>
      </c>
    </row>
    <row r="1649" spans="1:12" ht="31.5" x14ac:dyDescent="0.25">
      <c r="A1649" s="561" t="s">
        <v>100</v>
      </c>
      <c r="B1649" s="749">
        <v>2023</v>
      </c>
      <c r="C1649" s="561" t="s">
        <v>721</v>
      </c>
      <c r="D1649" s="561" t="s">
        <v>3549</v>
      </c>
      <c r="E1649" s="561" t="s">
        <v>3016</v>
      </c>
      <c r="F1649" s="735">
        <v>0</v>
      </c>
      <c r="G1649" s="749">
        <v>1</v>
      </c>
      <c r="H1649" s="749"/>
      <c r="I1649" s="733"/>
      <c r="J1649" s="733"/>
      <c r="K1649" s="735">
        <v>0</v>
      </c>
      <c r="L1649" s="750">
        <v>0</v>
      </c>
    </row>
    <row r="1650" spans="1:12" ht="31.5" x14ac:dyDescent="0.25">
      <c r="A1650" s="561" t="s">
        <v>100</v>
      </c>
      <c r="B1650" s="749">
        <v>2023</v>
      </c>
      <c r="C1650" s="561" t="s">
        <v>721</v>
      </c>
      <c r="D1650" s="561" t="s">
        <v>3550</v>
      </c>
      <c r="E1650" s="561" t="s">
        <v>3058</v>
      </c>
      <c r="F1650" s="735">
        <v>0</v>
      </c>
      <c r="G1650" s="749">
        <v>1</v>
      </c>
      <c r="H1650" s="749"/>
      <c r="I1650" s="733"/>
      <c r="J1650" s="733"/>
      <c r="K1650" s="735">
        <v>0</v>
      </c>
      <c r="L1650" s="750">
        <v>0</v>
      </c>
    </row>
    <row r="1651" spans="1:12" ht="31.5" x14ac:dyDescent="0.25">
      <c r="A1651" s="561" t="s">
        <v>100</v>
      </c>
      <c r="B1651" s="749">
        <v>2023</v>
      </c>
      <c r="C1651" s="561" t="s">
        <v>721</v>
      </c>
      <c r="D1651" s="561" t="s">
        <v>3551</v>
      </c>
      <c r="E1651" s="561" t="s">
        <v>3063</v>
      </c>
      <c r="F1651" s="735">
        <v>0</v>
      </c>
      <c r="G1651" s="749">
        <v>1</v>
      </c>
      <c r="H1651" s="749"/>
      <c r="I1651" s="733"/>
      <c r="J1651" s="733"/>
      <c r="K1651" s="735">
        <v>0</v>
      </c>
      <c r="L1651" s="750">
        <v>0</v>
      </c>
    </row>
    <row r="1652" spans="1:12" ht="31.5" x14ac:dyDescent="0.25">
      <c r="A1652" s="561" t="s">
        <v>100</v>
      </c>
      <c r="B1652" s="749">
        <v>2023</v>
      </c>
      <c r="C1652" s="561" t="s">
        <v>721</v>
      </c>
      <c r="D1652" s="561" t="s">
        <v>3886</v>
      </c>
      <c r="E1652" s="561" t="s">
        <v>3425</v>
      </c>
      <c r="F1652" s="735">
        <v>0</v>
      </c>
      <c r="G1652" s="749">
        <v>1</v>
      </c>
      <c r="H1652" s="749"/>
      <c r="I1652" s="735">
        <v>1132487.3899999999</v>
      </c>
      <c r="J1652" s="735">
        <v>384976.54</v>
      </c>
      <c r="K1652" s="735">
        <v>1517463.93</v>
      </c>
      <c r="L1652" s="750">
        <v>1517463.93</v>
      </c>
    </row>
    <row r="1653" spans="1:12" ht="42" x14ac:dyDescent="0.25">
      <c r="A1653" s="561" t="s">
        <v>100</v>
      </c>
      <c r="B1653" s="749">
        <v>2023</v>
      </c>
      <c r="C1653" s="561" t="s">
        <v>721</v>
      </c>
      <c r="D1653" s="561" t="s">
        <v>3887</v>
      </c>
      <c r="E1653" s="561" t="s">
        <v>737</v>
      </c>
      <c r="F1653" s="735">
        <v>1517463.93</v>
      </c>
      <c r="G1653" s="749">
        <v>0</v>
      </c>
      <c r="H1653" s="749"/>
      <c r="I1653" s="733"/>
      <c r="J1653" s="733"/>
      <c r="K1653" s="735">
        <v>0</v>
      </c>
      <c r="L1653" s="750">
        <v>1517463.93</v>
      </c>
    </row>
    <row r="1654" spans="1:12" x14ac:dyDescent="0.25">
      <c r="A1654" s="561" t="s">
        <v>100</v>
      </c>
      <c r="B1654" s="749">
        <v>2023</v>
      </c>
      <c r="C1654" s="561" t="s">
        <v>738</v>
      </c>
      <c r="D1654" s="561" t="s">
        <v>1903</v>
      </c>
      <c r="E1654" s="561" t="s">
        <v>7</v>
      </c>
      <c r="F1654" s="735">
        <v>0</v>
      </c>
      <c r="G1654" s="749">
        <v>0</v>
      </c>
      <c r="H1654" s="749"/>
      <c r="I1654" s="733"/>
      <c r="J1654" s="733"/>
      <c r="K1654" s="735">
        <v>0</v>
      </c>
      <c r="L1654" s="750">
        <v>0</v>
      </c>
    </row>
    <row r="1655" spans="1:12" x14ac:dyDescent="0.25">
      <c r="A1655" s="561" t="s">
        <v>101</v>
      </c>
      <c r="B1655" s="749">
        <v>2023</v>
      </c>
      <c r="C1655" s="561" t="s">
        <v>647</v>
      </c>
      <c r="D1655" s="561" t="s">
        <v>1904</v>
      </c>
      <c r="E1655" s="561" t="s">
        <v>649</v>
      </c>
      <c r="F1655" s="735">
        <v>32656.52</v>
      </c>
      <c r="G1655" s="749">
        <v>0</v>
      </c>
      <c r="H1655" s="749"/>
      <c r="I1655" s="733"/>
      <c r="J1655" s="733"/>
      <c r="K1655" s="735">
        <v>0</v>
      </c>
      <c r="L1655" s="750">
        <v>32656.52</v>
      </c>
    </row>
    <row r="1656" spans="1:12" ht="21" x14ac:dyDescent="0.25">
      <c r="A1656" s="561" t="s">
        <v>101</v>
      </c>
      <c r="B1656" s="749">
        <v>2023</v>
      </c>
      <c r="C1656" s="561" t="s">
        <v>3691</v>
      </c>
      <c r="D1656" s="561" t="s">
        <v>3652</v>
      </c>
      <c r="E1656" s="561" t="s">
        <v>3675</v>
      </c>
      <c r="F1656" s="735">
        <v>434323.12</v>
      </c>
      <c r="G1656" s="749">
        <v>0</v>
      </c>
      <c r="H1656" s="749"/>
      <c r="I1656" s="733"/>
      <c r="J1656" s="733"/>
      <c r="K1656" s="735">
        <v>0</v>
      </c>
      <c r="L1656" s="750">
        <v>434323.12</v>
      </c>
    </row>
    <row r="1657" spans="1:12" x14ac:dyDescent="0.25">
      <c r="A1657" s="561" t="s">
        <v>101</v>
      </c>
      <c r="B1657" s="749">
        <v>2023</v>
      </c>
      <c r="C1657" s="561" t="s">
        <v>651</v>
      </c>
      <c r="D1657" s="561" t="s">
        <v>1905</v>
      </c>
      <c r="E1657" s="561" t="s">
        <v>653</v>
      </c>
      <c r="F1657" s="735">
        <v>-25676.92</v>
      </c>
      <c r="G1657" s="749">
        <v>0</v>
      </c>
      <c r="H1657" s="749"/>
      <c r="I1657" s="733"/>
      <c r="J1657" s="733"/>
      <c r="K1657" s="735">
        <v>0</v>
      </c>
      <c r="L1657" s="750">
        <v>-25676.92</v>
      </c>
    </row>
    <row r="1658" spans="1:12" ht="31.5" x14ac:dyDescent="0.25">
      <c r="A1658" s="561" t="s">
        <v>101</v>
      </c>
      <c r="B1658" s="749">
        <v>2023</v>
      </c>
      <c r="C1658" s="561" t="s">
        <v>654</v>
      </c>
      <c r="D1658" s="561" t="s">
        <v>1906</v>
      </c>
      <c r="E1658" s="561" t="s">
        <v>445</v>
      </c>
      <c r="F1658" s="735">
        <v>0</v>
      </c>
      <c r="G1658" s="749">
        <v>0</v>
      </c>
      <c r="H1658" s="749"/>
      <c r="I1658" s="733"/>
      <c r="J1658" s="733"/>
      <c r="K1658" s="735">
        <v>0</v>
      </c>
      <c r="L1658" s="750">
        <v>0</v>
      </c>
    </row>
    <row r="1659" spans="1:12" ht="21" x14ac:dyDescent="0.25">
      <c r="A1659" s="561" t="s">
        <v>101</v>
      </c>
      <c r="B1659" s="749">
        <v>2023</v>
      </c>
      <c r="C1659" s="561" t="s">
        <v>656</v>
      </c>
      <c r="D1659" s="561" t="s">
        <v>1907</v>
      </c>
      <c r="E1659" s="561" t="s">
        <v>658</v>
      </c>
      <c r="F1659" s="735">
        <v>0</v>
      </c>
      <c r="G1659" s="749">
        <v>0</v>
      </c>
      <c r="H1659" s="749"/>
      <c r="I1659" s="733"/>
      <c r="J1659" s="733"/>
      <c r="K1659" s="735">
        <v>0</v>
      </c>
      <c r="L1659" s="750">
        <v>0</v>
      </c>
    </row>
    <row r="1660" spans="1:12" ht="21" x14ac:dyDescent="0.25">
      <c r="A1660" s="561" t="s">
        <v>101</v>
      </c>
      <c r="B1660" s="749">
        <v>2023</v>
      </c>
      <c r="C1660" s="561" t="s">
        <v>659</v>
      </c>
      <c r="D1660" s="561" t="s">
        <v>1908</v>
      </c>
      <c r="E1660" s="561" t="s">
        <v>661</v>
      </c>
      <c r="F1660" s="735">
        <v>0</v>
      </c>
      <c r="G1660" s="749">
        <v>0</v>
      </c>
      <c r="H1660" s="749"/>
      <c r="I1660" s="733"/>
      <c r="J1660" s="733"/>
      <c r="K1660" s="735">
        <v>0</v>
      </c>
      <c r="L1660" s="750">
        <v>0</v>
      </c>
    </row>
    <row r="1661" spans="1:12" ht="21" x14ac:dyDescent="0.25">
      <c r="A1661" s="561" t="s">
        <v>101</v>
      </c>
      <c r="B1661" s="749">
        <v>2023</v>
      </c>
      <c r="C1661" s="561" t="s">
        <v>662</v>
      </c>
      <c r="D1661" s="561" t="s">
        <v>1909</v>
      </c>
      <c r="E1661" s="561" t="s">
        <v>664</v>
      </c>
      <c r="F1661" s="735">
        <v>0</v>
      </c>
      <c r="G1661" s="749">
        <v>0</v>
      </c>
      <c r="H1661" s="749"/>
      <c r="I1661" s="733"/>
      <c r="J1661" s="733"/>
      <c r="K1661" s="735">
        <v>0</v>
      </c>
      <c r="L1661" s="750">
        <v>0</v>
      </c>
    </row>
    <row r="1662" spans="1:12" ht="31.5" x14ac:dyDescent="0.25">
      <c r="A1662" s="561" t="s">
        <v>101</v>
      </c>
      <c r="B1662" s="749">
        <v>2023</v>
      </c>
      <c r="C1662" s="561" t="s">
        <v>665</v>
      </c>
      <c r="D1662" s="561" t="s">
        <v>1910</v>
      </c>
      <c r="E1662" s="561" t="s">
        <v>667</v>
      </c>
      <c r="F1662" s="735">
        <v>0</v>
      </c>
      <c r="G1662" s="749">
        <v>0</v>
      </c>
      <c r="H1662" s="749"/>
      <c r="I1662" s="733"/>
      <c r="J1662" s="733"/>
      <c r="K1662" s="735">
        <v>0</v>
      </c>
      <c r="L1662" s="750">
        <v>0</v>
      </c>
    </row>
    <row r="1663" spans="1:12" ht="21" x14ac:dyDescent="0.25">
      <c r="A1663" s="561" t="s">
        <v>101</v>
      </c>
      <c r="B1663" s="749">
        <v>2023</v>
      </c>
      <c r="C1663" s="561" t="s">
        <v>668</v>
      </c>
      <c r="D1663" s="561" t="s">
        <v>1911</v>
      </c>
      <c r="E1663" s="561" t="s">
        <v>12</v>
      </c>
      <c r="F1663" s="735">
        <v>0</v>
      </c>
      <c r="G1663" s="749">
        <v>0</v>
      </c>
      <c r="H1663" s="749"/>
      <c r="I1663" s="733"/>
      <c r="J1663" s="733"/>
      <c r="K1663" s="735">
        <v>0</v>
      </c>
      <c r="L1663" s="750">
        <v>0</v>
      </c>
    </row>
    <row r="1664" spans="1:12" ht="21" x14ac:dyDescent="0.25">
      <c r="A1664" s="561" t="s">
        <v>101</v>
      </c>
      <c r="B1664" s="749">
        <v>2023</v>
      </c>
      <c r="C1664" s="561" t="s">
        <v>670</v>
      </c>
      <c r="D1664" s="561" t="s">
        <v>1912</v>
      </c>
      <c r="E1664" s="561" t="s">
        <v>13</v>
      </c>
      <c r="F1664" s="735">
        <v>0</v>
      </c>
      <c r="G1664" s="749">
        <v>0</v>
      </c>
      <c r="H1664" s="749"/>
      <c r="I1664" s="733"/>
      <c r="J1664" s="733"/>
      <c r="K1664" s="735">
        <v>0</v>
      </c>
      <c r="L1664" s="750">
        <v>0</v>
      </c>
    </row>
    <row r="1665" spans="1:12" ht="21" x14ac:dyDescent="0.25">
      <c r="A1665" s="561" t="s">
        <v>101</v>
      </c>
      <c r="B1665" s="749">
        <v>2023</v>
      </c>
      <c r="C1665" s="561" t="s">
        <v>672</v>
      </c>
      <c r="D1665" s="561" t="s">
        <v>1913</v>
      </c>
      <c r="E1665" s="561" t="s">
        <v>15</v>
      </c>
      <c r="F1665" s="735">
        <v>0</v>
      </c>
      <c r="G1665" s="749">
        <v>0</v>
      </c>
      <c r="H1665" s="749"/>
      <c r="I1665" s="733"/>
      <c r="J1665" s="733"/>
      <c r="K1665" s="735">
        <v>0</v>
      </c>
      <c r="L1665" s="750">
        <v>0</v>
      </c>
    </row>
    <row r="1666" spans="1:12" x14ac:dyDescent="0.25">
      <c r="A1666" s="561" t="s">
        <v>101</v>
      </c>
      <c r="B1666" s="749">
        <v>2023</v>
      </c>
      <c r="C1666" s="561" t="s">
        <v>674</v>
      </c>
      <c r="D1666" s="561" t="s">
        <v>1914</v>
      </c>
      <c r="E1666" s="561" t="s">
        <v>676</v>
      </c>
      <c r="F1666" s="735">
        <v>-810.26</v>
      </c>
      <c r="G1666" s="749">
        <v>0</v>
      </c>
      <c r="H1666" s="749"/>
      <c r="I1666" s="733"/>
      <c r="J1666" s="733"/>
      <c r="K1666" s="735">
        <v>0</v>
      </c>
      <c r="L1666" s="750">
        <v>-810.26</v>
      </c>
    </row>
    <row r="1667" spans="1:12" x14ac:dyDescent="0.25">
      <c r="A1667" s="561" t="s">
        <v>101</v>
      </c>
      <c r="B1667" s="749">
        <v>2023</v>
      </c>
      <c r="C1667" s="561" t="s">
        <v>677</v>
      </c>
      <c r="D1667" s="561" t="s">
        <v>1915</v>
      </c>
      <c r="E1667" s="561" t="s">
        <v>23</v>
      </c>
      <c r="F1667" s="735">
        <v>281283.96000000002</v>
      </c>
      <c r="G1667" s="749">
        <v>1</v>
      </c>
      <c r="H1667" s="749"/>
      <c r="I1667" s="735">
        <v>276799.92</v>
      </c>
      <c r="J1667" s="735">
        <v>4484.04</v>
      </c>
      <c r="K1667" s="735">
        <v>281283.96000000002</v>
      </c>
      <c r="L1667" s="750">
        <v>281283.96000000002</v>
      </c>
    </row>
    <row r="1668" spans="1:12" ht="21" x14ac:dyDescent="0.25">
      <c r="A1668" s="561" t="s">
        <v>101</v>
      </c>
      <c r="B1668" s="749">
        <v>2023</v>
      </c>
      <c r="C1668" s="561" t="s">
        <v>679</v>
      </c>
      <c r="D1668" s="561" t="s">
        <v>1916</v>
      </c>
      <c r="E1668" s="561" t="s">
        <v>131</v>
      </c>
      <c r="F1668" s="735">
        <v>-52413.440000000002</v>
      </c>
      <c r="G1668" s="749">
        <v>1</v>
      </c>
      <c r="H1668" s="749"/>
      <c r="I1668" s="735">
        <v>-52004.79</v>
      </c>
      <c r="J1668" s="735">
        <v>-408.65</v>
      </c>
      <c r="K1668" s="735">
        <v>-52413.440000000002</v>
      </c>
      <c r="L1668" s="750">
        <v>-52413.440000000002</v>
      </c>
    </row>
    <row r="1669" spans="1:12" ht="31.5" x14ac:dyDescent="0.25">
      <c r="A1669" s="561" t="s">
        <v>101</v>
      </c>
      <c r="B1669" s="749">
        <v>2023</v>
      </c>
      <c r="C1669" s="561" t="s">
        <v>681</v>
      </c>
      <c r="D1669" s="561" t="s">
        <v>1917</v>
      </c>
      <c r="E1669" s="561" t="s">
        <v>683</v>
      </c>
      <c r="F1669" s="735">
        <v>0</v>
      </c>
      <c r="G1669" s="749">
        <v>0</v>
      </c>
      <c r="H1669" s="749"/>
      <c r="I1669" s="733"/>
      <c r="J1669" s="733"/>
      <c r="K1669" s="735">
        <v>0</v>
      </c>
      <c r="L1669" s="750">
        <v>0</v>
      </c>
    </row>
    <row r="1670" spans="1:12" ht="21" x14ac:dyDescent="0.25">
      <c r="A1670" s="561" t="s">
        <v>101</v>
      </c>
      <c r="B1670" s="749">
        <v>2023</v>
      </c>
      <c r="C1670" s="561" t="s">
        <v>681</v>
      </c>
      <c r="D1670" s="561" t="s">
        <v>1917</v>
      </c>
      <c r="E1670" s="561" t="s">
        <v>684</v>
      </c>
      <c r="F1670" s="735">
        <v>0</v>
      </c>
      <c r="G1670" s="749">
        <v>0</v>
      </c>
      <c r="H1670" s="749"/>
      <c r="I1670" s="733"/>
      <c r="J1670" s="733"/>
      <c r="K1670" s="735">
        <v>0</v>
      </c>
      <c r="L1670" s="751">
        <v>0</v>
      </c>
    </row>
    <row r="1671" spans="1:12" x14ac:dyDescent="0.25">
      <c r="A1671" s="561" t="s">
        <v>101</v>
      </c>
      <c r="B1671" s="749">
        <v>2023</v>
      </c>
      <c r="C1671" s="561" t="s">
        <v>685</v>
      </c>
      <c r="D1671" s="561" t="s">
        <v>1918</v>
      </c>
      <c r="E1671" s="561" t="s">
        <v>687</v>
      </c>
      <c r="F1671" s="735">
        <v>0</v>
      </c>
      <c r="G1671" s="749">
        <v>0</v>
      </c>
      <c r="H1671" s="749"/>
      <c r="I1671" s="733"/>
      <c r="J1671" s="733"/>
      <c r="K1671" s="735">
        <v>0</v>
      </c>
      <c r="L1671" s="750">
        <v>0</v>
      </c>
    </row>
    <row r="1672" spans="1:12" x14ac:dyDescent="0.25">
      <c r="A1672" s="561" t="s">
        <v>101</v>
      </c>
      <c r="B1672" s="749">
        <v>2023</v>
      </c>
      <c r="C1672" s="561" t="s">
        <v>688</v>
      </c>
      <c r="D1672" s="561" t="s">
        <v>1919</v>
      </c>
      <c r="E1672" s="561" t="s">
        <v>50</v>
      </c>
      <c r="F1672" s="735">
        <v>0</v>
      </c>
      <c r="G1672" s="749">
        <v>0</v>
      </c>
      <c r="H1672" s="749"/>
      <c r="I1672" s="733"/>
      <c r="J1672" s="733"/>
      <c r="K1672" s="735">
        <v>0</v>
      </c>
      <c r="L1672" s="750">
        <v>0</v>
      </c>
    </row>
    <row r="1673" spans="1:12" x14ac:dyDescent="0.25">
      <c r="A1673" s="561" t="s">
        <v>101</v>
      </c>
      <c r="B1673" s="749">
        <v>2023</v>
      </c>
      <c r="C1673" s="561" t="s">
        <v>690</v>
      </c>
      <c r="D1673" s="561" t="s">
        <v>1920</v>
      </c>
      <c r="E1673" s="561" t="s">
        <v>692</v>
      </c>
      <c r="F1673" s="735">
        <v>0</v>
      </c>
      <c r="G1673" s="749">
        <v>0</v>
      </c>
      <c r="H1673" s="749"/>
      <c r="I1673" s="733"/>
      <c r="J1673" s="733"/>
      <c r="K1673" s="735">
        <v>0</v>
      </c>
      <c r="L1673" s="750">
        <v>0</v>
      </c>
    </row>
    <row r="1674" spans="1:12" ht="21" x14ac:dyDescent="0.25">
      <c r="A1674" s="561" t="s">
        <v>101</v>
      </c>
      <c r="B1674" s="749">
        <v>2023</v>
      </c>
      <c r="C1674" s="561" t="s">
        <v>693</v>
      </c>
      <c r="D1674" s="561" t="s">
        <v>1921</v>
      </c>
      <c r="E1674" s="561" t="s">
        <v>6</v>
      </c>
      <c r="F1674" s="735">
        <v>118.77</v>
      </c>
      <c r="G1674" s="749">
        <v>0</v>
      </c>
      <c r="H1674" s="749"/>
      <c r="I1674" s="733"/>
      <c r="J1674" s="733"/>
      <c r="K1674" s="735">
        <v>0</v>
      </c>
      <c r="L1674" s="750">
        <v>118.77</v>
      </c>
    </row>
    <row r="1675" spans="1:12" ht="21" x14ac:dyDescent="0.25">
      <c r="A1675" s="561" t="s">
        <v>101</v>
      </c>
      <c r="B1675" s="749">
        <v>2023</v>
      </c>
      <c r="C1675" s="561" t="s">
        <v>695</v>
      </c>
      <c r="D1675" s="561" t="s">
        <v>1922</v>
      </c>
      <c r="E1675" s="561" t="s">
        <v>697</v>
      </c>
      <c r="F1675" s="735">
        <v>0</v>
      </c>
      <c r="G1675" s="749">
        <v>0</v>
      </c>
      <c r="H1675" s="749"/>
      <c r="I1675" s="733"/>
      <c r="J1675" s="733"/>
      <c r="K1675" s="735">
        <v>0</v>
      </c>
      <c r="L1675" s="750">
        <v>0</v>
      </c>
    </row>
    <row r="1676" spans="1:12" x14ac:dyDescent="0.25">
      <c r="A1676" s="561" t="s">
        <v>101</v>
      </c>
      <c r="B1676" s="749">
        <v>2023</v>
      </c>
      <c r="C1676" s="561" t="s">
        <v>698</v>
      </c>
      <c r="D1676" s="561" t="s">
        <v>1923</v>
      </c>
      <c r="E1676" s="561" t="s">
        <v>700</v>
      </c>
      <c r="F1676" s="735">
        <v>-6792.92</v>
      </c>
      <c r="G1676" s="749">
        <v>0</v>
      </c>
      <c r="H1676" s="749"/>
      <c r="I1676" s="733"/>
      <c r="J1676" s="733"/>
      <c r="K1676" s="735">
        <v>0</v>
      </c>
      <c r="L1676" s="750">
        <v>-6792.92</v>
      </c>
    </row>
    <row r="1677" spans="1:12" ht="21" x14ac:dyDescent="0.25">
      <c r="A1677" s="561" t="s">
        <v>101</v>
      </c>
      <c r="B1677" s="749">
        <v>2023</v>
      </c>
      <c r="C1677" s="561" t="s">
        <v>701</v>
      </c>
      <c r="D1677" s="561" t="s">
        <v>1924</v>
      </c>
      <c r="E1677" s="561" t="s">
        <v>1</v>
      </c>
      <c r="F1677" s="735">
        <v>-37223.64</v>
      </c>
      <c r="G1677" s="749">
        <v>1</v>
      </c>
      <c r="H1677" s="749"/>
      <c r="I1677" s="735">
        <v>-35288.800000000003</v>
      </c>
      <c r="J1677" s="735">
        <v>-1934.84</v>
      </c>
      <c r="K1677" s="735">
        <v>-37223.64</v>
      </c>
      <c r="L1677" s="750">
        <v>-37223.64</v>
      </c>
    </row>
    <row r="1678" spans="1:12" ht="21" x14ac:dyDescent="0.25">
      <c r="A1678" s="561" t="s">
        <v>101</v>
      </c>
      <c r="B1678" s="749">
        <v>2023</v>
      </c>
      <c r="C1678" s="561" t="s">
        <v>701</v>
      </c>
      <c r="D1678" s="561" t="s">
        <v>1924</v>
      </c>
      <c r="E1678" s="561" t="s">
        <v>703</v>
      </c>
      <c r="F1678" s="735">
        <v>0</v>
      </c>
      <c r="G1678" s="749">
        <v>0</v>
      </c>
      <c r="H1678" s="749"/>
      <c r="I1678" s="733"/>
      <c r="J1678" s="733"/>
      <c r="K1678" s="735">
        <v>0</v>
      </c>
      <c r="L1678" s="751">
        <v>0</v>
      </c>
    </row>
    <row r="1679" spans="1:12" ht="21" x14ac:dyDescent="0.25">
      <c r="A1679" s="561" t="s">
        <v>101</v>
      </c>
      <c r="B1679" s="749">
        <v>2023</v>
      </c>
      <c r="C1679" s="561" t="s">
        <v>701</v>
      </c>
      <c r="D1679" s="561" t="s">
        <v>1924</v>
      </c>
      <c r="E1679" s="561" t="s">
        <v>704</v>
      </c>
      <c r="F1679" s="735">
        <v>0</v>
      </c>
      <c r="G1679" s="749">
        <v>0</v>
      </c>
      <c r="H1679" s="749"/>
      <c r="I1679" s="733"/>
      <c r="J1679" s="733"/>
      <c r="K1679" s="735">
        <v>0</v>
      </c>
      <c r="L1679" s="750">
        <v>0</v>
      </c>
    </row>
    <row r="1680" spans="1:12" ht="21" x14ac:dyDescent="0.25">
      <c r="A1680" s="561" t="s">
        <v>101</v>
      </c>
      <c r="B1680" s="749">
        <v>2023</v>
      </c>
      <c r="C1680" s="561" t="s">
        <v>701</v>
      </c>
      <c r="D1680" s="561" t="s">
        <v>1924</v>
      </c>
      <c r="E1680" s="561" t="s">
        <v>705</v>
      </c>
      <c r="F1680" s="735">
        <v>0</v>
      </c>
      <c r="G1680" s="749">
        <v>0</v>
      </c>
      <c r="H1680" s="749"/>
      <c r="I1680" s="733"/>
      <c r="J1680" s="733"/>
      <c r="K1680" s="735">
        <v>0</v>
      </c>
      <c r="L1680" s="751">
        <v>-617.46</v>
      </c>
    </row>
    <row r="1681" spans="1:12" ht="21" x14ac:dyDescent="0.25">
      <c r="A1681" s="561" t="s">
        <v>101</v>
      </c>
      <c r="B1681" s="749">
        <v>2023</v>
      </c>
      <c r="C1681" s="561" t="s">
        <v>701</v>
      </c>
      <c r="D1681" s="561" t="s">
        <v>1924</v>
      </c>
      <c r="E1681" s="561" t="s">
        <v>706</v>
      </c>
      <c r="F1681" s="735">
        <v>0</v>
      </c>
      <c r="G1681" s="749">
        <v>0</v>
      </c>
      <c r="H1681" s="749"/>
      <c r="I1681" s="733"/>
      <c r="J1681" s="733"/>
      <c r="K1681" s="735">
        <v>0</v>
      </c>
      <c r="L1681" s="751">
        <v>-30809.360000000001</v>
      </c>
    </row>
    <row r="1682" spans="1:12" x14ac:dyDescent="0.25">
      <c r="A1682" s="561" t="s">
        <v>101</v>
      </c>
      <c r="B1682" s="749">
        <v>2023</v>
      </c>
      <c r="C1682" s="561" t="s">
        <v>707</v>
      </c>
      <c r="D1682" s="561" t="s">
        <v>1925</v>
      </c>
      <c r="E1682" s="561" t="s">
        <v>709</v>
      </c>
      <c r="F1682" s="735">
        <v>-47.84</v>
      </c>
      <c r="G1682" s="749">
        <v>0</v>
      </c>
      <c r="H1682" s="749"/>
      <c r="I1682" s="733"/>
      <c r="J1682" s="733"/>
      <c r="K1682" s="735">
        <v>0</v>
      </c>
      <c r="L1682" s="750">
        <v>-47.84</v>
      </c>
    </row>
    <row r="1683" spans="1:12" ht="21" x14ac:dyDescent="0.25">
      <c r="A1683" s="561" t="s">
        <v>101</v>
      </c>
      <c r="B1683" s="749">
        <v>2023</v>
      </c>
      <c r="C1683" s="561" t="s">
        <v>710</v>
      </c>
      <c r="D1683" s="561" t="s">
        <v>1926</v>
      </c>
      <c r="E1683" s="561" t="s">
        <v>2</v>
      </c>
      <c r="F1683" s="735">
        <v>302851.63</v>
      </c>
      <c r="G1683" s="749">
        <v>1</v>
      </c>
      <c r="H1683" s="749"/>
      <c r="I1683" s="735">
        <v>299415.78999999998</v>
      </c>
      <c r="J1683" s="735">
        <v>3435.84</v>
      </c>
      <c r="K1683" s="735">
        <v>302851.63</v>
      </c>
      <c r="L1683" s="750">
        <v>302851.63</v>
      </c>
    </row>
    <row r="1684" spans="1:12" ht="21" x14ac:dyDescent="0.25">
      <c r="A1684" s="561" t="s">
        <v>101</v>
      </c>
      <c r="B1684" s="749">
        <v>2023</v>
      </c>
      <c r="C1684" s="561" t="s">
        <v>712</v>
      </c>
      <c r="D1684" s="561" t="s">
        <v>1927</v>
      </c>
      <c r="E1684" s="561" t="s">
        <v>3</v>
      </c>
      <c r="F1684" s="735">
        <v>101440.06</v>
      </c>
      <c r="G1684" s="749">
        <v>1</v>
      </c>
      <c r="H1684" s="749"/>
      <c r="I1684" s="735">
        <v>100448.82</v>
      </c>
      <c r="J1684" s="735">
        <v>991.24</v>
      </c>
      <c r="K1684" s="735">
        <v>101440.06</v>
      </c>
      <c r="L1684" s="750">
        <v>101440.06</v>
      </c>
    </row>
    <row r="1685" spans="1:12" ht="21" x14ac:dyDescent="0.25">
      <c r="A1685" s="561" t="s">
        <v>101</v>
      </c>
      <c r="B1685" s="749">
        <v>2023</v>
      </c>
      <c r="C1685" s="561" t="s">
        <v>714</v>
      </c>
      <c r="D1685" s="561" t="s">
        <v>1928</v>
      </c>
      <c r="E1685" s="561" t="s">
        <v>38</v>
      </c>
      <c r="F1685" s="735">
        <v>-262350.55</v>
      </c>
      <c r="G1685" s="749">
        <v>1</v>
      </c>
      <c r="H1685" s="749"/>
      <c r="I1685" s="735">
        <v>-259177.06</v>
      </c>
      <c r="J1685" s="735">
        <v>-3173.49</v>
      </c>
      <c r="K1685" s="735">
        <v>-262350.55</v>
      </c>
      <c r="L1685" s="750">
        <v>-262350.55</v>
      </c>
    </row>
    <row r="1686" spans="1:12" x14ac:dyDescent="0.25">
      <c r="A1686" s="561" t="s">
        <v>101</v>
      </c>
      <c r="B1686" s="749">
        <v>2023</v>
      </c>
      <c r="C1686" s="561" t="s">
        <v>716</v>
      </c>
      <c r="D1686" s="561" t="s">
        <v>1929</v>
      </c>
      <c r="E1686" s="561" t="s">
        <v>66</v>
      </c>
      <c r="F1686" s="735">
        <v>-336533.76000000001</v>
      </c>
      <c r="G1686" s="749">
        <v>1</v>
      </c>
      <c r="H1686" s="749"/>
      <c r="I1686" s="735">
        <v>-327847.19</v>
      </c>
      <c r="J1686" s="735">
        <v>-8686.57</v>
      </c>
      <c r="K1686" s="735">
        <v>-336533.76000000001</v>
      </c>
      <c r="L1686" s="750">
        <v>-336533.76000000001</v>
      </c>
    </row>
    <row r="1687" spans="1:12" ht="21" x14ac:dyDescent="0.25">
      <c r="A1687" s="561" t="s">
        <v>101</v>
      </c>
      <c r="B1687" s="749">
        <v>2023</v>
      </c>
      <c r="C1687" s="561" t="s">
        <v>718</v>
      </c>
      <c r="D1687" s="561" t="s">
        <v>1930</v>
      </c>
      <c r="E1687" s="561" t="s">
        <v>720</v>
      </c>
      <c r="F1687" s="735">
        <v>-21.32</v>
      </c>
      <c r="G1687" s="749">
        <v>0</v>
      </c>
      <c r="H1687" s="749"/>
      <c r="I1687" s="733"/>
      <c r="J1687" s="733"/>
      <c r="K1687" s="735">
        <v>0</v>
      </c>
      <c r="L1687" s="750">
        <v>-21.32</v>
      </c>
    </row>
    <row r="1688" spans="1:12" ht="31.5" x14ac:dyDescent="0.25">
      <c r="A1688" s="561" t="s">
        <v>101</v>
      </c>
      <c r="B1688" s="749">
        <v>2023</v>
      </c>
      <c r="C1688" s="561" t="s">
        <v>721</v>
      </c>
      <c r="D1688" s="561" t="s">
        <v>1932</v>
      </c>
      <c r="E1688" s="561" t="s">
        <v>724</v>
      </c>
      <c r="F1688" s="735">
        <v>0</v>
      </c>
      <c r="G1688" s="749">
        <v>1</v>
      </c>
      <c r="H1688" s="749"/>
      <c r="I1688" s="733"/>
      <c r="J1688" s="733"/>
      <c r="K1688" s="735">
        <v>0</v>
      </c>
      <c r="L1688" s="750">
        <v>0</v>
      </c>
    </row>
    <row r="1689" spans="1:12" ht="31.5" x14ac:dyDescent="0.25">
      <c r="A1689" s="561" t="s">
        <v>101</v>
      </c>
      <c r="B1689" s="749">
        <v>2023</v>
      </c>
      <c r="C1689" s="561" t="s">
        <v>721</v>
      </c>
      <c r="D1689" s="561" t="s">
        <v>1933</v>
      </c>
      <c r="E1689" s="561" t="s">
        <v>55</v>
      </c>
      <c r="F1689" s="735">
        <v>0</v>
      </c>
      <c r="G1689" s="749">
        <v>1</v>
      </c>
      <c r="H1689" s="749"/>
      <c r="I1689" s="733"/>
      <c r="J1689" s="733"/>
      <c r="K1689" s="735">
        <v>0</v>
      </c>
      <c r="L1689" s="750">
        <v>0</v>
      </c>
    </row>
    <row r="1690" spans="1:12" ht="31.5" x14ac:dyDescent="0.25">
      <c r="A1690" s="561" t="s">
        <v>101</v>
      </c>
      <c r="B1690" s="749">
        <v>2023</v>
      </c>
      <c r="C1690" s="561" t="s">
        <v>721</v>
      </c>
      <c r="D1690" s="561" t="s">
        <v>1934</v>
      </c>
      <c r="E1690" s="561" t="s">
        <v>56</v>
      </c>
      <c r="F1690" s="735">
        <v>0</v>
      </c>
      <c r="G1690" s="749">
        <v>1</v>
      </c>
      <c r="H1690" s="749"/>
      <c r="I1690" s="733"/>
      <c r="J1690" s="733"/>
      <c r="K1690" s="735">
        <v>0</v>
      </c>
      <c r="L1690" s="750">
        <v>0</v>
      </c>
    </row>
    <row r="1691" spans="1:12" ht="31.5" x14ac:dyDescent="0.25">
      <c r="A1691" s="561" t="s">
        <v>101</v>
      </c>
      <c r="B1691" s="749">
        <v>2023</v>
      </c>
      <c r="C1691" s="561" t="s">
        <v>721</v>
      </c>
      <c r="D1691" s="561" t="s">
        <v>1935</v>
      </c>
      <c r="E1691" s="561" t="s">
        <v>728</v>
      </c>
      <c r="F1691" s="735">
        <v>0</v>
      </c>
      <c r="G1691" s="749">
        <v>1</v>
      </c>
      <c r="H1691" s="749"/>
      <c r="I1691" s="733"/>
      <c r="J1691" s="733"/>
      <c r="K1691" s="735">
        <v>0</v>
      </c>
      <c r="L1691" s="750">
        <v>0</v>
      </c>
    </row>
    <row r="1692" spans="1:12" ht="31.5" x14ac:dyDescent="0.25">
      <c r="A1692" s="561" t="s">
        <v>101</v>
      </c>
      <c r="B1692" s="749">
        <v>2023</v>
      </c>
      <c r="C1692" s="561" t="s">
        <v>721</v>
      </c>
      <c r="D1692" s="561" t="s">
        <v>1936</v>
      </c>
      <c r="E1692" s="561" t="s">
        <v>730</v>
      </c>
      <c r="F1692" s="735">
        <v>0</v>
      </c>
      <c r="G1692" s="749">
        <v>1</v>
      </c>
      <c r="H1692" s="749"/>
      <c r="I1692" s="733"/>
      <c r="J1692" s="733"/>
      <c r="K1692" s="735">
        <v>0</v>
      </c>
      <c r="L1692" s="750">
        <v>0</v>
      </c>
    </row>
    <row r="1693" spans="1:12" ht="31.5" x14ac:dyDescent="0.25">
      <c r="A1693" s="561" t="s">
        <v>101</v>
      </c>
      <c r="B1693" s="749">
        <v>2023</v>
      </c>
      <c r="C1693" s="561" t="s">
        <v>721</v>
      </c>
      <c r="D1693" s="561" t="s">
        <v>1937</v>
      </c>
      <c r="E1693" s="561" t="s">
        <v>142</v>
      </c>
      <c r="F1693" s="735">
        <v>0</v>
      </c>
      <c r="G1693" s="749">
        <v>1</v>
      </c>
      <c r="H1693" s="749"/>
      <c r="I1693" s="733"/>
      <c r="J1693" s="733"/>
      <c r="K1693" s="735">
        <v>0</v>
      </c>
      <c r="L1693" s="750">
        <v>0</v>
      </c>
    </row>
    <row r="1694" spans="1:12" ht="31.5" x14ac:dyDescent="0.25">
      <c r="A1694" s="561" t="s">
        <v>101</v>
      </c>
      <c r="B1694" s="749">
        <v>2023</v>
      </c>
      <c r="C1694" s="561" t="s">
        <v>721</v>
      </c>
      <c r="D1694" s="561" t="s">
        <v>1938</v>
      </c>
      <c r="E1694" s="561" t="s">
        <v>143</v>
      </c>
      <c r="F1694" s="735">
        <v>0</v>
      </c>
      <c r="G1694" s="749">
        <v>1</v>
      </c>
      <c r="H1694" s="749"/>
      <c r="I1694" s="733"/>
      <c r="J1694" s="733"/>
      <c r="K1694" s="735">
        <v>0</v>
      </c>
      <c r="L1694" s="750">
        <v>0</v>
      </c>
    </row>
    <row r="1695" spans="1:12" ht="31.5" x14ac:dyDescent="0.25">
      <c r="A1695" s="561" t="s">
        <v>101</v>
      </c>
      <c r="B1695" s="749">
        <v>2023</v>
      </c>
      <c r="C1695" s="561" t="s">
        <v>721</v>
      </c>
      <c r="D1695" s="561" t="s">
        <v>1939</v>
      </c>
      <c r="E1695" s="561" t="s">
        <v>182</v>
      </c>
      <c r="F1695" s="735">
        <v>0</v>
      </c>
      <c r="G1695" s="749">
        <v>1</v>
      </c>
      <c r="H1695" s="749"/>
      <c r="I1695" s="733"/>
      <c r="J1695" s="733"/>
      <c r="K1695" s="735">
        <v>0</v>
      </c>
      <c r="L1695" s="750">
        <v>0</v>
      </c>
    </row>
    <row r="1696" spans="1:12" ht="31.5" x14ac:dyDescent="0.25">
      <c r="A1696" s="561" t="s">
        <v>101</v>
      </c>
      <c r="B1696" s="749">
        <v>2023</v>
      </c>
      <c r="C1696" s="561" t="s">
        <v>721</v>
      </c>
      <c r="D1696" s="561" t="s">
        <v>1940</v>
      </c>
      <c r="E1696" s="561" t="s">
        <v>394</v>
      </c>
      <c r="F1696" s="735">
        <v>0</v>
      </c>
      <c r="G1696" s="749">
        <v>1</v>
      </c>
      <c r="H1696" s="749"/>
      <c r="I1696" s="733"/>
      <c r="J1696" s="733"/>
      <c r="K1696" s="735">
        <v>0</v>
      </c>
      <c r="L1696" s="750">
        <v>0</v>
      </c>
    </row>
    <row r="1697" spans="1:12" ht="31.5" x14ac:dyDescent="0.25">
      <c r="A1697" s="561" t="s">
        <v>101</v>
      </c>
      <c r="B1697" s="749">
        <v>2023</v>
      </c>
      <c r="C1697" s="561" t="s">
        <v>721</v>
      </c>
      <c r="D1697" s="561" t="s">
        <v>1941</v>
      </c>
      <c r="E1697" s="561" t="s">
        <v>423</v>
      </c>
      <c r="F1697" s="735">
        <v>0</v>
      </c>
      <c r="G1697" s="749">
        <v>1</v>
      </c>
      <c r="H1697" s="749"/>
      <c r="I1697" s="733"/>
      <c r="J1697" s="733"/>
      <c r="K1697" s="735">
        <v>0</v>
      </c>
      <c r="L1697" s="750">
        <v>0</v>
      </c>
    </row>
    <row r="1698" spans="1:12" ht="31.5" x14ac:dyDescent="0.25">
      <c r="A1698" s="561" t="s">
        <v>101</v>
      </c>
      <c r="B1698" s="749">
        <v>2023</v>
      </c>
      <c r="C1698" s="561" t="s">
        <v>721</v>
      </c>
      <c r="D1698" s="561" t="s">
        <v>3269</v>
      </c>
      <c r="E1698" s="561" t="s">
        <v>441</v>
      </c>
      <c r="F1698" s="735">
        <v>0</v>
      </c>
      <c r="G1698" s="749">
        <v>1</v>
      </c>
      <c r="H1698" s="749"/>
      <c r="I1698" s="735">
        <v>-17.23</v>
      </c>
      <c r="J1698" s="733"/>
      <c r="K1698" s="735">
        <v>-17.23</v>
      </c>
      <c r="L1698" s="750">
        <v>-17.23</v>
      </c>
    </row>
    <row r="1699" spans="1:12" ht="31.5" x14ac:dyDescent="0.25">
      <c r="A1699" s="561" t="s">
        <v>101</v>
      </c>
      <c r="B1699" s="749">
        <v>2023</v>
      </c>
      <c r="C1699" s="561" t="s">
        <v>721</v>
      </c>
      <c r="D1699" s="561" t="s">
        <v>3552</v>
      </c>
      <c r="E1699" s="561" t="s">
        <v>3016</v>
      </c>
      <c r="F1699" s="735">
        <v>0</v>
      </c>
      <c r="G1699" s="749">
        <v>1</v>
      </c>
      <c r="H1699" s="749"/>
      <c r="I1699" s="735">
        <v>-614084.21</v>
      </c>
      <c r="J1699" s="735">
        <v>464215.02</v>
      </c>
      <c r="K1699" s="735">
        <v>-149869.19</v>
      </c>
      <c r="L1699" s="750">
        <v>-149869.19</v>
      </c>
    </row>
    <row r="1700" spans="1:12" ht="31.5" x14ac:dyDescent="0.25">
      <c r="A1700" s="561" t="s">
        <v>101</v>
      </c>
      <c r="B1700" s="749">
        <v>2023</v>
      </c>
      <c r="C1700" s="561" t="s">
        <v>721</v>
      </c>
      <c r="D1700" s="561" t="s">
        <v>3553</v>
      </c>
      <c r="E1700" s="561" t="s">
        <v>3058</v>
      </c>
      <c r="F1700" s="735">
        <v>0</v>
      </c>
      <c r="G1700" s="749">
        <v>1</v>
      </c>
      <c r="H1700" s="749"/>
      <c r="I1700" s="735">
        <v>-87497.61</v>
      </c>
      <c r="J1700" s="735">
        <v>121105.33</v>
      </c>
      <c r="K1700" s="735">
        <v>33607.72</v>
      </c>
      <c r="L1700" s="750">
        <v>33607.72</v>
      </c>
    </row>
    <row r="1701" spans="1:12" ht="31.5" x14ac:dyDescent="0.25">
      <c r="A1701" s="561" t="s">
        <v>101</v>
      </c>
      <c r="B1701" s="749">
        <v>2023</v>
      </c>
      <c r="C1701" s="561" t="s">
        <v>721</v>
      </c>
      <c r="D1701" s="561" t="s">
        <v>3554</v>
      </c>
      <c r="E1701" s="561" t="s">
        <v>3063</v>
      </c>
      <c r="F1701" s="735">
        <v>0</v>
      </c>
      <c r="G1701" s="749">
        <v>1</v>
      </c>
      <c r="H1701" s="749"/>
      <c r="I1701" s="735">
        <v>737336.85</v>
      </c>
      <c r="J1701" s="735">
        <v>-105918.27</v>
      </c>
      <c r="K1701" s="735">
        <v>631418.57999999996</v>
      </c>
      <c r="L1701" s="750">
        <v>631418.57999999996</v>
      </c>
    </row>
    <row r="1702" spans="1:12" ht="31.5" x14ac:dyDescent="0.25">
      <c r="A1702" s="561" t="s">
        <v>101</v>
      </c>
      <c r="B1702" s="749">
        <v>2023</v>
      </c>
      <c r="C1702" s="561" t="s">
        <v>721</v>
      </c>
      <c r="D1702" s="561" t="s">
        <v>3888</v>
      </c>
      <c r="E1702" s="561" t="s">
        <v>3425</v>
      </c>
      <c r="F1702" s="735">
        <v>0</v>
      </c>
      <c r="G1702" s="749">
        <v>1</v>
      </c>
      <c r="H1702" s="749"/>
      <c r="I1702" s="735">
        <v>-166714.76999999999</v>
      </c>
      <c r="J1702" s="735">
        <v>8678.09</v>
      </c>
      <c r="K1702" s="735">
        <v>-158036.68</v>
      </c>
      <c r="L1702" s="750">
        <v>-158036.68</v>
      </c>
    </row>
    <row r="1703" spans="1:12" ht="42" x14ac:dyDescent="0.25">
      <c r="A1703" s="561" t="s">
        <v>101</v>
      </c>
      <c r="B1703" s="749">
        <v>2023</v>
      </c>
      <c r="C1703" s="561" t="s">
        <v>721</v>
      </c>
      <c r="D1703" s="561" t="s">
        <v>3889</v>
      </c>
      <c r="E1703" s="561" t="s">
        <v>737</v>
      </c>
      <c r="F1703" s="735">
        <v>357103.2</v>
      </c>
      <c r="G1703" s="749">
        <v>0</v>
      </c>
      <c r="H1703" s="749"/>
      <c r="I1703" s="733"/>
      <c r="J1703" s="733"/>
      <c r="K1703" s="735">
        <v>0</v>
      </c>
      <c r="L1703" s="750">
        <v>357103.2</v>
      </c>
    </row>
    <row r="1704" spans="1:12" x14ac:dyDescent="0.25">
      <c r="A1704" s="561" t="s">
        <v>101</v>
      </c>
      <c r="B1704" s="749">
        <v>2023</v>
      </c>
      <c r="C1704" s="561" t="s">
        <v>738</v>
      </c>
      <c r="D1704" s="561" t="s">
        <v>1943</v>
      </c>
      <c r="E1704" s="561" t="s">
        <v>7</v>
      </c>
      <c r="F1704" s="735">
        <v>0</v>
      </c>
      <c r="G1704" s="749">
        <v>0</v>
      </c>
      <c r="H1704" s="749"/>
      <c r="I1704" s="733"/>
      <c r="J1704" s="733"/>
      <c r="K1704" s="735">
        <v>0</v>
      </c>
      <c r="L1704" s="750">
        <v>0</v>
      </c>
    </row>
    <row r="1705" spans="1:12" x14ac:dyDescent="0.25">
      <c r="A1705" s="561" t="s">
        <v>102</v>
      </c>
      <c r="B1705" s="749">
        <v>2023</v>
      </c>
      <c r="C1705" s="561" t="s">
        <v>647</v>
      </c>
      <c r="D1705" s="561" t="s">
        <v>1944</v>
      </c>
      <c r="E1705" s="561" t="s">
        <v>649</v>
      </c>
      <c r="F1705" s="735">
        <v>-5480800</v>
      </c>
      <c r="G1705" s="749">
        <v>0</v>
      </c>
      <c r="H1705" s="749"/>
      <c r="I1705" s="733"/>
      <c r="J1705" s="733"/>
      <c r="K1705" s="735">
        <v>0</v>
      </c>
      <c r="L1705" s="750">
        <v>-5480800</v>
      </c>
    </row>
    <row r="1706" spans="1:12" ht="21" x14ac:dyDescent="0.25">
      <c r="A1706" s="561" t="s">
        <v>102</v>
      </c>
      <c r="B1706" s="749">
        <v>2023</v>
      </c>
      <c r="C1706" s="561" t="s">
        <v>3691</v>
      </c>
      <c r="D1706" s="561" t="s">
        <v>3653</v>
      </c>
      <c r="E1706" s="561" t="s">
        <v>3675</v>
      </c>
      <c r="F1706" s="735">
        <v>1356615</v>
      </c>
      <c r="G1706" s="749">
        <v>0</v>
      </c>
      <c r="H1706" s="749"/>
      <c r="I1706" s="733"/>
      <c r="J1706" s="733"/>
      <c r="K1706" s="735">
        <v>0</v>
      </c>
      <c r="L1706" s="750">
        <v>1356615</v>
      </c>
    </row>
    <row r="1707" spans="1:12" x14ac:dyDescent="0.25">
      <c r="A1707" s="561" t="s">
        <v>102</v>
      </c>
      <c r="B1707" s="749">
        <v>2023</v>
      </c>
      <c r="C1707" s="561" t="s">
        <v>651</v>
      </c>
      <c r="D1707" s="561" t="s">
        <v>1945</v>
      </c>
      <c r="E1707" s="561" t="s">
        <v>653</v>
      </c>
      <c r="F1707" s="735">
        <v>0</v>
      </c>
      <c r="G1707" s="749">
        <v>0</v>
      </c>
      <c r="H1707" s="749"/>
      <c r="I1707" s="733"/>
      <c r="J1707" s="733"/>
      <c r="K1707" s="735">
        <v>0</v>
      </c>
      <c r="L1707" s="750">
        <v>0</v>
      </c>
    </row>
    <row r="1708" spans="1:12" ht="31.5" x14ac:dyDescent="0.25">
      <c r="A1708" s="561" t="s">
        <v>102</v>
      </c>
      <c r="B1708" s="749">
        <v>2023</v>
      </c>
      <c r="C1708" s="561" t="s">
        <v>654</v>
      </c>
      <c r="D1708" s="561" t="s">
        <v>1946</v>
      </c>
      <c r="E1708" s="561" t="s">
        <v>445</v>
      </c>
      <c r="F1708" s="735">
        <v>-1663.09</v>
      </c>
      <c r="G1708" s="749">
        <v>0</v>
      </c>
      <c r="H1708" s="749"/>
      <c r="I1708" s="733"/>
      <c r="J1708" s="733"/>
      <c r="K1708" s="735">
        <v>0</v>
      </c>
      <c r="L1708" s="750">
        <v>-1663.09</v>
      </c>
    </row>
    <row r="1709" spans="1:12" ht="21" x14ac:dyDescent="0.25">
      <c r="A1709" s="561" t="s">
        <v>102</v>
      </c>
      <c r="B1709" s="749">
        <v>2023</v>
      </c>
      <c r="C1709" s="561" t="s">
        <v>656</v>
      </c>
      <c r="D1709" s="561" t="s">
        <v>1947</v>
      </c>
      <c r="E1709" s="561" t="s">
        <v>658</v>
      </c>
      <c r="F1709" s="735">
        <v>0</v>
      </c>
      <c r="G1709" s="749">
        <v>0</v>
      </c>
      <c r="H1709" s="749"/>
      <c r="I1709" s="733"/>
      <c r="J1709" s="733"/>
      <c r="K1709" s="735">
        <v>0</v>
      </c>
      <c r="L1709" s="750">
        <v>0</v>
      </c>
    </row>
    <row r="1710" spans="1:12" ht="21" x14ac:dyDescent="0.25">
      <c r="A1710" s="561" t="s">
        <v>102</v>
      </c>
      <c r="B1710" s="749">
        <v>2023</v>
      </c>
      <c r="C1710" s="561" t="s">
        <v>659</v>
      </c>
      <c r="D1710" s="561" t="s">
        <v>1948</v>
      </c>
      <c r="E1710" s="561" t="s">
        <v>661</v>
      </c>
      <c r="F1710" s="735">
        <v>0</v>
      </c>
      <c r="G1710" s="749">
        <v>0</v>
      </c>
      <c r="H1710" s="749"/>
      <c r="I1710" s="733"/>
      <c r="J1710" s="733"/>
      <c r="K1710" s="735">
        <v>0</v>
      </c>
      <c r="L1710" s="750">
        <v>0</v>
      </c>
    </row>
    <row r="1711" spans="1:12" ht="21" x14ac:dyDescent="0.25">
      <c r="A1711" s="561" t="s">
        <v>102</v>
      </c>
      <c r="B1711" s="749">
        <v>2023</v>
      </c>
      <c r="C1711" s="561" t="s">
        <v>662</v>
      </c>
      <c r="D1711" s="561" t="s">
        <v>1949</v>
      </c>
      <c r="E1711" s="561" t="s">
        <v>664</v>
      </c>
      <c r="F1711" s="735">
        <v>0</v>
      </c>
      <c r="G1711" s="749">
        <v>0</v>
      </c>
      <c r="H1711" s="749"/>
      <c r="I1711" s="733"/>
      <c r="J1711" s="733"/>
      <c r="K1711" s="735">
        <v>0</v>
      </c>
      <c r="L1711" s="750">
        <v>0</v>
      </c>
    </row>
    <row r="1712" spans="1:12" ht="31.5" x14ac:dyDescent="0.25">
      <c r="A1712" s="561" t="s">
        <v>102</v>
      </c>
      <c r="B1712" s="749">
        <v>2023</v>
      </c>
      <c r="C1712" s="561" t="s">
        <v>665</v>
      </c>
      <c r="D1712" s="561" t="s">
        <v>1950</v>
      </c>
      <c r="E1712" s="561" t="s">
        <v>667</v>
      </c>
      <c r="F1712" s="735">
        <v>0</v>
      </c>
      <c r="G1712" s="749">
        <v>0</v>
      </c>
      <c r="H1712" s="749"/>
      <c r="I1712" s="733"/>
      <c r="J1712" s="733"/>
      <c r="K1712" s="735">
        <v>0</v>
      </c>
      <c r="L1712" s="750">
        <v>0</v>
      </c>
    </row>
    <row r="1713" spans="1:12" ht="21" x14ac:dyDescent="0.25">
      <c r="A1713" s="561" t="s">
        <v>102</v>
      </c>
      <c r="B1713" s="749">
        <v>2023</v>
      </c>
      <c r="C1713" s="561" t="s">
        <v>668</v>
      </c>
      <c r="D1713" s="561" t="s">
        <v>1951</v>
      </c>
      <c r="E1713" s="561" t="s">
        <v>12</v>
      </c>
      <c r="F1713" s="735">
        <v>0</v>
      </c>
      <c r="G1713" s="749">
        <v>0</v>
      </c>
      <c r="H1713" s="749"/>
      <c r="I1713" s="733"/>
      <c r="J1713" s="733"/>
      <c r="K1713" s="735">
        <v>0</v>
      </c>
      <c r="L1713" s="750">
        <v>0</v>
      </c>
    </row>
    <row r="1714" spans="1:12" ht="21" x14ac:dyDescent="0.25">
      <c r="A1714" s="561" t="s">
        <v>102</v>
      </c>
      <c r="B1714" s="749">
        <v>2023</v>
      </c>
      <c r="C1714" s="561" t="s">
        <v>670</v>
      </c>
      <c r="D1714" s="561" t="s">
        <v>1952</v>
      </c>
      <c r="E1714" s="561" t="s">
        <v>13</v>
      </c>
      <c r="F1714" s="735">
        <v>0</v>
      </c>
      <c r="G1714" s="749">
        <v>0</v>
      </c>
      <c r="H1714" s="749"/>
      <c r="I1714" s="733"/>
      <c r="J1714" s="733"/>
      <c r="K1714" s="735">
        <v>0</v>
      </c>
      <c r="L1714" s="750">
        <v>0</v>
      </c>
    </row>
    <row r="1715" spans="1:12" ht="21" x14ac:dyDescent="0.25">
      <c r="A1715" s="561" t="s">
        <v>102</v>
      </c>
      <c r="B1715" s="749">
        <v>2023</v>
      </c>
      <c r="C1715" s="561" t="s">
        <v>672</v>
      </c>
      <c r="D1715" s="561" t="s">
        <v>1953</v>
      </c>
      <c r="E1715" s="561" t="s">
        <v>15</v>
      </c>
      <c r="F1715" s="735">
        <v>0</v>
      </c>
      <c r="G1715" s="749">
        <v>0</v>
      </c>
      <c r="H1715" s="749"/>
      <c r="I1715" s="733"/>
      <c r="J1715" s="733"/>
      <c r="K1715" s="735">
        <v>0</v>
      </c>
      <c r="L1715" s="750">
        <v>0</v>
      </c>
    </row>
    <row r="1716" spans="1:12" x14ac:dyDescent="0.25">
      <c r="A1716" s="561" t="s">
        <v>102</v>
      </c>
      <c r="B1716" s="749">
        <v>2023</v>
      </c>
      <c r="C1716" s="561" t="s">
        <v>674</v>
      </c>
      <c r="D1716" s="561" t="s">
        <v>1954</v>
      </c>
      <c r="E1716" s="561" t="s">
        <v>676</v>
      </c>
      <c r="F1716" s="735">
        <v>0</v>
      </c>
      <c r="G1716" s="749">
        <v>0</v>
      </c>
      <c r="H1716" s="749"/>
      <c r="I1716" s="733"/>
      <c r="J1716" s="733"/>
      <c r="K1716" s="735">
        <v>0</v>
      </c>
      <c r="L1716" s="750">
        <v>0</v>
      </c>
    </row>
    <row r="1717" spans="1:12" x14ac:dyDescent="0.25">
      <c r="A1717" s="561" t="s">
        <v>102</v>
      </c>
      <c r="B1717" s="749">
        <v>2023</v>
      </c>
      <c r="C1717" s="561" t="s">
        <v>677</v>
      </c>
      <c r="D1717" s="561" t="s">
        <v>1955</v>
      </c>
      <c r="E1717" s="561" t="s">
        <v>23</v>
      </c>
      <c r="F1717" s="735">
        <v>0</v>
      </c>
      <c r="G1717" s="749">
        <v>1</v>
      </c>
      <c r="H1717" s="749"/>
      <c r="I1717" s="733"/>
      <c r="J1717" s="733"/>
      <c r="K1717" s="735">
        <v>0</v>
      </c>
      <c r="L1717" s="750">
        <v>0</v>
      </c>
    </row>
    <row r="1718" spans="1:12" ht="21" x14ac:dyDescent="0.25">
      <c r="A1718" s="561" t="s">
        <v>102</v>
      </c>
      <c r="B1718" s="749">
        <v>2023</v>
      </c>
      <c r="C1718" s="561" t="s">
        <v>679</v>
      </c>
      <c r="D1718" s="561" t="s">
        <v>1956</v>
      </c>
      <c r="E1718" s="561" t="s">
        <v>131</v>
      </c>
      <c r="F1718" s="735">
        <v>-566149.56999999995</v>
      </c>
      <c r="G1718" s="749">
        <v>1</v>
      </c>
      <c r="H1718" s="749"/>
      <c r="I1718" s="735">
        <v>-559434.04</v>
      </c>
      <c r="J1718" s="735">
        <v>-6715.53</v>
      </c>
      <c r="K1718" s="735">
        <v>-566149.56999999995</v>
      </c>
      <c r="L1718" s="750">
        <v>-566149.56999999995</v>
      </c>
    </row>
    <row r="1719" spans="1:12" ht="31.5" x14ac:dyDescent="0.25">
      <c r="A1719" s="561" t="s">
        <v>102</v>
      </c>
      <c r="B1719" s="749">
        <v>2023</v>
      </c>
      <c r="C1719" s="561" t="s">
        <v>681</v>
      </c>
      <c r="D1719" s="561" t="s">
        <v>1957</v>
      </c>
      <c r="E1719" s="561" t="s">
        <v>683</v>
      </c>
      <c r="F1719" s="735">
        <v>0</v>
      </c>
      <c r="G1719" s="749">
        <v>0</v>
      </c>
      <c r="H1719" s="749"/>
      <c r="I1719" s="733"/>
      <c r="J1719" s="733"/>
      <c r="K1719" s="735">
        <v>0</v>
      </c>
      <c r="L1719" s="750">
        <v>0</v>
      </c>
    </row>
    <row r="1720" spans="1:12" ht="21" x14ac:dyDescent="0.25">
      <c r="A1720" s="561" t="s">
        <v>102</v>
      </c>
      <c r="B1720" s="749">
        <v>2023</v>
      </c>
      <c r="C1720" s="561" t="s">
        <v>681</v>
      </c>
      <c r="D1720" s="561" t="s">
        <v>1957</v>
      </c>
      <c r="E1720" s="561" t="s">
        <v>684</v>
      </c>
      <c r="F1720" s="735">
        <v>0</v>
      </c>
      <c r="G1720" s="749">
        <v>0</v>
      </c>
      <c r="H1720" s="749"/>
      <c r="I1720" s="733"/>
      <c r="J1720" s="733"/>
      <c r="K1720" s="735">
        <v>0</v>
      </c>
      <c r="L1720" s="751">
        <v>0</v>
      </c>
    </row>
    <row r="1721" spans="1:12" x14ac:dyDescent="0.25">
      <c r="A1721" s="561" t="s">
        <v>102</v>
      </c>
      <c r="B1721" s="749">
        <v>2023</v>
      </c>
      <c r="C1721" s="561" t="s">
        <v>685</v>
      </c>
      <c r="D1721" s="561" t="s">
        <v>1958</v>
      </c>
      <c r="E1721" s="561" t="s">
        <v>687</v>
      </c>
      <c r="F1721" s="735">
        <v>0</v>
      </c>
      <c r="G1721" s="749">
        <v>0</v>
      </c>
      <c r="H1721" s="749"/>
      <c r="I1721" s="733"/>
      <c r="J1721" s="733"/>
      <c r="K1721" s="735">
        <v>0</v>
      </c>
      <c r="L1721" s="750">
        <v>0</v>
      </c>
    </row>
    <row r="1722" spans="1:12" x14ac:dyDescent="0.25">
      <c r="A1722" s="561" t="s">
        <v>102</v>
      </c>
      <c r="B1722" s="749">
        <v>2023</v>
      </c>
      <c r="C1722" s="561" t="s">
        <v>688</v>
      </c>
      <c r="D1722" s="561" t="s">
        <v>1959</v>
      </c>
      <c r="E1722" s="561" t="s">
        <v>50</v>
      </c>
      <c r="F1722" s="735">
        <v>1219741.26</v>
      </c>
      <c r="G1722" s="749">
        <v>0</v>
      </c>
      <c r="H1722" s="749"/>
      <c r="I1722" s="733"/>
      <c r="J1722" s="733"/>
      <c r="K1722" s="735">
        <v>0</v>
      </c>
      <c r="L1722" s="750">
        <v>1219741.26</v>
      </c>
    </row>
    <row r="1723" spans="1:12" x14ac:dyDescent="0.25">
      <c r="A1723" s="561" t="s">
        <v>102</v>
      </c>
      <c r="B1723" s="749">
        <v>2023</v>
      </c>
      <c r="C1723" s="561" t="s">
        <v>690</v>
      </c>
      <c r="D1723" s="561" t="s">
        <v>1960</v>
      </c>
      <c r="E1723" s="561" t="s">
        <v>692</v>
      </c>
      <c r="F1723" s="735">
        <v>0</v>
      </c>
      <c r="G1723" s="749">
        <v>0</v>
      </c>
      <c r="H1723" s="749"/>
      <c r="I1723" s="733"/>
      <c r="J1723" s="733"/>
      <c r="K1723" s="735">
        <v>0</v>
      </c>
      <c r="L1723" s="750">
        <v>0</v>
      </c>
    </row>
    <row r="1724" spans="1:12" ht="21" x14ac:dyDescent="0.25">
      <c r="A1724" s="561" t="s">
        <v>102</v>
      </c>
      <c r="B1724" s="749">
        <v>2023</v>
      </c>
      <c r="C1724" s="561" t="s">
        <v>693</v>
      </c>
      <c r="D1724" s="561" t="s">
        <v>1961</v>
      </c>
      <c r="E1724" s="561" t="s">
        <v>6</v>
      </c>
      <c r="F1724" s="735">
        <v>0</v>
      </c>
      <c r="G1724" s="749">
        <v>0</v>
      </c>
      <c r="H1724" s="749"/>
      <c r="I1724" s="733"/>
      <c r="J1724" s="733"/>
      <c r="K1724" s="735">
        <v>0</v>
      </c>
      <c r="L1724" s="750">
        <v>0</v>
      </c>
    </row>
    <row r="1725" spans="1:12" ht="21" x14ac:dyDescent="0.25">
      <c r="A1725" s="561" t="s">
        <v>102</v>
      </c>
      <c r="B1725" s="749">
        <v>2023</v>
      </c>
      <c r="C1725" s="561" t="s">
        <v>695</v>
      </c>
      <c r="D1725" s="561" t="s">
        <v>1962</v>
      </c>
      <c r="E1725" s="561" t="s">
        <v>697</v>
      </c>
      <c r="F1725" s="735">
        <v>0</v>
      </c>
      <c r="G1725" s="749">
        <v>0</v>
      </c>
      <c r="H1725" s="749"/>
      <c r="I1725" s="733"/>
      <c r="J1725" s="733"/>
      <c r="K1725" s="735">
        <v>0</v>
      </c>
      <c r="L1725" s="750">
        <v>0</v>
      </c>
    </row>
    <row r="1726" spans="1:12" x14ac:dyDescent="0.25">
      <c r="A1726" s="561" t="s">
        <v>102</v>
      </c>
      <c r="B1726" s="749">
        <v>2023</v>
      </c>
      <c r="C1726" s="561" t="s">
        <v>698</v>
      </c>
      <c r="D1726" s="561" t="s">
        <v>1963</v>
      </c>
      <c r="E1726" s="561" t="s">
        <v>700</v>
      </c>
      <c r="F1726" s="735">
        <v>0</v>
      </c>
      <c r="G1726" s="749">
        <v>0</v>
      </c>
      <c r="H1726" s="749"/>
      <c r="I1726" s="733"/>
      <c r="J1726" s="733"/>
      <c r="K1726" s="735">
        <v>0</v>
      </c>
      <c r="L1726" s="750">
        <v>0</v>
      </c>
    </row>
    <row r="1727" spans="1:12" ht="21" x14ac:dyDescent="0.25">
      <c r="A1727" s="561" t="s">
        <v>102</v>
      </c>
      <c r="B1727" s="749">
        <v>2023</v>
      </c>
      <c r="C1727" s="561" t="s">
        <v>701</v>
      </c>
      <c r="D1727" s="561" t="s">
        <v>1964</v>
      </c>
      <c r="E1727" s="561" t="s">
        <v>1</v>
      </c>
      <c r="F1727" s="735">
        <v>9361492.0899999999</v>
      </c>
      <c r="G1727" s="749">
        <v>1</v>
      </c>
      <c r="H1727" s="749"/>
      <c r="I1727" s="735">
        <v>9210527.2300000004</v>
      </c>
      <c r="J1727" s="735">
        <v>150964.85999999999</v>
      </c>
      <c r="K1727" s="735">
        <v>9361492.0899999999</v>
      </c>
      <c r="L1727" s="750">
        <v>9361492.0899999999</v>
      </c>
    </row>
    <row r="1728" spans="1:12" ht="21" x14ac:dyDescent="0.25">
      <c r="A1728" s="561" t="s">
        <v>102</v>
      </c>
      <c r="B1728" s="749">
        <v>2023</v>
      </c>
      <c r="C1728" s="561" t="s">
        <v>701</v>
      </c>
      <c r="D1728" s="561" t="s">
        <v>1964</v>
      </c>
      <c r="E1728" s="561" t="s">
        <v>703</v>
      </c>
      <c r="F1728" s="735">
        <v>0</v>
      </c>
      <c r="G1728" s="749">
        <v>0</v>
      </c>
      <c r="H1728" s="749"/>
      <c r="I1728" s="733"/>
      <c r="J1728" s="733"/>
      <c r="K1728" s="735">
        <v>0</v>
      </c>
      <c r="L1728" s="751">
        <v>-7.74</v>
      </c>
    </row>
    <row r="1729" spans="1:12" ht="21" x14ac:dyDescent="0.25">
      <c r="A1729" s="561" t="s">
        <v>102</v>
      </c>
      <c r="B1729" s="749">
        <v>2023</v>
      </c>
      <c r="C1729" s="561" t="s">
        <v>701</v>
      </c>
      <c r="D1729" s="561" t="s">
        <v>1964</v>
      </c>
      <c r="E1729" s="561" t="s">
        <v>704</v>
      </c>
      <c r="F1729" s="735">
        <v>0</v>
      </c>
      <c r="G1729" s="749">
        <v>0</v>
      </c>
      <c r="H1729" s="749"/>
      <c r="I1729" s="733"/>
      <c r="J1729" s="733"/>
      <c r="K1729" s="735">
        <v>0</v>
      </c>
      <c r="L1729" s="751">
        <v>-738.88</v>
      </c>
    </row>
    <row r="1730" spans="1:12" ht="21" x14ac:dyDescent="0.25">
      <c r="A1730" s="561" t="s">
        <v>102</v>
      </c>
      <c r="B1730" s="749">
        <v>2023</v>
      </c>
      <c r="C1730" s="561" t="s">
        <v>701</v>
      </c>
      <c r="D1730" s="561" t="s">
        <v>1964</v>
      </c>
      <c r="E1730" s="561" t="s">
        <v>705</v>
      </c>
      <c r="F1730" s="735">
        <v>0</v>
      </c>
      <c r="G1730" s="749">
        <v>0</v>
      </c>
      <c r="H1730" s="749"/>
      <c r="I1730" s="733"/>
      <c r="J1730" s="733"/>
      <c r="K1730" s="735">
        <v>0</v>
      </c>
      <c r="L1730" s="751">
        <v>-11531.17</v>
      </c>
    </row>
    <row r="1731" spans="1:12" ht="21" x14ac:dyDescent="0.25">
      <c r="A1731" s="561" t="s">
        <v>102</v>
      </c>
      <c r="B1731" s="749">
        <v>2023</v>
      </c>
      <c r="C1731" s="561" t="s">
        <v>701</v>
      </c>
      <c r="D1731" s="561" t="s">
        <v>1964</v>
      </c>
      <c r="E1731" s="561" t="s">
        <v>706</v>
      </c>
      <c r="F1731" s="735">
        <v>0</v>
      </c>
      <c r="G1731" s="749">
        <v>0</v>
      </c>
      <c r="H1731" s="749"/>
      <c r="I1731" s="733"/>
      <c r="J1731" s="733"/>
      <c r="K1731" s="735">
        <v>0</v>
      </c>
      <c r="L1731" s="751">
        <v>-588594.03</v>
      </c>
    </row>
    <row r="1732" spans="1:12" x14ac:dyDescent="0.25">
      <c r="A1732" s="561" t="s">
        <v>102</v>
      </c>
      <c r="B1732" s="749">
        <v>2023</v>
      </c>
      <c r="C1732" s="561" t="s">
        <v>707</v>
      </c>
      <c r="D1732" s="561" t="s">
        <v>1965</v>
      </c>
      <c r="E1732" s="561" t="s">
        <v>709</v>
      </c>
      <c r="F1732" s="735">
        <v>0</v>
      </c>
      <c r="G1732" s="749">
        <v>0</v>
      </c>
      <c r="H1732" s="749"/>
      <c r="I1732" s="733"/>
      <c r="J1732" s="733"/>
      <c r="K1732" s="735">
        <v>0</v>
      </c>
      <c r="L1732" s="750">
        <v>0</v>
      </c>
    </row>
    <row r="1733" spans="1:12" ht="21" x14ac:dyDescent="0.25">
      <c r="A1733" s="561" t="s">
        <v>102</v>
      </c>
      <c r="B1733" s="749">
        <v>2023</v>
      </c>
      <c r="C1733" s="561" t="s">
        <v>710</v>
      </c>
      <c r="D1733" s="561" t="s">
        <v>1966</v>
      </c>
      <c r="E1733" s="561" t="s">
        <v>2</v>
      </c>
      <c r="F1733" s="735">
        <v>7656049.3600000003</v>
      </c>
      <c r="G1733" s="749">
        <v>1</v>
      </c>
      <c r="H1733" s="749"/>
      <c r="I1733" s="735">
        <v>7526164.3099999996</v>
      </c>
      <c r="J1733" s="735">
        <v>129885.05</v>
      </c>
      <c r="K1733" s="735">
        <v>7656049.3600000003</v>
      </c>
      <c r="L1733" s="750">
        <v>7656049.3600000003</v>
      </c>
    </row>
    <row r="1734" spans="1:12" ht="21" x14ac:dyDescent="0.25">
      <c r="A1734" s="561" t="s">
        <v>102</v>
      </c>
      <c r="B1734" s="749">
        <v>2023</v>
      </c>
      <c r="C1734" s="561" t="s">
        <v>712</v>
      </c>
      <c r="D1734" s="561" t="s">
        <v>1967</v>
      </c>
      <c r="E1734" s="561" t="s">
        <v>3</v>
      </c>
      <c r="F1734" s="735">
        <v>3171644.89</v>
      </c>
      <c r="G1734" s="749">
        <v>1</v>
      </c>
      <c r="H1734" s="749"/>
      <c r="I1734" s="735">
        <v>3122623.98</v>
      </c>
      <c r="J1734" s="735">
        <v>49020.91</v>
      </c>
      <c r="K1734" s="735">
        <v>3171644.89</v>
      </c>
      <c r="L1734" s="750">
        <v>3171644.89</v>
      </c>
    </row>
    <row r="1735" spans="1:12" ht="21" x14ac:dyDescent="0.25">
      <c r="A1735" s="561" t="s">
        <v>102</v>
      </c>
      <c r="B1735" s="749">
        <v>2023</v>
      </c>
      <c r="C1735" s="561" t="s">
        <v>714</v>
      </c>
      <c r="D1735" s="561" t="s">
        <v>1968</v>
      </c>
      <c r="E1735" s="561" t="s">
        <v>38</v>
      </c>
      <c r="F1735" s="735">
        <v>1869759.74</v>
      </c>
      <c r="G1735" s="749">
        <v>1</v>
      </c>
      <c r="H1735" s="749"/>
      <c r="I1735" s="735">
        <v>1854221.54</v>
      </c>
      <c r="J1735" s="735">
        <v>15538.2</v>
      </c>
      <c r="K1735" s="735">
        <v>1869759.74</v>
      </c>
      <c r="L1735" s="750">
        <v>1869759.74</v>
      </c>
    </row>
    <row r="1736" spans="1:12" x14ac:dyDescent="0.25">
      <c r="A1736" s="561" t="s">
        <v>102</v>
      </c>
      <c r="B1736" s="749">
        <v>2023</v>
      </c>
      <c r="C1736" s="561" t="s">
        <v>716</v>
      </c>
      <c r="D1736" s="561" t="s">
        <v>1969</v>
      </c>
      <c r="E1736" s="561" t="s">
        <v>66</v>
      </c>
      <c r="F1736" s="735">
        <v>-7254630.4500000002</v>
      </c>
      <c r="G1736" s="749">
        <v>1</v>
      </c>
      <c r="H1736" s="749"/>
      <c r="I1736" s="735">
        <v>-7177790.0700000003</v>
      </c>
      <c r="J1736" s="735">
        <v>-76840.38</v>
      </c>
      <c r="K1736" s="735">
        <v>-7254630.4500000002</v>
      </c>
      <c r="L1736" s="750">
        <v>-7254630.4500000002</v>
      </c>
    </row>
    <row r="1737" spans="1:12" ht="21" x14ac:dyDescent="0.25">
      <c r="A1737" s="561" t="s">
        <v>102</v>
      </c>
      <c r="B1737" s="749">
        <v>2023</v>
      </c>
      <c r="C1737" s="561" t="s">
        <v>718</v>
      </c>
      <c r="D1737" s="561" t="s">
        <v>1970</v>
      </c>
      <c r="E1737" s="561" t="s">
        <v>720</v>
      </c>
      <c r="F1737" s="735">
        <v>-1240434.17</v>
      </c>
      <c r="G1737" s="749">
        <v>0</v>
      </c>
      <c r="H1737" s="749"/>
      <c r="I1737" s="733"/>
      <c r="J1737" s="733"/>
      <c r="K1737" s="735">
        <v>0</v>
      </c>
      <c r="L1737" s="750">
        <v>-1240434.17</v>
      </c>
    </row>
    <row r="1738" spans="1:12" ht="31.5" x14ac:dyDescent="0.25">
      <c r="A1738" s="561" t="s">
        <v>102</v>
      </c>
      <c r="B1738" s="749">
        <v>2023</v>
      </c>
      <c r="C1738" s="561" t="s">
        <v>721</v>
      </c>
      <c r="D1738" s="561" t="s">
        <v>1972</v>
      </c>
      <c r="E1738" s="561" t="s">
        <v>724</v>
      </c>
      <c r="F1738" s="735">
        <v>0</v>
      </c>
      <c r="G1738" s="749">
        <v>1</v>
      </c>
      <c r="H1738" s="749"/>
      <c r="I1738" s="733"/>
      <c r="J1738" s="733"/>
      <c r="K1738" s="735">
        <v>0</v>
      </c>
      <c r="L1738" s="750">
        <v>0</v>
      </c>
    </row>
    <row r="1739" spans="1:12" ht="31.5" x14ac:dyDescent="0.25">
      <c r="A1739" s="561" t="s">
        <v>102</v>
      </c>
      <c r="B1739" s="749">
        <v>2023</v>
      </c>
      <c r="C1739" s="561" t="s">
        <v>721</v>
      </c>
      <c r="D1739" s="561" t="s">
        <v>1973</v>
      </c>
      <c r="E1739" s="561" t="s">
        <v>55</v>
      </c>
      <c r="F1739" s="735">
        <v>0</v>
      </c>
      <c r="G1739" s="749">
        <v>1</v>
      </c>
      <c r="H1739" s="749"/>
      <c r="I1739" s="733"/>
      <c r="J1739" s="733"/>
      <c r="K1739" s="735">
        <v>0</v>
      </c>
      <c r="L1739" s="750">
        <v>0</v>
      </c>
    </row>
    <row r="1740" spans="1:12" ht="31.5" x14ac:dyDescent="0.25">
      <c r="A1740" s="561" t="s">
        <v>102</v>
      </c>
      <c r="B1740" s="749">
        <v>2023</v>
      </c>
      <c r="C1740" s="561" t="s">
        <v>721</v>
      </c>
      <c r="D1740" s="561" t="s">
        <v>1974</v>
      </c>
      <c r="E1740" s="561" t="s">
        <v>56</v>
      </c>
      <c r="F1740" s="735">
        <v>0</v>
      </c>
      <c r="G1740" s="749">
        <v>1</v>
      </c>
      <c r="H1740" s="749"/>
      <c r="I1740" s="733"/>
      <c r="J1740" s="733"/>
      <c r="K1740" s="735">
        <v>0</v>
      </c>
      <c r="L1740" s="750">
        <v>0</v>
      </c>
    </row>
    <row r="1741" spans="1:12" ht="31.5" x14ac:dyDescent="0.25">
      <c r="A1741" s="561" t="s">
        <v>102</v>
      </c>
      <c r="B1741" s="749">
        <v>2023</v>
      </c>
      <c r="C1741" s="561" t="s">
        <v>721</v>
      </c>
      <c r="D1741" s="561" t="s">
        <v>1975</v>
      </c>
      <c r="E1741" s="561" t="s">
        <v>728</v>
      </c>
      <c r="F1741" s="735">
        <v>0</v>
      </c>
      <c r="G1741" s="749">
        <v>1</v>
      </c>
      <c r="H1741" s="749"/>
      <c r="I1741" s="733"/>
      <c r="J1741" s="733"/>
      <c r="K1741" s="735">
        <v>0</v>
      </c>
      <c r="L1741" s="750">
        <v>0</v>
      </c>
    </row>
    <row r="1742" spans="1:12" ht="31.5" x14ac:dyDescent="0.25">
      <c r="A1742" s="561" t="s">
        <v>102</v>
      </c>
      <c r="B1742" s="749">
        <v>2023</v>
      </c>
      <c r="C1742" s="561" t="s">
        <v>721</v>
      </c>
      <c r="D1742" s="561" t="s">
        <v>1976</v>
      </c>
      <c r="E1742" s="561" t="s">
        <v>730</v>
      </c>
      <c r="F1742" s="735">
        <v>0</v>
      </c>
      <c r="G1742" s="749">
        <v>1</v>
      </c>
      <c r="H1742" s="749"/>
      <c r="I1742" s="733"/>
      <c r="J1742" s="733"/>
      <c r="K1742" s="735">
        <v>0</v>
      </c>
      <c r="L1742" s="750">
        <v>0</v>
      </c>
    </row>
    <row r="1743" spans="1:12" ht="31.5" x14ac:dyDescent="0.25">
      <c r="A1743" s="561" t="s">
        <v>102</v>
      </c>
      <c r="B1743" s="749">
        <v>2023</v>
      </c>
      <c r="C1743" s="561" t="s">
        <v>721</v>
      </c>
      <c r="D1743" s="561" t="s">
        <v>1977</v>
      </c>
      <c r="E1743" s="561" t="s">
        <v>142</v>
      </c>
      <c r="F1743" s="735">
        <v>0</v>
      </c>
      <c r="G1743" s="749">
        <v>1</v>
      </c>
      <c r="H1743" s="749"/>
      <c r="I1743" s="733"/>
      <c r="J1743" s="733"/>
      <c r="K1743" s="735">
        <v>0</v>
      </c>
      <c r="L1743" s="750">
        <v>0</v>
      </c>
    </row>
    <row r="1744" spans="1:12" ht="31.5" x14ac:dyDescent="0.25">
      <c r="A1744" s="561" t="s">
        <v>102</v>
      </c>
      <c r="B1744" s="749">
        <v>2023</v>
      </c>
      <c r="C1744" s="561" t="s">
        <v>721</v>
      </c>
      <c r="D1744" s="561" t="s">
        <v>1978</v>
      </c>
      <c r="E1744" s="561" t="s">
        <v>143</v>
      </c>
      <c r="F1744" s="735">
        <v>0</v>
      </c>
      <c r="G1744" s="749">
        <v>1</v>
      </c>
      <c r="H1744" s="749"/>
      <c r="I1744" s="733"/>
      <c r="J1744" s="733"/>
      <c r="K1744" s="735">
        <v>0</v>
      </c>
      <c r="L1744" s="750">
        <v>0</v>
      </c>
    </row>
    <row r="1745" spans="1:12" ht="31.5" x14ac:dyDescent="0.25">
      <c r="A1745" s="561" t="s">
        <v>102</v>
      </c>
      <c r="B1745" s="749">
        <v>2023</v>
      </c>
      <c r="C1745" s="561" t="s">
        <v>721</v>
      </c>
      <c r="D1745" s="561" t="s">
        <v>1979</v>
      </c>
      <c r="E1745" s="561" t="s">
        <v>182</v>
      </c>
      <c r="F1745" s="735">
        <v>0</v>
      </c>
      <c r="G1745" s="749">
        <v>1</v>
      </c>
      <c r="H1745" s="749"/>
      <c r="I1745" s="733"/>
      <c r="J1745" s="733"/>
      <c r="K1745" s="735">
        <v>0</v>
      </c>
      <c r="L1745" s="750">
        <v>0</v>
      </c>
    </row>
    <row r="1746" spans="1:12" ht="31.5" x14ac:dyDescent="0.25">
      <c r="A1746" s="561" t="s">
        <v>102</v>
      </c>
      <c r="B1746" s="749">
        <v>2023</v>
      </c>
      <c r="C1746" s="561" t="s">
        <v>721</v>
      </c>
      <c r="D1746" s="561" t="s">
        <v>1980</v>
      </c>
      <c r="E1746" s="561" t="s">
        <v>394</v>
      </c>
      <c r="F1746" s="735">
        <v>0</v>
      </c>
      <c r="G1746" s="749">
        <v>1</v>
      </c>
      <c r="H1746" s="749"/>
      <c r="I1746" s="733"/>
      <c r="J1746" s="733"/>
      <c r="K1746" s="735">
        <v>0</v>
      </c>
      <c r="L1746" s="750">
        <v>0</v>
      </c>
    </row>
    <row r="1747" spans="1:12" ht="31.5" x14ac:dyDescent="0.25">
      <c r="A1747" s="561" t="s">
        <v>102</v>
      </c>
      <c r="B1747" s="749">
        <v>2023</v>
      </c>
      <c r="C1747" s="561" t="s">
        <v>721</v>
      </c>
      <c r="D1747" s="561" t="s">
        <v>1981</v>
      </c>
      <c r="E1747" s="561" t="s">
        <v>423</v>
      </c>
      <c r="F1747" s="735">
        <v>0</v>
      </c>
      <c r="G1747" s="749">
        <v>1</v>
      </c>
      <c r="H1747" s="749"/>
      <c r="I1747" s="733"/>
      <c r="J1747" s="733"/>
      <c r="K1747" s="735">
        <v>0</v>
      </c>
      <c r="L1747" s="750">
        <v>0</v>
      </c>
    </row>
    <row r="1748" spans="1:12" ht="31.5" x14ac:dyDescent="0.25">
      <c r="A1748" s="561" t="s">
        <v>102</v>
      </c>
      <c r="B1748" s="749">
        <v>2023</v>
      </c>
      <c r="C1748" s="561" t="s">
        <v>721</v>
      </c>
      <c r="D1748" s="561" t="s">
        <v>3270</v>
      </c>
      <c r="E1748" s="561" t="s">
        <v>441</v>
      </c>
      <c r="F1748" s="735">
        <v>0</v>
      </c>
      <c r="G1748" s="749">
        <v>1</v>
      </c>
      <c r="H1748" s="749"/>
      <c r="I1748" s="735">
        <v>-156726.99</v>
      </c>
      <c r="J1748" s="735">
        <v>17260.91</v>
      </c>
      <c r="K1748" s="735">
        <v>-139466.07999999999</v>
      </c>
      <c r="L1748" s="750">
        <v>-139466.07999999999</v>
      </c>
    </row>
    <row r="1749" spans="1:12" ht="31.5" x14ac:dyDescent="0.25">
      <c r="A1749" s="561" t="s">
        <v>102</v>
      </c>
      <c r="B1749" s="749">
        <v>2023</v>
      </c>
      <c r="C1749" s="561" t="s">
        <v>721</v>
      </c>
      <c r="D1749" s="561" t="s">
        <v>3555</v>
      </c>
      <c r="E1749" s="561" t="s">
        <v>3016</v>
      </c>
      <c r="F1749" s="735">
        <v>0</v>
      </c>
      <c r="G1749" s="749">
        <v>1</v>
      </c>
      <c r="H1749" s="749"/>
      <c r="I1749" s="735">
        <v>171690.83</v>
      </c>
      <c r="J1749" s="735">
        <v>-73322.66</v>
      </c>
      <c r="K1749" s="735">
        <v>98368.17</v>
      </c>
      <c r="L1749" s="750">
        <v>98368.17</v>
      </c>
    </row>
    <row r="1750" spans="1:12" ht="31.5" x14ac:dyDescent="0.25">
      <c r="A1750" s="561" t="s">
        <v>102</v>
      </c>
      <c r="B1750" s="749">
        <v>2023</v>
      </c>
      <c r="C1750" s="561" t="s">
        <v>721</v>
      </c>
      <c r="D1750" s="561" t="s">
        <v>3556</v>
      </c>
      <c r="E1750" s="561" t="s">
        <v>3058</v>
      </c>
      <c r="F1750" s="735">
        <v>0</v>
      </c>
      <c r="G1750" s="749">
        <v>1</v>
      </c>
      <c r="H1750" s="749"/>
      <c r="I1750" s="733"/>
      <c r="J1750" s="733"/>
      <c r="K1750" s="735">
        <v>0</v>
      </c>
      <c r="L1750" s="750">
        <v>0</v>
      </c>
    </row>
    <row r="1751" spans="1:12" ht="31.5" x14ac:dyDescent="0.25">
      <c r="A1751" s="561" t="s">
        <v>102</v>
      </c>
      <c r="B1751" s="749">
        <v>2023</v>
      </c>
      <c r="C1751" s="561" t="s">
        <v>721</v>
      </c>
      <c r="D1751" s="561" t="s">
        <v>3557</v>
      </c>
      <c r="E1751" s="561" t="s">
        <v>3063</v>
      </c>
      <c r="F1751" s="735">
        <v>0</v>
      </c>
      <c r="G1751" s="749">
        <v>1</v>
      </c>
      <c r="H1751" s="749"/>
      <c r="I1751" s="735">
        <v>252652</v>
      </c>
      <c r="J1751" s="735">
        <v>80325.34</v>
      </c>
      <c r="K1751" s="735">
        <v>332977.34000000003</v>
      </c>
      <c r="L1751" s="750">
        <v>332977.34000000003</v>
      </c>
    </row>
    <row r="1752" spans="1:12" ht="31.5" x14ac:dyDescent="0.25">
      <c r="A1752" s="561" t="s">
        <v>102</v>
      </c>
      <c r="B1752" s="749">
        <v>2023</v>
      </c>
      <c r="C1752" s="561" t="s">
        <v>721</v>
      </c>
      <c r="D1752" s="561" t="s">
        <v>3890</v>
      </c>
      <c r="E1752" s="561" t="s">
        <v>3425</v>
      </c>
      <c r="F1752" s="735">
        <v>0</v>
      </c>
      <c r="G1752" s="749">
        <v>1</v>
      </c>
      <c r="H1752" s="749"/>
      <c r="I1752" s="735">
        <v>260179.66</v>
      </c>
      <c r="J1752" s="735">
        <v>27227.83</v>
      </c>
      <c r="K1752" s="735">
        <v>287407.49</v>
      </c>
      <c r="L1752" s="750">
        <v>287407.49</v>
      </c>
    </row>
    <row r="1753" spans="1:12" ht="42" x14ac:dyDescent="0.25">
      <c r="A1753" s="561" t="s">
        <v>102</v>
      </c>
      <c r="B1753" s="749">
        <v>2023</v>
      </c>
      <c r="C1753" s="561" t="s">
        <v>721</v>
      </c>
      <c r="D1753" s="561" t="s">
        <v>3891</v>
      </c>
      <c r="E1753" s="561" t="s">
        <v>737</v>
      </c>
      <c r="F1753" s="735">
        <v>579286.92000000004</v>
      </c>
      <c r="G1753" s="749">
        <v>0</v>
      </c>
      <c r="H1753" s="749"/>
      <c r="I1753" s="733"/>
      <c r="J1753" s="733"/>
      <c r="K1753" s="735">
        <v>0</v>
      </c>
      <c r="L1753" s="750">
        <v>579286.92000000004</v>
      </c>
    </row>
    <row r="1754" spans="1:12" x14ac:dyDescent="0.25">
      <c r="A1754" s="561" t="s">
        <v>102</v>
      </c>
      <c r="B1754" s="749">
        <v>2023</v>
      </c>
      <c r="C1754" s="561" t="s">
        <v>738</v>
      </c>
      <c r="D1754" s="561" t="s">
        <v>1983</v>
      </c>
      <c r="E1754" s="561" t="s">
        <v>7</v>
      </c>
      <c r="F1754" s="735">
        <v>0</v>
      </c>
      <c r="G1754" s="749">
        <v>0</v>
      </c>
      <c r="H1754" s="749"/>
      <c r="I1754" s="733"/>
      <c r="J1754" s="733"/>
      <c r="K1754" s="735">
        <v>0</v>
      </c>
      <c r="L1754" s="750">
        <v>0</v>
      </c>
    </row>
    <row r="1755" spans="1:12" x14ac:dyDescent="0.25">
      <c r="A1755" s="561" t="s">
        <v>129</v>
      </c>
      <c r="B1755" s="749">
        <v>2023</v>
      </c>
      <c r="C1755" s="561" t="s">
        <v>647</v>
      </c>
      <c r="D1755" s="561" t="s">
        <v>1984</v>
      </c>
      <c r="E1755" s="561" t="s">
        <v>649</v>
      </c>
      <c r="F1755" s="735">
        <v>-158670</v>
      </c>
      <c r="G1755" s="749">
        <v>0</v>
      </c>
      <c r="H1755" s="749"/>
      <c r="I1755" s="733"/>
      <c r="J1755" s="733"/>
      <c r="K1755" s="735">
        <v>0</v>
      </c>
      <c r="L1755" s="750">
        <v>-158670</v>
      </c>
    </row>
    <row r="1756" spans="1:12" ht="21" x14ac:dyDescent="0.25">
      <c r="A1756" s="561" t="s">
        <v>129</v>
      </c>
      <c r="B1756" s="749">
        <v>2023</v>
      </c>
      <c r="C1756" s="561" t="s">
        <v>3691</v>
      </c>
      <c r="D1756" s="561" t="s">
        <v>3654</v>
      </c>
      <c r="E1756" s="561" t="s">
        <v>3675</v>
      </c>
      <c r="F1756" s="735">
        <v>0</v>
      </c>
      <c r="G1756" s="749">
        <v>0</v>
      </c>
      <c r="H1756" s="749"/>
      <c r="I1756" s="733"/>
      <c r="J1756" s="733"/>
      <c r="K1756" s="735">
        <v>0</v>
      </c>
      <c r="L1756" s="750">
        <v>0</v>
      </c>
    </row>
    <row r="1757" spans="1:12" x14ac:dyDescent="0.25">
      <c r="A1757" s="561" t="s">
        <v>129</v>
      </c>
      <c r="B1757" s="749">
        <v>2023</v>
      </c>
      <c r="C1757" s="561" t="s">
        <v>651</v>
      </c>
      <c r="D1757" s="561" t="s">
        <v>1985</v>
      </c>
      <c r="E1757" s="561" t="s">
        <v>653</v>
      </c>
      <c r="F1757" s="735">
        <v>0</v>
      </c>
      <c r="G1757" s="749">
        <v>0</v>
      </c>
      <c r="H1757" s="749"/>
      <c r="I1757" s="733"/>
      <c r="J1757" s="733"/>
      <c r="K1757" s="735">
        <v>0</v>
      </c>
      <c r="L1757" s="750">
        <v>0</v>
      </c>
    </row>
    <row r="1758" spans="1:12" ht="31.5" x14ac:dyDescent="0.25">
      <c r="A1758" s="561" t="s">
        <v>129</v>
      </c>
      <c r="B1758" s="749">
        <v>2023</v>
      </c>
      <c r="C1758" s="561" t="s">
        <v>654</v>
      </c>
      <c r="D1758" s="561" t="s">
        <v>1986</v>
      </c>
      <c r="E1758" s="561" t="s">
        <v>445</v>
      </c>
      <c r="F1758" s="735">
        <v>0</v>
      </c>
      <c r="G1758" s="749">
        <v>0</v>
      </c>
      <c r="H1758" s="749"/>
      <c r="I1758" s="733"/>
      <c r="J1758" s="733"/>
      <c r="K1758" s="735">
        <v>0</v>
      </c>
      <c r="L1758" s="750">
        <v>0</v>
      </c>
    </row>
    <row r="1759" spans="1:12" ht="21" x14ac:dyDescent="0.25">
      <c r="A1759" s="561" t="s">
        <v>129</v>
      </c>
      <c r="B1759" s="749">
        <v>2023</v>
      </c>
      <c r="C1759" s="561" t="s">
        <v>656</v>
      </c>
      <c r="D1759" s="561" t="s">
        <v>1987</v>
      </c>
      <c r="E1759" s="561" t="s">
        <v>658</v>
      </c>
      <c r="F1759" s="735">
        <v>713823</v>
      </c>
      <c r="G1759" s="749">
        <v>0</v>
      </c>
      <c r="H1759" s="749"/>
      <c r="I1759" s="733"/>
      <c r="J1759" s="733"/>
      <c r="K1759" s="735">
        <v>0</v>
      </c>
      <c r="L1759" s="750">
        <v>713823</v>
      </c>
    </row>
    <row r="1760" spans="1:12" ht="21" x14ac:dyDescent="0.25">
      <c r="A1760" s="561" t="s">
        <v>129</v>
      </c>
      <c r="B1760" s="749">
        <v>2023</v>
      </c>
      <c r="C1760" s="561" t="s">
        <v>659</v>
      </c>
      <c r="D1760" s="561" t="s">
        <v>1988</v>
      </c>
      <c r="E1760" s="561" t="s">
        <v>661</v>
      </c>
      <c r="F1760" s="735">
        <v>0</v>
      </c>
      <c r="G1760" s="749">
        <v>0</v>
      </c>
      <c r="H1760" s="749"/>
      <c r="I1760" s="733"/>
      <c r="J1760" s="733"/>
      <c r="K1760" s="735">
        <v>0</v>
      </c>
      <c r="L1760" s="750">
        <v>0</v>
      </c>
    </row>
    <row r="1761" spans="1:12" ht="21" x14ac:dyDescent="0.25">
      <c r="A1761" s="561" t="s">
        <v>129</v>
      </c>
      <c r="B1761" s="749">
        <v>2023</v>
      </c>
      <c r="C1761" s="561" t="s">
        <v>662</v>
      </c>
      <c r="D1761" s="561" t="s">
        <v>1989</v>
      </c>
      <c r="E1761" s="561" t="s">
        <v>664</v>
      </c>
      <c r="F1761" s="735">
        <v>0</v>
      </c>
      <c r="G1761" s="749">
        <v>0</v>
      </c>
      <c r="H1761" s="749"/>
      <c r="I1761" s="733"/>
      <c r="J1761" s="733"/>
      <c r="K1761" s="735">
        <v>0</v>
      </c>
      <c r="L1761" s="750">
        <v>0</v>
      </c>
    </row>
    <row r="1762" spans="1:12" ht="31.5" x14ac:dyDescent="0.25">
      <c r="A1762" s="561" t="s">
        <v>129</v>
      </c>
      <c r="B1762" s="749">
        <v>2023</v>
      </c>
      <c r="C1762" s="561" t="s">
        <v>665</v>
      </c>
      <c r="D1762" s="561" t="s">
        <v>1990</v>
      </c>
      <c r="E1762" s="561" t="s">
        <v>667</v>
      </c>
      <c r="F1762" s="735">
        <v>0</v>
      </c>
      <c r="G1762" s="749">
        <v>0</v>
      </c>
      <c r="H1762" s="749"/>
      <c r="I1762" s="733"/>
      <c r="J1762" s="733"/>
      <c r="K1762" s="735">
        <v>0</v>
      </c>
      <c r="L1762" s="750">
        <v>0</v>
      </c>
    </row>
    <row r="1763" spans="1:12" ht="21" x14ac:dyDescent="0.25">
      <c r="A1763" s="561" t="s">
        <v>129</v>
      </c>
      <c r="B1763" s="749">
        <v>2023</v>
      </c>
      <c r="C1763" s="561" t="s">
        <v>668</v>
      </c>
      <c r="D1763" s="561" t="s">
        <v>1991</v>
      </c>
      <c r="E1763" s="561" t="s">
        <v>12</v>
      </c>
      <c r="F1763" s="735">
        <v>0</v>
      </c>
      <c r="G1763" s="749">
        <v>0</v>
      </c>
      <c r="H1763" s="749"/>
      <c r="I1763" s="733"/>
      <c r="J1763" s="733"/>
      <c r="K1763" s="735">
        <v>0</v>
      </c>
      <c r="L1763" s="750">
        <v>0</v>
      </c>
    </row>
    <row r="1764" spans="1:12" ht="21" x14ac:dyDescent="0.25">
      <c r="A1764" s="561" t="s">
        <v>129</v>
      </c>
      <c r="B1764" s="749">
        <v>2023</v>
      </c>
      <c r="C1764" s="561" t="s">
        <v>670</v>
      </c>
      <c r="D1764" s="561" t="s">
        <v>1992</v>
      </c>
      <c r="E1764" s="561" t="s">
        <v>13</v>
      </c>
      <c r="F1764" s="735">
        <v>0</v>
      </c>
      <c r="G1764" s="749">
        <v>0</v>
      </c>
      <c r="H1764" s="749"/>
      <c r="I1764" s="733"/>
      <c r="J1764" s="733"/>
      <c r="K1764" s="735">
        <v>0</v>
      </c>
      <c r="L1764" s="750">
        <v>0</v>
      </c>
    </row>
    <row r="1765" spans="1:12" ht="21" x14ac:dyDescent="0.25">
      <c r="A1765" s="561" t="s">
        <v>129</v>
      </c>
      <c r="B1765" s="749">
        <v>2023</v>
      </c>
      <c r="C1765" s="561" t="s">
        <v>672</v>
      </c>
      <c r="D1765" s="561" t="s">
        <v>1993</v>
      </c>
      <c r="E1765" s="561" t="s">
        <v>15</v>
      </c>
      <c r="F1765" s="735">
        <v>0</v>
      </c>
      <c r="G1765" s="749">
        <v>0</v>
      </c>
      <c r="H1765" s="749"/>
      <c r="I1765" s="733"/>
      <c r="J1765" s="733"/>
      <c r="K1765" s="735">
        <v>0</v>
      </c>
      <c r="L1765" s="750">
        <v>0</v>
      </c>
    </row>
    <row r="1766" spans="1:12" x14ac:dyDescent="0.25">
      <c r="A1766" s="561" t="s">
        <v>129</v>
      </c>
      <c r="B1766" s="749">
        <v>2023</v>
      </c>
      <c r="C1766" s="561" t="s">
        <v>674</v>
      </c>
      <c r="D1766" s="561" t="s">
        <v>1994</v>
      </c>
      <c r="E1766" s="561" t="s">
        <v>676</v>
      </c>
      <c r="F1766" s="735">
        <v>0</v>
      </c>
      <c r="G1766" s="749">
        <v>0</v>
      </c>
      <c r="H1766" s="749"/>
      <c r="I1766" s="733"/>
      <c r="J1766" s="733"/>
      <c r="K1766" s="735">
        <v>0</v>
      </c>
      <c r="L1766" s="750">
        <v>0</v>
      </c>
    </row>
    <row r="1767" spans="1:12" x14ac:dyDescent="0.25">
      <c r="A1767" s="561" t="s">
        <v>129</v>
      </c>
      <c r="B1767" s="749">
        <v>2023</v>
      </c>
      <c r="C1767" s="561" t="s">
        <v>677</v>
      </c>
      <c r="D1767" s="561" t="s">
        <v>1995</v>
      </c>
      <c r="E1767" s="561" t="s">
        <v>23</v>
      </c>
      <c r="F1767" s="735">
        <v>279688</v>
      </c>
      <c r="G1767" s="749">
        <v>1</v>
      </c>
      <c r="H1767" s="749"/>
      <c r="I1767" s="735">
        <v>270662</v>
      </c>
      <c r="J1767" s="735">
        <v>9026</v>
      </c>
      <c r="K1767" s="735">
        <v>279688</v>
      </c>
      <c r="L1767" s="750">
        <v>279688</v>
      </c>
    </row>
    <row r="1768" spans="1:12" ht="21" x14ac:dyDescent="0.25">
      <c r="A1768" s="561" t="s">
        <v>129</v>
      </c>
      <c r="B1768" s="749">
        <v>2023</v>
      </c>
      <c r="C1768" s="561" t="s">
        <v>679</v>
      </c>
      <c r="D1768" s="561" t="s">
        <v>1996</v>
      </c>
      <c r="E1768" s="561" t="s">
        <v>131</v>
      </c>
      <c r="F1768" s="735">
        <v>-142654</v>
      </c>
      <c r="G1768" s="749">
        <v>1</v>
      </c>
      <c r="H1768" s="749"/>
      <c r="I1768" s="735">
        <v>-140711</v>
      </c>
      <c r="J1768" s="735">
        <v>-1943</v>
      </c>
      <c r="K1768" s="735">
        <v>-142654</v>
      </c>
      <c r="L1768" s="750">
        <v>-142654</v>
      </c>
    </row>
    <row r="1769" spans="1:12" ht="31.5" x14ac:dyDescent="0.25">
      <c r="A1769" s="561" t="s">
        <v>129</v>
      </c>
      <c r="B1769" s="749">
        <v>2023</v>
      </c>
      <c r="C1769" s="561" t="s">
        <v>681</v>
      </c>
      <c r="D1769" s="561" t="s">
        <v>1997</v>
      </c>
      <c r="E1769" s="561" t="s">
        <v>683</v>
      </c>
      <c r="F1769" s="735">
        <v>0</v>
      </c>
      <c r="G1769" s="749">
        <v>0</v>
      </c>
      <c r="H1769" s="749"/>
      <c r="I1769" s="733"/>
      <c r="J1769" s="733"/>
      <c r="K1769" s="735">
        <v>0</v>
      </c>
      <c r="L1769" s="750">
        <v>0</v>
      </c>
    </row>
    <row r="1770" spans="1:12" ht="21" x14ac:dyDescent="0.25">
      <c r="A1770" s="561" t="s">
        <v>129</v>
      </c>
      <c r="B1770" s="749">
        <v>2023</v>
      </c>
      <c r="C1770" s="561" t="s">
        <v>681</v>
      </c>
      <c r="D1770" s="561" t="s">
        <v>1997</v>
      </c>
      <c r="E1770" s="561" t="s">
        <v>684</v>
      </c>
      <c r="F1770" s="735">
        <v>0</v>
      </c>
      <c r="G1770" s="749">
        <v>0</v>
      </c>
      <c r="H1770" s="749"/>
      <c r="I1770" s="733"/>
      <c r="J1770" s="733"/>
      <c r="K1770" s="735">
        <v>0</v>
      </c>
      <c r="L1770" s="751">
        <v>0</v>
      </c>
    </row>
    <row r="1771" spans="1:12" x14ac:dyDescent="0.25">
      <c r="A1771" s="561" t="s">
        <v>129</v>
      </c>
      <c r="B1771" s="749">
        <v>2023</v>
      </c>
      <c r="C1771" s="561" t="s">
        <v>685</v>
      </c>
      <c r="D1771" s="561" t="s">
        <v>1998</v>
      </c>
      <c r="E1771" s="561" t="s">
        <v>687</v>
      </c>
      <c r="F1771" s="735">
        <v>0</v>
      </c>
      <c r="G1771" s="749">
        <v>0</v>
      </c>
      <c r="H1771" s="749"/>
      <c r="I1771" s="733"/>
      <c r="J1771" s="733"/>
      <c r="K1771" s="735">
        <v>0</v>
      </c>
      <c r="L1771" s="750">
        <v>0</v>
      </c>
    </row>
    <row r="1772" spans="1:12" x14ac:dyDescent="0.25">
      <c r="A1772" s="561" t="s">
        <v>129</v>
      </c>
      <c r="B1772" s="749">
        <v>2023</v>
      </c>
      <c r="C1772" s="561" t="s">
        <v>688</v>
      </c>
      <c r="D1772" s="561" t="s">
        <v>1999</v>
      </c>
      <c r="E1772" s="561" t="s">
        <v>50</v>
      </c>
      <c r="F1772" s="735">
        <v>534027</v>
      </c>
      <c r="G1772" s="749">
        <v>0</v>
      </c>
      <c r="H1772" s="749"/>
      <c r="I1772" s="733"/>
      <c r="J1772" s="733"/>
      <c r="K1772" s="735">
        <v>0</v>
      </c>
      <c r="L1772" s="750">
        <v>534027</v>
      </c>
    </row>
    <row r="1773" spans="1:12" x14ac:dyDescent="0.25">
      <c r="A1773" s="561" t="s">
        <v>129</v>
      </c>
      <c r="B1773" s="749">
        <v>2023</v>
      </c>
      <c r="C1773" s="561" t="s">
        <v>690</v>
      </c>
      <c r="D1773" s="561" t="s">
        <v>2000</v>
      </c>
      <c r="E1773" s="561" t="s">
        <v>692</v>
      </c>
      <c r="F1773" s="735">
        <v>0</v>
      </c>
      <c r="G1773" s="749">
        <v>0</v>
      </c>
      <c r="H1773" s="749"/>
      <c r="I1773" s="733"/>
      <c r="J1773" s="733"/>
      <c r="K1773" s="735">
        <v>0</v>
      </c>
      <c r="L1773" s="750">
        <v>0</v>
      </c>
    </row>
    <row r="1774" spans="1:12" ht="21" x14ac:dyDescent="0.25">
      <c r="A1774" s="561" t="s">
        <v>129</v>
      </c>
      <c r="B1774" s="749">
        <v>2023</v>
      </c>
      <c r="C1774" s="561" t="s">
        <v>693</v>
      </c>
      <c r="D1774" s="561" t="s">
        <v>2001</v>
      </c>
      <c r="E1774" s="561" t="s">
        <v>6</v>
      </c>
      <c r="F1774" s="735">
        <v>0</v>
      </c>
      <c r="G1774" s="749">
        <v>0</v>
      </c>
      <c r="H1774" s="749"/>
      <c r="I1774" s="733"/>
      <c r="J1774" s="733"/>
      <c r="K1774" s="735">
        <v>0</v>
      </c>
      <c r="L1774" s="750">
        <v>0</v>
      </c>
    </row>
    <row r="1775" spans="1:12" ht="21" x14ac:dyDescent="0.25">
      <c r="A1775" s="561" t="s">
        <v>129</v>
      </c>
      <c r="B1775" s="749">
        <v>2023</v>
      </c>
      <c r="C1775" s="561" t="s">
        <v>695</v>
      </c>
      <c r="D1775" s="561" t="s">
        <v>2002</v>
      </c>
      <c r="E1775" s="561" t="s">
        <v>697</v>
      </c>
      <c r="F1775" s="735">
        <v>0</v>
      </c>
      <c r="G1775" s="749">
        <v>0</v>
      </c>
      <c r="H1775" s="749"/>
      <c r="I1775" s="733"/>
      <c r="J1775" s="733"/>
      <c r="K1775" s="735">
        <v>0</v>
      </c>
      <c r="L1775" s="750">
        <v>0</v>
      </c>
    </row>
    <row r="1776" spans="1:12" x14ac:dyDescent="0.25">
      <c r="A1776" s="561" t="s">
        <v>129</v>
      </c>
      <c r="B1776" s="749">
        <v>2023</v>
      </c>
      <c r="C1776" s="561" t="s">
        <v>698</v>
      </c>
      <c r="D1776" s="561" t="s">
        <v>2003</v>
      </c>
      <c r="E1776" s="561" t="s">
        <v>700</v>
      </c>
      <c r="F1776" s="735">
        <v>281432</v>
      </c>
      <c r="G1776" s="749">
        <v>0</v>
      </c>
      <c r="H1776" s="749"/>
      <c r="I1776" s="733"/>
      <c r="J1776" s="733"/>
      <c r="K1776" s="735">
        <v>0</v>
      </c>
      <c r="L1776" s="750">
        <v>281432</v>
      </c>
    </row>
    <row r="1777" spans="1:12" ht="21" x14ac:dyDescent="0.25">
      <c r="A1777" s="561" t="s">
        <v>129</v>
      </c>
      <c r="B1777" s="749">
        <v>2023</v>
      </c>
      <c r="C1777" s="561" t="s">
        <v>701</v>
      </c>
      <c r="D1777" s="561" t="s">
        <v>2004</v>
      </c>
      <c r="E1777" s="561" t="s">
        <v>1</v>
      </c>
      <c r="F1777" s="735">
        <v>2624872</v>
      </c>
      <c r="G1777" s="749">
        <v>1</v>
      </c>
      <c r="H1777" s="749"/>
      <c r="I1777" s="735">
        <v>2590216</v>
      </c>
      <c r="J1777" s="735">
        <v>34656</v>
      </c>
      <c r="K1777" s="735">
        <v>2624872</v>
      </c>
      <c r="L1777" s="750">
        <v>2624872</v>
      </c>
    </row>
    <row r="1778" spans="1:12" ht="21" x14ac:dyDescent="0.25">
      <c r="A1778" s="561" t="s">
        <v>129</v>
      </c>
      <c r="B1778" s="749">
        <v>2023</v>
      </c>
      <c r="C1778" s="561" t="s">
        <v>701</v>
      </c>
      <c r="D1778" s="561" t="s">
        <v>2004</v>
      </c>
      <c r="E1778" s="561" t="s">
        <v>703</v>
      </c>
      <c r="F1778" s="735">
        <v>0</v>
      </c>
      <c r="G1778" s="749">
        <v>0</v>
      </c>
      <c r="H1778" s="749"/>
      <c r="I1778" s="733"/>
      <c r="J1778" s="733"/>
      <c r="K1778" s="735">
        <v>0</v>
      </c>
      <c r="L1778" s="751">
        <v>0</v>
      </c>
    </row>
    <row r="1779" spans="1:12" ht="21" x14ac:dyDescent="0.25">
      <c r="A1779" s="561" t="s">
        <v>129</v>
      </c>
      <c r="B1779" s="749">
        <v>2023</v>
      </c>
      <c r="C1779" s="561" t="s">
        <v>701</v>
      </c>
      <c r="D1779" s="561" t="s">
        <v>2004</v>
      </c>
      <c r="E1779" s="561" t="s">
        <v>704</v>
      </c>
      <c r="F1779" s="735">
        <v>0</v>
      </c>
      <c r="G1779" s="749">
        <v>0</v>
      </c>
      <c r="H1779" s="749"/>
      <c r="I1779" s="733"/>
      <c r="J1779" s="733"/>
      <c r="K1779" s="735">
        <v>0</v>
      </c>
      <c r="L1779" s="751">
        <v>0</v>
      </c>
    </row>
    <row r="1780" spans="1:12" ht="21" x14ac:dyDescent="0.25">
      <c r="A1780" s="561" t="s">
        <v>129</v>
      </c>
      <c r="B1780" s="749">
        <v>2023</v>
      </c>
      <c r="C1780" s="561" t="s">
        <v>701</v>
      </c>
      <c r="D1780" s="561" t="s">
        <v>2004</v>
      </c>
      <c r="E1780" s="561" t="s">
        <v>705</v>
      </c>
      <c r="F1780" s="735">
        <v>0</v>
      </c>
      <c r="G1780" s="749">
        <v>0</v>
      </c>
      <c r="H1780" s="749"/>
      <c r="I1780" s="733"/>
      <c r="J1780" s="733"/>
      <c r="K1780" s="735">
        <v>0</v>
      </c>
      <c r="L1780" s="751">
        <v>-5522.78</v>
      </c>
    </row>
    <row r="1781" spans="1:12" ht="21" x14ac:dyDescent="0.25">
      <c r="A1781" s="561" t="s">
        <v>129</v>
      </c>
      <c r="B1781" s="749">
        <v>2023</v>
      </c>
      <c r="C1781" s="561" t="s">
        <v>701</v>
      </c>
      <c r="D1781" s="561" t="s">
        <v>2004</v>
      </c>
      <c r="E1781" s="561" t="s">
        <v>706</v>
      </c>
      <c r="F1781" s="735">
        <v>0</v>
      </c>
      <c r="G1781" s="749">
        <v>0</v>
      </c>
      <c r="H1781" s="749"/>
      <c r="I1781" s="733"/>
      <c r="J1781" s="733"/>
      <c r="K1781" s="735">
        <v>0</v>
      </c>
      <c r="L1781" s="751">
        <v>-161818.96</v>
      </c>
    </row>
    <row r="1782" spans="1:12" x14ac:dyDescent="0.25">
      <c r="A1782" s="561" t="s">
        <v>129</v>
      </c>
      <c r="B1782" s="749">
        <v>2023</v>
      </c>
      <c r="C1782" s="561" t="s">
        <v>707</v>
      </c>
      <c r="D1782" s="561" t="s">
        <v>2005</v>
      </c>
      <c r="E1782" s="561" t="s">
        <v>709</v>
      </c>
      <c r="F1782" s="735">
        <v>0</v>
      </c>
      <c r="G1782" s="749">
        <v>0</v>
      </c>
      <c r="H1782" s="749"/>
      <c r="I1782" s="733"/>
      <c r="J1782" s="733"/>
      <c r="K1782" s="735">
        <v>0</v>
      </c>
      <c r="L1782" s="750">
        <v>0</v>
      </c>
    </row>
    <row r="1783" spans="1:12" ht="21" x14ac:dyDescent="0.25">
      <c r="A1783" s="561" t="s">
        <v>129</v>
      </c>
      <c r="B1783" s="749">
        <v>2023</v>
      </c>
      <c r="C1783" s="561" t="s">
        <v>710</v>
      </c>
      <c r="D1783" s="561" t="s">
        <v>2006</v>
      </c>
      <c r="E1783" s="561" t="s">
        <v>2</v>
      </c>
      <c r="F1783" s="735">
        <v>2493532</v>
      </c>
      <c r="G1783" s="749">
        <v>1</v>
      </c>
      <c r="H1783" s="749"/>
      <c r="I1783" s="735">
        <v>2454596</v>
      </c>
      <c r="J1783" s="735">
        <v>38936</v>
      </c>
      <c r="K1783" s="735">
        <v>2493532</v>
      </c>
      <c r="L1783" s="750">
        <v>2493532</v>
      </c>
    </row>
    <row r="1784" spans="1:12" ht="21" x14ac:dyDescent="0.25">
      <c r="A1784" s="561" t="s">
        <v>129</v>
      </c>
      <c r="B1784" s="749">
        <v>2023</v>
      </c>
      <c r="C1784" s="561" t="s">
        <v>712</v>
      </c>
      <c r="D1784" s="561" t="s">
        <v>2007</v>
      </c>
      <c r="E1784" s="561" t="s">
        <v>3</v>
      </c>
      <c r="F1784" s="735">
        <v>1020964</v>
      </c>
      <c r="G1784" s="749">
        <v>1</v>
      </c>
      <c r="H1784" s="749"/>
      <c r="I1784" s="735">
        <v>1005469</v>
      </c>
      <c r="J1784" s="735">
        <v>15495</v>
      </c>
      <c r="K1784" s="735">
        <v>1020964</v>
      </c>
      <c r="L1784" s="750">
        <v>1020964</v>
      </c>
    </row>
    <row r="1785" spans="1:12" ht="21" x14ac:dyDescent="0.25">
      <c r="A1785" s="561" t="s">
        <v>129</v>
      </c>
      <c r="B1785" s="749">
        <v>2023</v>
      </c>
      <c r="C1785" s="561" t="s">
        <v>714</v>
      </c>
      <c r="D1785" s="561" t="s">
        <v>2008</v>
      </c>
      <c r="E1785" s="561" t="s">
        <v>38</v>
      </c>
      <c r="F1785" s="735">
        <v>-506669</v>
      </c>
      <c r="G1785" s="749">
        <v>1</v>
      </c>
      <c r="H1785" s="749"/>
      <c r="I1785" s="735">
        <v>-488560</v>
      </c>
      <c r="J1785" s="735">
        <v>-18109</v>
      </c>
      <c r="K1785" s="735">
        <v>-506669</v>
      </c>
      <c r="L1785" s="750">
        <v>-506669</v>
      </c>
    </row>
    <row r="1786" spans="1:12" x14ac:dyDescent="0.25">
      <c r="A1786" s="561" t="s">
        <v>129</v>
      </c>
      <c r="B1786" s="749">
        <v>2023</v>
      </c>
      <c r="C1786" s="561" t="s">
        <v>716</v>
      </c>
      <c r="D1786" s="561" t="s">
        <v>2009</v>
      </c>
      <c r="E1786" s="561" t="s">
        <v>66</v>
      </c>
      <c r="F1786" s="735">
        <v>-650050</v>
      </c>
      <c r="G1786" s="749">
        <v>1</v>
      </c>
      <c r="H1786" s="749"/>
      <c r="I1786" s="735">
        <v>-654053</v>
      </c>
      <c r="J1786" s="735">
        <v>4003</v>
      </c>
      <c r="K1786" s="735">
        <v>-650050</v>
      </c>
      <c r="L1786" s="750">
        <v>-650050</v>
      </c>
    </row>
    <row r="1787" spans="1:12" ht="21" x14ac:dyDescent="0.25">
      <c r="A1787" s="561" t="s">
        <v>129</v>
      </c>
      <c r="B1787" s="749">
        <v>2023</v>
      </c>
      <c r="C1787" s="561" t="s">
        <v>718</v>
      </c>
      <c r="D1787" s="561" t="s">
        <v>2010</v>
      </c>
      <c r="E1787" s="561" t="s">
        <v>720</v>
      </c>
      <c r="F1787" s="735">
        <v>-998681</v>
      </c>
      <c r="G1787" s="749">
        <v>0</v>
      </c>
      <c r="H1787" s="749"/>
      <c r="I1787" s="733"/>
      <c r="J1787" s="733"/>
      <c r="K1787" s="735">
        <v>0</v>
      </c>
      <c r="L1787" s="750">
        <v>-998681</v>
      </c>
    </row>
    <row r="1788" spans="1:12" ht="31.5" x14ac:dyDescent="0.25">
      <c r="A1788" s="561" t="s">
        <v>129</v>
      </c>
      <c r="B1788" s="749">
        <v>2023</v>
      </c>
      <c r="C1788" s="561" t="s">
        <v>721</v>
      </c>
      <c r="D1788" s="561" t="s">
        <v>2012</v>
      </c>
      <c r="E1788" s="561" t="s">
        <v>724</v>
      </c>
      <c r="F1788" s="735">
        <v>0</v>
      </c>
      <c r="G1788" s="749">
        <v>1</v>
      </c>
      <c r="H1788" s="749"/>
      <c r="I1788" s="733"/>
      <c r="J1788" s="733"/>
      <c r="K1788" s="735">
        <v>0</v>
      </c>
      <c r="L1788" s="750">
        <v>0</v>
      </c>
    </row>
    <row r="1789" spans="1:12" ht="31.5" x14ac:dyDescent="0.25">
      <c r="A1789" s="561" t="s">
        <v>129</v>
      </c>
      <c r="B1789" s="749">
        <v>2023</v>
      </c>
      <c r="C1789" s="561" t="s">
        <v>721</v>
      </c>
      <c r="D1789" s="561" t="s">
        <v>2013</v>
      </c>
      <c r="E1789" s="561" t="s">
        <v>55</v>
      </c>
      <c r="F1789" s="735">
        <v>0</v>
      </c>
      <c r="G1789" s="749">
        <v>1</v>
      </c>
      <c r="H1789" s="749"/>
      <c r="I1789" s="733"/>
      <c r="J1789" s="733"/>
      <c r="K1789" s="735">
        <v>0</v>
      </c>
      <c r="L1789" s="750">
        <v>0</v>
      </c>
    </row>
    <row r="1790" spans="1:12" ht="31.5" x14ac:dyDescent="0.25">
      <c r="A1790" s="561" t="s">
        <v>129</v>
      </c>
      <c r="B1790" s="749">
        <v>2023</v>
      </c>
      <c r="C1790" s="561" t="s">
        <v>721</v>
      </c>
      <c r="D1790" s="561" t="s">
        <v>2014</v>
      </c>
      <c r="E1790" s="561" t="s">
        <v>56</v>
      </c>
      <c r="F1790" s="735">
        <v>0</v>
      </c>
      <c r="G1790" s="749">
        <v>1</v>
      </c>
      <c r="H1790" s="749"/>
      <c r="I1790" s="733"/>
      <c r="J1790" s="733"/>
      <c r="K1790" s="735">
        <v>0</v>
      </c>
      <c r="L1790" s="750">
        <v>0</v>
      </c>
    </row>
    <row r="1791" spans="1:12" ht="31.5" x14ac:dyDescent="0.25">
      <c r="A1791" s="561" t="s">
        <v>129</v>
      </c>
      <c r="B1791" s="749">
        <v>2023</v>
      </c>
      <c r="C1791" s="561" t="s">
        <v>721</v>
      </c>
      <c r="D1791" s="561" t="s">
        <v>2015</v>
      </c>
      <c r="E1791" s="561" t="s">
        <v>728</v>
      </c>
      <c r="F1791" s="735">
        <v>0</v>
      </c>
      <c r="G1791" s="749">
        <v>1</v>
      </c>
      <c r="H1791" s="749"/>
      <c r="I1791" s="733"/>
      <c r="J1791" s="733"/>
      <c r="K1791" s="735">
        <v>0</v>
      </c>
      <c r="L1791" s="750">
        <v>0</v>
      </c>
    </row>
    <row r="1792" spans="1:12" ht="31.5" x14ac:dyDescent="0.25">
      <c r="A1792" s="561" t="s">
        <v>129</v>
      </c>
      <c r="B1792" s="749">
        <v>2023</v>
      </c>
      <c r="C1792" s="561" t="s">
        <v>721</v>
      </c>
      <c r="D1792" s="561" t="s">
        <v>2016</v>
      </c>
      <c r="E1792" s="561" t="s">
        <v>730</v>
      </c>
      <c r="F1792" s="735">
        <v>0</v>
      </c>
      <c r="G1792" s="749">
        <v>1</v>
      </c>
      <c r="H1792" s="749"/>
      <c r="I1792" s="733"/>
      <c r="J1792" s="733"/>
      <c r="K1792" s="735">
        <v>0</v>
      </c>
      <c r="L1792" s="750">
        <v>0</v>
      </c>
    </row>
    <row r="1793" spans="1:12" ht="31.5" x14ac:dyDescent="0.25">
      <c r="A1793" s="561" t="s">
        <v>129</v>
      </c>
      <c r="B1793" s="749">
        <v>2023</v>
      </c>
      <c r="C1793" s="561" t="s">
        <v>721</v>
      </c>
      <c r="D1793" s="561" t="s">
        <v>2017</v>
      </c>
      <c r="E1793" s="561" t="s">
        <v>142</v>
      </c>
      <c r="F1793" s="735">
        <v>0</v>
      </c>
      <c r="G1793" s="749">
        <v>1</v>
      </c>
      <c r="H1793" s="749"/>
      <c r="I1793" s="733"/>
      <c r="J1793" s="733"/>
      <c r="K1793" s="735">
        <v>0</v>
      </c>
      <c r="L1793" s="750">
        <v>0</v>
      </c>
    </row>
    <row r="1794" spans="1:12" ht="31.5" x14ac:dyDescent="0.25">
      <c r="A1794" s="561" t="s">
        <v>129</v>
      </c>
      <c r="B1794" s="749">
        <v>2023</v>
      </c>
      <c r="C1794" s="561" t="s">
        <v>721</v>
      </c>
      <c r="D1794" s="561" t="s">
        <v>2018</v>
      </c>
      <c r="E1794" s="561" t="s">
        <v>143</v>
      </c>
      <c r="F1794" s="735">
        <v>0</v>
      </c>
      <c r="G1794" s="749">
        <v>1</v>
      </c>
      <c r="H1794" s="749"/>
      <c r="I1794" s="733"/>
      <c r="J1794" s="733"/>
      <c r="K1794" s="735">
        <v>0</v>
      </c>
      <c r="L1794" s="750">
        <v>0</v>
      </c>
    </row>
    <row r="1795" spans="1:12" ht="31.5" x14ac:dyDescent="0.25">
      <c r="A1795" s="561" t="s">
        <v>129</v>
      </c>
      <c r="B1795" s="749">
        <v>2023</v>
      </c>
      <c r="C1795" s="561" t="s">
        <v>721</v>
      </c>
      <c r="D1795" s="561" t="s">
        <v>2019</v>
      </c>
      <c r="E1795" s="561" t="s">
        <v>182</v>
      </c>
      <c r="F1795" s="735">
        <v>0</v>
      </c>
      <c r="G1795" s="749">
        <v>1</v>
      </c>
      <c r="H1795" s="749"/>
      <c r="I1795" s="733"/>
      <c r="J1795" s="733"/>
      <c r="K1795" s="735">
        <v>0</v>
      </c>
      <c r="L1795" s="750">
        <v>0</v>
      </c>
    </row>
    <row r="1796" spans="1:12" ht="31.5" x14ac:dyDescent="0.25">
      <c r="A1796" s="561" t="s">
        <v>129</v>
      </c>
      <c r="B1796" s="749">
        <v>2023</v>
      </c>
      <c r="C1796" s="561" t="s">
        <v>721</v>
      </c>
      <c r="D1796" s="561" t="s">
        <v>2020</v>
      </c>
      <c r="E1796" s="561" t="s">
        <v>394</v>
      </c>
      <c r="F1796" s="735">
        <v>0</v>
      </c>
      <c r="G1796" s="749">
        <v>1</v>
      </c>
      <c r="H1796" s="749"/>
      <c r="I1796" s="733"/>
      <c r="J1796" s="733"/>
      <c r="K1796" s="735">
        <v>0</v>
      </c>
      <c r="L1796" s="750">
        <v>0</v>
      </c>
    </row>
    <row r="1797" spans="1:12" ht="31.5" x14ac:dyDescent="0.25">
      <c r="A1797" s="561" t="s">
        <v>129</v>
      </c>
      <c r="B1797" s="749">
        <v>2023</v>
      </c>
      <c r="C1797" s="561" t="s">
        <v>721</v>
      </c>
      <c r="D1797" s="561" t="s">
        <v>2021</v>
      </c>
      <c r="E1797" s="561" t="s">
        <v>423</v>
      </c>
      <c r="F1797" s="735">
        <v>0</v>
      </c>
      <c r="G1797" s="749">
        <v>1</v>
      </c>
      <c r="H1797" s="749"/>
      <c r="I1797" s="733"/>
      <c r="J1797" s="733"/>
      <c r="K1797" s="735">
        <v>0</v>
      </c>
      <c r="L1797" s="750">
        <v>0</v>
      </c>
    </row>
    <row r="1798" spans="1:12" ht="31.5" x14ac:dyDescent="0.25">
      <c r="A1798" s="561" t="s">
        <v>129</v>
      </c>
      <c r="B1798" s="749">
        <v>2023</v>
      </c>
      <c r="C1798" s="561" t="s">
        <v>721</v>
      </c>
      <c r="D1798" s="561" t="s">
        <v>3271</v>
      </c>
      <c r="E1798" s="561" t="s">
        <v>441</v>
      </c>
      <c r="F1798" s="735">
        <v>0</v>
      </c>
      <c r="G1798" s="749">
        <v>1</v>
      </c>
      <c r="H1798" s="749"/>
      <c r="I1798" s="733"/>
      <c r="J1798" s="733"/>
      <c r="K1798" s="735">
        <v>0</v>
      </c>
      <c r="L1798" s="750">
        <v>0</v>
      </c>
    </row>
    <row r="1799" spans="1:12" ht="31.5" x14ac:dyDescent="0.25">
      <c r="A1799" s="561" t="s">
        <v>129</v>
      </c>
      <c r="B1799" s="749">
        <v>2023</v>
      </c>
      <c r="C1799" s="561" t="s">
        <v>721</v>
      </c>
      <c r="D1799" s="561" t="s">
        <v>3558</v>
      </c>
      <c r="E1799" s="561" t="s">
        <v>3016</v>
      </c>
      <c r="F1799" s="735">
        <v>0</v>
      </c>
      <c r="G1799" s="749">
        <v>1</v>
      </c>
      <c r="H1799" s="749"/>
      <c r="I1799" s="735">
        <v>-109823</v>
      </c>
      <c r="J1799" s="735">
        <v>9332</v>
      </c>
      <c r="K1799" s="735">
        <v>-100491</v>
      </c>
      <c r="L1799" s="750">
        <v>-100491</v>
      </c>
    </row>
    <row r="1800" spans="1:12" ht="31.5" x14ac:dyDescent="0.25">
      <c r="A1800" s="561" t="s">
        <v>129</v>
      </c>
      <c r="B1800" s="749">
        <v>2023</v>
      </c>
      <c r="C1800" s="561" t="s">
        <v>721</v>
      </c>
      <c r="D1800" s="561" t="s">
        <v>3559</v>
      </c>
      <c r="E1800" s="561" t="s">
        <v>3058</v>
      </c>
      <c r="F1800" s="735">
        <v>0</v>
      </c>
      <c r="G1800" s="749">
        <v>1</v>
      </c>
      <c r="H1800" s="749"/>
      <c r="I1800" s="735">
        <v>-61803</v>
      </c>
      <c r="J1800" s="735">
        <v>-2555</v>
      </c>
      <c r="K1800" s="735">
        <v>-64358</v>
      </c>
      <c r="L1800" s="750">
        <v>-64358</v>
      </c>
    </row>
    <row r="1801" spans="1:12" ht="31.5" x14ac:dyDescent="0.25">
      <c r="A1801" s="561" t="s">
        <v>129</v>
      </c>
      <c r="B1801" s="749">
        <v>2023</v>
      </c>
      <c r="C1801" s="561" t="s">
        <v>721</v>
      </c>
      <c r="D1801" s="561" t="s">
        <v>3560</v>
      </c>
      <c r="E1801" s="561" t="s">
        <v>3063</v>
      </c>
      <c r="F1801" s="735">
        <v>0</v>
      </c>
      <c r="G1801" s="749">
        <v>1</v>
      </c>
      <c r="H1801" s="749"/>
      <c r="I1801" s="733"/>
      <c r="J1801" s="733"/>
      <c r="K1801" s="735">
        <v>0</v>
      </c>
      <c r="L1801" s="750">
        <v>0</v>
      </c>
    </row>
    <row r="1802" spans="1:12" ht="31.5" x14ac:dyDescent="0.25">
      <c r="A1802" s="561" t="s">
        <v>129</v>
      </c>
      <c r="B1802" s="749">
        <v>2023</v>
      </c>
      <c r="C1802" s="561" t="s">
        <v>721</v>
      </c>
      <c r="D1802" s="561" t="s">
        <v>3892</v>
      </c>
      <c r="E1802" s="561" t="s">
        <v>3425</v>
      </c>
      <c r="F1802" s="735">
        <v>0</v>
      </c>
      <c r="G1802" s="749">
        <v>1</v>
      </c>
      <c r="H1802" s="749"/>
      <c r="I1802" s="733"/>
      <c r="J1802" s="733"/>
      <c r="K1802" s="735">
        <v>0</v>
      </c>
      <c r="L1802" s="750">
        <v>0</v>
      </c>
    </row>
    <row r="1803" spans="1:12" ht="42" x14ac:dyDescent="0.25">
      <c r="A1803" s="561" t="s">
        <v>129</v>
      </c>
      <c r="B1803" s="749">
        <v>2023</v>
      </c>
      <c r="C1803" s="561" t="s">
        <v>721</v>
      </c>
      <c r="D1803" s="561" t="s">
        <v>3893</v>
      </c>
      <c r="E1803" s="561" t="s">
        <v>737</v>
      </c>
      <c r="F1803" s="735">
        <v>-164849</v>
      </c>
      <c r="G1803" s="749">
        <v>0</v>
      </c>
      <c r="H1803" s="749"/>
      <c r="I1803" s="733"/>
      <c r="J1803" s="733"/>
      <c r="K1803" s="735">
        <v>0</v>
      </c>
      <c r="L1803" s="750">
        <v>-164849</v>
      </c>
    </row>
    <row r="1804" spans="1:12" x14ac:dyDescent="0.25">
      <c r="A1804" s="561" t="s">
        <v>129</v>
      </c>
      <c r="B1804" s="749">
        <v>2023</v>
      </c>
      <c r="C1804" s="561" t="s">
        <v>738</v>
      </c>
      <c r="D1804" s="561" t="s">
        <v>2023</v>
      </c>
      <c r="E1804" s="561" t="s">
        <v>7</v>
      </c>
      <c r="F1804" s="735">
        <v>0</v>
      </c>
      <c r="G1804" s="749">
        <v>0</v>
      </c>
      <c r="H1804" s="749"/>
      <c r="I1804" s="733"/>
      <c r="J1804" s="733"/>
      <c r="K1804" s="735">
        <v>0</v>
      </c>
      <c r="L1804" s="750">
        <v>0</v>
      </c>
    </row>
    <row r="1805" spans="1:12" x14ac:dyDescent="0.25">
      <c r="A1805" s="561" t="s">
        <v>3461</v>
      </c>
      <c r="B1805" s="749">
        <v>2023</v>
      </c>
      <c r="C1805" s="561" t="s">
        <v>647</v>
      </c>
      <c r="D1805" s="561" t="s">
        <v>2025</v>
      </c>
      <c r="E1805" s="561" t="s">
        <v>649</v>
      </c>
      <c r="F1805" s="735">
        <v>-539528.66</v>
      </c>
      <c r="G1805" s="749">
        <v>0</v>
      </c>
      <c r="H1805" s="749"/>
      <c r="I1805" s="733"/>
      <c r="J1805" s="733"/>
      <c r="K1805" s="735">
        <v>0</v>
      </c>
      <c r="L1805" s="750">
        <v>-539528.66</v>
      </c>
    </row>
    <row r="1806" spans="1:12" ht="21" x14ac:dyDescent="0.25">
      <c r="A1806" s="561" t="s">
        <v>3461</v>
      </c>
      <c r="B1806" s="749">
        <v>2023</v>
      </c>
      <c r="C1806" s="561" t="s">
        <v>3691</v>
      </c>
      <c r="D1806" s="561" t="s">
        <v>3655</v>
      </c>
      <c r="E1806" s="561" t="s">
        <v>3675</v>
      </c>
      <c r="F1806" s="735">
        <v>0</v>
      </c>
      <c r="G1806" s="749">
        <v>0</v>
      </c>
      <c r="H1806" s="749"/>
      <c r="I1806" s="733"/>
      <c r="J1806" s="733"/>
      <c r="K1806" s="735">
        <v>0</v>
      </c>
      <c r="L1806" s="750">
        <v>0</v>
      </c>
    </row>
    <row r="1807" spans="1:12" x14ac:dyDescent="0.25">
      <c r="A1807" s="561" t="s">
        <v>3461</v>
      </c>
      <c r="B1807" s="749">
        <v>2023</v>
      </c>
      <c r="C1807" s="561" t="s">
        <v>651</v>
      </c>
      <c r="D1807" s="561" t="s">
        <v>2026</v>
      </c>
      <c r="E1807" s="561" t="s">
        <v>653</v>
      </c>
      <c r="F1807" s="735">
        <v>156270.26</v>
      </c>
      <c r="G1807" s="749">
        <v>0</v>
      </c>
      <c r="H1807" s="749"/>
      <c r="I1807" s="733"/>
      <c r="J1807" s="733"/>
      <c r="K1807" s="735">
        <v>0</v>
      </c>
      <c r="L1807" s="750">
        <v>156270.26</v>
      </c>
    </row>
    <row r="1808" spans="1:12" ht="31.5" x14ac:dyDescent="0.25">
      <c r="A1808" s="561" t="s">
        <v>3461</v>
      </c>
      <c r="B1808" s="749">
        <v>2023</v>
      </c>
      <c r="C1808" s="561" t="s">
        <v>654</v>
      </c>
      <c r="D1808" s="561" t="s">
        <v>2027</v>
      </c>
      <c r="E1808" s="561" t="s">
        <v>445</v>
      </c>
      <c r="F1808" s="735">
        <v>0</v>
      </c>
      <c r="G1808" s="749">
        <v>0</v>
      </c>
      <c r="H1808" s="749"/>
      <c r="I1808" s="733"/>
      <c r="J1808" s="733"/>
      <c r="K1808" s="735">
        <v>0</v>
      </c>
      <c r="L1808" s="750">
        <v>0</v>
      </c>
    </row>
    <row r="1809" spans="1:12" ht="21" x14ac:dyDescent="0.25">
      <c r="A1809" s="561" t="s">
        <v>3461</v>
      </c>
      <c r="B1809" s="749">
        <v>2023</v>
      </c>
      <c r="C1809" s="561" t="s">
        <v>656</v>
      </c>
      <c r="D1809" s="561" t="s">
        <v>2028</v>
      </c>
      <c r="E1809" s="561" t="s">
        <v>658</v>
      </c>
      <c r="F1809" s="735">
        <v>0</v>
      </c>
      <c r="G1809" s="749">
        <v>0</v>
      </c>
      <c r="H1809" s="749"/>
      <c r="I1809" s="733"/>
      <c r="J1809" s="733"/>
      <c r="K1809" s="735">
        <v>0</v>
      </c>
      <c r="L1809" s="750">
        <v>0</v>
      </c>
    </row>
    <row r="1810" spans="1:12" ht="21" x14ac:dyDescent="0.25">
      <c r="A1810" s="561" t="s">
        <v>3461</v>
      </c>
      <c r="B1810" s="749">
        <v>2023</v>
      </c>
      <c r="C1810" s="561" t="s">
        <v>659</v>
      </c>
      <c r="D1810" s="561" t="s">
        <v>2029</v>
      </c>
      <c r="E1810" s="561" t="s">
        <v>661</v>
      </c>
      <c r="F1810" s="735">
        <v>0</v>
      </c>
      <c r="G1810" s="749">
        <v>0</v>
      </c>
      <c r="H1810" s="749"/>
      <c r="I1810" s="733"/>
      <c r="J1810" s="733"/>
      <c r="K1810" s="735">
        <v>0</v>
      </c>
      <c r="L1810" s="750">
        <v>0</v>
      </c>
    </row>
    <row r="1811" spans="1:12" ht="21" x14ac:dyDescent="0.25">
      <c r="A1811" s="561" t="s">
        <v>3461</v>
      </c>
      <c r="B1811" s="749">
        <v>2023</v>
      </c>
      <c r="C1811" s="561" t="s">
        <v>662</v>
      </c>
      <c r="D1811" s="561" t="s">
        <v>2030</v>
      </c>
      <c r="E1811" s="561" t="s">
        <v>664</v>
      </c>
      <c r="F1811" s="735">
        <v>0</v>
      </c>
      <c r="G1811" s="749">
        <v>0</v>
      </c>
      <c r="H1811" s="749"/>
      <c r="I1811" s="733"/>
      <c r="J1811" s="733"/>
      <c r="K1811" s="735">
        <v>0</v>
      </c>
      <c r="L1811" s="750">
        <v>0</v>
      </c>
    </row>
    <row r="1812" spans="1:12" ht="31.5" x14ac:dyDescent="0.25">
      <c r="A1812" s="561" t="s">
        <v>3461</v>
      </c>
      <c r="B1812" s="749">
        <v>2023</v>
      </c>
      <c r="C1812" s="561" t="s">
        <v>665</v>
      </c>
      <c r="D1812" s="561" t="s">
        <v>2031</v>
      </c>
      <c r="E1812" s="561" t="s">
        <v>667</v>
      </c>
      <c r="F1812" s="735">
        <v>0</v>
      </c>
      <c r="G1812" s="749">
        <v>0</v>
      </c>
      <c r="H1812" s="749"/>
      <c r="I1812" s="733"/>
      <c r="J1812" s="733"/>
      <c r="K1812" s="735">
        <v>0</v>
      </c>
      <c r="L1812" s="750">
        <v>0</v>
      </c>
    </row>
    <row r="1813" spans="1:12" ht="21" x14ac:dyDescent="0.25">
      <c r="A1813" s="561" t="s">
        <v>3461</v>
      </c>
      <c r="B1813" s="749">
        <v>2023</v>
      </c>
      <c r="C1813" s="561" t="s">
        <v>668</v>
      </c>
      <c r="D1813" s="561" t="s">
        <v>2032</v>
      </c>
      <c r="E1813" s="561" t="s">
        <v>12</v>
      </c>
      <c r="F1813" s="735">
        <v>0</v>
      </c>
      <c r="G1813" s="749">
        <v>0</v>
      </c>
      <c r="H1813" s="749"/>
      <c r="I1813" s="733"/>
      <c r="J1813" s="733"/>
      <c r="K1813" s="735">
        <v>0</v>
      </c>
      <c r="L1813" s="750">
        <v>0</v>
      </c>
    </row>
    <row r="1814" spans="1:12" ht="21" x14ac:dyDescent="0.25">
      <c r="A1814" s="561" t="s">
        <v>3461</v>
      </c>
      <c r="B1814" s="749">
        <v>2023</v>
      </c>
      <c r="C1814" s="561" t="s">
        <v>670</v>
      </c>
      <c r="D1814" s="561" t="s">
        <v>2033</v>
      </c>
      <c r="E1814" s="561" t="s">
        <v>13</v>
      </c>
      <c r="F1814" s="735">
        <v>0</v>
      </c>
      <c r="G1814" s="749">
        <v>0</v>
      </c>
      <c r="H1814" s="749"/>
      <c r="I1814" s="733"/>
      <c r="J1814" s="733"/>
      <c r="K1814" s="735">
        <v>0</v>
      </c>
      <c r="L1814" s="750">
        <v>0</v>
      </c>
    </row>
    <row r="1815" spans="1:12" ht="21" x14ac:dyDescent="0.25">
      <c r="A1815" s="561" t="s">
        <v>3461</v>
      </c>
      <c r="B1815" s="749">
        <v>2023</v>
      </c>
      <c r="C1815" s="561" t="s">
        <v>672</v>
      </c>
      <c r="D1815" s="561" t="s">
        <v>2034</v>
      </c>
      <c r="E1815" s="561" t="s">
        <v>15</v>
      </c>
      <c r="F1815" s="735">
        <v>0</v>
      </c>
      <c r="G1815" s="749">
        <v>0</v>
      </c>
      <c r="H1815" s="749"/>
      <c r="I1815" s="733"/>
      <c r="J1815" s="733"/>
      <c r="K1815" s="735">
        <v>0</v>
      </c>
      <c r="L1815" s="750">
        <v>0</v>
      </c>
    </row>
    <row r="1816" spans="1:12" x14ac:dyDescent="0.25">
      <c r="A1816" s="561" t="s">
        <v>3461</v>
      </c>
      <c r="B1816" s="749">
        <v>2023</v>
      </c>
      <c r="C1816" s="561" t="s">
        <v>674</v>
      </c>
      <c r="D1816" s="561" t="s">
        <v>2035</v>
      </c>
      <c r="E1816" s="561" t="s">
        <v>676</v>
      </c>
      <c r="F1816" s="735">
        <v>60886.1</v>
      </c>
      <c r="G1816" s="749">
        <v>0</v>
      </c>
      <c r="H1816" s="749"/>
      <c r="I1816" s="733"/>
      <c r="J1816" s="733"/>
      <c r="K1816" s="735">
        <v>0</v>
      </c>
      <c r="L1816" s="750">
        <v>60886.1</v>
      </c>
    </row>
    <row r="1817" spans="1:12" x14ac:dyDescent="0.25">
      <c r="A1817" s="561" t="s">
        <v>3461</v>
      </c>
      <c r="B1817" s="749">
        <v>2023</v>
      </c>
      <c r="C1817" s="561" t="s">
        <v>677</v>
      </c>
      <c r="D1817" s="561" t="s">
        <v>2036</v>
      </c>
      <c r="E1817" s="561" t="s">
        <v>23</v>
      </c>
      <c r="F1817" s="735">
        <v>1384747.48</v>
      </c>
      <c r="G1817" s="749">
        <v>1</v>
      </c>
      <c r="H1817" s="749"/>
      <c r="I1817" s="735">
        <v>1358772.82</v>
      </c>
      <c r="J1817" s="735">
        <v>25974.66</v>
      </c>
      <c r="K1817" s="735">
        <v>1384747.48</v>
      </c>
      <c r="L1817" s="750">
        <v>1384747.48</v>
      </c>
    </row>
    <row r="1818" spans="1:12" ht="21" x14ac:dyDescent="0.25">
      <c r="A1818" s="561" t="s">
        <v>3461</v>
      </c>
      <c r="B1818" s="749">
        <v>2023</v>
      </c>
      <c r="C1818" s="561" t="s">
        <v>679</v>
      </c>
      <c r="D1818" s="561" t="s">
        <v>2037</v>
      </c>
      <c r="E1818" s="561" t="s">
        <v>131</v>
      </c>
      <c r="F1818" s="735">
        <v>-150072.97</v>
      </c>
      <c r="G1818" s="749">
        <v>1</v>
      </c>
      <c r="H1818" s="749"/>
      <c r="I1818" s="735">
        <v>-148089.15</v>
      </c>
      <c r="J1818" s="735">
        <v>-1983.82</v>
      </c>
      <c r="K1818" s="735">
        <v>-150072.97</v>
      </c>
      <c r="L1818" s="750">
        <v>-150072.97</v>
      </c>
    </row>
    <row r="1819" spans="1:12" ht="31.5" x14ac:dyDescent="0.25">
      <c r="A1819" s="561" t="s">
        <v>3461</v>
      </c>
      <c r="B1819" s="749">
        <v>2023</v>
      </c>
      <c r="C1819" s="561" t="s">
        <v>681</v>
      </c>
      <c r="D1819" s="561" t="s">
        <v>2038</v>
      </c>
      <c r="E1819" s="561" t="s">
        <v>683</v>
      </c>
      <c r="F1819" s="735">
        <v>1949.04</v>
      </c>
      <c r="G1819" s="749">
        <v>0</v>
      </c>
      <c r="H1819" s="749"/>
      <c r="I1819" s="733"/>
      <c r="J1819" s="733"/>
      <c r="K1819" s="735">
        <v>0</v>
      </c>
      <c r="L1819" s="750">
        <v>1949.04</v>
      </c>
    </row>
    <row r="1820" spans="1:12" ht="21" x14ac:dyDescent="0.25">
      <c r="A1820" s="561" t="s">
        <v>3461</v>
      </c>
      <c r="B1820" s="749">
        <v>2023</v>
      </c>
      <c r="C1820" s="561" t="s">
        <v>681</v>
      </c>
      <c r="D1820" s="561" t="s">
        <v>2038</v>
      </c>
      <c r="E1820" s="561" t="s">
        <v>684</v>
      </c>
      <c r="F1820" s="735">
        <v>0</v>
      </c>
      <c r="G1820" s="749">
        <v>0</v>
      </c>
      <c r="H1820" s="749"/>
      <c r="I1820" s="733"/>
      <c r="J1820" s="733"/>
      <c r="K1820" s="735">
        <v>0</v>
      </c>
      <c r="L1820" s="751">
        <v>0</v>
      </c>
    </row>
    <row r="1821" spans="1:12" x14ac:dyDescent="0.25">
      <c r="A1821" s="561" t="s">
        <v>3461</v>
      </c>
      <c r="B1821" s="749">
        <v>2023</v>
      </c>
      <c r="C1821" s="561" t="s">
        <v>685</v>
      </c>
      <c r="D1821" s="561" t="s">
        <v>2039</v>
      </c>
      <c r="E1821" s="561" t="s">
        <v>687</v>
      </c>
      <c r="F1821" s="735">
        <v>716521.78</v>
      </c>
      <c r="G1821" s="749">
        <v>0</v>
      </c>
      <c r="H1821" s="749"/>
      <c r="I1821" s="733"/>
      <c r="J1821" s="733"/>
      <c r="K1821" s="735">
        <v>0</v>
      </c>
      <c r="L1821" s="750">
        <v>716521.78</v>
      </c>
    </row>
    <row r="1822" spans="1:12" x14ac:dyDescent="0.25">
      <c r="A1822" s="561" t="s">
        <v>3461</v>
      </c>
      <c r="B1822" s="749">
        <v>2023</v>
      </c>
      <c r="C1822" s="561" t="s">
        <v>688</v>
      </c>
      <c r="D1822" s="561" t="s">
        <v>2040</v>
      </c>
      <c r="E1822" s="561" t="s">
        <v>50</v>
      </c>
      <c r="F1822" s="735">
        <v>1032854.72</v>
      </c>
      <c r="G1822" s="749">
        <v>0</v>
      </c>
      <c r="H1822" s="749"/>
      <c r="I1822" s="733"/>
      <c r="J1822" s="733"/>
      <c r="K1822" s="735">
        <v>0</v>
      </c>
      <c r="L1822" s="750">
        <v>1032854.72</v>
      </c>
    </row>
    <row r="1823" spans="1:12" x14ac:dyDescent="0.25">
      <c r="A1823" s="561" t="s">
        <v>3461</v>
      </c>
      <c r="B1823" s="749">
        <v>2023</v>
      </c>
      <c r="C1823" s="561" t="s">
        <v>690</v>
      </c>
      <c r="D1823" s="561" t="s">
        <v>2041</v>
      </c>
      <c r="E1823" s="561" t="s">
        <v>692</v>
      </c>
      <c r="F1823" s="735">
        <v>0</v>
      </c>
      <c r="G1823" s="749">
        <v>0</v>
      </c>
      <c r="H1823" s="749"/>
      <c r="I1823" s="733"/>
      <c r="J1823" s="733"/>
      <c r="K1823" s="735">
        <v>0</v>
      </c>
      <c r="L1823" s="750">
        <v>0</v>
      </c>
    </row>
    <row r="1824" spans="1:12" ht="21" x14ac:dyDescent="0.25">
      <c r="A1824" s="561" t="s">
        <v>3461</v>
      </c>
      <c r="B1824" s="749">
        <v>2023</v>
      </c>
      <c r="C1824" s="561" t="s">
        <v>693</v>
      </c>
      <c r="D1824" s="561" t="s">
        <v>2042</v>
      </c>
      <c r="E1824" s="561" t="s">
        <v>6</v>
      </c>
      <c r="F1824" s="735">
        <v>0</v>
      </c>
      <c r="G1824" s="749">
        <v>0</v>
      </c>
      <c r="H1824" s="749"/>
      <c r="I1824" s="733"/>
      <c r="J1824" s="733"/>
      <c r="K1824" s="735">
        <v>0</v>
      </c>
      <c r="L1824" s="750">
        <v>0</v>
      </c>
    </row>
    <row r="1825" spans="1:12" ht="21" x14ac:dyDescent="0.25">
      <c r="A1825" s="561" t="s">
        <v>3461</v>
      </c>
      <c r="B1825" s="749">
        <v>2023</v>
      </c>
      <c r="C1825" s="561" t="s">
        <v>695</v>
      </c>
      <c r="D1825" s="561" t="s">
        <v>2043</v>
      </c>
      <c r="E1825" s="561" t="s">
        <v>697</v>
      </c>
      <c r="F1825" s="735">
        <v>0</v>
      </c>
      <c r="G1825" s="749">
        <v>0</v>
      </c>
      <c r="H1825" s="749"/>
      <c r="I1825" s="733"/>
      <c r="J1825" s="733"/>
      <c r="K1825" s="735">
        <v>0</v>
      </c>
      <c r="L1825" s="750">
        <v>0</v>
      </c>
    </row>
    <row r="1826" spans="1:12" x14ac:dyDescent="0.25">
      <c r="A1826" s="561" t="s">
        <v>3461</v>
      </c>
      <c r="B1826" s="749">
        <v>2023</v>
      </c>
      <c r="C1826" s="561" t="s">
        <v>698</v>
      </c>
      <c r="D1826" s="561" t="s">
        <v>2044</v>
      </c>
      <c r="E1826" s="561" t="s">
        <v>700</v>
      </c>
      <c r="F1826" s="735">
        <v>0</v>
      </c>
      <c r="G1826" s="749">
        <v>0</v>
      </c>
      <c r="H1826" s="749"/>
      <c r="I1826" s="733"/>
      <c r="J1826" s="733"/>
      <c r="K1826" s="735">
        <v>0</v>
      </c>
      <c r="L1826" s="750">
        <v>0</v>
      </c>
    </row>
    <row r="1827" spans="1:12" ht="21" x14ac:dyDescent="0.25">
      <c r="A1827" s="561" t="s">
        <v>3461</v>
      </c>
      <c r="B1827" s="749">
        <v>2023</v>
      </c>
      <c r="C1827" s="561" t="s">
        <v>701</v>
      </c>
      <c r="D1827" s="561" t="s">
        <v>2045</v>
      </c>
      <c r="E1827" s="561" t="s">
        <v>1</v>
      </c>
      <c r="F1827" s="735">
        <v>2437833.7200000002</v>
      </c>
      <c r="G1827" s="749">
        <v>1</v>
      </c>
      <c r="H1827" s="749"/>
      <c r="I1827" s="735">
        <v>2551321.5099999998</v>
      </c>
      <c r="J1827" s="735">
        <v>-113487.79</v>
      </c>
      <c r="K1827" s="735">
        <v>2437833.7200000002</v>
      </c>
      <c r="L1827" s="750">
        <v>2437833.7200000002</v>
      </c>
    </row>
    <row r="1828" spans="1:12" ht="21" x14ac:dyDescent="0.25">
      <c r="A1828" s="561" t="s">
        <v>3461</v>
      </c>
      <c r="B1828" s="749">
        <v>2023</v>
      </c>
      <c r="C1828" s="561" t="s">
        <v>701</v>
      </c>
      <c r="D1828" s="561" t="s">
        <v>2045</v>
      </c>
      <c r="E1828" s="561" t="s">
        <v>703</v>
      </c>
      <c r="F1828" s="735">
        <v>0</v>
      </c>
      <c r="G1828" s="749">
        <v>0</v>
      </c>
      <c r="H1828" s="749"/>
      <c r="I1828" s="733"/>
      <c r="J1828" s="733"/>
      <c r="K1828" s="735">
        <v>0</v>
      </c>
      <c r="L1828" s="751">
        <v>-159383.53</v>
      </c>
    </row>
    <row r="1829" spans="1:12" ht="21" x14ac:dyDescent="0.25">
      <c r="A1829" s="561" t="s">
        <v>3461</v>
      </c>
      <c r="B1829" s="749">
        <v>2023</v>
      </c>
      <c r="C1829" s="561" t="s">
        <v>701</v>
      </c>
      <c r="D1829" s="561" t="s">
        <v>2045</v>
      </c>
      <c r="E1829" s="561" t="s">
        <v>704</v>
      </c>
      <c r="F1829" s="735">
        <v>0</v>
      </c>
      <c r="G1829" s="749">
        <v>0</v>
      </c>
      <c r="H1829" s="749"/>
      <c r="I1829" s="733"/>
      <c r="J1829" s="733"/>
      <c r="K1829" s="735">
        <v>0</v>
      </c>
      <c r="L1829" s="751">
        <v>827.82</v>
      </c>
    </row>
    <row r="1830" spans="1:12" ht="21" x14ac:dyDescent="0.25">
      <c r="A1830" s="561" t="s">
        <v>3461</v>
      </c>
      <c r="B1830" s="749">
        <v>2023</v>
      </c>
      <c r="C1830" s="561" t="s">
        <v>701</v>
      </c>
      <c r="D1830" s="561" t="s">
        <v>2045</v>
      </c>
      <c r="E1830" s="561" t="s">
        <v>705</v>
      </c>
      <c r="F1830" s="735">
        <v>0</v>
      </c>
      <c r="G1830" s="749">
        <v>0</v>
      </c>
      <c r="H1830" s="749"/>
      <c r="I1830" s="733"/>
      <c r="J1830" s="733"/>
      <c r="K1830" s="735">
        <v>0</v>
      </c>
      <c r="L1830" s="751">
        <v>-558.83000000000004</v>
      </c>
    </row>
    <row r="1831" spans="1:12" ht="21" x14ac:dyDescent="0.25">
      <c r="A1831" s="561" t="s">
        <v>3461</v>
      </c>
      <c r="B1831" s="749">
        <v>2023</v>
      </c>
      <c r="C1831" s="561" t="s">
        <v>701</v>
      </c>
      <c r="D1831" s="561" t="s">
        <v>2045</v>
      </c>
      <c r="E1831" s="561" t="s">
        <v>706</v>
      </c>
      <c r="F1831" s="735">
        <v>0</v>
      </c>
      <c r="G1831" s="749">
        <v>0</v>
      </c>
      <c r="H1831" s="749"/>
      <c r="I1831" s="733"/>
      <c r="J1831" s="733"/>
      <c r="K1831" s="735">
        <v>0</v>
      </c>
      <c r="L1831" s="751">
        <v>-33870.160000000003</v>
      </c>
    </row>
    <row r="1832" spans="1:12" x14ac:dyDescent="0.25">
      <c r="A1832" s="561" t="s">
        <v>3461</v>
      </c>
      <c r="B1832" s="749">
        <v>2023</v>
      </c>
      <c r="C1832" s="561" t="s">
        <v>707</v>
      </c>
      <c r="D1832" s="561" t="s">
        <v>2046</v>
      </c>
      <c r="E1832" s="561" t="s">
        <v>709</v>
      </c>
      <c r="F1832" s="735">
        <v>0</v>
      </c>
      <c r="G1832" s="749">
        <v>0</v>
      </c>
      <c r="H1832" s="749"/>
      <c r="I1832" s="733"/>
      <c r="J1832" s="733"/>
      <c r="K1832" s="735">
        <v>0</v>
      </c>
      <c r="L1832" s="750">
        <v>0</v>
      </c>
    </row>
    <row r="1833" spans="1:12" ht="21" x14ac:dyDescent="0.25">
      <c r="A1833" s="561" t="s">
        <v>3461</v>
      </c>
      <c r="B1833" s="749">
        <v>2023</v>
      </c>
      <c r="C1833" s="561" t="s">
        <v>710</v>
      </c>
      <c r="D1833" s="561" t="s">
        <v>2047</v>
      </c>
      <c r="E1833" s="561" t="s">
        <v>2</v>
      </c>
      <c r="F1833" s="735">
        <v>1656104.66</v>
      </c>
      <c r="G1833" s="749">
        <v>1</v>
      </c>
      <c r="H1833" s="749"/>
      <c r="I1833" s="735">
        <v>1631414.63</v>
      </c>
      <c r="J1833" s="735">
        <v>24690.03</v>
      </c>
      <c r="K1833" s="735">
        <v>1656104.66</v>
      </c>
      <c r="L1833" s="750">
        <v>1656104.66</v>
      </c>
    </row>
    <row r="1834" spans="1:12" ht="21" x14ac:dyDescent="0.25">
      <c r="A1834" s="561" t="s">
        <v>3461</v>
      </c>
      <c r="B1834" s="749">
        <v>2023</v>
      </c>
      <c r="C1834" s="561" t="s">
        <v>712</v>
      </c>
      <c r="D1834" s="561" t="s">
        <v>2048</v>
      </c>
      <c r="E1834" s="561" t="s">
        <v>3</v>
      </c>
      <c r="F1834" s="735">
        <v>215930.48</v>
      </c>
      <c r="G1834" s="749">
        <v>1</v>
      </c>
      <c r="H1834" s="749"/>
      <c r="I1834" s="735">
        <v>213847.4</v>
      </c>
      <c r="J1834" s="735">
        <v>2083.08</v>
      </c>
      <c r="K1834" s="735">
        <v>215930.48</v>
      </c>
      <c r="L1834" s="750">
        <v>215930.48</v>
      </c>
    </row>
    <row r="1835" spans="1:12" ht="21" x14ac:dyDescent="0.25">
      <c r="A1835" s="561" t="s">
        <v>3461</v>
      </c>
      <c r="B1835" s="749">
        <v>2023</v>
      </c>
      <c r="C1835" s="561" t="s">
        <v>714</v>
      </c>
      <c r="D1835" s="561" t="s">
        <v>2049</v>
      </c>
      <c r="E1835" s="561" t="s">
        <v>38</v>
      </c>
      <c r="F1835" s="735">
        <v>1433397.42</v>
      </c>
      <c r="G1835" s="749">
        <v>1</v>
      </c>
      <c r="H1835" s="749"/>
      <c r="I1835" s="735">
        <v>1378423.59</v>
      </c>
      <c r="J1835" s="735">
        <v>54973.83</v>
      </c>
      <c r="K1835" s="735">
        <v>1433397.42</v>
      </c>
      <c r="L1835" s="750">
        <v>1433397.42</v>
      </c>
    </row>
    <row r="1836" spans="1:12" x14ac:dyDescent="0.25">
      <c r="A1836" s="561" t="s">
        <v>3461</v>
      </c>
      <c r="B1836" s="749">
        <v>2023</v>
      </c>
      <c r="C1836" s="561" t="s">
        <v>716</v>
      </c>
      <c r="D1836" s="561" t="s">
        <v>2050</v>
      </c>
      <c r="E1836" s="561" t="s">
        <v>66</v>
      </c>
      <c r="F1836" s="735">
        <v>321889.06</v>
      </c>
      <c r="G1836" s="749">
        <v>1</v>
      </c>
      <c r="H1836" s="749"/>
      <c r="I1836" s="735">
        <v>357239.74</v>
      </c>
      <c r="J1836" s="735">
        <v>-35350.68</v>
      </c>
      <c r="K1836" s="735">
        <v>321889.06</v>
      </c>
      <c r="L1836" s="750">
        <v>321889.06</v>
      </c>
    </row>
    <row r="1837" spans="1:12" ht="21" x14ac:dyDescent="0.25">
      <c r="A1837" s="561" t="s">
        <v>3461</v>
      </c>
      <c r="B1837" s="749">
        <v>2023</v>
      </c>
      <c r="C1837" s="561" t="s">
        <v>718</v>
      </c>
      <c r="D1837" s="561" t="s">
        <v>2051</v>
      </c>
      <c r="E1837" s="561" t="s">
        <v>720</v>
      </c>
      <c r="F1837" s="735">
        <v>-761575.95</v>
      </c>
      <c r="G1837" s="749">
        <v>0</v>
      </c>
      <c r="H1837" s="749"/>
      <c r="I1837" s="733"/>
      <c r="J1837" s="733"/>
      <c r="K1837" s="735">
        <v>0</v>
      </c>
      <c r="L1837" s="750">
        <v>-761575.95</v>
      </c>
    </row>
    <row r="1838" spans="1:12" ht="31.5" x14ac:dyDescent="0.25">
      <c r="A1838" s="561" t="s">
        <v>3461</v>
      </c>
      <c r="B1838" s="749">
        <v>2023</v>
      </c>
      <c r="C1838" s="561" t="s">
        <v>721</v>
      </c>
      <c r="D1838" s="561" t="s">
        <v>2053</v>
      </c>
      <c r="E1838" s="561" t="s">
        <v>724</v>
      </c>
      <c r="F1838" s="735">
        <v>0</v>
      </c>
      <c r="G1838" s="749">
        <v>1</v>
      </c>
      <c r="H1838" s="749"/>
      <c r="I1838" s="733"/>
      <c r="J1838" s="733"/>
      <c r="K1838" s="735">
        <v>0</v>
      </c>
      <c r="L1838" s="750">
        <v>0</v>
      </c>
    </row>
    <row r="1839" spans="1:12" ht="31.5" x14ac:dyDescent="0.25">
      <c r="A1839" s="561" t="s">
        <v>3461</v>
      </c>
      <c r="B1839" s="749">
        <v>2023</v>
      </c>
      <c r="C1839" s="561" t="s">
        <v>721</v>
      </c>
      <c r="D1839" s="561" t="s">
        <v>2054</v>
      </c>
      <c r="E1839" s="561" t="s">
        <v>55</v>
      </c>
      <c r="F1839" s="735">
        <v>0</v>
      </c>
      <c r="G1839" s="749">
        <v>1</v>
      </c>
      <c r="H1839" s="749"/>
      <c r="I1839" s="733"/>
      <c r="J1839" s="733"/>
      <c r="K1839" s="735">
        <v>0</v>
      </c>
      <c r="L1839" s="750">
        <v>0</v>
      </c>
    </row>
    <row r="1840" spans="1:12" ht="31.5" x14ac:dyDescent="0.25">
      <c r="A1840" s="561" t="s">
        <v>3461</v>
      </c>
      <c r="B1840" s="749">
        <v>2023</v>
      </c>
      <c r="C1840" s="561" t="s">
        <v>721</v>
      </c>
      <c r="D1840" s="561" t="s">
        <v>2055</v>
      </c>
      <c r="E1840" s="561" t="s">
        <v>56</v>
      </c>
      <c r="F1840" s="735">
        <v>0</v>
      </c>
      <c r="G1840" s="749">
        <v>1</v>
      </c>
      <c r="H1840" s="749"/>
      <c r="I1840" s="733"/>
      <c r="J1840" s="733"/>
      <c r="K1840" s="735">
        <v>0</v>
      </c>
      <c r="L1840" s="750">
        <v>0</v>
      </c>
    </row>
    <row r="1841" spans="1:12" ht="31.5" x14ac:dyDescent="0.25">
      <c r="A1841" s="561" t="s">
        <v>3461</v>
      </c>
      <c r="B1841" s="749">
        <v>2023</v>
      </c>
      <c r="C1841" s="561" t="s">
        <v>721</v>
      </c>
      <c r="D1841" s="561" t="s">
        <v>2056</v>
      </c>
      <c r="E1841" s="561" t="s">
        <v>728</v>
      </c>
      <c r="F1841" s="735">
        <v>0</v>
      </c>
      <c r="G1841" s="749">
        <v>1</v>
      </c>
      <c r="H1841" s="749"/>
      <c r="I1841" s="733"/>
      <c r="J1841" s="733"/>
      <c r="K1841" s="735">
        <v>0</v>
      </c>
      <c r="L1841" s="750">
        <v>0</v>
      </c>
    </row>
    <row r="1842" spans="1:12" ht="31.5" x14ac:dyDescent="0.25">
      <c r="A1842" s="561" t="s">
        <v>3461</v>
      </c>
      <c r="B1842" s="749">
        <v>2023</v>
      </c>
      <c r="C1842" s="561" t="s">
        <v>721</v>
      </c>
      <c r="D1842" s="561" t="s">
        <v>2057</v>
      </c>
      <c r="E1842" s="561" t="s">
        <v>730</v>
      </c>
      <c r="F1842" s="735">
        <v>0</v>
      </c>
      <c r="G1842" s="749">
        <v>1</v>
      </c>
      <c r="H1842" s="749"/>
      <c r="I1842" s="733"/>
      <c r="J1842" s="733"/>
      <c r="K1842" s="735">
        <v>0</v>
      </c>
      <c r="L1842" s="750">
        <v>0</v>
      </c>
    </row>
    <row r="1843" spans="1:12" ht="31.5" x14ac:dyDescent="0.25">
      <c r="A1843" s="561" t="s">
        <v>3461</v>
      </c>
      <c r="B1843" s="749">
        <v>2023</v>
      </c>
      <c r="C1843" s="561" t="s">
        <v>721</v>
      </c>
      <c r="D1843" s="561" t="s">
        <v>2058</v>
      </c>
      <c r="E1843" s="561" t="s">
        <v>142</v>
      </c>
      <c r="F1843" s="735">
        <v>0</v>
      </c>
      <c r="G1843" s="749">
        <v>1</v>
      </c>
      <c r="H1843" s="749"/>
      <c r="I1843" s="733"/>
      <c r="J1843" s="733"/>
      <c r="K1843" s="735">
        <v>0</v>
      </c>
      <c r="L1843" s="750">
        <v>0</v>
      </c>
    </row>
    <row r="1844" spans="1:12" ht="31.5" x14ac:dyDescent="0.25">
      <c r="A1844" s="561" t="s">
        <v>3461</v>
      </c>
      <c r="B1844" s="749">
        <v>2023</v>
      </c>
      <c r="C1844" s="561" t="s">
        <v>721</v>
      </c>
      <c r="D1844" s="561" t="s">
        <v>2059</v>
      </c>
      <c r="E1844" s="561" t="s">
        <v>143</v>
      </c>
      <c r="F1844" s="735">
        <v>0</v>
      </c>
      <c r="G1844" s="749">
        <v>1</v>
      </c>
      <c r="H1844" s="749"/>
      <c r="I1844" s="733"/>
      <c r="J1844" s="733"/>
      <c r="K1844" s="735">
        <v>0</v>
      </c>
      <c r="L1844" s="750">
        <v>0</v>
      </c>
    </row>
    <row r="1845" spans="1:12" ht="31.5" x14ac:dyDescent="0.25">
      <c r="A1845" s="561" t="s">
        <v>3461</v>
      </c>
      <c r="B1845" s="749">
        <v>2023</v>
      </c>
      <c r="C1845" s="561" t="s">
        <v>721</v>
      </c>
      <c r="D1845" s="561" t="s">
        <v>2060</v>
      </c>
      <c r="E1845" s="561" t="s">
        <v>182</v>
      </c>
      <c r="F1845" s="735">
        <v>0</v>
      </c>
      <c r="G1845" s="749">
        <v>1</v>
      </c>
      <c r="H1845" s="749"/>
      <c r="I1845" s="733"/>
      <c r="J1845" s="735">
        <v>-40.53</v>
      </c>
      <c r="K1845" s="735">
        <v>-40.53</v>
      </c>
      <c r="L1845" s="750">
        <v>-40.53</v>
      </c>
    </row>
    <row r="1846" spans="1:12" ht="31.5" x14ac:dyDescent="0.25">
      <c r="A1846" s="561" t="s">
        <v>3461</v>
      </c>
      <c r="B1846" s="749">
        <v>2023</v>
      </c>
      <c r="C1846" s="561" t="s">
        <v>721</v>
      </c>
      <c r="D1846" s="561" t="s">
        <v>2061</v>
      </c>
      <c r="E1846" s="561" t="s">
        <v>394</v>
      </c>
      <c r="F1846" s="735">
        <v>0</v>
      </c>
      <c r="G1846" s="749">
        <v>1</v>
      </c>
      <c r="H1846" s="749"/>
      <c r="I1846" s="733"/>
      <c r="J1846" s="733"/>
      <c r="K1846" s="735">
        <v>0</v>
      </c>
      <c r="L1846" s="750">
        <v>0</v>
      </c>
    </row>
    <row r="1847" spans="1:12" ht="31.5" x14ac:dyDescent="0.25">
      <c r="A1847" s="561" t="s">
        <v>3461</v>
      </c>
      <c r="B1847" s="749">
        <v>2023</v>
      </c>
      <c r="C1847" s="561" t="s">
        <v>721</v>
      </c>
      <c r="D1847" s="561" t="s">
        <v>2062</v>
      </c>
      <c r="E1847" s="561" t="s">
        <v>423</v>
      </c>
      <c r="F1847" s="735">
        <v>0</v>
      </c>
      <c r="G1847" s="749">
        <v>1</v>
      </c>
      <c r="H1847" s="749"/>
      <c r="I1847" s="733"/>
      <c r="J1847" s="735">
        <v>82.09</v>
      </c>
      <c r="K1847" s="735">
        <v>82.09</v>
      </c>
      <c r="L1847" s="750">
        <v>82.09</v>
      </c>
    </row>
    <row r="1848" spans="1:12" ht="31.5" x14ac:dyDescent="0.25">
      <c r="A1848" s="561" t="s">
        <v>3461</v>
      </c>
      <c r="B1848" s="749">
        <v>2023</v>
      </c>
      <c r="C1848" s="561" t="s">
        <v>721</v>
      </c>
      <c r="D1848" s="561" t="s">
        <v>3272</v>
      </c>
      <c r="E1848" s="561" t="s">
        <v>441</v>
      </c>
      <c r="F1848" s="735">
        <v>0</v>
      </c>
      <c r="G1848" s="749">
        <v>1</v>
      </c>
      <c r="H1848" s="749"/>
      <c r="I1848" s="735">
        <v>-441925.32</v>
      </c>
      <c r="J1848" s="735">
        <v>406850.07</v>
      </c>
      <c r="K1848" s="735">
        <v>-35075.25</v>
      </c>
      <c r="L1848" s="750">
        <v>-35075.25</v>
      </c>
    </row>
    <row r="1849" spans="1:12" ht="31.5" x14ac:dyDescent="0.25">
      <c r="A1849" s="561" t="s">
        <v>3461</v>
      </c>
      <c r="B1849" s="749">
        <v>2023</v>
      </c>
      <c r="C1849" s="561" t="s">
        <v>721</v>
      </c>
      <c r="D1849" s="561" t="s">
        <v>3561</v>
      </c>
      <c r="E1849" s="561" t="s">
        <v>3016</v>
      </c>
      <c r="F1849" s="735">
        <v>0</v>
      </c>
      <c r="G1849" s="749">
        <v>1</v>
      </c>
      <c r="H1849" s="749"/>
      <c r="I1849" s="735">
        <v>-12509.82</v>
      </c>
      <c r="J1849" s="735">
        <v>61756.71</v>
      </c>
      <c r="K1849" s="735">
        <v>49246.89</v>
      </c>
      <c r="L1849" s="750">
        <v>49246.89</v>
      </c>
    </row>
    <row r="1850" spans="1:12" ht="31.5" x14ac:dyDescent="0.25">
      <c r="A1850" s="561" t="s">
        <v>3461</v>
      </c>
      <c r="B1850" s="749">
        <v>2023</v>
      </c>
      <c r="C1850" s="561" t="s">
        <v>721</v>
      </c>
      <c r="D1850" s="561" t="s">
        <v>3562</v>
      </c>
      <c r="E1850" s="561" t="s">
        <v>3058</v>
      </c>
      <c r="F1850" s="735">
        <v>0</v>
      </c>
      <c r="G1850" s="749">
        <v>1</v>
      </c>
      <c r="H1850" s="749"/>
      <c r="I1850" s="735">
        <v>-21315.200000000001</v>
      </c>
      <c r="J1850" s="735">
        <v>17959.189999999999</v>
      </c>
      <c r="K1850" s="735">
        <v>-3356.01</v>
      </c>
      <c r="L1850" s="750">
        <v>-3356.01</v>
      </c>
    </row>
    <row r="1851" spans="1:12" ht="31.5" x14ac:dyDescent="0.25">
      <c r="A1851" s="561" t="s">
        <v>3461</v>
      </c>
      <c r="B1851" s="749">
        <v>2023</v>
      </c>
      <c r="C1851" s="561" t="s">
        <v>721</v>
      </c>
      <c r="D1851" s="561" t="s">
        <v>3563</v>
      </c>
      <c r="E1851" s="561" t="s">
        <v>3063</v>
      </c>
      <c r="F1851" s="735">
        <v>0</v>
      </c>
      <c r="G1851" s="749">
        <v>1</v>
      </c>
      <c r="H1851" s="749"/>
      <c r="I1851" s="735">
        <v>15521.18</v>
      </c>
      <c r="J1851" s="735">
        <v>-90291</v>
      </c>
      <c r="K1851" s="735">
        <v>-74769.820000000007</v>
      </c>
      <c r="L1851" s="750">
        <v>-74769.820000000007</v>
      </c>
    </row>
    <row r="1852" spans="1:12" ht="31.5" x14ac:dyDescent="0.25">
      <c r="A1852" s="561" t="s">
        <v>3461</v>
      </c>
      <c r="B1852" s="749">
        <v>2023</v>
      </c>
      <c r="C1852" s="561" t="s">
        <v>721</v>
      </c>
      <c r="D1852" s="561" t="s">
        <v>3894</v>
      </c>
      <c r="E1852" s="561" t="s">
        <v>3425</v>
      </c>
      <c r="F1852" s="735">
        <v>0</v>
      </c>
      <c r="G1852" s="749">
        <v>1</v>
      </c>
      <c r="H1852" s="749"/>
      <c r="I1852" s="735">
        <v>361959.04</v>
      </c>
      <c r="J1852" s="735">
        <v>53403.05</v>
      </c>
      <c r="K1852" s="735">
        <v>415362.09</v>
      </c>
      <c r="L1852" s="750">
        <v>415362.09</v>
      </c>
    </row>
    <row r="1853" spans="1:12" ht="42" x14ac:dyDescent="0.25">
      <c r="A1853" s="561" t="s">
        <v>3461</v>
      </c>
      <c r="B1853" s="749">
        <v>2023</v>
      </c>
      <c r="C1853" s="561" t="s">
        <v>721</v>
      </c>
      <c r="D1853" s="561" t="s">
        <v>3895</v>
      </c>
      <c r="E1853" s="561" t="s">
        <v>737</v>
      </c>
      <c r="F1853" s="735">
        <v>351449.46</v>
      </c>
      <c r="G1853" s="749">
        <v>0</v>
      </c>
      <c r="H1853" s="749"/>
      <c r="I1853" s="733"/>
      <c r="J1853" s="733"/>
      <c r="K1853" s="735">
        <v>0</v>
      </c>
      <c r="L1853" s="750">
        <v>351449.46</v>
      </c>
    </row>
    <row r="1854" spans="1:12" x14ac:dyDescent="0.25">
      <c r="A1854" s="561" t="s">
        <v>3461</v>
      </c>
      <c r="B1854" s="749">
        <v>2023</v>
      </c>
      <c r="C1854" s="561" t="s">
        <v>738</v>
      </c>
      <c r="D1854" s="561" t="s">
        <v>2064</v>
      </c>
      <c r="E1854" s="561" t="s">
        <v>7</v>
      </c>
      <c r="F1854" s="735">
        <v>4910.17</v>
      </c>
      <c r="G1854" s="749">
        <v>0</v>
      </c>
      <c r="H1854" s="749"/>
      <c r="I1854" s="733"/>
      <c r="J1854" s="733"/>
      <c r="K1854" s="735">
        <v>0</v>
      </c>
      <c r="L1854" s="750">
        <v>4910.17</v>
      </c>
    </row>
    <row r="1855" spans="1:12" x14ac:dyDescent="0.25">
      <c r="A1855" s="561" t="s">
        <v>103</v>
      </c>
      <c r="B1855" s="749">
        <v>2023</v>
      </c>
      <c r="C1855" s="561" t="s">
        <v>647</v>
      </c>
      <c r="D1855" s="561" t="s">
        <v>2065</v>
      </c>
      <c r="E1855" s="561" t="s">
        <v>649</v>
      </c>
      <c r="F1855" s="735">
        <v>-1463659.18</v>
      </c>
      <c r="G1855" s="749">
        <v>0</v>
      </c>
      <c r="H1855" s="749"/>
      <c r="I1855" s="733"/>
      <c r="J1855" s="733"/>
      <c r="K1855" s="735">
        <v>0</v>
      </c>
      <c r="L1855" s="750">
        <v>-1463659.18</v>
      </c>
    </row>
    <row r="1856" spans="1:12" ht="21" x14ac:dyDescent="0.25">
      <c r="A1856" s="561" t="s">
        <v>103</v>
      </c>
      <c r="B1856" s="749">
        <v>2023</v>
      </c>
      <c r="C1856" s="561" t="s">
        <v>3691</v>
      </c>
      <c r="D1856" s="561" t="s">
        <v>3656</v>
      </c>
      <c r="E1856" s="561" t="s">
        <v>3675</v>
      </c>
      <c r="F1856" s="735">
        <v>0</v>
      </c>
      <c r="G1856" s="749">
        <v>0</v>
      </c>
      <c r="H1856" s="749"/>
      <c r="I1856" s="733"/>
      <c r="J1856" s="733"/>
      <c r="K1856" s="735">
        <v>0</v>
      </c>
      <c r="L1856" s="750">
        <v>0</v>
      </c>
    </row>
    <row r="1857" spans="1:12" x14ac:dyDescent="0.25">
      <c r="A1857" s="561" t="s">
        <v>103</v>
      </c>
      <c r="B1857" s="749">
        <v>2023</v>
      </c>
      <c r="C1857" s="561" t="s">
        <v>651</v>
      </c>
      <c r="D1857" s="561" t="s">
        <v>2066</v>
      </c>
      <c r="E1857" s="561" t="s">
        <v>653</v>
      </c>
      <c r="F1857" s="735">
        <v>0</v>
      </c>
      <c r="G1857" s="749">
        <v>0</v>
      </c>
      <c r="H1857" s="749"/>
      <c r="I1857" s="733"/>
      <c r="J1857" s="733"/>
      <c r="K1857" s="735">
        <v>0</v>
      </c>
      <c r="L1857" s="750">
        <v>0</v>
      </c>
    </row>
    <row r="1858" spans="1:12" ht="31.5" x14ac:dyDescent="0.25">
      <c r="A1858" s="561" t="s">
        <v>103</v>
      </c>
      <c r="B1858" s="749">
        <v>2023</v>
      </c>
      <c r="C1858" s="561" t="s">
        <v>654</v>
      </c>
      <c r="D1858" s="561" t="s">
        <v>2067</v>
      </c>
      <c r="E1858" s="561" t="s">
        <v>445</v>
      </c>
      <c r="F1858" s="735">
        <v>0</v>
      </c>
      <c r="G1858" s="749">
        <v>0</v>
      </c>
      <c r="H1858" s="749"/>
      <c r="I1858" s="733"/>
      <c r="J1858" s="733"/>
      <c r="K1858" s="735">
        <v>0</v>
      </c>
      <c r="L1858" s="750">
        <v>0</v>
      </c>
    </row>
    <row r="1859" spans="1:12" ht="21" x14ac:dyDescent="0.25">
      <c r="A1859" s="561" t="s">
        <v>103</v>
      </c>
      <c r="B1859" s="749">
        <v>2023</v>
      </c>
      <c r="C1859" s="561" t="s">
        <v>656</v>
      </c>
      <c r="D1859" s="561" t="s">
        <v>2068</v>
      </c>
      <c r="E1859" s="561" t="s">
        <v>658</v>
      </c>
      <c r="F1859" s="735">
        <v>0</v>
      </c>
      <c r="G1859" s="749">
        <v>0</v>
      </c>
      <c r="H1859" s="749"/>
      <c r="I1859" s="733"/>
      <c r="J1859" s="733"/>
      <c r="K1859" s="735">
        <v>0</v>
      </c>
      <c r="L1859" s="750">
        <v>0</v>
      </c>
    </row>
    <row r="1860" spans="1:12" ht="21" x14ac:dyDescent="0.25">
      <c r="A1860" s="561" t="s">
        <v>103</v>
      </c>
      <c r="B1860" s="749">
        <v>2023</v>
      </c>
      <c r="C1860" s="561" t="s">
        <v>659</v>
      </c>
      <c r="D1860" s="561" t="s">
        <v>2069</v>
      </c>
      <c r="E1860" s="561" t="s">
        <v>661</v>
      </c>
      <c r="F1860" s="735">
        <v>0</v>
      </c>
      <c r="G1860" s="749">
        <v>0</v>
      </c>
      <c r="H1860" s="749"/>
      <c r="I1860" s="733"/>
      <c r="J1860" s="733"/>
      <c r="K1860" s="735">
        <v>0</v>
      </c>
      <c r="L1860" s="750">
        <v>0</v>
      </c>
    </row>
    <row r="1861" spans="1:12" ht="21" x14ac:dyDescent="0.25">
      <c r="A1861" s="561" t="s">
        <v>103</v>
      </c>
      <c r="B1861" s="749">
        <v>2023</v>
      </c>
      <c r="C1861" s="561" t="s">
        <v>662</v>
      </c>
      <c r="D1861" s="561" t="s">
        <v>2070</v>
      </c>
      <c r="E1861" s="561" t="s">
        <v>664</v>
      </c>
      <c r="F1861" s="735">
        <v>0</v>
      </c>
      <c r="G1861" s="749">
        <v>0</v>
      </c>
      <c r="H1861" s="749"/>
      <c r="I1861" s="733"/>
      <c r="J1861" s="733"/>
      <c r="K1861" s="735">
        <v>0</v>
      </c>
      <c r="L1861" s="750">
        <v>0</v>
      </c>
    </row>
    <row r="1862" spans="1:12" ht="31.5" x14ac:dyDescent="0.25">
      <c r="A1862" s="561" t="s">
        <v>103</v>
      </c>
      <c r="B1862" s="749">
        <v>2023</v>
      </c>
      <c r="C1862" s="561" t="s">
        <v>665</v>
      </c>
      <c r="D1862" s="561" t="s">
        <v>2071</v>
      </c>
      <c r="E1862" s="561" t="s">
        <v>667</v>
      </c>
      <c r="F1862" s="735">
        <v>0</v>
      </c>
      <c r="G1862" s="749">
        <v>0</v>
      </c>
      <c r="H1862" s="749"/>
      <c r="I1862" s="733"/>
      <c r="J1862" s="733"/>
      <c r="K1862" s="735">
        <v>0</v>
      </c>
      <c r="L1862" s="750">
        <v>0</v>
      </c>
    </row>
    <row r="1863" spans="1:12" ht="21" x14ac:dyDescent="0.25">
      <c r="A1863" s="561" t="s">
        <v>103</v>
      </c>
      <c r="B1863" s="749">
        <v>2023</v>
      </c>
      <c r="C1863" s="561" t="s">
        <v>668</v>
      </c>
      <c r="D1863" s="561" t="s">
        <v>2072</v>
      </c>
      <c r="E1863" s="561" t="s">
        <v>12</v>
      </c>
      <c r="F1863" s="735">
        <v>0</v>
      </c>
      <c r="G1863" s="749">
        <v>0</v>
      </c>
      <c r="H1863" s="749"/>
      <c r="I1863" s="733"/>
      <c r="J1863" s="733"/>
      <c r="K1863" s="735">
        <v>0</v>
      </c>
      <c r="L1863" s="750">
        <v>0</v>
      </c>
    </row>
    <row r="1864" spans="1:12" ht="21" x14ac:dyDescent="0.25">
      <c r="A1864" s="561" t="s">
        <v>103</v>
      </c>
      <c r="B1864" s="749">
        <v>2023</v>
      </c>
      <c r="C1864" s="561" t="s">
        <v>670</v>
      </c>
      <c r="D1864" s="561" t="s">
        <v>2073</v>
      </c>
      <c r="E1864" s="561" t="s">
        <v>13</v>
      </c>
      <c r="F1864" s="735">
        <v>0</v>
      </c>
      <c r="G1864" s="749">
        <v>0</v>
      </c>
      <c r="H1864" s="749"/>
      <c r="I1864" s="733"/>
      <c r="J1864" s="733"/>
      <c r="K1864" s="735">
        <v>0</v>
      </c>
      <c r="L1864" s="750">
        <v>0</v>
      </c>
    </row>
    <row r="1865" spans="1:12" ht="21" x14ac:dyDescent="0.25">
      <c r="A1865" s="561" t="s">
        <v>103</v>
      </c>
      <c r="B1865" s="749">
        <v>2023</v>
      </c>
      <c r="C1865" s="561" t="s">
        <v>672</v>
      </c>
      <c r="D1865" s="561" t="s">
        <v>2074</v>
      </c>
      <c r="E1865" s="561" t="s">
        <v>15</v>
      </c>
      <c r="F1865" s="735">
        <v>0</v>
      </c>
      <c r="G1865" s="749">
        <v>0</v>
      </c>
      <c r="H1865" s="749"/>
      <c r="I1865" s="733"/>
      <c r="J1865" s="733"/>
      <c r="K1865" s="735">
        <v>0</v>
      </c>
      <c r="L1865" s="750">
        <v>0</v>
      </c>
    </row>
    <row r="1866" spans="1:12" x14ac:dyDescent="0.25">
      <c r="A1866" s="561" t="s">
        <v>103</v>
      </c>
      <c r="B1866" s="749">
        <v>2023</v>
      </c>
      <c r="C1866" s="561" t="s">
        <v>674</v>
      </c>
      <c r="D1866" s="561" t="s">
        <v>2075</v>
      </c>
      <c r="E1866" s="561" t="s">
        <v>676</v>
      </c>
      <c r="F1866" s="735">
        <v>0</v>
      </c>
      <c r="G1866" s="749">
        <v>0</v>
      </c>
      <c r="H1866" s="749"/>
      <c r="I1866" s="733"/>
      <c r="J1866" s="733"/>
      <c r="K1866" s="735">
        <v>0</v>
      </c>
      <c r="L1866" s="750">
        <v>0</v>
      </c>
    </row>
    <row r="1867" spans="1:12" x14ac:dyDescent="0.25">
      <c r="A1867" s="561" t="s">
        <v>103</v>
      </c>
      <c r="B1867" s="749">
        <v>2023</v>
      </c>
      <c r="C1867" s="561" t="s">
        <v>677</v>
      </c>
      <c r="D1867" s="561" t="s">
        <v>2076</v>
      </c>
      <c r="E1867" s="561" t="s">
        <v>23</v>
      </c>
      <c r="F1867" s="735">
        <v>743049.15</v>
      </c>
      <c r="G1867" s="749">
        <v>1</v>
      </c>
      <c r="H1867" s="749"/>
      <c r="I1867" s="735">
        <v>729713.14</v>
      </c>
      <c r="J1867" s="735">
        <v>13336.01</v>
      </c>
      <c r="K1867" s="735">
        <v>743049.15</v>
      </c>
      <c r="L1867" s="750">
        <v>743049.15</v>
      </c>
    </row>
    <row r="1868" spans="1:12" ht="21" x14ac:dyDescent="0.25">
      <c r="A1868" s="561" t="s">
        <v>103</v>
      </c>
      <c r="B1868" s="749">
        <v>2023</v>
      </c>
      <c r="C1868" s="561" t="s">
        <v>679</v>
      </c>
      <c r="D1868" s="561" t="s">
        <v>2077</v>
      </c>
      <c r="E1868" s="561" t="s">
        <v>131</v>
      </c>
      <c r="F1868" s="735">
        <v>-203862.74</v>
      </c>
      <c r="G1868" s="749">
        <v>1</v>
      </c>
      <c r="H1868" s="749"/>
      <c r="I1868" s="735">
        <v>-201371.26</v>
      </c>
      <c r="J1868" s="735">
        <v>-2491.48</v>
      </c>
      <c r="K1868" s="735">
        <v>-203862.74</v>
      </c>
      <c r="L1868" s="750">
        <v>-203862.74</v>
      </c>
    </row>
    <row r="1869" spans="1:12" ht="31.5" x14ac:dyDescent="0.25">
      <c r="A1869" s="561" t="s">
        <v>103</v>
      </c>
      <c r="B1869" s="749">
        <v>2023</v>
      </c>
      <c r="C1869" s="561" t="s">
        <v>681</v>
      </c>
      <c r="D1869" s="561" t="s">
        <v>2078</v>
      </c>
      <c r="E1869" s="561" t="s">
        <v>683</v>
      </c>
      <c r="F1869" s="735">
        <v>0</v>
      </c>
      <c r="G1869" s="749">
        <v>0</v>
      </c>
      <c r="H1869" s="749"/>
      <c r="I1869" s="733"/>
      <c r="J1869" s="733"/>
      <c r="K1869" s="735">
        <v>0</v>
      </c>
      <c r="L1869" s="750">
        <v>0</v>
      </c>
    </row>
    <row r="1870" spans="1:12" ht="21" x14ac:dyDescent="0.25">
      <c r="A1870" s="561" t="s">
        <v>103</v>
      </c>
      <c r="B1870" s="749">
        <v>2023</v>
      </c>
      <c r="C1870" s="561" t="s">
        <v>681</v>
      </c>
      <c r="D1870" s="561" t="s">
        <v>2078</v>
      </c>
      <c r="E1870" s="561" t="s">
        <v>684</v>
      </c>
      <c r="F1870" s="735">
        <v>0</v>
      </c>
      <c r="G1870" s="749">
        <v>0</v>
      </c>
      <c r="H1870" s="749"/>
      <c r="I1870" s="733"/>
      <c r="J1870" s="733"/>
      <c r="K1870" s="735">
        <v>0</v>
      </c>
      <c r="L1870" s="751">
        <v>0</v>
      </c>
    </row>
    <row r="1871" spans="1:12" x14ac:dyDescent="0.25">
      <c r="A1871" s="561" t="s">
        <v>103</v>
      </c>
      <c r="B1871" s="749">
        <v>2023</v>
      </c>
      <c r="C1871" s="561" t="s">
        <v>685</v>
      </c>
      <c r="D1871" s="561" t="s">
        <v>2079</v>
      </c>
      <c r="E1871" s="561" t="s">
        <v>687</v>
      </c>
      <c r="F1871" s="735">
        <v>0</v>
      </c>
      <c r="G1871" s="749">
        <v>0</v>
      </c>
      <c r="H1871" s="749"/>
      <c r="I1871" s="733"/>
      <c r="J1871" s="733"/>
      <c r="K1871" s="735">
        <v>0</v>
      </c>
      <c r="L1871" s="750">
        <v>0</v>
      </c>
    </row>
    <row r="1872" spans="1:12" x14ac:dyDescent="0.25">
      <c r="A1872" s="561" t="s">
        <v>103</v>
      </c>
      <c r="B1872" s="749">
        <v>2023</v>
      </c>
      <c r="C1872" s="561" t="s">
        <v>688</v>
      </c>
      <c r="D1872" s="561" t="s">
        <v>2080</v>
      </c>
      <c r="E1872" s="561" t="s">
        <v>50</v>
      </c>
      <c r="F1872" s="735">
        <v>0</v>
      </c>
      <c r="G1872" s="749">
        <v>0</v>
      </c>
      <c r="H1872" s="749"/>
      <c r="I1872" s="733"/>
      <c r="J1872" s="733"/>
      <c r="K1872" s="735">
        <v>0</v>
      </c>
      <c r="L1872" s="750">
        <v>0</v>
      </c>
    </row>
    <row r="1873" spans="1:12" x14ac:dyDescent="0.25">
      <c r="A1873" s="561" t="s">
        <v>103</v>
      </c>
      <c r="B1873" s="749">
        <v>2023</v>
      </c>
      <c r="C1873" s="561" t="s">
        <v>690</v>
      </c>
      <c r="D1873" s="561" t="s">
        <v>2081</v>
      </c>
      <c r="E1873" s="561" t="s">
        <v>692</v>
      </c>
      <c r="F1873" s="735">
        <v>0</v>
      </c>
      <c r="G1873" s="749">
        <v>0</v>
      </c>
      <c r="H1873" s="749"/>
      <c r="I1873" s="733"/>
      <c r="J1873" s="733"/>
      <c r="K1873" s="735">
        <v>0</v>
      </c>
      <c r="L1873" s="750">
        <v>0</v>
      </c>
    </row>
    <row r="1874" spans="1:12" ht="21" x14ac:dyDescent="0.25">
      <c r="A1874" s="561" t="s">
        <v>103</v>
      </c>
      <c r="B1874" s="749">
        <v>2023</v>
      </c>
      <c r="C1874" s="561" t="s">
        <v>693</v>
      </c>
      <c r="D1874" s="561" t="s">
        <v>2082</v>
      </c>
      <c r="E1874" s="561" t="s">
        <v>6</v>
      </c>
      <c r="F1874" s="735">
        <v>0</v>
      </c>
      <c r="G1874" s="749">
        <v>0</v>
      </c>
      <c r="H1874" s="749"/>
      <c r="I1874" s="733"/>
      <c r="J1874" s="733"/>
      <c r="K1874" s="735">
        <v>0</v>
      </c>
      <c r="L1874" s="750">
        <v>0</v>
      </c>
    </row>
    <row r="1875" spans="1:12" ht="21" x14ac:dyDescent="0.25">
      <c r="A1875" s="561" t="s">
        <v>103</v>
      </c>
      <c r="B1875" s="749">
        <v>2023</v>
      </c>
      <c r="C1875" s="561" t="s">
        <v>695</v>
      </c>
      <c r="D1875" s="561" t="s">
        <v>2083</v>
      </c>
      <c r="E1875" s="561" t="s">
        <v>697</v>
      </c>
      <c r="F1875" s="735">
        <v>0</v>
      </c>
      <c r="G1875" s="749">
        <v>0</v>
      </c>
      <c r="H1875" s="749"/>
      <c r="I1875" s="733"/>
      <c r="J1875" s="733"/>
      <c r="K1875" s="735">
        <v>0</v>
      </c>
      <c r="L1875" s="750">
        <v>0</v>
      </c>
    </row>
    <row r="1876" spans="1:12" x14ac:dyDescent="0.25">
      <c r="A1876" s="561" t="s">
        <v>103</v>
      </c>
      <c r="B1876" s="749">
        <v>2023</v>
      </c>
      <c r="C1876" s="561" t="s">
        <v>698</v>
      </c>
      <c r="D1876" s="561" t="s">
        <v>2084</v>
      </c>
      <c r="E1876" s="561" t="s">
        <v>700</v>
      </c>
      <c r="F1876" s="735">
        <v>0</v>
      </c>
      <c r="G1876" s="749">
        <v>0</v>
      </c>
      <c r="H1876" s="749"/>
      <c r="I1876" s="733"/>
      <c r="J1876" s="733"/>
      <c r="K1876" s="735">
        <v>0</v>
      </c>
      <c r="L1876" s="750">
        <v>0</v>
      </c>
    </row>
    <row r="1877" spans="1:12" ht="21" x14ac:dyDescent="0.25">
      <c r="A1877" s="561" t="s">
        <v>103</v>
      </c>
      <c r="B1877" s="749">
        <v>2023</v>
      </c>
      <c r="C1877" s="561" t="s">
        <v>701</v>
      </c>
      <c r="D1877" s="561" t="s">
        <v>2085</v>
      </c>
      <c r="E1877" s="561" t="s">
        <v>1</v>
      </c>
      <c r="F1877" s="735">
        <v>3398488.86</v>
      </c>
      <c r="G1877" s="749">
        <v>1</v>
      </c>
      <c r="H1877" s="749"/>
      <c r="I1877" s="735">
        <v>3344275.72</v>
      </c>
      <c r="J1877" s="735">
        <v>54213.14</v>
      </c>
      <c r="K1877" s="735">
        <v>3398488.86</v>
      </c>
      <c r="L1877" s="750">
        <v>3398488.86</v>
      </c>
    </row>
    <row r="1878" spans="1:12" ht="21" x14ac:dyDescent="0.25">
      <c r="A1878" s="561" t="s">
        <v>103</v>
      </c>
      <c r="B1878" s="749">
        <v>2023</v>
      </c>
      <c r="C1878" s="561" t="s">
        <v>701</v>
      </c>
      <c r="D1878" s="561" t="s">
        <v>2085</v>
      </c>
      <c r="E1878" s="561" t="s">
        <v>703</v>
      </c>
      <c r="F1878" s="735">
        <v>0</v>
      </c>
      <c r="G1878" s="749">
        <v>0</v>
      </c>
      <c r="H1878" s="749"/>
      <c r="I1878" s="733"/>
      <c r="J1878" s="733"/>
      <c r="K1878" s="735">
        <v>0</v>
      </c>
      <c r="L1878" s="751">
        <v>0</v>
      </c>
    </row>
    <row r="1879" spans="1:12" ht="21" x14ac:dyDescent="0.25">
      <c r="A1879" s="561" t="s">
        <v>103</v>
      </c>
      <c r="B1879" s="749">
        <v>2023</v>
      </c>
      <c r="C1879" s="561" t="s">
        <v>701</v>
      </c>
      <c r="D1879" s="561" t="s">
        <v>2085</v>
      </c>
      <c r="E1879" s="561" t="s">
        <v>704</v>
      </c>
      <c r="F1879" s="735">
        <v>0</v>
      </c>
      <c r="G1879" s="749">
        <v>0</v>
      </c>
      <c r="H1879" s="749"/>
      <c r="I1879" s="733"/>
      <c r="J1879" s="733"/>
      <c r="K1879" s="735">
        <v>0</v>
      </c>
      <c r="L1879" s="751">
        <v>0</v>
      </c>
    </row>
    <row r="1880" spans="1:12" ht="21" x14ac:dyDescent="0.25">
      <c r="A1880" s="561" t="s">
        <v>103</v>
      </c>
      <c r="B1880" s="749">
        <v>2023</v>
      </c>
      <c r="C1880" s="561" t="s">
        <v>701</v>
      </c>
      <c r="D1880" s="561" t="s">
        <v>2085</v>
      </c>
      <c r="E1880" s="561" t="s">
        <v>705</v>
      </c>
      <c r="F1880" s="735">
        <v>0</v>
      </c>
      <c r="G1880" s="749">
        <v>0</v>
      </c>
      <c r="H1880" s="749"/>
      <c r="I1880" s="733"/>
      <c r="J1880" s="733"/>
      <c r="K1880" s="735">
        <v>0</v>
      </c>
      <c r="L1880" s="751">
        <v>-4791.2299999999996</v>
      </c>
    </row>
    <row r="1881" spans="1:12" ht="21" x14ac:dyDescent="0.25">
      <c r="A1881" s="561" t="s">
        <v>103</v>
      </c>
      <c r="B1881" s="749">
        <v>2023</v>
      </c>
      <c r="C1881" s="561" t="s">
        <v>701</v>
      </c>
      <c r="D1881" s="561" t="s">
        <v>2085</v>
      </c>
      <c r="E1881" s="561" t="s">
        <v>706</v>
      </c>
      <c r="F1881" s="735">
        <v>0</v>
      </c>
      <c r="G1881" s="749">
        <v>0</v>
      </c>
      <c r="H1881" s="749"/>
      <c r="I1881" s="733"/>
      <c r="J1881" s="733"/>
      <c r="K1881" s="735">
        <v>0</v>
      </c>
      <c r="L1881" s="751">
        <v>-237549.05</v>
      </c>
    </row>
    <row r="1882" spans="1:12" x14ac:dyDescent="0.25">
      <c r="A1882" s="561" t="s">
        <v>103</v>
      </c>
      <c r="B1882" s="749">
        <v>2023</v>
      </c>
      <c r="C1882" s="561" t="s">
        <v>707</v>
      </c>
      <c r="D1882" s="561" t="s">
        <v>2086</v>
      </c>
      <c r="E1882" s="561" t="s">
        <v>709</v>
      </c>
      <c r="F1882" s="735">
        <v>0</v>
      </c>
      <c r="G1882" s="749">
        <v>0</v>
      </c>
      <c r="H1882" s="749"/>
      <c r="I1882" s="733"/>
      <c r="J1882" s="733"/>
      <c r="K1882" s="735">
        <v>0</v>
      </c>
      <c r="L1882" s="750">
        <v>0</v>
      </c>
    </row>
    <row r="1883" spans="1:12" ht="21" x14ac:dyDescent="0.25">
      <c r="A1883" s="561" t="s">
        <v>103</v>
      </c>
      <c r="B1883" s="749">
        <v>2023</v>
      </c>
      <c r="C1883" s="561" t="s">
        <v>710</v>
      </c>
      <c r="D1883" s="561" t="s">
        <v>2087</v>
      </c>
      <c r="E1883" s="561" t="s">
        <v>2</v>
      </c>
      <c r="F1883" s="735">
        <v>2315142.31</v>
      </c>
      <c r="G1883" s="749">
        <v>1</v>
      </c>
      <c r="H1883" s="749"/>
      <c r="I1883" s="735">
        <v>2279808.5699999998</v>
      </c>
      <c r="J1883" s="735">
        <v>35333.74</v>
      </c>
      <c r="K1883" s="735">
        <v>2315142.31</v>
      </c>
      <c r="L1883" s="750">
        <v>2315142.31</v>
      </c>
    </row>
    <row r="1884" spans="1:12" ht="21" x14ac:dyDescent="0.25">
      <c r="A1884" s="561" t="s">
        <v>103</v>
      </c>
      <c r="B1884" s="749">
        <v>2023</v>
      </c>
      <c r="C1884" s="561" t="s">
        <v>712</v>
      </c>
      <c r="D1884" s="561" t="s">
        <v>2088</v>
      </c>
      <c r="E1884" s="561" t="s">
        <v>3</v>
      </c>
      <c r="F1884" s="735">
        <v>588151.12</v>
      </c>
      <c r="G1884" s="749">
        <v>1</v>
      </c>
      <c r="H1884" s="749"/>
      <c r="I1884" s="735">
        <v>578813.14</v>
      </c>
      <c r="J1884" s="735">
        <v>9337.98</v>
      </c>
      <c r="K1884" s="735">
        <v>588151.12</v>
      </c>
      <c r="L1884" s="750">
        <v>588151.12</v>
      </c>
    </row>
    <row r="1885" spans="1:12" ht="21" x14ac:dyDescent="0.25">
      <c r="A1885" s="561" t="s">
        <v>103</v>
      </c>
      <c r="B1885" s="749">
        <v>2023</v>
      </c>
      <c r="C1885" s="561" t="s">
        <v>714</v>
      </c>
      <c r="D1885" s="561" t="s">
        <v>2089</v>
      </c>
      <c r="E1885" s="561" t="s">
        <v>38</v>
      </c>
      <c r="F1885" s="735">
        <v>617667.81999999995</v>
      </c>
      <c r="G1885" s="749">
        <v>1</v>
      </c>
      <c r="H1885" s="749"/>
      <c r="I1885" s="735">
        <v>607957.66</v>
      </c>
      <c r="J1885" s="735">
        <v>9710.16</v>
      </c>
      <c r="K1885" s="735">
        <v>617667.81999999995</v>
      </c>
      <c r="L1885" s="750">
        <v>617667.81999999995</v>
      </c>
    </row>
    <row r="1886" spans="1:12" x14ac:dyDescent="0.25">
      <c r="A1886" s="561" t="s">
        <v>103</v>
      </c>
      <c r="B1886" s="749">
        <v>2023</v>
      </c>
      <c r="C1886" s="561" t="s">
        <v>716</v>
      </c>
      <c r="D1886" s="561" t="s">
        <v>2090</v>
      </c>
      <c r="E1886" s="561" t="s">
        <v>66</v>
      </c>
      <c r="F1886" s="735">
        <v>235234.07</v>
      </c>
      <c r="G1886" s="749">
        <v>1</v>
      </c>
      <c r="H1886" s="749"/>
      <c r="I1886" s="735">
        <v>230937.58</v>
      </c>
      <c r="J1886" s="735">
        <v>4296.49</v>
      </c>
      <c r="K1886" s="735">
        <v>235234.07</v>
      </c>
      <c r="L1886" s="750">
        <v>235234.07</v>
      </c>
    </row>
    <row r="1887" spans="1:12" ht="21" x14ac:dyDescent="0.25">
      <c r="A1887" s="561" t="s">
        <v>103</v>
      </c>
      <c r="B1887" s="749">
        <v>2023</v>
      </c>
      <c r="C1887" s="561" t="s">
        <v>718</v>
      </c>
      <c r="D1887" s="561" t="s">
        <v>2091</v>
      </c>
      <c r="E1887" s="561" t="s">
        <v>720</v>
      </c>
      <c r="F1887" s="735">
        <v>-267563.59999999998</v>
      </c>
      <c r="G1887" s="749">
        <v>0</v>
      </c>
      <c r="H1887" s="749"/>
      <c r="I1887" s="733"/>
      <c r="J1887" s="733"/>
      <c r="K1887" s="735">
        <v>0</v>
      </c>
      <c r="L1887" s="750">
        <v>-267563.59999999998</v>
      </c>
    </row>
    <row r="1888" spans="1:12" ht="31.5" x14ac:dyDescent="0.25">
      <c r="A1888" s="561" t="s">
        <v>103</v>
      </c>
      <c r="B1888" s="749">
        <v>2023</v>
      </c>
      <c r="C1888" s="561" t="s">
        <v>721</v>
      </c>
      <c r="D1888" s="561" t="s">
        <v>2093</v>
      </c>
      <c r="E1888" s="561" t="s">
        <v>724</v>
      </c>
      <c r="F1888" s="735">
        <v>0</v>
      </c>
      <c r="G1888" s="749">
        <v>1</v>
      </c>
      <c r="H1888" s="749"/>
      <c r="I1888" s="733"/>
      <c r="J1888" s="733"/>
      <c r="K1888" s="735">
        <v>0</v>
      </c>
      <c r="L1888" s="750">
        <v>0</v>
      </c>
    </row>
    <row r="1889" spans="1:12" ht="31.5" x14ac:dyDescent="0.25">
      <c r="A1889" s="561" t="s">
        <v>103</v>
      </c>
      <c r="B1889" s="749">
        <v>2023</v>
      </c>
      <c r="C1889" s="561" t="s">
        <v>721</v>
      </c>
      <c r="D1889" s="561" t="s">
        <v>2094</v>
      </c>
      <c r="E1889" s="561" t="s">
        <v>55</v>
      </c>
      <c r="F1889" s="735">
        <v>0</v>
      </c>
      <c r="G1889" s="749">
        <v>1</v>
      </c>
      <c r="H1889" s="749"/>
      <c r="I1889" s="733"/>
      <c r="J1889" s="733"/>
      <c r="K1889" s="735">
        <v>0</v>
      </c>
      <c r="L1889" s="750">
        <v>0</v>
      </c>
    </row>
    <row r="1890" spans="1:12" ht="31.5" x14ac:dyDescent="0.25">
      <c r="A1890" s="561" t="s">
        <v>103</v>
      </c>
      <c r="B1890" s="749">
        <v>2023</v>
      </c>
      <c r="C1890" s="561" t="s">
        <v>721</v>
      </c>
      <c r="D1890" s="561" t="s">
        <v>2095</v>
      </c>
      <c r="E1890" s="561" t="s">
        <v>56</v>
      </c>
      <c r="F1890" s="735">
        <v>0</v>
      </c>
      <c r="G1890" s="749">
        <v>1</v>
      </c>
      <c r="H1890" s="749"/>
      <c r="I1890" s="733"/>
      <c r="J1890" s="733"/>
      <c r="K1890" s="735">
        <v>0</v>
      </c>
      <c r="L1890" s="750">
        <v>0</v>
      </c>
    </row>
    <row r="1891" spans="1:12" ht="31.5" x14ac:dyDescent="0.25">
      <c r="A1891" s="561" t="s">
        <v>103</v>
      </c>
      <c r="B1891" s="749">
        <v>2023</v>
      </c>
      <c r="C1891" s="561" t="s">
        <v>721</v>
      </c>
      <c r="D1891" s="561" t="s">
        <v>2096</v>
      </c>
      <c r="E1891" s="561" t="s">
        <v>728</v>
      </c>
      <c r="F1891" s="735">
        <v>0</v>
      </c>
      <c r="G1891" s="749">
        <v>1</v>
      </c>
      <c r="H1891" s="749"/>
      <c r="I1891" s="733"/>
      <c r="J1891" s="733"/>
      <c r="K1891" s="735">
        <v>0</v>
      </c>
      <c r="L1891" s="750">
        <v>0</v>
      </c>
    </row>
    <row r="1892" spans="1:12" ht="31.5" x14ac:dyDescent="0.25">
      <c r="A1892" s="561" t="s">
        <v>103</v>
      </c>
      <c r="B1892" s="749">
        <v>2023</v>
      </c>
      <c r="C1892" s="561" t="s">
        <v>721</v>
      </c>
      <c r="D1892" s="561" t="s">
        <v>2097</v>
      </c>
      <c r="E1892" s="561" t="s">
        <v>730</v>
      </c>
      <c r="F1892" s="735">
        <v>0</v>
      </c>
      <c r="G1892" s="749">
        <v>1</v>
      </c>
      <c r="H1892" s="749"/>
      <c r="I1892" s="733"/>
      <c r="J1892" s="733"/>
      <c r="K1892" s="735">
        <v>0</v>
      </c>
      <c r="L1892" s="750">
        <v>0</v>
      </c>
    </row>
    <row r="1893" spans="1:12" ht="31.5" x14ac:dyDescent="0.25">
      <c r="A1893" s="561" t="s">
        <v>103</v>
      </c>
      <c r="B1893" s="749">
        <v>2023</v>
      </c>
      <c r="C1893" s="561" t="s">
        <v>721</v>
      </c>
      <c r="D1893" s="561" t="s">
        <v>2098</v>
      </c>
      <c r="E1893" s="561" t="s">
        <v>142</v>
      </c>
      <c r="F1893" s="735">
        <v>0</v>
      </c>
      <c r="G1893" s="749">
        <v>1</v>
      </c>
      <c r="H1893" s="749"/>
      <c r="I1893" s="733"/>
      <c r="J1893" s="733"/>
      <c r="K1893" s="735">
        <v>0</v>
      </c>
      <c r="L1893" s="750">
        <v>0</v>
      </c>
    </row>
    <row r="1894" spans="1:12" ht="31.5" x14ac:dyDescent="0.25">
      <c r="A1894" s="561" t="s">
        <v>103</v>
      </c>
      <c r="B1894" s="749">
        <v>2023</v>
      </c>
      <c r="C1894" s="561" t="s">
        <v>721</v>
      </c>
      <c r="D1894" s="561" t="s">
        <v>2099</v>
      </c>
      <c r="E1894" s="561" t="s">
        <v>143</v>
      </c>
      <c r="F1894" s="735">
        <v>0</v>
      </c>
      <c r="G1894" s="749">
        <v>1</v>
      </c>
      <c r="H1894" s="749"/>
      <c r="I1894" s="733"/>
      <c r="J1894" s="733"/>
      <c r="K1894" s="735">
        <v>0</v>
      </c>
      <c r="L1894" s="750">
        <v>0</v>
      </c>
    </row>
    <row r="1895" spans="1:12" ht="31.5" x14ac:dyDescent="0.25">
      <c r="A1895" s="561" t="s">
        <v>103</v>
      </c>
      <c r="B1895" s="749">
        <v>2023</v>
      </c>
      <c r="C1895" s="561" t="s">
        <v>721</v>
      </c>
      <c r="D1895" s="561" t="s">
        <v>2100</v>
      </c>
      <c r="E1895" s="561" t="s">
        <v>182</v>
      </c>
      <c r="F1895" s="735">
        <v>0</v>
      </c>
      <c r="G1895" s="749">
        <v>1</v>
      </c>
      <c r="H1895" s="749"/>
      <c r="I1895" s="733"/>
      <c r="J1895" s="733"/>
      <c r="K1895" s="735">
        <v>0</v>
      </c>
      <c r="L1895" s="750">
        <v>0</v>
      </c>
    </row>
    <row r="1896" spans="1:12" ht="31.5" x14ac:dyDescent="0.25">
      <c r="A1896" s="561" t="s">
        <v>103</v>
      </c>
      <c r="B1896" s="749">
        <v>2023</v>
      </c>
      <c r="C1896" s="561" t="s">
        <v>721</v>
      </c>
      <c r="D1896" s="561" t="s">
        <v>2101</v>
      </c>
      <c r="E1896" s="561" t="s">
        <v>394</v>
      </c>
      <c r="F1896" s="735">
        <v>0</v>
      </c>
      <c r="G1896" s="749">
        <v>1</v>
      </c>
      <c r="H1896" s="749"/>
      <c r="I1896" s="733"/>
      <c r="J1896" s="733"/>
      <c r="K1896" s="735">
        <v>0</v>
      </c>
      <c r="L1896" s="750">
        <v>0</v>
      </c>
    </row>
    <row r="1897" spans="1:12" ht="31.5" x14ac:dyDescent="0.25">
      <c r="A1897" s="561" t="s">
        <v>103</v>
      </c>
      <c r="B1897" s="749">
        <v>2023</v>
      </c>
      <c r="C1897" s="561" t="s">
        <v>721</v>
      </c>
      <c r="D1897" s="561" t="s">
        <v>2102</v>
      </c>
      <c r="E1897" s="561" t="s">
        <v>423</v>
      </c>
      <c r="F1897" s="735">
        <v>0</v>
      </c>
      <c r="G1897" s="749">
        <v>1</v>
      </c>
      <c r="H1897" s="749"/>
      <c r="I1897" s="733"/>
      <c r="J1897" s="733"/>
      <c r="K1897" s="735">
        <v>0</v>
      </c>
      <c r="L1897" s="750">
        <v>0</v>
      </c>
    </row>
    <row r="1898" spans="1:12" ht="31.5" x14ac:dyDescent="0.25">
      <c r="A1898" s="561" t="s">
        <v>103</v>
      </c>
      <c r="B1898" s="749">
        <v>2023</v>
      </c>
      <c r="C1898" s="561" t="s">
        <v>721</v>
      </c>
      <c r="D1898" s="561" t="s">
        <v>3273</v>
      </c>
      <c r="E1898" s="561" t="s">
        <v>441</v>
      </c>
      <c r="F1898" s="735">
        <v>0</v>
      </c>
      <c r="G1898" s="749">
        <v>1</v>
      </c>
      <c r="H1898" s="749"/>
      <c r="I1898" s="735">
        <v>-1164676.7</v>
      </c>
      <c r="J1898" s="735">
        <v>1001598.78</v>
      </c>
      <c r="K1898" s="735">
        <v>-163077.92000000001</v>
      </c>
      <c r="L1898" s="750">
        <v>-163077.92000000001</v>
      </c>
    </row>
    <row r="1899" spans="1:12" ht="31.5" x14ac:dyDescent="0.25">
      <c r="A1899" s="561" t="s">
        <v>103</v>
      </c>
      <c r="B1899" s="749">
        <v>2023</v>
      </c>
      <c r="C1899" s="561" t="s">
        <v>721</v>
      </c>
      <c r="D1899" s="561" t="s">
        <v>3564</v>
      </c>
      <c r="E1899" s="561" t="s">
        <v>3016</v>
      </c>
      <c r="F1899" s="735">
        <v>0</v>
      </c>
      <c r="G1899" s="749">
        <v>1</v>
      </c>
      <c r="H1899" s="749"/>
      <c r="I1899" s="735">
        <v>63097.41</v>
      </c>
      <c r="J1899" s="735">
        <v>1691.1</v>
      </c>
      <c r="K1899" s="735">
        <v>64788.51</v>
      </c>
      <c r="L1899" s="750">
        <v>64788.51</v>
      </c>
    </row>
    <row r="1900" spans="1:12" ht="31.5" x14ac:dyDescent="0.25">
      <c r="A1900" s="561" t="s">
        <v>103</v>
      </c>
      <c r="B1900" s="749">
        <v>2023</v>
      </c>
      <c r="C1900" s="561" t="s">
        <v>721</v>
      </c>
      <c r="D1900" s="561" t="s">
        <v>3565</v>
      </c>
      <c r="E1900" s="561" t="s">
        <v>3058</v>
      </c>
      <c r="F1900" s="735">
        <v>0</v>
      </c>
      <c r="G1900" s="749">
        <v>1</v>
      </c>
      <c r="H1900" s="749"/>
      <c r="I1900" s="735">
        <v>-62135.51</v>
      </c>
      <c r="J1900" s="735">
        <v>95101.33</v>
      </c>
      <c r="K1900" s="735">
        <v>32965.82</v>
      </c>
      <c r="L1900" s="750">
        <v>32965.82</v>
      </c>
    </row>
    <row r="1901" spans="1:12" ht="31.5" x14ac:dyDescent="0.25">
      <c r="A1901" s="561" t="s">
        <v>103</v>
      </c>
      <c r="B1901" s="749">
        <v>2023</v>
      </c>
      <c r="C1901" s="561" t="s">
        <v>721</v>
      </c>
      <c r="D1901" s="561" t="s">
        <v>3566</v>
      </c>
      <c r="E1901" s="561" t="s">
        <v>3063</v>
      </c>
      <c r="F1901" s="735">
        <v>0</v>
      </c>
      <c r="G1901" s="749">
        <v>1</v>
      </c>
      <c r="H1901" s="749"/>
      <c r="I1901" s="735">
        <v>37939.279999999999</v>
      </c>
      <c r="J1901" s="735">
        <v>26085.47</v>
      </c>
      <c r="K1901" s="735">
        <v>64024.75</v>
      </c>
      <c r="L1901" s="750">
        <v>64024.75</v>
      </c>
    </row>
    <row r="1902" spans="1:12" ht="31.5" x14ac:dyDescent="0.25">
      <c r="A1902" s="561" t="s">
        <v>103</v>
      </c>
      <c r="B1902" s="749">
        <v>2023</v>
      </c>
      <c r="C1902" s="561" t="s">
        <v>721</v>
      </c>
      <c r="D1902" s="561" t="s">
        <v>3896</v>
      </c>
      <c r="E1902" s="561" t="s">
        <v>3425</v>
      </c>
      <c r="F1902" s="735">
        <v>0</v>
      </c>
      <c r="G1902" s="749">
        <v>1</v>
      </c>
      <c r="H1902" s="749"/>
      <c r="I1902" s="735">
        <v>-45010.29</v>
      </c>
      <c r="J1902" s="735">
        <v>42600.2</v>
      </c>
      <c r="K1902" s="735">
        <v>-2410.09</v>
      </c>
      <c r="L1902" s="750">
        <v>-2410.09</v>
      </c>
    </row>
    <row r="1903" spans="1:12" ht="42" x14ac:dyDescent="0.25">
      <c r="A1903" s="561" t="s">
        <v>103</v>
      </c>
      <c r="B1903" s="749">
        <v>2023</v>
      </c>
      <c r="C1903" s="561" t="s">
        <v>721</v>
      </c>
      <c r="D1903" s="561" t="s">
        <v>3897</v>
      </c>
      <c r="E1903" s="561" t="s">
        <v>737</v>
      </c>
      <c r="F1903" s="735">
        <v>-3708.93</v>
      </c>
      <c r="G1903" s="749">
        <v>0</v>
      </c>
      <c r="H1903" s="749"/>
      <c r="I1903" s="733"/>
      <c r="J1903" s="733"/>
      <c r="K1903" s="735">
        <v>0</v>
      </c>
      <c r="L1903" s="750">
        <v>-3708.93</v>
      </c>
    </row>
    <row r="1904" spans="1:12" x14ac:dyDescent="0.25">
      <c r="A1904" s="561" t="s">
        <v>103</v>
      </c>
      <c r="B1904" s="749">
        <v>2023</v>
      </c>
      <c r="C1904" s="561" t="s">
        <v>738</v>
      </c>
      <c r="D1904" s="561" t="s">
        <v>2104</v>
      </c>
      <c r="E1904" s="561" t="s">
        <v>7</v>
      </c>
      <c r="F1904" s="735">
        <v>-826069.09</v>
      </c>
      <c r="G1904" s="749">
        <v>0</v>
      </c>
      <c r="H1904" s="749"/>
      <c r="I1904" s="733"/>
      <c r="J1904" s="733"/>
      <c r="K1904" s="735">
        <v>0</v>
      </c>
      <c r="L1904" s="750">
        <v>-826069.09</v>
      </c>
    </row>
    <row r="1905" spans="1:12" x14ac:dyDescent="0.25">
      <c r="A1905" s="561" t="s">
        <v>104</v>
      </c>
      <c r="B1905" s="749">
        <v>2023</v>
      </c>
      <c r="C1905" s="561" t="s">
        <v>647</v>
      </c>
      <c r="D1905" s="561" t="s">
        <v>2105</v>
      </c>
      <c r="E1905" s="561" t="s">
        <v>649</v>
      </c>
      <c r="F1905" s="735">
        <v>150425.89000000001</v>
      </c>
      <c r="G1905" s="749">
        <v>0</v>
      </c>
      <c r="H1905" s="749"/>
      <c r="I1905" s="733"/>
      <c r="J1905" s="733"/>
      <c r="K1905" s="735">
        <v>0</v>
      </c>
      <c r="L1905" s="750">
        <v>150425.89000000001</v>
      </c>
    </row>
    <row r="1906" spans="1:12" ht="21" x14ac:dyDescent="0.25">
      <c r="A1906" s="561" t="s">
        <v>104</v>
      </c>
      <c r="B1906" s="749">
        <v>2023</v>
      </c>
      <c r="C1906" s="561" t="s">
        <v>3691</v>
      </c>
      <c r="D1906" s="561" t="s">
        <v>3657</v>
      </c>
      <c r="E1906" s="561" t="s">
        <v>3675</v>
      </c>
      <c r="F1906" s="735">
        <v>0</v>
      </c>
      <c r="G1906" s="749">
        <v>0</v>
      </c>
      <c r="H1906" s="749"/>
      <c r="I1906" s="733"/>
      <c r="J1906" s="733"/>
      <c r="K1906" s="735">
        <v>0</v>
      </c>
      <c r="L1906" s="750">
        <v>0</v>
      </c>
    </row>
    <row r="1907" spans="1:12" x14ac:dyDescent="0.25">
      <c r="A1907" s="561" t="s">
        <v>104</v>
      </c>
      <c r="B1907" s="749">
        <v>2023</v>
      </c>
      <c r="C1907" s="561" t="s">
        <v>651</v>
      </c>
      <c r="D1907" s="561" t="s">
        <v>2106</v>
      </c>
      <c r="E1907" s="561" t="s">
        <v>653</v>
      </c>
      <c r="F1907" s="735">
        <v>9197.9</v>
      </c>
      <c r="G1907" s="749">
        <v>0</v>
      </c>
      <c r="H1907" s="749"/>
      <c r="I1907" s="733"/>
      <c r="J1907" s="733"/>
      <c r="K1907" s="735">
        <v>0</v>
      </c>
      <c r="L1907" s="750">
        <v>9197.9</v>
      </c>
    </row>
    <row r="1908" spans="1:12" ht="31.5" x14ac:dyDescent="0.25">
      <c r="A1908" s="561" t="s">
        <v>104</v>
      </c>
      <c r="B1908" s="749">
        <v>2023</v>
      </c>
      <c r="C1908" s="561" t="s">
        <v>654</v>
      </c>
      <c r="D1908" s="561" t="s">
        <v>2107</v>
      </c>
      <c r="E1908" s="561" t="s">
        <v>445</v>
      </c>
      <c r="F1908" s="735">
        <v>-8879.41</v>
      </c>
      <c r="G1908" s="749">
        <v>0</v>
      </c>
      <c r="H1908" s="749"/>
      <c r="I1908" s="733"/>
      <c r="J1908" s="733"/>
      <c r="K1908" s="735">
        <v>0</v>
      </c>
      <c r="L1908" s="750">
        <v>-8879.41</v>
      </c>
    </row>
    <row r="1909" spans="1:12" ht="21" x14ac:dyDescent="0.25">
      <c r="A1909" s="561" t="s">
        <v>104</v>
      </c>
      <c r="B1909" s="749">
        <v>2023</v>
      </c>
      <c r="C1909" s="561" t="s">
        <v>656</v>
      </c>
      <c r="D1909" s="561" t="s">
        <v>2108</v>
      </c>
      <c r="E1909" s="561" t="s">
        <v>658</v>
      </c>
      <c r="F1909" s="735">
        <v>0</v>
      </c>
      <c r="G1909" s="749">
        <v>0</v>
      </c>
      <c r="H1909" s="749"/>
      <c r="I1909" s="733"/>
      <c r="J1909" s="733"/>
      <c r="K1909" s="735">
        <v>0</v>
      </c>
      <c r="L1909" s="750">
        <v>0</v>
      </c>
    </row>
    <row r="1910" spans="1:12" ht="21" x14ac:dyDescent="0.25">
      <c r="A1910" s="561" t="s">
        <v>104</v>
      </c>
      <c r="B1910" s="749">
        <v>2023</v>
      </c>
      <c r="C1910" s="561" t="s">
        <v>659</v>
      </c>
      <c r="D1910" s="561" t="s">
        <v>2109</v>
      </c>
      <c r="E1910" s="561" t="s">
        <v>661</v>
      </c>
      <c r="F1910" s="735">
        <v>0</v>
      </c>
      <c r="G1910" s="749">
        <v>0</v>
      </c>
      <c r="H1910" s="749"/>
      <c r="I1910" s="733"/>
      <c r="J1910" s="733"/>
      <c r="K1910" s="735">
        <v>0</v>
      </c>
      <c r="L1910" s="750">
        <v>0</v>
      </c>
    </row>
    <row r="1911" spans="1:12" ht="21" x14ac:dyDescent="0.25">
      <c r="A1911" s="561" t="s">
        <v>104</v>
      </c>
      <c r="B1911" s="749">
        <v>2023</v>
      </c>
      <c r="C1911" s="561" t="s">
        <v>662</v>
      </c>
      <c r="D1911" s="561" t="s">
        <v>2110</v>
      </c>
      <c r="E1911" s="561" t="s">
        <v>664</v>
      </c>
      <c r="F1911" s="735">
        <v>0</v>
      </c>
      <c r="G1911" s="749">
        <v>0</v>
      </c>
      <c r="H1911" s="749"/>
      <c r="I1911" s="733"/>
      <c r="J1911" s="733"/>
      <c r="K1911" s="735">
        <v>0</v>
      </c>
      <c r="L1911" s="750">
        <v>0</v>
      </c>
    </row>
    <row r="1912" spans="1:12" ht="31.5" x14ac:dyDescent="0.25">
      <c r="A1912" s="561" t="s">
        <v>104</v>
      </c>
      <c r="B1912" s="749">
        <v>2023</v>
      </c>
      <c r="C1912" s="561" t="s">
        <v>665</v>
      </c>
      <c r="D1912" s="561" t="s">
        <v>2111</v>
      </c>
      <c r="E1912" s="561" t="s">
        <v>667</v>
      </c>
      <c r="F1912" s="735">
        <v>0</v>
      </c>
      <c r="G1912" s="749">
        <v>0</v>
      </c>
      <c r="H1912" s="749"/>
      <c r="I1912" s="733"/>
      <c r="J1912" s="733"/>
      <c r="K1912" s="735">
        <v>0</v>
      </c>
      <c r="L1912" s="750">
        <v>0</v>
      </c>
    </row>
    <row r="1913" spans="1:12" ht="21" x14ac:dyDescent="0.25">
      <c r="A1913" s="561" t="s">
        <v>104</v>
      </c>
      <c r="B1913" s="749">
        <v>2023</v>
      </c>
      <c r="C1913" s="561" t="s">
        <v>668</v>
      </c>
      <c r="D1913" s="561" t="s">
        <v>2112</v>
      </c>
      <c r="E1913" s="561" t="s">
        <v>12</v>
      </c>
      <c r="F1913" s="735">
        <v>0</v>
      </c>
      <c r="G1913" s="749">
        <v>0</v>
      </c>
      <c r="H1913" s="749"/>
      <c r="I1913" s="733"/>
      <c r="J1913" s="733"/>
      <c r="K1913" s="735">
        <v>0</v>
      </c>
      <c r="L1913" s="750">
        <v>0</v>
      </c>
    </row>
    <row r="1914" spans="1:12" ht="21" x14ac:dyDescent="0.25">
      <c r="A1914" s="561" t="s">
        <v>104</v>
      </c>
      <c r="B1914" s="749">
        <v>2023</v>
      </c>
      <c r="C1914" s="561" t="s">
        <v>670</v>
      </c>
      <c r="D1914" s="561" t="s">
        <v>2113</v>
      </c>
      <c r="E1914" s="561" t="s">
        <v>13</v>
      </c>
      <c r="F1914" s="735">
        <v>0</v>
      </c>
      <c r="G1914" s="749">
        <v>0</v>
      </c>
      <c r="H1914" s="749"/>
      <c r="I1914" s="733"/>
      <c r="J1914" s="733"/>
      <c r="K1914" s="735">
        <v>0</v>
      </c>
      <c r="L1914" s="750">
        <v>0</v>
      </c>
    </row>
    <row r="1915" spans="1:12" ht="21" x14ac:dyDescent="0.25">
      <c r="A1915" s="561" t="s">
        <v>104</v>
      </c>
      <c r="B1915" s="749">
        <v>2023</v>
      </c>
      <c r="C1915" s="561" t="s">
        <v>672</v>
      </c>
      <c r="D1915" s="561" t="s">
        <v>2114</v>
      </c>
      <c r="E1915" s="561" t="s">
        <v>15</v>
      </c>
      <c r="F1915" s="735">
        <v>0</v>
      </c>
      <c r="G1915" s="749">
        <v>0</v>
      </c>
      <c r="H1915" s="749"/>
      <c r="I1915" s="733"/>
      <c r="J1915" s="733"/>
      <c r="K1915" s="735">
        <v>0</v>
      </c>
      <c r="L1915" s="750">
        <v>0</v>
      </c>
    </row>
    <row r="1916" spans="1:12" x14ac:dyDescent="0.25">
      <c r="A1916" s="561" t="s">
        <v>104</v>
      </c>
      <c r="B1916" s="749">
        <v>2023</v>
      </c>
      <c r="C1916" s="561" t="s">
        <v>674</v>
      </c>
      <c r="D1916" s="561" t="s">
        <v>2115</v>
      </c>
      <c r="E1916" s="561" t="s">
        <v>676</v>
      </c>
      <c r="F1916" s="735">
        <v>10278.58</v>
      </c>
      <c r="G1916" s="749">
        <v>0</v>
      </c>
      <c r="H1916" s="749"/>
      <c r="I1916" s="733"/>
      <c r="J1916" s="733"/>
      <c r="K1916" s="735">
        <v>0</v>
      </c>
      <c r="L1916" s="750">
        <v>10278.58</v>
      </c>
    </row>
    <row r="1917" spans="1:12" x14ac:dyDescent="0.25">
      <c r="A1917" s="561" t="s">
        <v>104</v>
      </c>
      <c r="B1917" s="749">
        <v>2023</v>
      </c>
      <c r="C1917" s="561" t="s">
        <v>677</v>
      </c>
      <c r="D1917" s="561" t="s">
        <v>2116</v>
      </c>
      <c r="E1917" s="561" t="s">
        <v>23</v>
      </c>
      <c r="F1917" s="735">
        <v>0</v>
      </c>
      <c r="G1917" s="749">
        <v>1</v>
      </c>
      <c r="H1917" s="749"/>
      <c r="I1917" s="735">
        <v>0</v>
      </c>
      <c r="J1917" s="733"/>
      <c r="K1917" s="735">
        <v>0</v>
      </c>
      <c r="L1917" s="750">
        <v>0</v>
      </c>
    </row>
    <row r="1918" spans="1:12" ht="21" x14ac:dyDescent="0.25">
      <c r="A1918" s="561" t="s">
        <v>104</v>
      </c>
      <c r="B1918" s="749">
        <v>2023</v>
      </c>
      <c r="C1918" s="561" t="s">
        <v>679</v>
      </c>
      <c r="D1918" s="561" t="s">
        <v>2117</v>
      </c>
      <c r="E1918" s="561" t="s">
        <v>131</v>
      </c>
      <c r="F1918" s="735">
        <v>-33848.25</v>
      </c>
      <c r="G1918" s="749">
        <v>1</v>
      </c>
      <c r="H1918" s="749"/>
      <c r="I1918" s="735">
        <v>-33848.25</v>
      </c>
      <c r="J1918" s="733"/>
      <c r="K1918" s="735">
        <v>-33848.25</v>
      </c>
      <c r="L1918" s="750">
        <v>-33848.25</v>
      </c>
    </row>
    <row r="1919" spans="1:12" ht="31.5" x14ac:dyDescent="0.25">
      <c r="A1919" s="561" t="s">
        <v>104</v>
      </c>
      <c r="B1919" s="749">
        <v>2023</v>
      </c>
      <c r="C1919" s="561" t="s">
        <v>681</v>
      </c>
      <c r="D1919" s="561" t="s">
        <v>2118</v>
      </c>
      <c r="E1919" s="561" t="s">
        <v>683</v>
      </c>
      <c r="F1919" s="735">
        <v>0</v>
      </c>
      <c r="G1919" s="749">
        <v>0</v>
      </c>
      <c r="H1919" s="749"/>
      <c r="I1919" s="733"/>
      <c r="J1919" s="733"/>
      <c r="K1919" s="735">
        <v>0</v>
      </c>
      <c r="L1919" s="750">
        <v>0</v>
      </c>
    </row>
    <row r="1920" spans="1:12" ht="21" x14ac:dyDescent="0.25">
      <c r="A1920" s="561" t="s">
        <v>104</v>
      </c>
      <c r="B1920" s="749">
        <v>2023</v>
      </c>
      <c r="C1920" s="561" t="s">
        <v>681</v>
      </c>
      <c r="D1920" s="561" t="s">
        <v>2118</v>
      </c>
      <c r="E1920" s="561" t="s">
        <v>684</v>
      </c>
      <c r="F1920" s="735">
        <v>0</v>
      </c>
      <c r="G1920" s="749">
        <v>0</v>
      </c>
      <c r="H1920" s="749"/>
      <c r="I1920" s="733"/>
      <c r="J1920" s="733"/>
      <c r="K1920" s="735">
        <v>0</v>
      </c>
      <c r="L1920" s="751">
        <v>0</v>
      </c>
    </row>
    <row r="1921" spans="1:12" x14ac:dyDescent="0.25">
      <c r="A1921" s="561" t="s">
        <v>104</v>
      </c>
      <c r="B1921" s="749">
        <v>2023</v>
      </c>
      <c r="C1921" s="561" t="s">
        <v>685</v>
      </c>
      <c r="D1921" s="561" t="s">
        <v>2119</v>
      </c>
      <c r="E1921" s="561" t="s">
        <v>687</v>
      </c>
      <c r="F1921" s="735">
        <v>0</v>
      </c>
      <c r="G1921" s="749">
        <v>0</v>
      </c>
      <c r="H1921" s="749"/>
      <c r="I1921" s="733"/>
      <c r="J1921" s="733"/>
      <c r="K1921" s="735">
        <v>0</v>
      </c>
      <c r="L1921" s="750">
        <v>0</v>
      </c>
    </row>
    <row r="1922" spans="1:12" x14ac:dyDescent="0.25">
      <c r="A1922" s="561" t="s">
        <v>104</v>
      </c>
      <c r="B1922" s="749">
        <v>2023</v>
      </c>
      <c r="C1922" s="561" t="s">
        <v>688</v>
      </c>
      <c r="D1922" s="561" t="s">
        <v>2120</v>
      </c>
      <c r="E1922" s="561" t="s">
        <v>50</v>
      </c>
      <c r="F1922" s="735">
        <v>8634</v>
      </c>
      <c r="G1922" s="749">
        <v>0</v>
      </c>
      <c r="H1922" s="749"/>
      <c r="I1922" s="733"/>
      <c r="J1922" s="733"/>
      <c r="K1922" s="735">
        <v>0</v>
      </c>
      <c r="L1922" s="750">
        <v>8634</v>
      </c>
    </row>
    <row r="1923" spans="1:12" x14ac:dyDescent="0.25">
      <c r="A1923" s="561" t="s">
        <v>104</v>
      </c>
      <c r="B1923" s="749">
        <v>2023</v>
      </c>
      <c r="C1923" s="561" t="s">
        <v>690</v>
      </c>
      <c r="D1923" s="561" t="s">
        <v>2121</v>
      </c>
      <c r="E1923" s="561" t="s">
        <v>692</v>
      </c>
      <c r="F1923" s="735">
        <v>0</v>
      </c>
      <c r="G1923" s="749">
        <v>0</v>
      </c>
      <c r="H1923" s="749"/>
      <c r="I1923" s="733"/>
      <c r="J1923" s="733"/>
      <c r="K1923" s="735">
        <v>0</v>
      </c>
      <c r="L1923" s="750">
        <v>0</v>
      </c>
    </row>
    <row r="1924" spans="1:12" ht="21" x14ac:dyDescent="0.25">
      <c r="A1924" s="561" t="s">
        <v>104</v>
      </c>
      <c r="B1924" s="749">
        <v>2023</v>
      </c>
      <c r="C1924" s="561" t="s">
        <v>693</v>
      </c>
      <c r="D1924" s="561" t="s">
        <v>2122</v>
      </c>
      <c r="E1924" s="561" t="s">
        <v>6</v>
      </c>
      <c r="F1924" s="735">
        <v>0</v>
      </c>
      <c r="G1924" s="749">
        <v>0</v>
      </c>
      <c r="H1924" s="749"/>
      <c r="I1924" s="733"/>
      <c r="J1924" s="733"/>
      <c r="K1924" s="735">
        <v>0</v>
      </c>
      <c r="L1924" s="750">
        <v>0</v>
      </c>
    </row>
    <row r="1925" spans="1:12" ht="21" x14ac:dyDescent="0.25">
      <c r="A1925" s="561" t="s">
        <v>104</v>
      </c>
      <c r="B1925" s="749">
        <v>2023</v>
      </c>
      <c r="C1925" s="561" t="s">
        <v>695</v>
      </c>
      <c r="D1925" s="561" t="s">
        <v>2123</v>
      </c>
      <c r="E1925" s="561" t="s">
        <v>697</v>
      </c>
      <c r="F1925" s="735">
        <v>0</v>
      </c>
      <c r="G1925" s="749">
        <v>0</v>
      </c>
      <c r="H1925" s="749"/>
      <c r="I1925" s="733"/>
      <c r="J1925" s="733"/>
      <c r="K1925" s="735">
        <v>0</v>
      </c>
      <c r="L1925" s="750">
        <v>0</v>
      </c>
    </row>
    <row r="1926" spans="1:12" x14ac:dyDescent="0.25">
      <c r="A1926" s="561" t="s">
        <v>104</v>
      </c>
      <c r="B1926" s="749">
        <v>2023</v>
      </c>
      <c r="C1926" s="561" t="s">
        <v>698</v>
      </c>
      <c r="D1926" s="561" t="s">
        <v>2124</v>
      </c>
      <c r="E1926" s="561" t="s">
        <v>700</v>
      </c>
      <c r="F1926" s="735">
        <v>116220.15</v>
      </c>
      <c r="G1926" s="749">
        <v>0</v>
      </c>
      <c r="H1926" s="749"/>
      <c r="I1926" s="733"/>
      <c r="J1926" s="733"/>
      <c r="K1926" s="735">
        <v>0</v>
      </c>
      <c r="L1926" s="750">
        <v>116220.15</v>
      </c>
    </row>
    <row r="1927" spans="1:12" ht="21" x14ac:dyDescent="0.25">
      <c r="A1927" s="561" t="s">
        <v>104</v>
      </c>
      <c r="B1927" s="749">
        <v>2023</v>
      </c>
      <c r="C1927" s="561" t="s">
        <v>701</v>
      </c>
      <c r="D1927" s="561" t="s">
        <v>2125</v>
      </c>
      <c r="E1927" s="561" t="s">
        <v>1</v>
      </c>
      <c r="F1927" s="735">
        <v>537234.06999999995</v>
      </c>
      <c r="G1927" s="749">
        <v>1</v>
      </c>
      <c r="H1927" s="749"/>
      <c r="I1927" s="735">
        <v>537234.06999999995</v>
      </c>
      <c r="J1927" s="733"/>
      <c r="K1927" s="735">
        <v>537234.06999999995</v>
      </c>
      <c r="L1927" s="750">
        <v>537234.06999999995</v>
      </c>
    </row>
    <row r="1928" spans="1:12" ht="21" x14ac:dyDescent="0.25">
      <c r="A1928" s="561" t="s">
        <v>104</v>
      </c>
      <c r="B1928" s="749">
        <v>2023</v>
      </c>
      <c r="C1928" s="561" t="s">
        <v>701</v>
      </c>
      <c r="D1928" s="561" t="s">
        <v>2125</v>
      </c>
      <c r="E1928" s="561" t="s">
        <v>703</v>
      </c>
      <c r="F1928" s="735">
        <v>0</v>
      </c>
      <c r="G1928" s="749">
        <v>0</v>
      </c>
      <c r="H1928" s="749"/>
      <c r="I1928" s="733"/>
      <c r="J1928" s="733"/>
      <c r="K1928" s="735">
        <v>0</v>
      </c>
      <c r="L1928" s="751">
        <v>0</v>
      </c>
    </row>
    <row r="1929" spans="1:12" ht="21" x14ac:dyDescent="0.25">
      <c r="A1929" s="561" t="s">
        <v>104</v>
      </c>
      <c r="B1929" s="749">
        <v>2023</v>
      </c>
      <c r="C1929" s="561" t="s">
        <v>701</v>
      </c>
      <c r="D1929" s="561" t="s">
        <v>2125</v>
      </c>
      <c r="E1929" s="561" t="s">
        <v>704</v>
      </c>
      <c r="F1929" s="735">
        <v>0</v>
      </c>
      <c r="G1929" s="749">
        <v>0</v>
      </c>
      <c r="H1929" s="749"/>
      <c r="I1929" s="733"/>
      <c r="J1929" s="733"/>
      <c r="K1929" s="735">
        <v>0</v>
      </c>
      <c r="L1929" s="751">
        <v>0</v>
      </c>
    </row>
    <row r="1930" spans="1:12" ht="21" x14ac:dyDescent="0.25">
      <c r="A1930" s="561" t="s">
        <v>104</v>
      </c>
      <c r="B1930" s="749">
        <v>2023</v>
      </c>
      <c r="C1930" s="561" t="s">
        <v>701</v>
      </c>
      <c r="D1930" s="561" t="s">
        <v>2125</v>
      </c>
      <c r="E1930" s="561" t="s">
        <v>705</v>
      </c>
      <c r="F1930" s="735">
        <v>0</v>
      </c>
      <c r="G1930" s="749">
        <v>0</v>
      </c>
      <c r="H1930" s="749"/>
      <c r="I1930" s="733"/>
      <c r="J1930" s="733"/>
      <c r="K1930" s="735">
        <v>0</v>
      </c>
      <c r="L1930" s="751">
        <v>-950.72</v>
      </c>
    </row>
    <row r="1931" spans="1:12" ht="21" x14ac:dyDescent="0.25">
      <c r="A1931" s="561" t="s">
        <v>104</v>
      </c>
      <c r="B1931" s="749">
        <v>2023</v>
      </c>
      <c r="C1931" s="561" t="s">
        <v>701</v>
      </c>
      <c r="D1931" s="561" t="s">
        <v>2125</v>
      </c>
      <c r="E1931" s="561" t="s">
        <v>706</v>
      </c>
      <c r="F1931" s="735">
        <v>0</v>
      </c>
      <c r="G1931" s="749">
        <v>0</v>
      </c>
      <c r="H1931" s="749"/>
      <c r="I1931" s="733"/>
      <c r="J1931" s="733"/>
      <c r="K1931" s="735">
        <v>0</v>
      </c>
      <c r="L1931" s="751">
        <v>-43669.55</v>
      </c>
    </row>
    <row r="1932" spans="1:12" x14ac:dyDescent="0.25">
      <c r="A1932" s="561" t="s">
        <v>104</v>
      </c>
      <c r="B1932" s="749">
        <v>2023</v>
      </c>
      <c r="C1932" s="561" t="s">
        <v>707</v>
      </c>
      <c r="D1932" s="561" t="s">
        <v>2126</v>
      </c>
      <c r="E1932" s="561" t="s">
        <v>709</v>
      </c>
      <c r="F1932" s="735">
        <v>0</v>
      </c>
      <c r="G1932" s="749">
        <v>0</v>
      </c>
      <c r="H1932" s="749"/>
      <c r="I1932" s="733"/>
      <c r="J1932" s="733"/>
      <c r="K1932" s="735">
        <v>0</v>
      </c>
      <c r="L1932" s="750">
        <v>0</v>
      </c>
    </row>
    <row r="1933" spans="1:12" ht="21" x14ac:dyDescent="0.25">
      <c r="A1933" s="561" t="s">
        <v>104</v>
      </c>
      <c r="B1933" s="749">
        <v>2023</v>
      </c>
      <c r="C1933" s="561" t="s">
        <v>710</v>
      </c>
      <c r="D1933" s="561" t="s">
        <v>2127</v>
      </c>
      <c r="E1933" s="561" t="s">
        <v>2</v>
      </c>
      <c r="F1933" s="735">
        <v>462297.61</v>
      </c>
      <c r="G1933" s="749">
        <v>1</v>
      </c>
      <c r="H1933" s="749"/>
      <c r="I1933" s="735">
        <v>462297.61</v>
      </c>
      <c r="J1933" s="733"/>
      <c r="K1933" s="735">
        <v>462297.61</v>
      </c>
      <c r="L1933" s="750">
        <v>462297.61</v>
      </c>
    </row>
    <row r="1934" spans="1:12" ht="21" x14ac:dyDescent="0.25">
      <c r="A1934" s="561" t="s">
        <v>104</v>
      </c>
      <c r="B1934" s="749">
        <v>2023</v>
      </c>
      <c r="C1934" s="561" t="s">
        <v>712</v>
      </c>
      <c r="D1934" s="561" t="s">
        <v>2128</v>
      </c>
      <c r="E1934" s="561" t="s">
        <v>3</v>
      </c>
      <c r="F1934" s="735">
        <v>-30731.84</v>
      </c>
      <c r="G1934" s="749">
        <v>1</v>
      </c>
      <c r="H1934" s="749"/>
      <c r="I1934" s="735">
        <v>-30731.84</v>
      </c>
      <c r="J1934" s="733"/>
      <c r="K1934" s="735">
        <v>-30731.84</v>
      </c>
      <c r="L1934" s="750">
        <v>-30731.84</v>
      </c>
    </row>
    <row r="1935" spans="1:12" ht="21" x14ac:dyDescent="0.25">
      <c r="A1935" s="561" t="s">
        <v>104</v>
      </c>
      <c r="B1935" s="749">
        <v>2023</v>
      </c>
      <c r="C1935" s="561" t="s">
        <v>714</v>
      </c>
      <c r="D1935" s="561" t="s">
        <v>2129</v>
      </c>
      <c r="E1935" s="561" t="s">
        <v>38</v>
      </c>
      <c r="F1935" s="735">
        <v>41409.86</v>
      </c>
      <c r="G1935" s="749">
        <v>1</v>
      </c>
      <c r="H1935" s="749"/>
      <c r="I1935" s="735">
        <v>41409.86</v>
      </c>
      <c r="J1935" s="733"/>
      <c r="K1935" s="735">
        <v>41409.86</v>
      </c>
      <c r="L1935" s="750">
        <v>41409.86</v>
      </c>
    </row>
    <row r="1936" spans="1:12" x14ac:dyDescent="0.25">
      <c r="A1936" s="561" t="s">
        <v>104</v>
      </c>
      <c r="B1936" s="749">
        <v>2023</v>
      </c>
      <c r="C1936" s="561" t="s">
        <v>716</v>
      </c>
      <c r="D1936" s="561" t="s">
        <v>2130</v>
      </c>
      <c r="E1936" s="561" t="s">
        <v>66</v>
      </c>
      <c r="F1936" s="735">
        <v>34832.94</v>
      </c>
      <c r="G1936" s="749">
        <v>1</v>
      </c>
      <c r="H1936" s="749"/>
      <c r="I1936" s="735">
        <v>34832.94</v>
      </c>
      <c r="J1936" s="735">
        <v>0</v>
      </c>
      <c r="K1936" s="735">
        <v>34832.94</v>
      </c>
      <c r="L1936" s="750">
        <v>34832.94</v>
      </c>
    </row>
    <row r="1937" spans="1:12" ht="21" x14ac:dyDescent="0.25">
      <c r="A1937" s="561" t="s">
        <v>104</v>
      </c>
      <c r="B1937" s="749">
        <v>2023</v>
      </c>
      <c r="C1937" s="561" t="s">
        <v>718</v>
      </c>
      <c r="D1937" s="561" t="s">
        <v>2131</v>
      </c>
      <c r="E1937" s="561" t="s">
        <v>720</v>
      </c>
      <c r="F1937" s="735">
        <v>0</v>
      </c>
      <c r="G1937" s="749">
        <v>0</v>
      </c>
      <c r="H1937" s="749"/>
      <c r="I1937" s="733"/>
      <c r="J1937" s="733"/>
      <c r="K1937" s="735">
        <v>0</v>
      </c>
      <c r="L1937" s="750">
        <v>0</v>
      </c>
    </row>
    <row r="1938" spans="1:12" ht="31.5" x14ac:dyDescent="0.25">
      <c r="A1938" s="561" t="s">
        <v>104</v>
      </c>
      <c r="B1938" s="749">
        <v>2023</v>
      </c>
      <c r="C1938" s="561" t="s">
        <v>721</v>
      </c>
      <c r="D1938" s="561" t="s">
        <v>2133</v>
      </c>
      <c r="E1938" s="561" t="s">
        <v>724</v>
      </c>
      <c r="F1938" s="735">
        <v>0</v>
      </c>
      <c r="G1938" s="749">
        <v>1</v>
      </c>
      <c r="H1938" s="749"/>
      <c r="I1938" s="735">
        <v>0</v>
      </c>
      <c r="J1938" s="735">
        <v>0</v>
      </c>
      <c r="K1938" s="735">
        <v>0</v>
      </c>
      <c r="L1938" s="750">
        <v>0</v>
      </c>
    </row>
    <row r="1939" spans="1:12" ht="31.5" x14ac:dyDescent="0.25">
      <c r="A1939" s="561" t="s">
        <v>104</v>
      </c>
      <c r="B1939" s="749">
        <v>2023</v>
      </c>
      <c r="C1939" s="561" t="s">
        <v>721</v>
      </c>
      <c r="D1939" s="561" t="s">
        <v>2134</v>
      </c>
      <c r="E1939" s="561" t="s">
        <v>55</v>
      </c>
      <c r="F1939" s="735">
        <v>0</v>
      </c>
      <c r="G1939" s="749">
        <v>1</v>
      </c>
      <c r="H1939" s="749"/>
      <c r="I1939" s="735">
        <v>0</v>
      </c>
      <c r="J1939" s="735">
        <v>0</v>
      </c>
      <c r="K1939" s="735">
        <v>0</v>
      </c>
      <c r="L1939" s="750">
        <v>0</v>
      </c>
    </row>
    <row r="1940" spans="1:12" ht="31.5" x14ac:dyDescent="0.25">
      <c r="A1940" s="561" t="s">
        <v>104</v>
      </c>
      <c r="B1940" s="749">
        <v>2023</v>
      </c>
      <c r="C1940" s="561" t="s">
        <v>721</v>
      </c>
      <c r="D1940" s="561" t="s">
        <v>2135</v>
      </c>
      <c r="E1940" s="561" t="s">
        <v>56</v>
      </c>
      <c r="F1940" s="735">
        <v>0</v>
      </c>
      <c r="G1940" s="749">
        <v>1</v>
      </c>
      <c r="H1940" s="749"/>
      <c r="I1940" s="735">
        <v>0</v>
      </c>
      <c r="J1940" s="735">
        <v>0</v>
      </c>
      <c r="K1940" s="735">
        <v>0</v>
      </c>
      <c r="L1940" s="750">
        <v>0</v>
      </c>
    </row>
    <row r="1941" spans="1:12" ht="31.5" x14ac:dyDescent="0.25">
      <c r="A1941" s="561" t="s">
        <v>104</v>
      </c>
      <c r="B1941" s="749">
        <v>2023</v>
      </c>
      <c r="C1941" s="561" t="s">
        <v>721</v>
      </c>
      <c r="D1941" s="561" t="s">
        <v>2136</v>
      </c>
      <c r="E1941" s="561" t="s">
        <v>728</v>
      </c>
      <c r="F1941" s="735">
        <v>0</v>
      </c>
      <c r="G1941" s="749">
        <v>1</v>
      </c>
      <c r="H1941" s="749"/>
      <c r="I1941" s="735">
        <v>0</v>
      </c>
      <c r="J1941" s="735">
        <v>0</v>
      </c>
      <c r="K1941" s="735">
        <v>0</v>
      </c>
      <c r="L1941" s="750">
        <v>0</v>
      </c>
    </row>
    <row r="1942" spans="1:12" ht="31.5" x14ac:dyDescent="0.25">
      <c r="A1942" s="561" t="s">
        <v>104</v>
      </c>
      <c r="B1942" s="749">
        <v>2023</v>
      </c>
      <c r="C1942" s="561" t="s">
        <v>721</v>
      </c>
      <c r="D1942" s="561" t="s">
        <v>2137</v>
      </c>
      <c r="E1942" s="561" t="s">
        <v>730</v>
      </c>
      <c r="F1942" s="735">
        <v>0</v>
      </c>
      <c r="G1942" s="749">
        <v>1</v>
      </c>
      <c r="H1942" s="749"/>
      <c r="I1942" s="735">
        <v>0</v>
      </c>
      <c r="J1942" s="735">
        <v>0</v>
      </c>
      <c r="K1942" s="735">
        <v>0</v>
      </c>
      <c r="L1942" s="750">
        <v>0</v>
      </c>
    </row>
    <row r="1943" spans="1:12" ht="31.5" x14ac:dyDescent="0.25">
      <c r="A1943" s="561" t="s">
        <v>104</v>
      </c>
      <c r="B1943" s="749">
        <v>2023</v>
      </c>
      <c r="C1943" s="561" t="s">
        <v>721</v>
      </c>
      <c r="D1943" s="561" t="s">
        <v>2138</v>
      </c>
      <c r="E1943" s="561" t="s">
        <v>142</v>
      </c>
      <c r="F1943" s="735">
        <v>0</v>
      </c>
      <c r="G1943" s="749">
        <v>1</v>
      </c>
      <c r="H1943" s="749"/>
      <c r="I1943" s="735">
        <v>0</v>
      </c>
      <c r="J1943" s="735">
        <v>0</v>
      </c>
      <c r="K1943" s="735">
        <v>0</v>
      </c>
      <c r="L1943" s="750">
        <v>0</v>
      </c>
    </row>
    <row r="1944" spans="1:12" ht="31.5" x14ac:dyDescent="0.25">
      <c r="A1944" s="561" t="s">
        <v>104</v>
      </c>
      <c r="B1944" s="749">
        <v>2023</v>
      </c>
      <c r="C1944" s="561" t="s">
        <v>721</v>
      </c>
      <c r="D1944" s="561" t="s">
        <v>2139</v>
      </c>
      <c r="E1944" s="561" t="s">
        <v>143</v>
      </c>
      <c r="F1944" s="735">
        <v>0</v>
      </c>
      <c r="G1944" s="749">
        <v>1</v>
      </c>
      <c r="H1944" s="749"/>
      <c r="I1944" s="735">
        <v>0</v>
      </c>
      <c r="J1944" s="735">
        <v>0</v>
      </c>
      <c r="K1944" s="735">
        <v>0</v>
      </c>
      <c r="L1944" s="750">
        <v>0</v>
      </c>
    </row>
    <row r="1945" spans="1:12" ht="31.5" x14ac:dyDescent="0.25">
      <c r="A1945" s="561" t="s">
        <v>104</v>
      </c>
      <c r="B1945" s="749">
        <v>2023</v>
      </c>
      <c r="C1945" s="561" t="s">
        <v>721</v>
      </c>
      <c r="D1945" s="561" t="s">
        <v>2140</v>
      </c>
      <c r="E1945" s="561" t="s">
        <v>182</v>
      </c>
      <c r="F1945" s="735">
        <v>0</v>
      </c>
      <c r="G1945" s="749">
        <v>1</v>
      </c>
      <c r="H1945" s="749"/>
      <c r="I1945" s="735">
        <v>0</v>
      </c>
      <c r="J1945" s="735">
        <v>0</v>
      </c>
      <c r="K1945" s="735">
        <v>0</v>
      </c>
      <c r="L1945" s="750">
        <v>0</v>
      </c>
    </row>
    <row r="1946" spans="1:12" ht="31.5" x14ac:dyDescent="0.25">
      <c r="A1946" s="561" t="s">
        <v>104</v>
      </c>
      <c r="B1946" s="749">
        <v>2023</v>
      </c>
      <c r="C1946" s="561" t="s">
        <v>721</v>
      </c>
      <c r="D1946" s="561" t="s">
        <v>2141</v>
      </c>
      <c r="E1946" s="561" t="s">
        <v>394</v>
      </c>
      <c r="F1946" s="735">
        <v>0</v>
      </c>
      <c r="G1946" s="749">
        <v>1</v>
      </c>
      <c r="H1946" s="749"/>
      <c r="I1946" s="735">
        <v>0</v>
      </c>
      <c r="J1946" s="735">
        <v>0</v>
      </c>
      <c r="K1946" s="735">
        <v>0</v>
      </c>
      <c r="L1946" s="750">
        <v>0</v>
      </c>
    </row>
    <row r="1947" spans="1:12" ht="31.5" x14ac:dyDescent="0.25">
      <c r="A1947" s="561" t="s">
        <v>104</v>
      </c>
      <c r="B1947" s="749">
        <v>2023</v>
      </c>
      <c r="C1947" s="561" t="s">
        <v>721</v>
      </c>
      <c r="D1947" s="561" t="s">
        <v>2142</v>
      </c>
      <c r="E1947" s="561" t="s">
        <v>423</v>
      </c>
      <c r="F1947" s="735">
        <v>0</v>
      </c>
      <c r="G1947" s="749">
        <v>1</v>
      </c>
      <c r="H1947" s="749"/>
      <c r="I1947" s="735">
        <v>0</v>
      </c>
      <c r="J1947" s="735">
        <v>0</v>
      </c>
      <c r="K1947" s="735">
        <v>0</v>
      </c>
      <c r="L1947" s="750">
        <v>0</v>
      </c>
    </row>
    <row r="1948" spans="1:12" ht="31.5" x14ac:dyDescent="0.25">
      <c r="A1948" s="561" t="s">
        <v>104</v>
      </c>
      <c r="B1948" s="749">
        <v>2023</v>
      </c>
      <c r="C1948" s="561" t="s">
        <v>721</v>
      </c>
      <c r="D1948" s="561" t="s">
        <v>3274</v>
      </c>
      <c r="E1948" s="561" t="s">
        <v>441</v>
      </c>
      <c r="F1948" s="735">
        <v>0</v>
      </c>
      <c r="G1948" s="749">
        <v>1</v>
      </c>
      <c r="H1948" s="749"/>
      <c r="I1948" s="735">
        <v>41897.300000000003</v>
      </c>
      <c r="J1948" s="735">
        <v>15353.94</v>
      </c>
      <c r="K1948" s="735">
        <v>57251.24</v>
      </c>
      <c r="L1948" s="750">
        <v>57251.24</v>
      </c>
    </row>
    <row r="1949" spans="1:12" ht="31.5" x14ac:dyDescent="0.25">
      <c r="A1949" s="561" t="s">
        <v>104</v>
      </c>
      <c r="B1949" s="749">
        <v>2023</v>
      </c>
      <c r="C1949" s="561" t="s">
        <v>721</v>
      </c>
      <c r="D1949" s="561" t="s">
        <v>3567</v>
      </c>
      <c r="E1949" s="561" t="s">
        <v>3016</v>
      </c>
      <c r="F1949" s="735">
        <v>0</v>
      </c>
      <c r="G1949" s="749">
        <v>1</v>
      </c>
      <c r="H1949" s="749"/>
      <c r="I1949" s="735">
        <v>0</v>
      </c>
      <c r="J1949" s="735">
        <v>12720.38</v>
      </c>
      <c r="K1949" s="735">
        <v>12720.38</v>
      </c>
      <c r="L1949" s="750">
        <v>12720.38</v>
      </c>
    </row>
    <row r="1950" spans="1:12" ht="31.5" x14ac:dyDescent="0.25">
      <c r="A1950" s="561" t="s">
        <v>104</v>
      </c>
      <c r="B1950" s="749">
        <v>2023</v>
      </c>
      <c r="C1950" s="561" t="s">
        <v>721</v>
      </c>
      <c r="D1950" s="561" t="s">
        <v>3568</v>
      </c>
      <c r="E1950" s="561" t="s">
        <v>3058</v>
      </c>
      <c r="F1950" s="735">
        <v>0</v>
      </c>
      <c r="G1950" s="749">
        <v>1</v>
      </c>
      <c r="H1950" s="749"/>
      <c r="I1950" s="735">
        <v>36043.870000000003</v>
      </c>
      <c r="J1950" s="735">
        <v>16566.61</v>
      </c>
      <c r="K1950" s="735">
        <v>52610.48</v>
      </c>
      <c r="L1950" s="750">
        <v>52610.48</v>
      </c>
    </row>
    <row r="1951" spans="1:12" ht="31.5" x14ac:dyDescent="0.25">
      <c r="A1951" s="561" t="s">
        <v>104</v>
      </c>
      <c r="B1951" s="749">
        <v>2023</v>
      </c>
      <c r="C1951" s="561" t="s">
        <v>721</v>
      </c>
      <c r="D1951" s="561" t="s">
        <v>3569</v>
      </c>
      <c r="E1951" s="561" t="s">
        <v>3063</v>
      </c>
      <c r="F1951" s="735">
        <v>0</v>
      </c>
      <c r="G1951" s="749">
        <v>1</v>
      </c>
      <c r="H1951" s="749"/>
      <c r="I1951" s="735">
        <v>8839.7199999999993</v>
      </c>
      <c r="J1951" s="735">
        <v>0</v>
      </c>
      <c r="K1951" s="735">
        <v>8839.7199999999993</v>
      </c>
      <c r="L1951" s="750">
        <v>8839.7199999999993</v>
      </c>
    </row>
    <row r="1952" spans="1:12" ht="31.5" x14ac:dyDescent="0.25">
      <c r="A1952" s="561" t="s">
        <v>104</v>
      </c>
      <c r="B1952" s="749">
        <v>2023</v>
      </c>
      <c r="C1952" s="561" t="s">
        <v>721</v>
      </c>
      <c r="D1952" s="561" t="s">
        <v>3898</v>
      </c>
      <c r="E1952" s="561" t="s">
        <v>3425</v>
      </c>
      <c r="F1952" s="735">
        <v>0</v>
      </c>
      <c r="G1952" s="749">
        <v>1</v>
      </c>
      <c r="H1952" s="749"/>
      <c r="I1952" s="735">
        <v>-25559.4</v>
      </c>
      <c r="J1952" s="735">
        <v>-10392.36</v>
      </c>
      <c r="K1952" s="735">
        <v>-35951.760000000002</v>
      </c>
      <c r="L1952" s="750">
        <v>-35951.760000000002</v>
      </c>
    </row>
    <row r="1953" spans="1:12" ht="42" x14ac:dyDescent="0.25">
      <c r="A1953" s="561" t="s">
        <v>104</v>
      </c>
      <c r="B1953" s="749">
        <v>2023</v>
      </c>
      <c r="C1953" s="561" t="s">
        <v>721</v>
      </c>
      <c r="D1953" s="561" t="s">
        <v>3899</v>
      </c>
      <c r="E1953" s="561" t="s">
        <v>737</v>
      </c>
      <c r="F1953" s="735">
        <v>95470.06</v>
      </c>
      <c r="G1953" s="749">
        <v>0</v>
      </c>
      <c r="H1953" s="749"/>
      <c r="I1953" s="733"/>
      <c r="J1953" s="733"/>
      <c r="K1953" s="735">
        <v>0</v>
      </c>
      <c r="L1953" s="750">
        <v>95470.06</v>
      </c>
    </row>
    <row r="1954" spans="1:12" x14ac:dyDescent="0.25">
      <c r="A1954" s="561" t="s">
        <v>104</v>
      </c>
      <c r="B1954" s="749">
        <v>2023</v>
      </c>
      <c r="C1954" s="561" t="s">
        <v>738</v>
      </c>
      <c r="D1954" s="561" t="s">
        <v>2144</v>
      </c>
      <c r="E1954" s="561" t="s">
        <v>7</v>
      </c>
      <c r="F1954" s="735">
        <v>0</v>
      </c>
      <c r="G1954" s="749">
        <v>0</v>
      </c>
      <c r="H1954" s="749"/>
      <c r="I1954" s="733"/>
      <c r="J1954" s="733"/>
      <c r="K1954" s="735">
        <v>0</v>
      </c>
      <c r="L1954" s="750">
        <v>0</v>
      </c>
    </row>
    <row r="1955" spans="1:12" x14ac:dyDescent="0.25">
      <c r="A1955" s="561" t="s">
        <v>105</v>
      </c>
      <c r="B1955" s="749">
        <v>2023</v>
      </c>
      <c r="C1955" s="561" t="s">
        <v>647</v>
      </c>
      <c r="D1955" s="561" t="s">
        <v>2145</v>
      </c>
      <c r="E1955" s="561" t="s">
        <v>649</v>
      </c>
      <c r="F1955" s="735">
        <v>129569.33</v>
      </c>
      <c r="G1955" s="749">
        <v>0</v>
      </c>
      <c r="H1955" s="749"/>
      <c r="I1955" s="733"/>
      <c r="J1955" s="733"/>
      <c r="K1955" s="735">
        <v>0</v>
      </c>
      <c r="L1955" s="750">
        <v>129569.33</v>
      </c>
    </row>
    <row r="1956" spans="1:12" ht="21" x14ac:dyDescent="0.25">
      <c r="A1956" s="561" t="s">
        <v>105</v>
      </c>
      <c r="B1956" s="749">
        <v>2023</v>
      </c>
      <c r="C1956" s="561" t="s">
        <v>3691</v>
      </c>
      <c r="D1956" s="561" t="s">
        <v>3658</v>
      </c>
      <c r="E1956" s="561" t="s">
        <v>3675</v>
      </c>
      <c r="F1956" s="735">
        <v>0</v>
      </c>
      <c r="G1956" s="749">
        <v>0</v>
      </c>
      <c r="H1956" s="749"/>
      <c r="I1956" s="733"/>
      <c r="J1956" s="733"/>
      <c r="K1956" s="735">
        <v>0</v>
      </c>
      <c r="L1956" s="750">
        <v>0</v>
      </c>
    </row>
    <row r="1957" spans="1:12" x14ac:dyDescent="0.25">
      <c r="A1957" s="561" t="s">
        <v>105</v>
      </c>
      <c r="B1957" s="749">
        <v>2023</v>
      </c>
      <c r="C1957" s="561" t="s">
        <v>651</v>
      </c>
      <c r="D1957" s="561" t="s">
        <v>2146</v>
      </c>
      <c r="E1957" s="561" t="s">
        <v>653</v>
      </c>
      <c r="F1957" s="735">
        <v>0</v>
      </c>
      <c r="G1957" s="749">
        <v>0</v>
      </c>
      <c r="H1957" s="749"/>
      <c r="I1957" s="733"/>
      <c r="J1957" s="733"/>
      <c r="K1957" s="735">
        <v>0</v>
      </c>
      <c r="L1957" s="750">
        <v>0</v>
      </c>
    </row>
    <row r="1958" spans="1:12" ht="31.5" x14ac:dyDescent="0.25">
      <c r="A1958" s="561" t="s">
        <v>105</v>
      </c>
      <c r="B1958" s="749">
        <v>2023</v>
      </c>
      <c r="C1958" s="561" t="s">
        <v>654</v>
      </c>
      <c r="D1958" s="561" t="s">
        <v>2147</v>
      </c>
      <c r="E1958" s="561" t="s">
        <v>445</v>
      </c>
      <c r="F1958" s="735">
        <v>0</v>
      </c>
      <c r="G1958" s="749">
        <v>0</v>
      </c>
      <c r="H1958" s="749"/>
      <c r="I1958" s="733"/>
      <c r="J1958" s="733"/>
      <c r="K1958" s="735">
        <v>0</v>
      </c>
      <c r="L1958" s="750">
        <v>0</v>
      </c>
    </row>
    <row r="1959" spans="1:12" ht="21" x14ac:dyDescent="0.25">
      <c r="A1959" s="561" t="s">
        <v>105</v>
      </c>
      <c r="B1959" s="749">
        <v>2023</v>
      </c>
      <c r="C1959" s="561" t="s">
        <v>656</v>
      </c>
      <c r="D1959" s="561" t="s">
        <v>2148</v>
      </c>
      <c r="E1959" s="561" t="s">
        <v>658</v>
      </c>
      <c r="F1959" s="735">
        <v>0</v>
      </c>
      <c r="G1959" s="749">
        <v>0</v>
      </c>
      <c r="H1959" s="749"/>
      <c r="I1959" s="733"/>
      <c r="J1959" s="733"/>
      <c r="K1959" s="735">
        <v>0</v>
      </c>
      <c r="L1959" s="750">
        <v>0</v>
      </c>
    </row>
    <row r="1960" spans="1:12" ht="21" x14ac:dyDescent="0.25">
      <c r="A1960" s="561" t="s">
        <v>105</v>
      </c>
      <c r="B1960" s="749">
        <v>2023</v>
      </c>
      <c r="C1960" s="561" t="s">
        <v>659</v>
      </c>
      <c r="D1960" s="561" t="s">
        <v>2149</v>
      </c>
      <c r="E1960" s="561" t="s">
        <v>661</v>
      </c>
      <c r="F1960" s="735">
        <v>0</v>
      </c>
      <c r="G1960" s="749">
        <v>0</v>
      </c>
      <c r="H1960" s="749"/>
      <c r="I1960" s="733"/>
      <c r="J1960" s="733"/>
      <c r="K1960" s="735">
        <v>0</v>
      </c>
      <c r="L1960" s="750">
        <v>0</v>
      </c>
    </row>
    <row r="1961" spans="1:12" ht="21" x14ac:dyDescent="0.25">
      <c r="A1961" s="561" t="s">
        <v>105</v>
      </c>
      <c r="B1961" s="749">
        <v>2023</v>
      </c>
      <c r="C1961" s="561" t="s">
        <v>662</v>
      </c>
      <c r="D1961" s="561" t="s">
        <v>2150</v>
      </c>
      <c r="E1961" s="561" t="s">
        <v>664</v>
      </c>
      <c r="F1961" s="735">
        <v>0</v>
      </c>
      <c r="G1961" s="749">
        <v>0</v>
      </c>
      <c r="H1961" s="749"/>
      <c r="I1961" s="733"/>
      <c r="J1961" s="733"/>
      <c r="K1961" s="735">
        <v>0</v>
      </c>
      <c r="L1961" s="750">
        <v>0</v>
      </c>
    </row>
    <row r="1962" spans="1:12" ht="31.5" x14ac:dyDescent="0.25">
      <c r="A1962" s="561" t="s">
        <v>105</v>
      </c>
      <c r="B1962" s="749">
        <v>2023</v>
      </c>
      <c r="C1962" s="561" t="s">
        <v>665</v>
      </c>
      <c r="D1962" s="561" t="s">
        <v>2151</v>
      </c>
      <c r="E1962" s="561" t="s">
        <v>667</v>
      </c>
      <c r="F1962" s="735">
        <v>0</v>
      </c>
      <c r="G1962" s="749">
        <v>0</v>
      </c>
      <c r="H1962" s="749"/>
      <c r="I1962" s="733"/>
      <c r="J1962" s="733"/>
      <c r="K1962" s="735">
        <v>0</v>
      </c>
      <c r="L1962" s="750">
        <v>0</v>
      </c>
    </row>
    <row r="1963" spans="1:12" ht="21" x14ac:dyDescent="0.25">
      <c r="A1963" s="561" t="s">
        <v>105</v>
      </c>
      <c r="B1963" s="749">
        <v>2023</v>
      </c>
      <c r="C1963" s="561" t="s">
        <v>668</v>
      </c>
      <c r="D1963" s="561" t="s">
        <v>2152</v>
      </c>
      <c r="E1963" s="561" t="s">
        <v>12</v>
      </c>
      <c r="F1963" s="735">
        <v>0</v>
      </c>
      <c r="G1963" s="749">
        <v>0</v>
      </c>
      <c r="H1963" s="749"/>
      <c r="I1963" s="733"/>
      <c r="J1963" s="733"/>
      <c r="K1963" s="735">
        <v>0</v>
      </c>
      <c r="L1963" s="750">
        <v>0</v>
      </c>
    </row>
    <row r="1964" spans="1:12" ht="21" x14ac:dyDescent="0.25">
      <c r="A1964" s="561" t="s">
        <v>105</v>
      </c>
      <c r="B1964" s="749">
        <v>2023</v>
      </c>
      <c r="C1964" s="561" t="s">
        <v>670</v>
      </c>
      <c r="D1964" s="561" t="s">
        <v>2153</v>
      </c>
      <c r="E1964" s="561" t="s">
        <v>13</v>
      </c>
      <c r="F1964" s="735">
        <v>0</v>
      </c>
      <c r="G1964" s="749">
        <v>0</v>
      </c>
      <c r="H1964" s="749"/>
      <c r="I1964" s="733"/>
      <c r="J1964" s="733"/>
      <c r="K1964" s="735">
        <v>0</v>
      </c>
      <c r="L1964" s="750">
        <v>0</v>
      </c>
    </row>
    <row r="1965" spans="1:12" ht="21" x14ac:dyDescent="0.25">
      <c r="A1965" s="561" t="s">
        <v>105</v>
      </c>
      <c r="B1965" s="749">
        <v>2023</v>
      </c>
      <c r="C1965" s="561" t="s">
        <v>672</v>
      </c>
      <c r="D1965" s="561" t="s">
        <v>2154</v>
      </c>
      <c r="E1965" s="561" t="s">
        <v>15</v>
      </c>
      <c r="F1965" s="735">
        <v>0</v>
      </c>
      <c r="G1965" s="749">
        <v>0</v>
      </c>
      <c r="H1965" s="749"/>
      <c r="I1965" s="733"/>
      <c r="J1965" s="733"/>
      <c r="K1965" s="735">
        <v>0</v>
      </c>
      <c r="L1965" s="750">
        <v>0</v>
      </c>
    </row>
    <row r="1966" spans="1:12" x14ac:dyDescent="0.25">
      <c r="A1966" s="561" t="s">
        <v>105</v>
      </c>
      <c r="B1966" s="749">
        <v>2023</v>
      </c>
      <c r="C1966" s="561" t="s">
        <v>674</v>
      </c>
      <c r="D1966" s="561" t="s">
        <v>2155</v>
      </c>
      <c r="E1966" s="561" t="s">
        <v>676</v>
      </c>
      <c r="F1966" s="735">
        <v>0</v>
      </c>
      <c r="G1966" s="749">
        <v>0</v>
      </c>
      <c r="H1966" s="749"/>
      <c r="I1966" s="733"/>
      <c r="J1966" s="733"/>
      <c r="K1966" s="735">
        <v>0</v>
      </c>
      <c r="L1966" s="750">
        <v>0</v>
      </c>
    </row>
    <row r="1967" spans="1:12" x14ac:dyDescent="0.25">
      <c r="A1967" s="561" t="s">
        <v>105</v>
      </c>
      <c r="B1967" s="749">
        <v>2023</v>
      </c>
      <c r="C1967" s="561" t="s">
        <v>677</v>
      </c>
      <c r="D1967" s="561" t="s">
        <v>2156</v>
      </c>
      <c r="E1967" s="561" t="s">
        <v>23</v>
      </c>
      <c r="F1967" s="735">
        <v>199454.97</v>
      </c>
      <c r="G1967" s="749">
        <v>1</v>
      </c>
      <c r="H1967" s="749"/>
      <c r="I1967" s="735">
        <v>191809.98</v>
      </c>
      <c r="J1967" s="735">
        <v>7644.99</v>
      </c>
      <c r="K1967" s="735">
        <v>199454.97</v>
      </c>
      <c r="L1967" s="750">
        <v>199454.97</v>
      </c>
    </row>
    <row r="1968" spans="1:12" ht="21" x14ac:dyDescent="0.25">
      <c r="A1968" s="561" t="s">
        <v>105</v>
      </c>
      <c r="B1968" s="749">
        <v>2023</v>
      </c>
      <c r="C1968" s="561" t="s">
        <v>679</v>
      </c>
      <c r="D1968" s="561" t="s">
        <v>2157</v>
      </c>
      <c r="E1968" s="561" t="s">
        <v>131</v>
      </c>
      <c r="F1968" s="735">
        <v>-91295.71</v>
      </c>
      <c r="G1968" s="749">
        <v>1</v>
      </c>
      <c r="H1968" s="749"/>
      <c r="I1968" s="735">
        <v>-89953.68</v>
      </c>
      <c r="J1968" s="735">
        <v>-1342.03</v>
      </c>
      <c r="K1968" s="735">
        <v>-91295.71</v>
      </c>
      <c r="L1968" s="750">
        <v>-91295.71</v>
      </c>
    </row>
    <row r="1969" spans="1:12" ht="31.5" x14ac:dyDescent="0.25">
      <c r="A1969" s="561" t="s">
        <v>105</v>
      </c>
      <c r="B1969" s="749">
        <v>2023</v>
      </c>
      <c r="C1969" s="561" t="s">
        <v>681</v>
      </c>
      <c r="D1969" s="561" t="s">
        <v>2158</v>
      </c>
      <c r="E1969" s="561" t="s">
        <v>683</v>
      </c>
      <c r="F1969" s="735">
        <v>15637</v>
      </c>
      <c r="G1969" s="749">
        <v>0</v>
      </c>
      <c r="H1969" s="749"/>
      <c r="I1969" s="733"/>
      <c r="J1969" s="733"/>
      <c r="K1969" s="735">
        <v>0</v>
      </c>
      <c r="L1969" s="750">
        <v>15637</v>
      </c>
    </row>
    <row r="1970" spans="1:12" ht="21" x14ac:dyDescent="0.25">
      <c r="A1970" s="561" t="s">
        <v>105</v>
      </c>
      <c r="B1970" s="749">
        <v>2023</v>
      </c>
      <c r="C1970" s="561" t="s">
        <v>681</v>
      </c>
      <c r="D1970" s="561" t="s">
        <v>2158</v>
      </c>
      <c r="E1970" s="561" t="s">
        <v>684</v>
      </c>
      <c r="F1970" s="735">
        <v>0</v>
      </c>
      <c r="G1970" s="749">
        <v>0</v>
      </c>
      <c r="H1970" s="749"/>
      <c r="I1970" s="733"/>
      <c r="J1970" s="733"/>
      <c r="K1970" s="735">
        <v>0</v>
      </c>
      <c r="L1970" s="751">
        <v>0</v>
      </c>
    </row>
    <row r="1971" spans="1:12" x14ac:dyDescent="0.25">
      <c r="A1971" s="561" t="s">
        <v>105</v>
      </c>
      <c r="B1971" s="749">
        <v>2023</v>
      </c>
      <c r="C1971" s="561" t="s">
        <v>685</v>
      </c>
      <c r="D1971" s="561" t="s">
        <v>2159</v>
      </c>
      <c r="E1971" s="561" t="s">
        <v>687</v>
      </c>
      <c r="F1971" s="735">
        <v>0</v>
      </c>
      <c r="G1971" s="749">
        <v>0</v>
      </c>
      <c r="H1971" s="749"/>
      <c r="I1971" s="733"/>
      <c r="J1971" s="733"/>
      <c r="K1971" s="735">
        <v>0</v>
      </c>
      <c r="L1971" s="750">
        <v>0</v>
      </c>
    </row>
    <row r="1972" spans="1:12" x14ac:dyDescent="0.25">
      <c r="A1972" s="561" t="s">
        <v>105</v>
      </c>
      <c r="B1972" s="749">
        <v>2023</v>
      </c>
      <c r="C1972" s="561" t="s">
        <v>688</v>
      </c>
      <c r="D1972" s="561" t="s">
        <v>2160</v>
      </c>
      <c r="E1972" s="561" t="s">
        <v>50</v>
      </c>
      <c r="F1972" s="735">
        <v>0.2</v>
      </c>
      <c r="G1972" s="749">
        <v>0</v>
      </c>
      <c r="H1972" s="749"/>
      <c r="I1972" s="733"/>
      <c r="J1972" s="733"/>
      <c r="K1972" s="735">
        <v>0</v>
      </c>
      <c r="L1972" s="750">
        <v>0.2</v>
      </c>
    </row>
    <row r="1973" spans="1:12" x14ac:dyDescent="0.25">
      <c r="A1973" s="561" t="s">
        <v>105</v>
      </c>
      <c r="B1973" s="749">
        <v>2023</v>
      </c>
      <c r="C1973" s="561" t="s">
        <v>690</v>
      </c>
      <c r="D1973" s="561" t="s">
        <v>2161</v>
      </c>
      <c r="E1973" s="561" t="s">
        <v>692</v>
      </c>
      <c r="F1973" s="735">
        <v>0</v>
      </c>
      <c r="G1973" s="749">
        <v>0</v>
      </c>
      <c r="H1973" s="749"/>
      <c r="I1973" s="733"/>
      <c r="J1973" s="733"/>
      <c r="K1973" s="735">
        <v>0</v>
      </c>
      <c r="L1973" s="750">
        <v>0</v>
      </c>
    </row>
    <row r="1974" spans="1:12" ht="21" x14ac:dyDescent="0.25">
      <c r="A1974" s="561" t="s">
        <v>105</v>
      </c>
      <c r="B1974" s="749">
        <v>2023</v>
      </c>
      <c r="C1974" s="561" t="s">
        <v>693</v>
      </c>
      <c r="D1974" s="561" t="s">
        <v>2162</v>
      </c>
      <c r="E1974" s="561" t="s">
        <v>6</v>
      </c>
      <c r="F1974" s="735">
        <v>0</v>
      </c>
      <c r="G1974" s="749">
        <v>0</v>
      </c>
      <c r="H1974" s="749"/>
      <c r="I1974" s="733"/>
      <c r="J1974" s="733"/>
      <c r="K1974" s="735">
        <v>0</v>
      </c>
      <c r="L1974" s="750">
        <v>0</v>
      </c>
    </row>
    <row r="1975" spans="1:12" ht="21" x14ac:dyDescent="0.25">
      <c r="A1975" s="561" t="s">
        <v>105</v>
      </c>
      <c r="B1975" s="749">
        <v>2023</v>
      </c>
      <c r="C1975" s="561" t="s">
        <v>695</v>
      </c>
      <c r="D1975" s="561" t="s">
        <v>2163</v>
      </c>
      <c r="E1975" s="561" t="s">
        <v>697</v>
      </c>
      <c r="F1975" s="735">
        <v>7.0000000000000007E-2</v>
      </c>
      <c r="G1975" s="749">
        <v>0</v>
      </c>
      <c r="H1975" s="749"/>
      <c r="I1975" s="733"/>
      <c r="J1975" s="733"/>
      <c r="K1975" s="735">
        <v>0</v>
      </c>
      <c r="L1975" s="750">
        <v>7.0000000000000007E-2</v>
      </c>
    </row>
    <row r="1976" spans="1:12" x14ac:dyDescent="0.25">
      <c r="A1976" s="561" t="s">
        <v>105</v>
      </c>
      <c r="B1976" s="749">
        <v>2023</v>
      </c>
      <c r="C1976" s="561" t="s">
        <v>698</v>
      </c>
      <c r="D1976" s="561" t="s">
        <v>2164</v>
      </c>
      <c r="E1976" s="561" t="s">
        <v>700</v>
      </c>
      <c r="F1976" s="735">
        <v>-0.01</v>
      </c>
      <c r="G1976" s="749">
        <v>0</v>
      </c>
      <c r="H1976" s="749"/>
      <c r="I1976" s="733"/>
      <c r="J1976" s="733"/>
      <c r="K1976" s="735">
        <v>0</v>
      </c>
      <c r="L1976" s="750">
        <v>-0.01</v>
      </c>
    </row>
    <row r="1977" spans="1:12" ht="21" x14ac:dyDescent="0.25">
      <c r="A1977" s="561" t="s">
        <v>105</v>
      </c>
      <c r="B1977" s="749">
        <v>2023</v>
      </c>
      <c r="C1977" s="561" t="s">
        <v>701</v>
      </c>
      <c r="D1977" s="561" t="s">
        <v>2165</v>
      </c>
      <c r="E1977" s="561" t="s">
        <v>1</v>
      </c>
      <c r="F1977" s="735">
        <v>925372.02</v>
      </c>
      <c r="G1977" s="749">
        <v>1</v>
      </c>
      <c r="H1977" s="749"/>
      <c r="I1977" s="735">
        <v>919261.44</v>
      </c>
      <c r="J1977" s="735">
        <v>6110.58</v>
      </c>
      <c r="K1977" s="735">
        <v>925372.02</v>
      </c>
      <c r="L1977" s="750">
        <v>925372.02</v>
      </c>
    </row>
    <row r="1978" spans="1:12" ht="21" x14ac:dyDescent="0.25">
      <c r="A1978" s="561" t="s">
        <v>105</v>
      </c>
      <c r="B1978" s="749">
        <v>2023</v>
      </c>
      <c r="C1978" s="561" t="s">
        <v>701</v>
      </c>
      <c r="D1978" s="561" t="s">
        <v>2165</v>
      </c>
      <c r="E1978" s="561" t="s">
        <v>703</v>
      </c>
      <c r="F1978" s="735">
        <v>0</v>
      </c>
      <c r="G1978" s="749">
        <v>0</v>
      </c>
      <c r="H1978" s="749"/>
      <c r="I1978" s="733"/>
      <c r="J1978" s="733"/>
      <c r="K1978" s="735">
        <v>0</v>
      </c>
      <c r="L1978" s="751">
        <v>0</v>
      </c>
    </row>
    <row r="1979" spans="1:12" ht="21" x14ac:dyDescent="0.25">
      <c r="A1979" s="561" t="s">
        <v>105</v>
      </c>
      <c r="B1979" s="749">
        <v>2023</v>
      </c>
      <c r="C1979" s="561" t="s">
        <v>701</v>
      </c>
      <c r="D1979" s="561" t="s">
        <v>2165</v>
      </c>
      <c r="E1979" s="561" t="s">
        <v>704</v>
      </c>
      <c r="F1979" s="735">
        <v>0</v>
      </c>
      <c r="G1979" s="749">
        <v>0</v>
      </c>
      <c r="H1979" s="749"/>
      <c r="I1979" s="733"/>
      <c r="J1979" s="733"/>
      <c r="K1979" s="735">
        <v>0</v>
      </c>
      <c r="L1979" s="751">
        <v>0</v>
      </c>
    </row>
    <row r="1980" spans="1:12" ht="21" x14ac:dyDescent="0.25">
      <c r="A1980" s="561" t="s">
        <v>105</v>
      </c>
      <c r="B1980" s="749">
        <v>2023</v>
      </c>
      <c r="C1980" s="561" t="s">
        <v>701</v>
      </c>
      <c r="D1980" s="561" t="s">
        <v>2165</v>
      </c>
      <c r="E1980" s="561" t="s">
        <v>705</v>
      </c>
      <c r="F1980" s="735">
        <v>0</v>
      </c>
      <c r="G1980" s="749">
        <v>0</v>
      </c>
      <c r="H1980" s="749"/>
      <c r="I1980" s="733"/>
      <c r="J1980" s="733"/>
      <c r="K1980" s="735">
        <v>0</v>
      </c>
      <c r="L1980" s="751">
        <v>-3427.06</v>
      </c>
    </row>
    <row r="1981" spans="1:12" ht="21" x14ac:dyDescent="0.25">
      <c r="A1981" s="561" t="s">
        <v>105</v>
      </c>
      <c r="B1981" s="749">
        <v>2023</v>
      </c>
      <c r="C1981" s="561" t="s">
        <v>701</v>
      </c>
      <c r="D1981" s="561" t="s">
        <v>2165</v>
      </c>
      <c r="E1981" s="561" t="s">
        <v>706</v>
      </c>
      <c r="F1981" s="735">
        <v>0</v>
      </c>
      <c r="G1981" s="749">
        <v>0</v>
      </c>
      <c r="H1981" s="749"/>
      <c r="I1981" s="733"/>
      <c r="J1981" s="733"/>
      <c r="K1981" s="735">
        <v>0</v>
      </c>
      <c r="L1981" s="751">
        <v>-149611.04</v>
      </c>
    </row>
    <row r="1982" spans="1:12" x14ac:dyDescent="0.25">
      <c r="A1982" s="561" t="s">
        <v>105</v>
      </c>
      <c r="B1982" s="749">
        <v>2023</v>
      </c>
      <c r="C1982" s="561" t="s">
        <v>707</v>
      </c>
      <c r="D1982" s="561" t="s">
        <v>2166</v>
      </c>
      <c r="E1982" s="561" t="s">
        <v>709</v>
      </c>
      <c r="F1982" s="735">
        <v>0</v>
      </c>
      <c r="G1982" s="749">
        <v>0</v>
      </c>
      <c r="H1982" s="749"/>
      <c r="I1982" s="733"/>
      <c r="J1982" s="733"/>
      <c r="K1982" s="735">
        <v>0</v>
      </c>
      <c r="L1982" s="750">
        <v>0</v>
      </c>
    </row>
    <row r="1983" spans="1:12" ht="21" x14ac:dyDescent="0.25">
      <c r="A1983" s="561" t="s">
        <v>105</v>
      </c>
      <c r="B1983" s="749">
        <v>2023</v>
      </c>
      <c r="C1983" s="561" t="s">
        <v>710</v>
      </c>
      <c r="D1983" s="561" t="s">
        <v>2167</v>
      </c>
      <c r="E1983" s="561" t="s">
        <v>2</v>
      </c>
      <c r="F1983" s="735">
        <v>1322320.31</v>
      </c>
      <c r="G1983" s="749">
        <v>1</v>
      </c>
      <c r="H1983" s="749"/>
      <c r="I1983" s="735">
        <v>1291208.58</v>
      </c>
      <c r="J1983" s="735">
        <v>31111.73</v>
      </c>
      <c r="K1983" s="735">
        <v>1322320.31</v>
      </c>
      <c r="L1983" s="750">
        <v>1322320.31</v>
      </c>
    </row>
    <row r="1984" spans="1:12" ht="21" x14ac:dyDescent="0.25">
      <c r="A1984" s="561" t="s">
        <v>105</v>
      </c>
      <c r="B1984" s="749">
        <v>2023</v>
      </c>
      <c r="C1984" s="561" t="s">
        <v>712</v>
      </c>
      <c r="D1984" s="561" t="s">
        <v>2168</v>
      </c>
      <c r="E1984" s="561" t="s">
        <v>3</v>
      </c>
      <c r="F1984" s="735">
        <v>383291.5</v>
      </c>
      <c r="G1984" s="749">
        <v>1</v>
      </c>
      <c r="H1984" s="749"/>
      <c r="I1984" s="735">
        <v>354738.64</v>
      </c>
      <c r="J1984" s="735">
        <v>28552.86</v>
      </c>
      <c r="K1984" s="735">
        <v>383291.5</v>
      </c>
      <c r="L1984" s="750">
        <v>383291.5</v>
      </c>
    </row>
    <row r="1985" spans="1:12" ht="21" x14ac:dyDescent="0.25">
      <c r="A1985" s="561" t="s">
        <v>105</v>
      </c>
      <c r="B1985" s="749">
        <v>2023</v>
      </c>
      <c r="C1985" s="561" t="s">
        <v>714</v>
      </c>
      <c r="D1985" s="561" t="s">
        <v>2169</v>
      </c>
      <c r="E1985" s="561" t="s">
        <v>38</v>
      </c>
      <c r="F1985" s="735">
        <v>-332198.14</v>
      </c>
      <c r="G1985" s="749">
        <v>1</v>
      </c>
      <c r="H1985" s="749"/>
      <c r="I1985" s="735">
        <v>-347971.33</v>
      </c>
      <c r="J1985" s="735">
        <v>15773.19</v>
      </c>
      <c r="K1985" s="735">
        <v>-332198.14</v>
      </c>
      <c r="L1985" s="750">
        <v>-332198.14</v>
      </c>
    </row>
    <row r="1986" spans="1:12" x14ac:dyDescent="0.25">
      <c r="A1986" s="561" t="s">
        <v>105</v>
      </c>
      <c r="B1986" s="749">
        <v>2023</v>
      </c>
      <c r="C1986" s="561" t="s">
        <v>716</v>
      </c>
      <c r="D1986" s="561" t="s">
        <v>2170</v>
      </c>
      <c r="E1986" s="561" t="s">
        <v>66</v>
      </c>
      <c r="F1986" s="735">
        <v>-221115.51</v>
      </c>
      <c r="G1986" s="749">
        <v>1</v>
      </c>
      <c r="H1986" s="749"/>
      <c r="I1986" s="735">
        <v>-248505.73</v>
      </c>
      <c r="J1986" s="735">
        <v>27390.22</v>
      </c>
      <c r="K1986" s="735">
        <v>-221115.51</v>
      </c>
      <c r="L1986" s="750">
        <v>-221115.51</v>
      </c>
    </row>
    <row r="1987" spans="1:12" ht="21" x14ac:dyDescent="0.25">
      <c r="A1987" s="561" t="s">
        <v>105</v>
      </c>
      <c r="B1987" s="749">
        <v>2023</v>
      </c>
      <c r="C1987" s="561" t="s">
        <v>718</v>
      </c>
      <c r="D1987" s="561" t="s">
        <v>2171</v>
      </c>
      <c r="E1987" s="561" t="s">
        <v>720</v>
      </c>
      <c r="F1987" s="735">
        <v>-93661.22</v>
      </c>
      <c r="G1987" s="749">
        <v>0</v>
      </c>
      <c r="H1987" s="749"/>
      <c r="I1987" s="733"/>
      <c r="J1987" s="733"/>
      <c r="K1987" s="735">
        <v>0</v>
      </c>
      <c r="L1987" s="750">
        <v>-93661.22</v>
      </c>
    </row>
    <row r="1988" spans="1:12" ht="31.5" x14ac:dyDescent="0.25">
      <c r="A1988" s="561" t="s">
        <v>105</v>
      </c>
      <c r="B1988" s="749">
        <v>2023</v>
      </c>
      <c r="C1988" s="561" t="s">
        <v>721</v>
      </c>
      <c r="D1988" s="561" t="s">
        <v>2173</v>
      </c>
      <c r="E1988" s="561" t="s">
        <v>724</v>
      </c>
      <c r="F1988" s="735">
        <v>0</v>
      </c>
      <c r="G1988" s="749">
        <v>1</v>
      </c>
      <c r="H1988" s="749"/>
      <c r="I1988" s="733"/>
      <c r="J1988" s="733"/>
      <c r="K1988" s="735">
        <v>0</v>
      </c>
      <c r="L1988" s="750">
        <v>0</v>
      </c>
    </row>
    <row r="1989" spans="1:12" ht="31.5" x14ac:dyDescent="0.25">
      <c r="A1989" s="561" t="s">
        <v>105</v>
      </c>
      <c r="B1989" s="749">
        <v>2023</v>
      </c>
      <c r="C1989" s="561" t="s">
        <v>721</v>
      </c>
      <c r="D1989" s="561" t="s">
        <v>2174</v>
      </c>
      <c r="E1989" s="561" t="s">
        <v>55</v>
      </c>
      <c r="F1989" s="735">
        <v>0</v>
      </c>
      <c r="G1989" s="749">
        <v>1</v>
      </c>
      <c r="H1989" s="749"/>
      <c r="I1989" s="733"/>
      <c r="J1989" s="733"/>
      <c r="K1989" s="735">
        <v>0</v>
      </c>
      <c r="L1989" s="750">
        <v>0</v>
      </c>
    </row>
    <row r="1990" spans="1:12" ht="31.5" x14ac:dyDescent="0.25">
      <c r="A1990" s="561" t="s">
        <v>105</v>
      </c>
      <c r="B1990" s="749">
        <v>2023</v>
      </c>
      <c r="C1990" s="561" t="s">
        <v>721</v>
      </c>
      <c r="D1990" s="561" t="s">
        <v>2175</v>
      </c>
      <c r="E1990" s="561" t="s">
        <v>56</v>
      </c>
      <c r="F1990" s="735">
        <v>0</v>
      </c>
      <c r="G1990" s="749">
        <v>1</v>
      </c>
      <c r="H1990" s="749"/>
      <c r="I1990" s="733"/>
      <c r="J1990" s="733"/>
      <c r="K1990" s="735">
        <v>0</v>
      </c>
      <c r="L1990" s="750">
        <v>0</v>
      </c>
    </row>
    <row r="1991" spans="1:12" ht="31.5" x14ac:dyDescent="0.25">
      <c r="A1991" s="561" t="s">
        <v>105</v>
      </c>
      <c r="B1991" s="749">
        <v>2023</v>
      </c>
      <c r="C1991" s="561" t="s">
        <v>721</v>
      </c>
      <c r="D1991" s="561" t="s">
        <v>2176</v>
      </c>
      <c r="E1991" s="561" t="s">
        <v>728</v>
      </c>
      <c r="F1991" s="735">
        <v>0</v>
      </c>
      <c r="G1991" s="749">
        <v>1</v>
      </c>
      <c r="H1991" s="749"/>
      <c r="I1991" s="733"/>
      <c r="J1991" s="733"/>
      <c r="K1991" s="735">
        <v>0</v>
      </c>
      <c r="L1991" s="750">
        <v>0</v>
      </c>
    </row>
    <row r="1992" spans="1:12" ht="31.5" x14ac:dyDescent="0.25">
      <c r="A1992" s="561" t="s">
        <v>105</v>
      </c>
      <c r="B1992" s="749">
        <v>2023</v>
      </c>
      <c r="C1992" s="561" t="s">
        <v>721</v>
      </c>
      <c r="D1992" s="561" t="s">
        <v>2177</v>
      </c>
      <c r="E1992" s="561" t="s">
        <v>730</v>
      </c>
      <c r="F1992" s="735">
        <v>0</v>
      </c>
      <c r="G1992" s="749">
        <v>1</v>
      </c>
      <c r="H1992" s="749"/>
      <c r="I1992" s="733"/>
      <c r="J1992" s="733"/>
      <c r="K1992" s="735">
        <v>0</v>
      </c>
      <c r="L1992" s="750">
        <v>0</v>
      </c>
    </row>
    <row r="1993" spans="1:12" ht="31.5" x14ac:dyDescent="0.25">
      <c r="A1993" s="561" t="s">
        <v>105</v>
      </c>
      <c r="B1993" s="749">
        <v>2023</v>
      </c>
      <c r="C1993" s="561" t="s">
        <v>721</v>
      </c>
      <c r="D1993" s="561" t="s">
        <v>2178</v>
      </c>
      <c r="E1993" s="561" t="s">
        <v>142</v>
      </c>
      <c r="F1993" s="735">
        <v>0</v>
      </c>
      <c r="G1993" s="749">
        <v>1</v>
      </c>
      <c r="H1993" s="749"/>
      <c r="I1993" s="733"/>
      <c r="J1993" s="733"/>
      <c r="K1993" s="735">
        <v>0</v>
      </c>
      <c r="L1993" s="750">
        <v>0</v>
      </c>
    </row>
    <row r="1994" spans="1:12" ht="31.5" x14ac:dyDescent="0.25">
      <c r="A1994" s="561" t="s">
        <v>105</v>
      </c>
      <c r="B1994" s="749">
        <v>2023</v>
      </c>
      <c r="C1994" s="561" t="s">
        <v>721</v>
      </c>
      <c r="D1994" s="561" t="s">
        <v>2179</v>
      </c>
      <c r="E1994" s="561" t="s">
        <v>143</v>
      </c>
      <c r="F1994" s="735">
        <v>0</v>
      </c>
      <c r="G1994" s="749">
        <v>1</v>
      </c>
      <c r="H1994" s="749"/>
      <c r="I1994" s="733"/>
      <c r="J1994" s="733"/>
      <c r="K1994" s="735">
        <v>0</v>
      </c>
      <c r="L1994" s="750">
        <v>0</v>
      </c>
    </row>
    <row r="1995" spans="1:12" ht="31.5" x14ac:dyDescent="0.25">
      <c r="A1995" s="561" t="s">
        <v>105</v>
      </c>
      <c r="B1995" s="749">
        <v>2023</v>
      </c>
      <c r="C1995" s="561" t="s">
        <v>721</v>
      </c>
      <c r="D1995" s="561" t="s">
        <v>2180</v>
      </c>
      <c r="E1995" s="561" t="s">
        <v>182</v>
      </c>
      <c r="F1995" s="735">
        <v>0</v>
      </c>
      <c r="G1995" s="749">
        <v>1</v>
      </c>
      <c r="H1995" s="749"/>
      <c r="I1995" s="733"/>
      <c r="J1995" s="733"/>
      <c r="K1995" s="735">
        <v>0</v>
      </c>
      <c r="L1995" s="750">
        <v>0</v>
      </c>
    </row>
    <row r="1996" spans="1:12" ht="31.5" x14ac:dyDescent="0.25">
      <c r="A1996" s="561" t="s">
        <v>105</v>
      </c>
      <c r="B1996" s="749">
        <v>2023</v>
      </c>
      <c r="C1996" s="561" t="s">
        <v>721</v>
      </c>
      <c r="D1996" s="561" t="s">
        <v>2181</v>
      </c>
      <c r="E1996" s="561" t="s">
        <v>394</v>
      </c>
      <c r="F1996" s="735">
        <v>0</v>
      </c>
      <c r="G1996" s="749">
        <v>1</v>
      </c>
      <c r="H1996" s="749"/>
      <c r="I1996" s="733"/>
      <c r="J1996" s="733"/>
      <c r="K1996" s="735">
        <v>0</v>
      </c>
      <c r="L1996" s="750">
        <v>0</v>
      </c>
    </row>
    <row r="1997" spans="1:12" ht="31.5" x14ac:dyDescent="0.25">
      <c r="A1997" s="561" t="s">
        <v>105</v>
      </c>
      <c r="B1997" s="749">
        <v>2023</v>
      </c>
      <c r="C1997" s="561" t="s">
        <v>721</v>
      </c>
      <c r="D1997" s="561" t="s">
        <v>2182</v>
      </c>
      <c r="E1997" s="561" t="s">
        <v>423</v>
      </c>
      <c r="F1997" s="735">
        <v>0</v>
      </c>
      <c r="G1997" s="749">
        <v>1</v>
      </c>
      <c r="H1997" s="749"/>
      <c r="I1997" s="733"/>
      <c r="J1997" s="733"/>
      <c r="K1997" s="735">
        <v>0</v>
      </c>
      <c r="L1997" s="750">
        <v>0</v>
      </c>
    </row>
    <row r="1998" spans="1:12" ht="31.5" x14ac:dyDescent="0.25">
      <c r="A1998" s="561" t="s">
        <v>105</v>
      </c>
      <c r="B1998" s="749">
        <v>2023</v>
      </c>
      <c r="C1998" s="561" t="s">
        <v>721</v>
      </c>
      <c r="D1998" s="561" t="s">
        <v>3275</v>
      </c>
      <c r="E1998" s="561" t="s">
        <v>441</v>
      </c>
      <c r="F1998" s="735">
        <v>0</v>
      </c>
      <c r="G1998" s="749">
        <v>1</v>
      </c>
      <c r="H1998" s="749"/>
      <c r="I1998" s="735">
        <v>29141.53</v>
      </c>
      <c r="J1998" s="735">
        <v>-35527.96</v>
      </c>
      <c r="K1998" s="735">
        <v>-6386.43</v>
      </c>
      <c r="L1998" s="750">
        <v>-6386.43</v>
      </c>
    </row>
    <row r="1999" spans="1:12" ht="31.5" x14ac:dyDescent="0.25">
      <c r="A1999" s="561" t="s">
        <v>105</v>
      </c>
      <c r="B1999" s="749">
        <v>2023</v>
      </c>
      <c r="C1999" s="561" t="s">
        <v>721</v>
      </c>
      <c r="D1999" s="561" t="s">
        <v>3570</v>
      </c>
      <c r="E1999" s="561" t="s">
        <v>3016</v>
      </c>
      <c r="F1999" s="735">
        <v>0</v>
      </c>
      <c r="G1999" s="749">
        <v>1</v>
      </c>
      <c r="H1999" s="749"/>
      <c r="I1999" s="733"/>
      <c r="J1999" s="733"/>
      <c r="K1999" s="735">
        <v>0</v>
      </c>
      <c r="L1999" s="750">
        <v>0</v>
      </c>
    </row>
    <row r="2000" spans="1:12" ht="31.5" x14ac:dyDescent="0.25">
      <c r="A2000" s="561" t="s">
        <v>105</v>
      </c>
      <c r="B2000" s="749">
        <v>2023</v>
      </c>
      <c r="C2000" s="561" t="s">
        <v>721</v>
      </c>
      <c r="D2000" s="561" t="s">
        <v>3571</v>
      </c>
      <c r="E2000" s="561" t="s">
        <v>3058</v>
      </c>
      <c r="F2000" s="735">
        <v>0</v>
      </c>
      <c r="G2000" s="749">
        <v>1</v>
      </c>
      <c r="H2000" s="749"/>
      <c r="I2000" s="735">
        <v>-14659.33</v>
      </c>
      <c r="J2000" s="735">
        <v>14961.46</v>
      </c>
      <c r="K2000" s="735">
        <v>302.12999999999897</v>
      </c>
      <c r="L2000" s="750">
        <v>302.12999999999897</v>
      </c>
    </row>
    <row r="2001" spans="1:12" ht="31.5" x14ac:dyDescent="0.25">
      <c r="A2001" s="561" t="s">
        <v>105</v>
      </c>
      <c r="B2001" s="749">
        <v>2023</v>
      </c>
      <c r="C2001" s="561" t="s">
        <v>721</v>
      </c>
      <c r="D2001" s="561" t="s">
        <v>3572</v>
      </c>
      <c r="E2001" s="561" t="s">
        <v>3063</v>
      </c>
      <c r="F2001" s="735">
        <v>0</v>
      </c>
      <c r="G2001" s="749">
        <v>1</v>
      </c>
      <c r="H2001" s="749"/>
      <c r="I2001" s="735">
        <v>869899.43</v>
      </c>
      <c r="J2001" s="735">
        <v>-161872.6</v>
      </c>
      <c r="K2001" s="735">
        <v>708026.83</v>
      </c>
      <c r="L2001" s="750">
        <v>708026.83</v>
      </c>
    </row>
    <row r="2002" spans="1:12" ht="31.5" x14ac:dyDescent="0.25">
      <c r="A2002" s="561" t="s">
        <v>105</v>
      </c>
      <c r="B2002" s="749">
        <v>2023</v>
      </c>
      <c r="C2002" s="561" t="s">
        <v>721</v>
      </c>
      <c r="D2002" s="561" t="s">
        <v>3900</v>
      </c>
      <c r="E2002" s="561" t="s">
        <v>3425</v>
      </c>
      <c r="F2002" s="735">
        <v>0</v>
      </c>
      <c r="G2002" s="749">
        <v>1</v>
      </c>
      <c r="H2002" s="749"/>
      <c r="I2002" s="735">
        <v>58978.87</v>
      </c>
      <c r="J2002" s="735">
        <v>962.1</v>
      </c>
      <c r="K2002" s="735">
        <v>59940.97</v>
      </c>
      <c r="L2002" s="750">
        <v>59940.97</v>
      </c>
    </row>
    <row r="2003" spans="1:12" ht="42" x14ac:dyDescent="0.25">
      <c r="A2003" s="561" t="s">
        <v>105</v>
      </c>
      <c r="B2003" s="749">
        <v>2023</v>
      </c>
      <c r="C2003" s="561" t="s">
        <v>721</v>
      </c>
      <c r="D2003" s="561" t="s">
        <v>3901</v>
      </c>
      <c r="E2003" s="561" t="s">
        <v>737</v>
      </c>
      <c r="F2003" s="735">
        <v>761883.5</v>
      </c>
      <c r="G2003" s="749">
        <v>0</v>
      </c>
      <c r="H2003" s="749"/>
      <c r="I2003" s="733"/>
      <c r="J2003" s="733"/>
      <c r="K2003" s="735">
        <v>0</v>
      </c>
      <c r="L2003" s="750">
        <v>761883.5</v>
      </c>
    </row>
    <row r="2004" spans="1:12" x14ac:dyDescent="0.25">
      <c r="A2004" s="561" t="s">
        <v>105</v>
      </c>
      <c r="B2004" s="749">
        <v>2023</v>
      </c>
      <c r="C2004" s="561" t="s">
        <v>738</v>
      </c>
      <c r="D2004" s="561" t="s">
        <v>2184</v>
      </c>
      <c r="E2004" s="561" t="s">
        <v>7</v>
      </c>
      <c r="F2004" s="735">
        <v>0</v>
      </c>
      <c r="G2004" s="749">
        <v>0</v>
      </c>
      <c r="H2004" s="749"/>
      <c r="I2004" s="733"/>
      <c r="J2004" s="733"/>
      <c r="K2004" s="735">
        <v>0</v>
      </c>
      <c r="L2004" s="750">
        <v>0</v>
      </c>
    </row>
    <row r="2005" spans="1:12" x14ac:dyDescent="0.25">
      <c r="A2005" s="561" t="s">
        <v>106</v>
      </c>
      <c r="B2005" s="749">
        <v>2023</v>
      </c>
      <c r="C2005" s="561" t="s">
        <v>647</v>
      </c>
      <c r="D2005" s="561" t="s">
        <v>2185</v>
      </c>
      <c r="E2005" s="561" t="s">
        <v>649</v>
      </c>
      <c r="F2005" s="735">
        <v>-218592.18</v>
      </c>
      <c r="G2005" s="749">
        <v>0</v>
      </c>
      <c r="H2005" s="749"/>
      <c r="I2005" s="733"/>
      <c r="J2005" s="733"/>
      <c r="K2005" s="735">
        <v>0</v>
      </c>
      <c r="L2005" s="750">
        <v>-218592.18</v>
      </c>
    </row>
    <row r="2006" spans="1:12" ht="21" x14ac:dyDescent="0.25">
      <c r="A2006" s="561" t="s">
        <v>106</v>
      </c>
      <c r="B2006" s="749">
        <v>2023</v>
      </c>
      <c r="C2006" s="561" t="s">
        <v>3691</v>
      </c>
      <c r="D2006" s="561" t="s">
        <v>3659</v>
      </c>
      <c r="E2006" s="561" t="s">
        <v>3675</v>
      </c>
      <c r="F2006" s="735">
        <v>2626.21</v>
      </c>
      <c r="G2006" s="749">
        <v>0</v>
      </c>
      <c r="H2006" s="749"/>
      <c r="I2006" s="733"/>
      <c r="J2006" s="733"/>
      <c r="K2006" s="735">
        <v>0</v>
      </c>
      <c r="L2006" s="751">
        <v>2626.21</v>
      </c>
    </row>
    <row r="2007" spans="1:12" x14ac:dyDescent="0.25">
      <c r="A2007" s="561" t="s">
        <v>106</v>
      </c>
      <c r="B2007" s="749">
        <v>2023</v>
      </c>
      <c r="C2007" s="561" t="s">
        <v>651</v>
      </c>
      <c r="D2007" s="561" t="s">
        <v>2186</v>
      </c>
      <c r="E2007" s="561" t="s">
        <v>653</v>
      </c>
      <c r="F2007" s="735">
        <v>2256.15</v>
      </c>
      <c r="G2007" s="749">
        <v>0</v>
      </c>
      <c r="H2007" s="749"/>
      <c r="I2007" s="733"/>
      <c r="J2007" s="733"/>
      <c r="K2007" s="735">
        <v>0</v>
      </c>
      <c r="L2007" s="750">
        <v>2256.15</v>
      </c>
    </row>
    <row r="2008" spans="1:12" ht="31.5" x14ac:dyDescent="0.25">
      <c r="A2008" s="561" t="s">
        <v>106</v>
      </c>
      <c r="B2008" s="749">
        <v>2023</v>
      </c>
      <c r="C2008" s="561" t="s">
        <v>654</v>
      </c>
      <c r="D2008" s="561" t="s">
        <v>2187</v>
      </c>
      <c r="E2008" s="561" t="s">
        <v>445</v>
      </c>
      <c r="F2008" s="735">
        <v>0</v>
      </c>
      <c r="G2008" s="749">
        <v>0</v>
      </c>
      <c r="H2008" s="749"/>
      <c r="I2008" s="733"/>
      <c r="J2008" s="733"/>
      <c r="K2008" s="735">
        <v>0</v>
      </c>
      <c r="L2008" s="750">
        <v>0</v>
      </c>
    </row>
    <row r="2009" spans="1:12" ht="21" x14ac:dyDescent="0.25">
      <c r="A2009" s="561" t="s">
        <v>106</v>
      </c>
      <c r="B2009" s="749">
        <v>2023</v>
      </c>
      <c r="C2009" s="561" t="s">
        <v>656</v>
      </c>
      <c r="D2009" s="561" t="s">
        <v>2188</v>
      </c>
      <c r="E2009" s="561" t="s">
        <v>658</v>
      </c>
      <c r="F2009" s="735">
        <v>0</v>
      </c>
      <c r="G2009" s="749">
        <v>0</v>
      </c>
      <c r="H2009" s="749"/>
      <c r="I2009" s="733"/>
      <c r="J2009" s="733"/>
      <c r="K2009" s="735">
        <v>0</v>
      </c>
      <c r="L2009" s="750">
        <v>0</v>
      </c>
    </row>
    <row r="2010" spans="1:12" ht="21" x14ac:dyDescent="0.25">
      <c r="A2010" s="561" t="s">
        <v>106</v>
      </c>
      <c r="B2010" s="749">
        <v>2023</v>
      </c>
      <c r="C2010" s="561" t="s">
        <v>659</v>
      </c>
      <c r="D2010" s="561" t="s">
        <v>2189</v>
      </c>
      <c r="E2010" s="561" t="s">
        <v>661</v>
      </c>
      <c r="F2010" s="735">
        <v>0</v>
      </c>
      <c r="G2010" s="749">
        <v>0</v>
      </c>
      <c r="H2010" s="749"/>
      <c r="I2010" s="733"/>
      <c r="J2010" s="733"/>
      <c r="K2010" s="735">
        <v>0</v>
      </c>
      <c r="L2010" s="750">
        <v>0</v>
      </c>
    </row>
    <row r="2011" spans="1:12" ht="21" x14ac:dyDescent="0.25">
      <c r="A2011" s="561" t="s">
        <v>106</v>
      </c>
      <c r="B2011" s="749">
        <v>2023</v>
      </c>
      <c r="C2011" s="561" t="s">
        <v>662</v>
      </c>
      <c r="D2011" s="561" t="s">
        <v>2190</v>
      </c>
      <c r="E2011" s="561" t="s">
        <v>664</v>
      </c>
      <c r="F2011" s="735">
        <v>0</v>
      </c>
      <c r="G2011" s="749">
        <v>0</v>
      </c>
      <c r="H2011" s="749"/>
      <c r="I2011" s="733"/>
      <c r="J2011" s="733"/>
      <c r="K2011" s="735">
        <v>0</v>
      </c>
      <c r="L2011" s="750">
        <v>0</v>
      </c>
    </row>
    <row r="2012" spans="1:12" ht="31.5" x14ac:dyDescent="0.25">
      <c r="A2012" s="561" t="s">
        <v>106</v>
      </c>
      <c r="B2012" s="749">
        <v>2023</v>
      </c>
      <c r="C2012" s="561" t="s">
        <v>665</v>
      </c>
      <c r="D2012" s="561" t="s">
        <v>2191</v>
      </c>
      <c r="E2012" s="561" t="s">
        <v>667</v>
      </c>
      <c r="F2012" s="735">
        <v>0</v>
      </c>
      <c r="G2012" s="749">
        <v>0</v>
      </c>
      <c r="H2012" s="749"/>
      <c r="I2012" s="733"/>
      <c r="J2012" s="733"/>
      <c r="K2012" s="735">
        <v>0</v>
      </c>
      <c r="L2012" s="750">
        <v>0</v>
      </c>
    </row>
    <row r="2013" spans="1:12" ht="21" x14ac:dyDescent="0.25">
      <c r="A2013" s="561" t="s">
        <v>106</v>
      </c>
      <c r="B2013" s="749">
        <v>2023</v>
      </c>
      <c r="C2013" s="561" t="s">
        <v>668</v>
      </c>
      <c r="D2013" s="561" t="s">
        <v>2192</v>
      </c>
      <c r="E2013" s="561" t="s">
        <v>12</v>
      </c>
      <c r="F2013" s="735">
        <v>0</v>
      </c>
      <c r="G2013" s="749">
        <v>0</v>
      </c>
      <c r="H2013" s="749"/>
      <c r="I2013" s="733"/>
      <c r="J2013" s="733"/>
      <c r="K2013" s="735">
        <v>0</v>
      </c>
      <c r="L2013" s="750">
        <v>0</v>
      </c>
    </row>
    <row r="2014" spans="1:12" ht="21" x14ac:dyDescent="0.25">
      <c r="A2014" s="561" t="s">
        <v>106</v>
      </c>
      <c r="B2014" s="749">
        <v>2023</v>
      </c>
      <c r="C2014" s="561" t="s">
        <v>670</v>
      </c>
      <c r="D2014" s="561" t="s">
        <v>2193</v>
      </c>
      <c r="E2014" s="561" t="s">
        <v>13</v>
      </c>
      <c r="F2014" s="735">
        <v>0</v>
      </c>
      <c r="G2014" s="749">
        <v>0</v>
      </c>
      <c r="H2014" s="749"/>
      <c r="I2014" s="733"/>
      <c r="J2014" s="733"/>
      <c r="K2014" s="735">
        <v>0</v>
      </c>
      <c r="L2014" s="750">
        <v>0</v>
      </c>
    </row>
    <row r="2015" spans="1:12" ht="21" x14ac:dyDescent="0.25">
      <c r="A2015" s="561" t="s">
        <v>106</v>
      </c>
      <c r="B2015" s="749">
        <v>2023</v>
      </c>
      <c r="C2015" s="561" t="s">
        <v>672</v>
      </c>
      <c r="D2015" s="561" t="s">
        <v>2194</v>
      </c>
      <c r="E2015" s="561" t="s">
        <v>15</v>
      </c>
      <c r="F2015" s="735">
        <v>0</v>
      </c>
      <c r="G2015" s="749">
        <v>0</v>
      </c>
      <c r="H2015" s="749"/>
      <c r="I2015" s="733"/>
      <c r="J2015" s="733"/>
      <c r="K2015" s="735">
        <v>0</v>
      </c>
      <c r="L2015" s="750">
        <v>0</v>
      </c>
    </row>
    <row r="2016" spans="1:12" x14ac:dyDescent="0.25">
      <c r="A2016" s="561" t="s">
        <v>106</v>
      </c>
      <c r="B2016" s="749">
        <v>2023</v>
      </c>
      <c r="C2016" s="561" t="s">
        <v>674</v>
      </c>
      <c r="D2016" s="561" t="s">
        <v>2195</v>
      </c>
      <c r="E2016" s="561" t="s">
        <v>676</v>
      </c>
      <c r="F2016" s="735">
        <v>12706.55</v>
      </c>
      <c r="G2016" s="749">
        <v>0</v>
      </c>
      <c r="H2016" s="749"/>
      <c r="I2016" s="733"/>
      <c r="J2016" s="733"/>
      <c r="K2016" s="735">
        <v>0</v>
      </c>
      <c r="L2016" s="750">
        <v>12706.55</v>
      </c>
    </row>
    <row r="2017" spans="1:12" x14ac:dyDescent="0.25">
      <c r="A2017" s="561" t="s">
        <v>106</v>
      </c>
      <c r="B2017" s="749">
        <v>2023</v>
      </c>
      <c r="C2017" s="561" t="s">
        <v>677</v>
      </c>
      <c r="D2017" s="561" t="s">
        <v>2196</v>
      </c>
      <c r="E2017" s="561" t="s">
        <v>23</v>
      </c>
      <c r="F2017" s="735">
        <v>50968.78</v>
      </c>
      <c r="G2017" s="749">
        <v>1</v>
      </c>
      <c r="H2017" s="749"/>
      <c r="I2017" s="735">
        <v>50270.96</v>
      </c>
      <c r="J2017" s="735">
        <v>697.82</v>
      </c>
      <c r="K2017" s="735">
        <v>50968.78</v>
      </c>
      <c r="L2017" s="750">
        <v>50968.78</v>
      </c>
    </row>
    <row r="2018" spans="1:12" ht="21" x14ac:dyDescent="0.25">
      <c r="A2018" s="561" t="s">
        <v>106</v>
      </c>
      <c r="B2018" s="749">
        <v>2023</v>
      </c>
      <c r="C2018" s="561" t="s">
        <v>679</v>
      </c>
      <c r="D2018" s="561" t="s">
        <v>2197</v>
      </c>
      <c r="E2018" s="561" t="s">
        <v>131</v>
      </c>
      <c r="F2018" s="735">
        <v>-18837.79</v>
      </c>
      <c r="G2018" s="749">
        <v>1</v>
      </c>
      <c r="H2018" s="749"/>
      <c r="I2018" s="735">
        <v>-18630.84</v>
      </c>
      <c r="J2018" s="735">
        <v>-206.95</v>
      </c>
      <c r="K2018" s="735">
        <v>-18837.79</v>
      </c>
      <c r="L2018" s="750">
        <v>-18837.79</v>
      </c>
    </row>
    <row r="2019" spans="1:12" ht="31.5" x14ac:dyDescent="0.25">
      <c r="A2019" s="561" t="s">
        <v>106</v>
      </c>
      <c r="B2019" s="749">
        <v>2023</v>
      </c>
      <c r="C2019" s="561" t="s">
        <v>681</v>
      </c>
      <c r="D2019" s="561" t="s">
        <v>2198</v>
      </c>
      <c r="E2019" s="561" t="s">
        <v>683</v>
      </c>
      <c r="F2019" s="735">
        <v>0</v>
      </c>
      <c r="G2019" s="749">
        <v>0</v>
      </c>
      <c r="H2019" s="749"/>
      <c r="I2019" s="733"/>
      <c r="J2019" s="733"/>
      <c r="K2019" s="735">
        <v>0</v>
      </c>
      <c r="L2019" s="750">
        <v>0</v>
      </c>
    </row>
    <row r="2020" spans="1:12" ht="21" x14ac:dyDescent="0.25">
      <c r="A2020" s="561" t="s">
        <v>106</v>
      </c>
      <c r="B2020" s="749">
        <v>2023</v>
      </c>
      <c r="C2020" s="561" t="s">
        <v>681</v>
      </c>
      <c r="D2020" s="561" t="s">
        <v>2198</v>
      </c>
      <c r="E2020" s="561" t="s">
        <v>684</v>
      </c>
      <c r="F2020" s="735">
        <v>0</v>
      </c>
      <c r="G2020" s="749">
        <v>0</v>
      </c>
      <c r="H2020" s="749"/>
      <c r="I2020" s="733"/>
      <c r="J2020" s="733"/>
      <c r="K2020" s="735">
        <v>0</v>
      </c>
      <c r="L2020" s="751">
        <v>0</v>
      </c>
    </row>
    <row r="2021" spans="1:12" x14ac:dyDescent="0.25">
      <c r="A2021" s="561" t="s">
        <v>106</v>
      </c>
      <c r="B2021" s="749">
        <v>2023</v>
      </c>
      <c r="C2021" s="561" t="s">
        <v>685</v>
      </c>
      <c r="D2021" s="561" t="s">
        <v>2199</v>
      </c>
      <c r="E2021" s="561" t="s">
        <v>687</v>
      </c>
      <c r="F2021" s="735">
        <v>0</v>
      </c>
      <c r="G2021" s="749">
        <v>0</v>
      </c>
      <c r="H2021" s="749"/>
      <c r="I2021" s="733"/>
      <c r="J2021" s="733"/>
      <c r="K2021" s="735">
        <v>0</v>
      </c>
      <c r="L2021" s="750">
        <v>0</v>
      </c>
    </row>
    <row r="2022" spans="1:12" x14ac:dyDescent="0.25">
      <c r="A2022" s="561" t="s">
        <v>106</v>
      </c>
      <c r="B2022" s="749">
        <v>2023</v>
      </c>
      <c r="C2022" s="561" t="s">
        <v>688</v>
      </c>
      <c r="D2022" s="561" t="s">
        <v>2200</v>
      </c>
      <c r="E2022" s="561" t="s">
        <v>50</v>
      </c>
      <c r="F2022" s="735">
        <v>0</v>
      </c>
      <c r="G2022" s="749">
        <v>0</v>
      </c>
      <c r="H2022" s="749"/>
      <c r="I2022" s="733"/>
      <c r="J2022" s="733"/>
      <c r="K2022" s="735">
        <v>0</v>
      </c>
      <c r="L2022" s="750">
        <v>0</v>
      </c>
    </row>
    <row r="2023" spans="1:12" x14ac:dyDescent="0.25">
      <c r="A2023" s="561" t="s">
        <v>106</v>
      </c>
      <c r="B2023" s="749">
        <v>2023</v>
      </c>
      <c r="C2023" s="561" t="s">
        <v>690</v>
      </c>
      <c r="D2023" s="561" t="s">
        <v>2201</v>
      </c>
      <c r="E2023" s="561" t="s">
        <v>692</v>
      </c>
      <c r="F2023" s="735">
        <v>0</v>
      </c>
      <c r="G2023" s="749">
        <v>0</v>
      </c>
      <c r="H2023" s="749"/>
      <c r="I2023" s="733"/>
      <c r="J2023" s="733"/>
      <c r="K2023" s="735">
        <v>0</v>
      </c>
      <c r="L2023" s="750">
        <v>0</v>
      </c>
    </row>
    <row r="2024" spans="1:12" ht="21" x14ac:dyDescent="0.25">
      <c r="A2024" s="561" t="s">
        <v>106</v>
      </c>
      <c r="B2024" s="749">
        <v>2023</v>
      </c>
      <c r="C2024" s="561" t="s">
        <v>693</v>
      </c>
      <c r="D2024" s="561" t="s">
        <v>2202</v>
      </c>
      <c r="E2024" s="561" t="s">
        <v>6</v>
      </c>
      <c r="F2024" s="735">
        <v>0</v>
      </c>
      <c r="G2024" s="749">
        <v>0</v>
      </c>
      <c r="H2024" s="749"/>
      <c r="I2024" s="733"/>
      <c r="J2024" s="733"/>
      <c r="K2024" s="735">
        <v>0</v>
      </c>
      <c r="L2024" s="750">
        <v>0</v>
      </c>
    </row>
    <row r="2025" spans="1:12" ht="21" x14ac:dyDescent="0.25">
      <c r="A2025" s="561" t="s">
        <v>106</v>
      </c>
      <c r="B2025" s="749">
        <v>2023</v>
      </c>
      <c r="C2025" s="561" t="s">
        <v>695</v>
      </c>
      <c r="D2025" s="561" t="s">
        <v>2203</v>
      </c>
      <c r="E2025" s="561" t="s">
        <v>697</v>
      </c>
      <c r="F2025" s="735">
        <v>0</v>
      </c>
      <c r="G2025" s="749">
        <v>0</v>
      </c>
      <c r="H2025" s="749"/>
      <c r="I2025" s="733"/>
      <c r="J2025" s="733"/>
      <c r="K2025" s="735">
        <v>0</v>
      </c>
      <c r="L2025" s="750">
        <v>0</v>
      </c>
    </row>
    <row r="2026" spans="1:12" x14ac:dyDescent="0.25">
      <c r="A2026" s="561" t="s">
        <v>106</v>
      </c>
      <c r="B2026" s="749">
        <v>2023</v>
      </c>
      <c r="C2026" s="561" t="s">
        <v>698</v>
      </c>
      <c r="D2026" s="561" t="s">
        <v>2204</v>
      </c>
      <c r="E2026" s="561" t="s">
        <v>700</v>
      </c>
      <c r="F2026" s="735">
        <v>0</v>
      </c>
      <c r="G2026" s="749">
        <v>0</v>
      </c>
      <c r="H2026" s="749"/>
      <c r="I2026" s="733"/>
      <c r="J2026" s="733"/>
      <c r="K2026" s="735">
        <v>0</v>
      </c>
      <c r="L2026" s="750">
        <v>0</v>
      </c>
    </row>
    <row r="2027" spans="1:12" ht="21" x14ac:dyDescent="0.25">
      <c r="A2027" s="561" t="s">
        <v>106</v>
      </c>
      <c r="B2027" s="749">
        <v>2023</v>
      </c>
      <c r="C2027" s="561" t="s">
        <v>701</v>
      </c>
      <c r="D2027" s="561" t="s">
        <v>2205</v>
      </c>
      <c r="E2027" s="561" t="s">
        <v>1</v>
      </c>
      <c r="F2027" s="735">
        <v>319373.90000000002</v>
      </c>
      <c r="G2027" s="749">
        <v>1</v>
      </c>
      <c r="H2027" s="749"/>
      <c r="I2027" s="735">
        <v>313695.14</v>
      </c>
      <c r="J2027" s="735">
        <v>5678.76</v>
      </c>
      <c r="K2027" s="735">
        <v>319373.90000000002</v>
      </c>
      <c r="L2027" s="750">
        <v>319373.90000000002</v>
      </c>
    </row>
    <row r="2028" spans="1:12" ht="21" x14ac:dyDescent="0.25">
      <c r="A2028" s="561" t="s">
        <v>106</v>
      </c>
      <c r="B2028" s="749">
        <v>2023</v>
      </c>
      <c r="C2028" s="561" t="s">
        <v>701</v>
      </c>
      <c r="D2028" s="561" t="s">
        <v>2205</v>
      </c>
      <c r="E2028" s="561" t="s">
        <v>703</v>
      </c>
      <c r="F2028" s="735">
        <v>0</v>
      </c>
      <c r="G2028" s="749">
        <v>0</v>
      </c>
      <c r="H2028" s="749"/>
      <c r="I2028" s="733"/>
      <c r="J2028" s="733"/>
      <c r="K2028" s="735">
        <v>0</v>
      </c>
      <c r="L2028" s="751">
        <v>0</v>
      </c>
    </row>
    <row r="2029" spans="1:12" ht="21" x14ac:dyDescent="0.25">
      <c r="A2029" s="561" t="s">
        <v>106</v>
      </c>
      <c r="B2029" s="749">
        <v>2023</v>
      </c>
      <c r="C2029" s="561" t="s">
        <v>701</v>
      </c>
      <c r="D2029" s="561" t="s">
        <v>2205</v>
      </c>
      <c r="E2029" s="561" t="s">
        <v>704</v>
      </c>
      <c r="F2029" s="735">
        <v>0</v>
      </c>
      <c r="G2029" s="749">
        <v>0</v>
      </c>
      <c r="H2029" s="749"/>
      <c r="I2029" s="733"/>
      <c r="J2029" s="733"/>
      <c r="K2029" s="735">
        <v>0</v>
      </c>
      <c r="L2029" s="751">
        <v>0</v>
      </c>
    </row>
    <row r="2030" spans="1:12" ht="21" x14ac:dyDescent="0.25">
      <c r="A2030" s="561" t="s">
        <v>106</v>
      </c>
      <c r="B2030" s="749">
        <v>2023</v>
      </c>
      <c r="C2030" s="561" t="s">
        <v>701</v>
      </c>
      <c r="D2030" s="561" t="s">
        <v>2205</v>
      </c>
      <c r="E2030" s="561" t="s">
        <v>705</v>
      </c>
      <c r="F2030" s="735">
        <v>0</v>
      </c>
      <c r="G2030" s="749">
        <v>0</v>
      </c>
      <c r="H2030" s="749"/>
      <c r="I2030" s="733"/>
      <c r="J2030" s="733"/>
      <c r="K2030" s="735">
        <v>0</v>
      </c>
      <c r="L2030" s="751">
        <v>-392.28</v>
      </c>
    </row>
    <row r="2031" spans="1:12" ht="21" x14ac:dyDescent="0.25">
      <c r="A2031" s="561" t="s">
        <v>106</v>
      </c>
      <c r="B2031" s="749">
        <v>2023</v>
      </c>
      <c r="C2031" s="561" t="s">
        <v>701</v>
      </c>
      <c r="D2031" s="561" t="s">
        <v>2205</v>
      </c>
      <c r="E2031" s="561" t="s">
        <v>706</v>
      </c>
      <c r="F2031" s="735">
        <v>0</v>
      </c>
      <c r="G2031" s="749">
        <v>0</v>
      </c>
      <c r="H2031" s="749"/>
      <c r="I2031" s="733"/>
      <c r="J2031" s="733"/>
      <c r="K2031" s="735">
        <v>0</v>
      </c>
      <c r="L2031" s="751">
        <v>-24334.49</v>
      </c>
    </row>
    <row r="2032" spans="1:12" x14ac:dyDescent="0.25">
      <c r="A2032" s="561" t="s">
        <v>106</v>
      </c>
      <c r="B2032" s="749">
        <v>2023</v>
      </c>
      <c r="C2032" s="561" t="s">
        <v>707</v>
      </c>
      <c r="D2032" s="561" t="s">
        <v>2206</v>
      </c>
      <c r="E2032" s="561" t="s">
        <v>709</v>
      </c>
      <c r="F2032" s="735">
        <v>0</v>
      </c>
      <c r="G2032" s="749">
        <v>0</v>
      </c>
      <c r="H2032" s="749"/>
      <c r="I2032" s="733"/>
      <c r="J2032" s="733"/>
      <c r="K2032" s="735">
        <v>0</v>
      </c>
      <c r="L2032" s="750">
        <v>0</v>
      </c>
    </row>
    <row r="2033" spans="1:12" ht="21" x14ac:dyDescent="0.25">
      <c r="A2033" s="561" t="s">
        <v>106</v>
      </c>
      <c r="B2033" s="749">
        <v>2023</v>
      </c>
      <c r="C2033" s="561" t="s">
        <v>710</v>
      </c>
      <c r="D2033" s="561" t="s">
        <v>2207</v>
      </c>
      <c r="E2033" s="561" t="s">
        <v>2</v>
      </c>
      <c r="F2033" s="735">
        <v>226547.88</v>
      </c>
      <c r="G2033" s="749">
        <v>1</v>
      </c>
      <c r="H2033" s="749"/>
      <c r="I2033" s="735">
        <v>223148.44</v>
      </c>
      <c r="J2033" s="735">
        <v>3399.44</v>
      </c>
      <c r="K2033" s="735">
        <v>226547.88</v>
      </c>
      <c r="L2033" s="750">
        <v>226547.88</v>
      </c>
    </row>
    <row r="2034" spans="1:12" ht="21" x14ac:dyDescent="0.25">
      <c r="A2034" s="561" t="s">
        <v>106</v>
      </c>
      <c r="B2034" s="749">
        <v>2023</v>
      </c>
      <c r="C2034" s="561" t="s">
        <v>712</v>
      </c>
      <c r="D2034" s="561" t="s">
        <v>2208</v>
      </c>
      <c r="E2034" s="561" t="s">
        <v>3</v>
      </c>
      <c r="F2034" s="735">
        <v>39532.69</v>
      </c>
      <c r="G2034" s="749">
        <v>1</v>
      </c>
      <c r="H2034" s="749"/>
      <c r="I2034" s="735">
        <v>39021.279999999999</v>
      </c>
      <c r="J2034" s="735">
        <v>511.41</v>
      </c>
      <c r="K2034" s="735">
        <v>39532.69</v>
      </c>
      <c r="L2034" s="750">
        <v>39532.69</v>
      </c>
    </row>
    <row r="2035" spans="1:12" ht="21" x14ac:dyDescent="0.25">
      <c r="A2035" s="561" t="s">
        <v>106</v>
      </c>
      <c r="B2035" s="749">
        <v>2023</v>
      </c>
      <c r="C2035" s="561" t="s">
        <v>714</v>
      </c>
      <c r="D2035" s="561" t="s">
        <v>2209</v>
      </c>
      <c r="E2035" s="561" t="s">
        <v>38</v>
      </c>
      <c r="F2035" s="735">
        <v>-70549.960000000006</v>
      </c>
      <c r="G2035" s="749">
        <v>1</v>
      </c>
      <c r="H2035" s="749"/>
      <c r="I2035" s="735">
        <v>-68881.23</v>
      </c>
      <c r="J2035" s="735">
        <v>-1668.73</v>
      </c>
      <c r="K2035" s="735">
        <v>-70549.960000000006</v>
      </c>
      <c r="L2035" s="750">
        <v>-70549.960000000006</v>
      </c>
    </row>
    <row r="2036" spans="1:12" x14ac:dyDescent="0.25">
      <c r="A2036" s="561" t="s">
        <v>106</v>
      </c>
      <c r="B2036" s="749">
        <v>2023</v>
      </c>
      <c r="C2036" s="561" t="s">
        <v>716</v>
      </c>
      <c r="D2036" s="561" t="s">
        <v>2210</v>
      </c>
      <c r="E2036" s="561" t="s">
        <v>66</v>
      </c>
      <c r="F2036" s="735">
        <v>-42875.839999999997</v>
      </c>
      <c r="G2036" s="749">
        <v>1</v>
      </c>
      <c r="H2036" s="749"/>
      <c r="I2036" s="735">
        <v>-40868.300000000003</v>
      </c>
      <c r="J2036" s="735">
        <v>-2007.54</v>
      </c>
      <c r="K2036" s="735">
        <v>-42875.839999999997</v>
      </c>
      <c r="L2036" s="750">
        <v>-42875.839999999997</v>
      </c>
    </row>
    <row r="2037" spans="1:12" ht="21" x14ac:dyDescent="0.25">
      <c r="A2037" s="561" t="s">
        <v>106</v>
      </c>
      <c r="B2037" s="749">
        <v>2023</v>
      </c>
      <c r="C2037" s="561" t="s">
        <v>718</v>
      </c>
      <c r="D2037" s="561" t="s">
        <v>2211</v>
      </c>
      <c r="E2037" s="561" t="s">
        <v>720</v>
      </c>
      <c r="F2037" s="735">
        <v>-42845</v>
      </c>
      <c r="G2037" s="749">
        <v>0</v>
      </c>
      <c r="H2037" s="749"/>
      <c r="I2037" s="733"/>
      <c r="J2037" s="733"/>
      <c r="K2037" s="735">
        <v>0</v>
      </c>
      <c r="L2037" s="750">
        <v>-42845</v>
      </c>
    </row>
    <row r="2038" spans="1:12" ht="31.5" x14ac:dyDescent="0.25">
      <c r="A2038" s="561" t="s">
        <v>106</v>
      </c>
      <c r="B2038" s="749">
        <v>2023</v>
      </c>
      <c r="C2038" s="561" t="s">
        <v>721</v>
      </c>
      <c r="D2038" s="561" t="s">
        <v>2213</v>
      </c>
      <c r="E2038" s="561" t="s">
        <v>724</v>
      </c>
      <c r="F2038" s="735">
        <v>0</v>
      </c>
      <c r="G2038" s="749">
        <v>1</v>
      </c>
      <c r="H2038" s="749"/>
      <c r="I2038" s="733"/>
      <c r="J2038" s="733"/>
      <c r="K2038" s="735">
        <v>0</v>
      </c>
      <c r="L2038" s="750">
        <v>0</v>
      </c>
    </row>
    <row r="2039" spans="1:12" ht="31.5" x14ac:dyDescent="0.25">
      <c r="A2039" s="561" t="s">
        <v>106</v>
      </c>
      <c r="B2039" s="749">
        <v>2023</v>
      </c>
      <c r="C2039" s="561" t="s">
        <v>721</v>
      </c>
      <c r="D2039" s="561" t="s">
        <v>2214</v>
      </c>
      <c r="E2039" s="561" t="s">
        <v>55</v>
      </c>
      <c r="F2039" s="735">
        <v>0</v>
      </c>
      <c r="G2039" s="749">
        <v>1</v>
      </c>
      <c r="H2039" s="749"/>
      <c r="I2039" s="733"/>
      <c r="J2039" s="733"/>
      <c r="K2039" s="735">
        <v>0</v>
      </c>
      <c r="L2039" s="750">
        <v>0</v>
      </c>
    </row>
    <row r="2040" spans="1:12" ht="31.5" x14ac:dyDescent="0.25">
      <c r="A2040" s="561" t="s">
        <v>106</v>
      </c>
      <c r="B2040" s="749">
        <v>2023</v>
      </c>
      <c r="C2040" s="561" t="s">
        <v>721</v>
      </c>
      <c r="D2040" s="561" t="s">
        <v>2215</v>
      </c>
      <c r="E2040" s="561" t="s">
        <v>56</v>
      </c>
      <c r="F2040" s="735">
        <v>0</v>
      </c>
      <c r="G2040" s="749">
        <v>1</v>
      </c>
      <c r="H2040" s="749"/>
      <c r="I2040" s="733"/>
      <c r="J2040" s="733"/>
      <c r="K2040" s="735">
        <v>0</v>
      </c>
      <c r="L2040" s="750">
        <v>0</v>
      </c>
    </row>
    <row r="2041" spans="1:12" ht="31.5" x14ac:dyDescent="0.25">
      <c r="A2041" s="561" t="s">
        <v>106</v>
      </c>
      <c r="B2041" s="749">
        <v>2023</v>
      </c>
      <c r="C2041" s="561" t="s">
        <v>721</v>
      </c>
      <c r="D2041" s="561" t="s">
        <v>2216</v>
      </c>
      <c r="E2041" s="561" t="s">
        <v>728</v>
      </c>
      <c r="F2041" s="735">
        <v>0</v>
      </c>
      <c r="G2041" s="749">
        <v>1</v>
      </c>
      <c r="H2041" s="749"/>
      <c r="I2041" s="733"/>
      <c r="J2041" s="733"/>
      <c r="K2041" s="735">
        <v>0</v>
      </c>
      <c r="L2041" s="750">
        <v>0</v>
      </c>
    </row>
    <row r="2042" spans="1:12" ht="31.5" x14ac:dyDescent="0.25">
      <c r="A2042" s="561" t="s">
        <v>106</v>
      </c>
      <c r="B2042" s="749">
        <v>2023</v>
      </c>
      <c r="C2042" s="561" t="s">
        <v>721</v>
      </c>
      <c r="D2042" s="561" t="s">
        <v>2217</v>
      </c>
      <c r="E2042" s="561" t="s">
        <v>730</v>
      </c>
      <c r="F2042" s="735">
        <v>0</v>
      </c>
      <c r="G2042" s="749">
        <v>1</v>
      </c>
      <c r="H2042" s="749"/>
      <c r="I2042" s="733"/>
      <c r="J2042" s="733"/>
      <c r="K2042" s="735">
        <v>0</v>
      </c>
      <c r="L2042" s="750">
        <v>0</v>
      </c>
    </row>
    <row r="2043" spans="1:12" ht="31.5" x14ac:dyDescent="0.25">
      <c r="A2043" s="561" t="s">
        <v>106</v>
      </c>
      <c r="B2043" s="749">
        <v>2023</v>
      </c>
      <c r="C2043" s="561" t="s">
        <v>721</v>
      </c>
      <c r="D2043" s="561" t="s">
        <v>2218</v>
      </c>
      <c r="E2043" s="561" t="s">
        <v>142</v>
      </c>
      <c r="F2043" s="735">
        <v>0</v>
      </c>
      <c r="G2043" s="749">
        <v>1</v>
      </c>
      <c r="H2043" s="749"/>
      <c r="I2043" s="733"/>
      <c r="J2043" s="733"/>
      <c r="K2043" s="735">
        <v>0</v>
      </c>
      <c r="L2043" s="750">
        <v>0</v>
      </c>
    </row>
    <row r="2044" spans="1:12" ht="31.5" x14ac:dyDescent="0.25">
      <c r="A2044" s="561" t="s">
        <v>106</v>
      </c>
      <c r="B2044" s="749">
        <v>2023</v>
      </c>
      <c r="C2044" s="561" t="s">
        <v>721</v>
      </c>
      <c r="D2044" s="561" t="s">
        <v>2219</v>
      </c>
      <c r="E2044" s="561" t="s">
        <v>143</v>
      </c>
      <c r="F2044" s="735">
        <v>0</v>
      </c>
      <c r="G2044" s="749">
        <v>1</v>
      </c>
      <c r="H2044" s="749"/>
      <c r="I2044" s="733"/>
      <c r="J2044" s="733"/>
      <c r="K2044" s="735">
        <v>0</v>
      </c>
      <c r="L2044" s="750">
        <v>0</v>
      </c>
    </row>
    <row r="2045" spans="1:12" ht="31.5" x14ac:dyDescent="0.25">
      <c r="A2045" s="561" t="s">
        <v>106</v>
      </c>
      <c r="B2045" s="749">
        <v>2023</v>
      </c>
      <c r="C2045" s="561" t="s">
        <v>721</v>
      </c>
      <c r="D2045" s="561" t="s">
        <v>2220</v>
      </c>
      <c r="E2045" s="561" t="s">
        <v>182</v>
      </c>
      <c r="F2045" s="735">
        <v>0</v>
      </c>
      <c r="G2045" s="749">
        <v>1</v>
      </c>
      <c r="H2045" s="749"/>
      <c r="I2045" s="733"/>
      <c r="J2045" s="733"/>
      <c r="K2045" s="735">
        <v>0</v>
      </c>
      <c r="L2045" s="750">
        <v>0</v>
      </c>
    </row>
    <row r="2046" spans="1:12" ht="31.5" x14ac:dyDescent="0.25">
      <c r="A2046" s="561" t="s">
        <v>106</v>
      </c>
      <c r="B2046" s="749">
        <v>2023</v>
      </c>
      <c r="C2046" s="561" t="s">
        <v>721</v>
      </c>
      <c r="D2046" s="561" t="s">
        <v>2221</v>
      </c>
      <c r="E2046" s="561" t="s">
        <v>394</v>
      </c>
      <c r="F2046" s="735">
        <v>0</v>
      </c>
      <c r="G2046" s="749">
        <v>1</v>
      </c>
      <c r="H2046" s="749"/>
      <c r="I2046" s="733"/>
      <c r="J2046" s="733"/>
      <c r="K2046" s="735">
        <v>0</v>
      </c>
      <c r="L2046" s="750">
        <v>0</v>
      </c>
    </row>
    <row r="2047" spans="1:12" ht="31.5" x14ac:dyDescent="0.25">
      <c r="A2047" s="561" t="s">
        <v>106</v>
      </c>
      <c r="B2047" s="749">
        <v>2023</v>
      </c>
      <c r="C2047" s="561" t="s">
        <v>721</v>
      </c>
      <c r="D2047" s="561" t="s">
        <v>2222</v>
      </c>
      <c r="E2047" s="561" t="s">
        <v>423</v>
      </c>
      <c r="F2047" s="735">
        <v>0</v>
      </c>
      <c r="G2047" s="749">
        <v>1</v>
      </c>
      <c r="H2047" s="749"/>
      <c r="I2047" s="735">
        <v>25603.75</v>
      </c>
      <c r="J2047" s="735">
        <v>-250.82</v>
      </c>
      <c r="K2047" s="735">
        <v>25352.93</v>
      </c>
      <c r="L2047" s="750">
        <v>25352.93</v>
      </c>
    </row>
    <row r="2048" spans="1:12" ht="31.5" x14ac:dyDescent="0.25">
      <c r="A2048" s="561" t="s">
        <v>106</v>
      </c>
      <c r="B2048" s="749">
        <v>2023</v>
      </c>
      <c r="C2048" s="561" t="s">
        <v>721</v>
      </c>
      <c r="D2048" s="561" t="s">
        <v>3276</v>
      </c>
      <c r="E2048" s="561" t="s">
        <v>441</v>
      </c>
      <c r="F2048" s="735">
        <v>0</v>
      </c>
      <c r="G2048" s="749">
        <v>1</v>
      </c>
      <c r="H2048" s="749"/>
      <c r="I2048" s="735">
        <v>-2183.69</v>
      </c>
      <c r="J2048" s="735">
        <v>-5219.59</v>
      </c>
      <c r="K2048" s="735">
        <v>-7403.28</v>
      </c>
      <c r="L2048" s="750">
        <v>-7403.28</v>
      </c>
    </row>
    <row r="2049" spans="1:12" ht="31.5" x14ac:dyDescent="0.25">
      <c r="A2049" s="561" t="s">
        <v>106</v>
      </c>
      <c r="B2049" s="749">
        <v>2023</v>
      </c>
      <c r="C2049" s="561" t="s">
        <v>721</v>
      </c>
      <c r="D2049" s="561" t="s">
        <v>3573</v>
      </c>
      <c r="E2049" s="561" t="s">
        <v>3016</v>
      </c>
      <c r="F2049" s="735">
        <v>0</v>
      </c>
      <c r="G2049" s="749">
        <v>1</v>
      </c>
      <c r="H2049" s="749"/>
      <c r="I2049" s="735">
        <v>-4175.55</v>
      </c>
      <c r="J2049" s="735">
        <v>-1537.07</v>
      </c>
      <c r="K2049" s="735">
        <v>-5712.62</v>
      </c>
      <c r="L2049" s="750">
        <v>-5712.62</v>
      </c>
    </row>
    <row r="2050" spans="1:12" ht="31.5" x14ac:dyDescent="0.25">
      <c r="A2050" s="561" t="s">
        <v>106</v>
      </c>
      <c r="B2050" s="749">
        <v>2023</v>
      </c>
      <c r="C2050" s="561" t="s">
        <v>721</v>
      </c>
      <c r="D2050" s="561" t="s">
        <v>3574</v>
      </c>
      <c r="E2050" s="561" t="s">
        <v>3058</v>
      </c>
      <c r="F2050" s="735">
        <v>0</v>
      </c>
      <c r="G2050" s="749">
        <v>1</v>
      </c>
      <c r="H2050" s="749"/>
      <c r="I2050" s="735">
        <v>-29157.07</v>
      </c>
      <c r="J2050" s="735">
        <v>-1952.01</v>
      </c>
      <c r="K2050" s="735">
        <v>-31109.08</v>
      </c>
      <c r="L2050" s="750">
        <v>-31109.08</v>
      </c>
    </row>
    <row r="2051" spans="1:12" ht="31.5" x14ac:dyDescent="0.25">
      <c r="A2051" s="561" t="s">
        <v>106</v>
      </c>
      <c r="B2051" s="749">
        <v>2023</v>
      </c>
      <c r="C2051" s="561" t="s">
        <v>721</v>
      </c>
      <c r="D2051" s="561" t="s">
        <v>3575</v>
      </c>
      <c r="E2051" s="561" t="s">
        <v>3063</v>
      </c>
      <c r="F2051" s="735">
        <v>0</v>
      </c>
      <c r="G2051" s="749">
        <v>1</v>
      </c>
      <c r="H2051" s="749"/>
      <c r="I2051" s="735">
        <v>7168.46</v>
      </c>
      <c r="J2051" s="735">
        <v>726.11</v>
      </c>
      <c r="K2051" s="735">
        <v>7894.57</v>
      </c>
      <c r="L2051" s="750">
        <v>7894.57</v>
      </c>
    </row>
    <row r="2052" spans="1:12" ht="31.5" x14ac:dyDescent="0.25">
      <c r="A2052" s="561" t="s">
        <v>106</v>
      </c>
      <c r="B2052" s="749">
        <v>2023</v>
      </c>
      <c r="C2052" s="561" t="s">
        <v>721</v>
      </c>
      <c r="D2052" s="561" t="s">
        <v>3902</v>
      </c>
      <c r="E2052" s="561" t="s">
        <v>3425</v>
      </c>
      <c r="F2052" s="735">
        <v>0</v>
      </c>
      <c r="G2052" s="749">
        <v>1</v>
      </c>
      <c r="H2052" s="749"/>
      <c r="I2052" s="735">
        <v>27395.5</v>
      </c>
      <c r="J2052" s="735">
        <v>544.25</v>
      </c>
      <c r="K2052" s="735">
        <v>27939.75</v>
      </c>
      <c r="L2052" s="750">
        <v>27939.75</v>
      </c>
    </row>
    <row r="2053" spans="1:12" ht="42" x14ac:dyDescent="0.25">
      <c r="A2053" s="561" t="s">
        <v>106</v>
      </c>
      <c r="B2053" s="749">
        <v>2023</v>
      </c>
      <c r="C2053" s="561" t="s">
        <v>721</v>
      </c>
      <c r="D2053" s="561" t="s">
        <v>3903</v>
      </c>
      <c r="E2053" s="561" t="s">
        <v>737</v>
      </c>
      <c r="F2053" s="735">
        <v>16962.27</v>
      </c>
      <c r="G2053" s="749">
        <v>0</v>
      </c>
      <c r="H2053" s="749"/>
      <c r="I2053" s="733"/>
      <c r="J2053" s="733"/>
      <c r="K2053" s="735">
        <v>0</v>
      </c>
      <c r="L2053" s="750">
        <v>16962.27</v>
      </c>
    </row>
    <row r="2054" spans="1:12" x14ac:dyDescent="0.25">
      <c r="A2054" s="561" t="s">
        <v>106</v>
      </c>
      <c r="B2054" s="749">
        <v>2023</v>
      </c>
      <c r="C2054" s="561" t="s">
        <v>738</v>
      </c>
      <c r="D2054" s="561" t="s">
        <v>2224</v>
      </c>
      <c r="E2054" s="561" t="s">
        <v>7</v>
      </c>
      <c r="F2054" s="735">
        <v>0</v>
      </c>
      <c r="G2054" s="749">
        <v>0</v>
      </c>
      <c r="H2054" s="749"/>
      <c r="I2054" s="733"/>
      <c r="J2054" s="733"/>
      <c r="K2054" s="735">
        <v>0</v>
      </c>
      <c r="L2054" s="750">
        <v>0</v>
      </c>
    </row>
    <row r="2055" spans="1:12" x14ac:dyDescent="0.25">
      <c r="A2055" s="561" t="s">
        <v>107</v>
      </c>
      <c r="B2055" s="749">
        <v>2023</v>
      </c>
      <c r="C2055" s="561" t="s">
        <v>647</v>
      </c>
      <c r="D2055" s="561" t="s">
        <v>2225</v>
      </c>
      <c r="E2055" s="561" t="s">
        <v>649</v>
      </c>
      <c r="F2055" s="735">
        <v>820197.97</v>
      </c>
      <c r="G2055" s="749">
        <v>0</v>
      </c>
      <c r="H2055" s="749"/>
      <c r="I2055" s="733"/>
      <c r="J2055" s="733"/>
      <c r="K2055" s="735">
        <v>0</v>
      </c>
      <c r="L2055" s="750">
        <v>820197.97</v>
      </c>
    </row>
    <row r="2056" spans="1:12" ht="21" x14ac:dyDescent="0.25">
      <c r="A2056" s="561" t="s">
        <v>107</v>
      </c>
      <c r="B2056" s="749">
        <v>2023</v>
      </c>
      <c r="C2056" s="561" t="s">
        <v>3691</v>
      </c>
      <c r="D2056" s="561" t="s">
        <v>3660</v>
      </c>
      <c r="E2056" s="561" t="s">
        <v>3675</v>
      </c>
      <c r="F2056" s="735">
        <v>1051730.25</v>
      </c>
      <c r="G2056" s="749">
        <v>0</v>
      </c>
      <c r="H2056" s="749"/>
      <c r="I2056" s="733"/>
      <c r="J2056" s="733"/>
      <c r="K2056" s="735">
        <v>0</v>
      </c>
      <c r="L2056" s="750">
        <v>1051730.25</v>
      </c>
    </row>
    <row r="2057" spans="1:12" x14ac:dyDescent="0.25">
      <c r="A2057" s="561" t="s">
        <v>107</v>
      </c>
      <c r="B2057" s="749">
        <v>2023</v>
      </c>
      <c r="C2057" s="561" t="s">
        <v>651</v>
      </c>
      <c r="D2057" s="561" t="s">
        <v>2226</v>
      </c>
      <c r="E2057" s="561" t="s">
        <v>653</v>
      </c>
      <c r="F2057" s="735">
        <v>461858.24</v>
      </c>
      <c r="G2057" s="749">
        <v>0</v>
      </c>
      <c r="H2057" s="749"/>
      <c r="I2057" s="733"/>
      <c r="J2057" s="733"/>
      <c r="K2057" s="735">
        <v>0</v>
      </c>
      <c r="L2057" s="750">
        <v>461858.24</v>
      </c>
    </row>
    <row r="2058" spans="1:12" ht="31.5" x14ac:dyDescent="0.25">
      <c r="A2058" s="561" t="s">
        <v>107</v>
      </c>
      <c r="B2058" s="749">
        <v>2023</v>
      </c>
      <c r="C2058" s="561" t="s">
        <v>654</v>
      </c>
      <c r="D2058" s="561" t="s">
        <v>2227</v>
      </c>
      <c r="E2058" s="561" t="s">
        <v>445</v>
      </c>
      <c r="F2058" s="735">
        <v>0</v>
      </c>
      <c r="G2058" s="749">
        <v>0</v>
      </c>
      <c r="H2058" s="749"/>
      <c r="I2058" s="733"/>
      <c r="J2058" s="733"/>
      <c r="K2058" s="735">
        <v>0</v>
      </c>
      <c r="L2058" s="750">
        <v>0</v>
      </c>
    </row>
    <row r="2059" spans="1:12" ht="21" x14ac:dyDescent="0.25">
      <c r="A2059" s="561" t="s">
        <v>107</v>
      </c>
      <c r="B2059" s="749">
        <v>2023</v>
      </c>
      <c r="C2059" s="561" t="s">
        <v>656</v>
      </c>
      <c r="D2059" s="561" t="s">
        <v>2228</v>
      </c>
      <c r="E2059" s="561" t="s">
        <v>658</v>
      </c>
      <c r="F2059" s="735">
        <v>0</v>
      </c>
      <c r="G2059" s="749">
        <v>0</v>
      </c>
      <c r="H2059" s="749"/>
      <c r="I2059" s="733"/>
      <c r="J2059" s="733"/>
      <c r="K2059" s="735">
        <v>0</v>
      </c>
      <c r="L2059" s="750">
        <v>0</v>
      </c>
    </row>
    <row r="2060" spans="1:12" ht="21" x14ac:dyDescent="0.25">
      <c r="A2060" s="561" t="s">
        <v>107</v>
      </c>
      <c r="B2060" s="749">
        <v>2023</v>
      </c>
      <c r="C2060" s="561" t="s">
        <v>659</v>
      </c>
      <c r="D2060" s="561" t="s">
        <v>2229</v>
      </c>
      <c r="E2060" s="561" t="s">
        <v>661</v>
      </c>
      <c r="F2060" s="735">
        <v>0</v>
      </c>
      <c r="G2060" s="749">
        <v>0</v>
      </c>
      <c r="H2060" s="749"/>
      <c r="I2060" s="733"/>
      <c r="J2060" s="733"/>
      <c r="K2060" s="735">
        <v>0</v>
      </c>
      <c r="L2060" s="750">
        <v>0</v>
      </c>
    </row>
    <row r="2061" spans="1:12" ht="21" x14ac:dyDescent="0.25">
      <c r="A2061" s="561" t="s">
        <v>107</v>
      </c>
      <c r="B2061" s="749">
        <v>2023</v>
      </c>
      <c r="C2061" s="561" t="s">
        <v>662</v>
      </c>
      <c r="D2061" s="561" t="s">
        <v>2230</v>
      </c>
      <c r="E2061" s="561" t="s">
        <v>664</v>
      </c>
      <c r="F2061" s="735">
        <v>0</v>
      </c>
      <c r="G2061" s="749">
        <v>0</v>
      </c>
      <c r="H2061" s="749"/>
      <c r="I2061" s="733"/>
      <c r="J2061" s="733"/>
      <c r="K2061" s="735">
        <v>0</v>
      </c>
      <c r="L2061" s="750">
        <v>0</v>
      </c>
    </row>
    <row r="2062" spans="1:12" ht="31.5" x14ac:dyDescent="0.25">
      <c r="A2062" s="561" t="s">
        <v>107</v>
      </c>
      <c r="B2062" s="749">
        <v>2023</v>
      </c>
      <c r="C2062" s="561" t="s">
        <v>665</v>
      </c>
      <c r="D2062" s="561" t="s">
        <v>2231</v>
      </c>
      <c r="E2062" s="561" t="s">
        <v>667</v>
      </c>
      <c r="F2062" s="735">
        <v>0</v>
      </c>
      <c r="G2062" s="749">
        <v>0</v>
      </c>
      <c r="H2062" s="749"/>
      <c r="I2062" s="733"/>
      <c r="J2062" s="733"/>
      <c r="K2062" s="735">
        <v>0</v>
      </c>
      <c r="L2062" s="750">
        <v>0</v>
      </c>
    </row>
    <row r="2063" spans="1:12" ht="21" x14ac:dyDescent="0.25">
      <c r="A2063" s="561" t="s">
        <v>107</v>
      </c>
      <c r="B2063" s="749">
        <v>2023</v>
      </c>
      <c r="C2063" s="561" t="s">
        <v>668</v>
      </c>
      <c r="D2063" s="561" t="s">
        <v>2232</v>
      </c>
      <c r="E2063" s="561" t="s">
        <v>12</v>
      </c>
      <c r="F2063" s="735">
        <v>0</v>
      </c>
      <c r="G2063" s="749">
        <v>0</v>
      </c>
      <c r="H2063" s="749"/>
      <c r="I2063" s="733"/>
      <c r="J2063" s="733"/>
      <c r="K2063" s="735">
        <v>0</v>
      </c>
      <c r="L2063" s="750">
        <v>0</v>
      </c>
    </row>
    <row r="2064" spans="1:12" ht="21" x14ac:dyDescent="0.25">
      <c r="A2064" s="561" t="s">
        <v>107</v>
      </c>
      <c r="B2064" s="749">
        <v>2023</v>
      </c>
      <c r="C2064" s="561" t="s">
        <v>670</v>
      </c>
      <c r="D2064" s="561" t="s">
        <v>2233</v>
      </c>
      <c r="E2064" s="561" t="s">
        <v>13</v>
      </c>
      <c r="F2064" s="735">
        <v>34074.699999999997</v>
      </c>
      <c r="G2064" s="749">
        <v>0</v>
      </c>
      <c r="H2064" s="749"/>
      <c r="I2064" s="733"/>
      <c r="J2064" s="733"/>
      <c r="K2064" s="735">
        <v>0</v>
      </c>
      <c r="L2064" s="750">
        <v>34074.699999999997</v>
      </c>
    </row>
    <row r="2065" spans="1:12" ht="21" x14ac:dyDescent="0.25">
      <c r="A2065" s="561" t="s">
        <v>107</v>
      </c>
      <c r="B2065" s="749">
        <v>2023</v>
      </c>
      <c r="C2065" s="561" t="s">
        <v>672</v>
      </c>
      <c r="D2065" s="561" t="s">
        <v>2234</v>
      </c>
      <c r="E2065" s="561" t="s">
        <v>15</v>
      </c>
      <c r="F2065" s="735">
        <v>0</v>
      </c>
      <c r="G2065" s="749">
        <v>0</v>
      </c>
      <c r="H2065" s="749"/>
      <c r="I2065" s="733"/>
      <c r="J2065" s="733"/>
      <c r="K2065" s="735">
        <v>0</v>
      </c>
      <c r="L2065" s="750">
        <v>0</v>
      </c>
    </row>
    <row r="2066" spans="1:12" x14ac:dyDescent="0.25">
      <c r="A2066" s="561" t="s">
        <v>107</v>
      </c>
      <c r="B2066" s="749">
        <v>2023</v>
      </c>
      <c r="C2066" s="561" t="s">
        <v>674</v>
      </c>
      <c r="D2066" s="561" t="s">
        <v>2235</v>
      </c>
      <c r="E2066" s="561" t="s">
        <v>676</v>
      </c>
      <c r="F2066" s="735">
        <v>-2961.93</v>
      </c>
      <c r="G2066" s="749">
        <v>0</v>
      </c>
      <c r="H2066" s="749"/>
      <c r="I2066" s="733"/>
      <c r="J2066" s="733"/>
      <c r="K2066" s="735">
        <v>0</v>
      </c>
      <c r="L2066" s="750">
        <v>-2961.93</v>
      </c>
    </row>
    <row r="2067" spans="1:12" x14ac:dyDescent="0.25">
      <c r="A2067" s="561" t="s">
        <v>107</v>
      </c>
      <c r="B2067" s="749">
        <v>2023</v>
      </c>
      <c r="C2067" s="561" t="s">
        <v>677</v>
      </c>
      <c r="D2067" s="561" t="s">
        <v>2236</v>
      </c>
      <c r="E2067" s="561" t="s">
        <v>23</v>
      </c>
      <c r="F2067" s="735">
        <v>2004336.94</v>
      </c>
      <c r="G2067" s="749">
        <v>1</v>
      </c>
      <c r="H2067" s="749"/>
      <c r="I2067" s="735">
        <v>1966975.6</v>
      </c>
      <c r="J2067" s="735">
        <v>37361.339999999997</v>
      </c>
      <c r="K2067" s="735">
        <v>2004336.94</v>
      </c>
      <c r="L2067" s="750">
        <v>2004336.94</v>
      </c>
    </row>
    <row r="2068" spans="1:12" ht="21" x14ac:dyDescent="0.25">
      <c r="A2068" s="561" t="s">
        <v>107</v>
      </c>
      <c r="B2068" s="749">
        <v>2023</v>
      </c>
      <c r="C2068" s="561" t="s">
        <v>679</v>
      </c>
      <c r="D2068" s="561" t="s">
        <v>2237</v>
      </c>
      <c r="E2068" s="561" t="s">
        <v>131</v>
      </c>
      <c r="F2068" s="735">
        <v>-260008.62</v>
      </c>
      <c r="G2068" s="749">
        <v>1</v>
      </c>
      <c r="H2068" s="749"/>
      <c r="I2068" s="735">
        <v>-256910.91</v>
      </c>
      <c r="J2068" s="735">
        <v>-3097.71</v>
      </c>
      <c r="K2068" s="735">
        <v>-260008.62</v>
      </c>
      <c r="L2068" s="750">
        <v>-260008.62</v>
      </c>
    </row>
    <row r="2069" spans="1:12" ht="31.5" x14ac:dyDescent="0.25">
      <c r="A2069" s="561" t="s">
        <v>107</v>
      </c>
      <c r="B2069" s="749">
        <v>2023</v>
      </c>
      <c r="C2069" s="561" t="s">
        <v>681</v>
      </c>
      <c r="D2069" s="561" t="s">
        <v>2238</v>
      </c>
      <c r="E2069" s="561" t="s">
        <v>683</v>
      </c>
      <c r="F2069" s="735">
        <v>-210242.87</v>
      </c>
      <c r="G2069" s="749">
        <v>0</v>
      </c>
      <c r="H2069" s="749"/>
      <c r="I2069" s="733"/>
      <c r="J2069" s="733"/>
      <c r="K2069" s="735">
        <v>0</v>
      </c>
      <c r="L2069" s="750">
        <v>-210242.87</v>
      </c>
    </row>
    <row r="2070" spans="1:12" ht="21" x14ac:dyDescent="0.25">
      <c r="A2070" s="561" t="s">
        <v>107</v>
      </c>
      <c r="B2070" s="749">
        <v>2023</v>
      </c>
      <c r="C2070" s="561" t="s">
        <v>681</v>
      </c>
      <c r="D2070" s="561" t="s">
        <v>2238</v>
      </c>
      <c r="E2070" s="561" t="s">
        <v>684</v>
      </c>
      <c r="F2070" s="735">
        <v>0</v>
      </c>
      <c r="G2070" s="749">
        <v>0</v>
      </c>
      <c r="H2070" s="749"/>
      <c r="I2070" s="733"/>
      <c r="J2070" s="733"/>
      <c r="K2070" s="735">
        <v>0</v>
      </c>
      <c r="L2070" s="751">
        <v>-210242.87</v>
      </c>
    </row>
    <row r="2071" spans="1:12" x14ac:dyDescent="0.25">
      <c r="A2071" s="561" t="s">
        <v>107</v>
      </c>
      <c r="B2071" s="749">
        <v>2023</v>
      </c>
      <c r="C2071" s="561" t="s">
        <v>685</v>
      </c>
      <c r="D2071" s="561" t="s">
        <v>2239</v>
      </c>
      <c r="E2071" s="561" t="s">
        <v>687</v>
      </c>
      <c r="F2071" s="735">
        <v>908291.84</v>
      </c>
      <c r="G2071" s="749">
        <v>0</v>
      </c>
      <c r="H2071" s="749"/>
      <c r="I2071" s="733"/>
      <c r="J2071" s="733"/>
      <c r="K2071" s="735">
        <v>0</v>
      </c>
      <c r="L2071" s="750">
        <v>908291.84</v>
      </c>
    </row>
    <row r="2072" spans="1:12" x14ac:dyDescent="0.25">
      <c r="A2072" s="561" t="s">
        <v>107</v>
      </c>
      <c r="B2072" s="749">
        <v>2023</v>
      </c>
      <c r="C2072" s="561" t="s">
        <v>688</v>
      </c>
      <c r="D2072" s="561" t="s">
        <v>2240</v>
      </c>
      <c r="E2072" s="561" t="s">
        <v>50</v>
      </c>
      <c r="F2072" s="735">
        <v>760794.53</v>
      </c>
      <c r="G2072" s="749">
        <v>0</v>
      </c>
      <c r="H2072" s="749"/>
      <c r="I2072" s="733"/>
      <c r="J2072" s="733"/>
      <c r="K2072" s="735">
        <v>0</v>
      </c>
      <c r="L2072" s="750">
        <v>760794.53</v>
      </c>
    </row>
    <row r="2073" spans="1:12" x14ac:dyDescent="0.25">
      <c r="A2073" s="561" t="s">
        <v>107</v>
      </c>
      <c r="B2073" s="749">
        <v>2023</v>
      </c>
      <c r="C2073" s="561" t="s">
        <v>690</v>
      </c>
      <c r="D2073" s="561" t="s">
        <v>2241</v>
      </c>
      <c r="E2073" s="561" t="s">
        <v>692</v>
      </c>
      <c r="F2073" s="735">
        <v>0</v>
      </c>
      <c r="G2073" s="749">
        <v>0</v>
      </c>
      <c r="H2073" s="749"/>
      <c r="I2073" s="733"/>
      <c r="J2073" s="733"/>
      <c r="K2073" s="735">
        <v>0</v>
      </c>
      <c r="L2073" s="750">
        <v>0</v>
      </c>
    </row>
    <row r="2074" spans="1:12" ht="21" x14ac:dyDescent="0.25">
      <c r="A2074" s="561" t="s">
        <v>107</v>
      </c>
      <c r="B2074" s="749">
        <v>2023</v>
      </c>
      <c r="C2074" s="561" t="s">
        <v>693</v>
      </c>
      <c r="D2074" s="561" t="s">
        <v>2242</v>
      </c>
      <c r="E2074" s="561" t="s">
        <v>6</v>
      </c>
      <c r="F2074" s="735">
        <v>0</v>
      </c>
      <c r="G2074" s="749">
        <v>0</v>
      </c>
      <c r="H2074" s="749"/>
      <c r="I2074" s="733"/>
      <c r="J2074" s="733"/>
      <c r="K2074" s="735">
        <v>0</v>
      </c>
      <c r="L2074" s="750">
        <v>0</v>
      </c>
    </row>
    <row r="2075" spans="1:12" ht="21" x14ac:dyDescent="0.25">
      <c r="A2075" s="561" t="s">
        <v>107</v>
      </c>
      <c r="B2075" s="749">
        <v>2023</v>
      </c>
      <c r="C2075" s="561" t="s">
        <v>695</v>
      </c>
      <c r="D2075" s="561" t="s">
        <v>2243</v>
      </c>
      <c r="E2075" s="561" t="s">
        <v>697</v>
      </c>
      <c r="F2075" s="735">
        <v>0</v>
      </c>
      <c r="G2075" s="749">
        <v>0</v>
      </c>
      <c r="H2075" s="749"/>
      <c r="I2075" s="733"/>
      <c r="J2075" s="733"/>
      <c r="K2075" s="735">
        <v>0</v>
      </c>
      <c r="L2075" s="750">
        <v>0</v>
      </c>
    </row>
    <row r="2076" spans="1:12" x14ac:dyDescent="0.25">
      <c r="A2076" s="561" t="s">
        <v>107</v>
      </c>
      <c r="B2076" s="749">
        <v>2023</v>
      </c>
      <c r="C2076" s="561" t="s">
        <v>698</v>
      </c>
      <c r="D2076" s="561" t="s">
        <v>2244</v>
      </c>
      <c r="E2076" s="561" t="s">
        <v>700</v>
      </c>
      <c r="F2076" s="735">
        <v>8653.5400000000009</v>
      </c>
      <c r="G2076" s="749">
        <v>0</v>
      </c>
      <c r="H2076" s="749"/>
      <c r="I2076" s="733"/>
      <c r="J2076" s="733"/>
      <c r="K2076" s="735">
        <v>0</v>
      </c>
      <c r="L2076" s="750">
        <v>8653.5400000000009</v>
      </c>
    </row>
    <row r="2077" spans="1:12" ht="21" x14ac:dyDescent="0.25">
      <c r="A2077" s="561" t="s">
        <v>107</v>
      </c>
      <c r="B2077" s="749">
        <v>2023</v>
      </c>
      <c r="C2077" s="561" t="s">
        <v>701</v>
      </c>
      <c r="D2077" s="561" t="s">
        <v>2245</v>
      </c>
      <c r="E2077" s="561" t="s">
        <v>1</v>
      </c>
      <c r="F2077" s="735">
        <v>4822636.1500000004</v>
      </c>
      <c r="G2077" s="749">
        <v>1</v>
      </c>
      <c r="H2077" s="749"/>
      <c r="I2077" s="735">
        <v>4738718.8600000003</v>
      </c>
      <c r="J2077" s="735">
        <v>83917.29</v>
      </c>
      <c r="K2077" s="735">
        <v>4822636.1500000004</v>
      </c>
      <c r="L2077" s="750">
        <v>4822636.1500000004</v>
      </c>
    </row>
    <row r="2078" spans="1:12" ht="21" x14ac:dyDescent="0.25">
      <c r="A2078" s="561" t="s">
        <v>107</v>
      </c>
      <c r="B2078" s="749">
        <v>2023</v>
      </c>
      <c r="C2078" s="561" t="s">
        <v>701</v>
      </c>
      <c r="D2078" s="561" t="s">
        <v>2245</v>
      </c>
      <c r="E2078" s="561" t="s">
        <v>703</v>
      </c>
      <c r="F2078" s="735">
        <v>0</v>
      </c>
      <c r="G2078" s="749">
        <v>0</v>
      </c>
      <c r="H2078" s="749"/>
      <c r="I2078" s="733"/>
      <c r="J2078" s="733"/>
      <c r="K2078" s="735">
        <v>0</v>
      </c>
      <c r="L2078" s="751">
        <v>-109.44</v>
      </c>
    </row>
    <row r="2079" spans="1:12" ht="21" x14ac:dyDescent="0.25">
      <c r="A2079" s="561" t="s">
        <v>107</v>
      </c>
      <c r="B2079" s="749">
        <v>2023</v>
      </c>
      <c r="C2079" s="561" t="s">
        <v>701</v>
      </c>
      <c r="D2079" s="561" t="s">
        <v>2245</v>
      </c>
      <c r="E2079" s="561" t="s">
        <v>704</v>
      </c>
      <c r="F2079" s="735">
        <v>0</v>
      </c>
      <c r="G2079" s="749">
        <v>0</v>
      </c>
      <c r="H2079" s="749"/>
      <c r="I2079" s="733"/>
      <c r="J2079" s="733"/>
      <c r="K2079" s="735">
        <v>0</v>
      </c>
      <c r="L2079" s="751">
        <v>-954.46</v>
      </c>
    </row>
    <row r="2080" spans="1:12" ht="21" x14ac:dyDescent="0.25">
      <c r="A2080" s="561" t="s">
        <v>107</v>
      </c>
      <c r="B2080" s="749">
        <v>2023</v>
      </c>
      <c r="C2080" s="561" t="s">
        <v>701</v>
      </c>
      <c r="D2080" s="561" t="s">
        <v>2245</v>
      </c>
      <c r="E2080" s="561" t="s">
        <v>705</v>
      </c>
      <c r="F2080" s="735">
        <v>0</v>
      </c>
      <c r="G2080" s="749">
        <v>0</v>
      </c>
      <c r="H2080" s="749"/>
      <c r="I2080" s="733"/>
      <c r="J2080" s="733"/>
      <c r="K2080" s="735">
        <v>0</v>
      </c>
      <c r="L2080" s="751">
        <v>-7661.39</v>
      </c>
    </row>
    <row r="2081" spans="1:12" ht="21" x14ac:dyDescent="0.25">
      <c r="A2081" s="561" t="s">
        <v>107</v>
      </c>
      <c r="B2081" s="749">
        <v>2023</v>
      </c>
      <c r="C2081" s="561" t="s">
        <v>701</v>
      </c>
      <c r="D2081" s="561" t="s">
        <v>2245</v>
      </c>
      <c r="E2081" s="561" t="s">
        <v>706</v>
      </c>
      <c r="F2081" s="735">
        <v>0</v>
      </c>
      <c r="G2081" s="749">
        <v>0</v>
      </c>
      <c r="H2081" s="749"/>
      <c r="I2081" s="733"/>
      <c r="J2081" s="733"/>
      <c r="K2081" s="735">
        <v>0</v>
      </c>
      <c r="L2081" s="751">
        <v>-315102.49</v>
      </c>
    </row>
    <row r="2082" spans="1:12" x14ac:dyDescent="0.25">
      <c r="A2082" s="561" t="s">
        <v>107</v>
      </c>
      <c r="B2082" s="749">
        <v>2023</v>
      </c>
      <c r="C2082" s="561" t="s">
        <v>707</v>
      </c>
      <c r="D2082" s="561" t="s">
        <v>2246</v>
      </c>
      <c r="E2082" s="561" t="s">
        <v>709</v>
      </c>
      <c r="F2082" s="735">
        <v>0</v>
      </c>
      <c r="G2082" s="749">
        <v>0</v>
      </c>
      <c r="H2082" s="749"/>
      <c r="I2082" s="733"/>
      <c r="J2082" s="733"/>
      <c r="K2082" s="735">
        <v>0</v>
      </c>
      <c r="L2082" s="750">
        <v>0</v>
      </c>
    </row>
    <row r="2083" spans="1:12" ht="21" x14ac:dyDescent="0.25">
      <c r="A2083" s="561" t="s">
        <v>107</v>
      </c>
      <c r="B2083" s="749">
        <v>2023</v>
      </c>
      <c r="C2083" s="561" t="s">
        <v>710</v>
      </c>
      <c r="D2083" s="561" t="s">
        <v>2247</v>
      </c>
      <c r="E2083" s="561" t="s">
        <v>2</v>
      </c>
      <c r="F2083" s="735">
        <v>6282422.6799999997</v>
      </c>
      <c r="G2083" s="749">
        <v>1</v>
      </c>
      <c r="H2083" s="749"/>
      <c r="I2083" s="735">
        <v>6172076.25</v>
      </c>
      <c r="J2083" s="735">
        <v>110346.43</v>
      </c>
      <c r="K2083" s="735">
        <v>6282422.6799999997</v>
      </c>
      <c r="L2083" s="750">
        <v>6282422.6799999997</v>
      </c>
    </row>
    <row r="2084" spans="1:12" ht="21" x14ac:dyDescent="0.25">
      <c r="A2084" s="561" t="s">
        <v>107</v>
      </c>
      <c r="B2084" s="749">
        <v>2023</v>
      </c>
      <c r="C2084" s="561" t="s">
        <v>712</v>
      </c>
      <c r="D2084" s="561" t="s">
        <v>2248</v>
      </c>
      <c r="E2084" s="561" t="s">
        <v>3</v>
      </c>
      <c r="F2084" s="735">
        <v>1602054.88</v>
      </c>
      <c r="G2084" s="749">
        <v>1</v>
      </c>
      <c r="H2084" s="749"/>
      <c r="I2084" s="735">
        <v>1575840.24</v>
      </c>
      <c r="J2084" s="735">
        <v>26214.639999999999</v>
      </c>
      <c r="K2084" s="735">
        <v>1602054.88</v>
      </c>
      <c r="L2084" s="750">
        <v>1602054.88</v>
      </c>
    </row>
    <row r="2085" spans="1:12" ht="21" x14ac:dyDescent="0.25">
      <c r="A2085" s="561" t="s">
        <v>107</v>
      </c>
      <c r="B2085" s="749">
        <v>2023</v>
      </c>
      <c r="C2085" s="561" t="s">
        <v>714</v>
      </c>
      <c r="D2085" s="561" t="s">
        <v>2249</v>
      </c>
      <c r="E2085" s="561" t="s">
        <v>38</v>
      </c>
      <c r="F2085" s="735">
        <v>-1320235.3700000001</v>
      </c>
      <c r="G2085" s="749">
        <v>1</v>
      </c>
      <c r="H2085" s="749"/>
      <c r="I2085" s="735">
        <v>-1276756.03</v>
      </c>
      <c r="J2085" s="735">
        <v>-43479.34</v>
      </c>
      <c r="K2085" s="735">
        <v>-1320235.3700000001</v>
      </c>
      <c r="L2085" s="750">
        <v>-1320235.3700000001</v>
      </c>
    </row>
    <row r="2086" spans="1:12" x14ac:dyDescent="0.25">
      <c r="A2086" s="561" t="s">
        <v>107</v>
      </c>
      <c r="B2086" s="749">
        <v>2023</v>
      </c>
      <c r="C2086" s="561" t="s">
        <v>716</v>
      </c>
      <c r="D2086" s="561" t="s">
        <v>2250</v>
      </c>
      <c r="E2086" s="561" t="s">
        <v>66</v>
      </c>
      <c r="F2086" s="735">
        <v>-2134727.39</v>
      </c>
      <c r="G2086" s="749">
        <v>1</v>
      </c>
      <c r="H2086" s="749"/>
      <c r="I2086" s="735">
        <v>-2113743.9500000002</v>
      </c>
      <c r="J2086" s="735">
        <v>-20983.439999999999</v>
      </c>
      <c r="K2086" s="735">
        <v>-2134727.39</v>
      </c>
      <c r="L2086" s="750">
        <v>-2134727.39</v>
      </c>
    </row>
    <row r="2087" spans="1:12" ht="21" x14ac:dyDescent="0.25">
      <c r="A2087" s="561" t="s">
        <v>107</v>
      </c>
      <c r="B2087" s="749">
        <v>2023</v>
      </c>
      <c r="C2087" s="561" t="s">
        <v>718</v>
      </c>
      <c r="D2087" s="561" t="s">
        <v>2251</v>
      </c>
      <c r="E2087" s="561" t="s">
        <v>720</v>
      </c>
      <c r="F2087" s="735">
        <v>-1694.81</v>
      </c>
      <c r="G2087" s="749">
        <v>0</v>
      </c>
      <c r="H2087" s="749"/>
      <c r="I2087" s="733"/>
      <c r="J2087" s="733"/>
      <c r="K2087" s="735">
        <v>0</v>
      </c>
      <c r="L2087" s="750">
        <v>-1694.81</v>
      </c>
    </row>
    <row r="2088" spans="1:12" ht="31.5" x14ac:dyDescent="0.25">
      <c r="A2088" s="561" t="s">
        <v>107</v>
      </c>
      <c r="B2088" s="749">
        <v>2023</v>
      </c>
      <c r="C2088" s="561" t="s">
        <v>721</v>
      </c>
      <c r="D2088" s="561" t="s">
        <v>2253</v>
      </c>
      <c r="E2088" s="561" t="s">
        <v>724</v>
      </c>
      <c r="F2088" s="735">
        <v>0</v>
      </c>
      <c r="G2088" s="749">
        <v>1</v>
      </c>
      <c r="H2088" s="749"/>
      <c r="I2088" s="733"/>
      <c r="J2088" s="733"/>
      <c r="K2088" s="735">
        <v>0</v>
      </c>
      <c r="L2088" s="750">
        <v>0</v>
      </c>
    </row>
    <row r="2089" spans="1:12" ht="31.5" x14ac:dyDescent="0.25">
      <c r="A2089" s="561" t="s">
        <v>107</v>
      </c>
      <c r="B2089" s="749">
        <v>2023</v>
      </c>
      <c r="C2089" s="561" t="s">
        <v>721</v>
      </c>
      <c r="D2089" s="561" t="s">
        <v>2254</v>
      </c>
      <c r="E2089" s="561" t="s">
        <v>55</v>
      </c>
      <c r="F2089" s="735">
        <v>0</v>
      </c>
      <c r="G2089" s="749">
        <v>1</v>
      </c>
      <c r="H2089" s="749"/>
      <c r="I2089" s="733"/>
      <c r="J2089" s="733"/>
      <c r="K2089" s="735">
        <v>0</v>
      </c>
      <c r="L2089" s="750">
        <v>0</v>
      </c>
    </row>
    <row r="2090" spans="1:12" ht="31.5" x14ac:dyDescent="0.25">
      <c r="A2090" s="561" t="s">
        <v>107</v>
      </c>
      <c r="B2090" s="749">
        <v>2023</v>
      </c>
      <c r="C2090" s="561" t="s">
        <v>721</v>
      </c>
      <c r="D2090" s="561" t="s">
        <v>2255</v>
      </c>
      <c r="E2090" s="561" t="s">
        <v>56</v>
      </c>
      <c r="F2090" s="735">
        <v>0</v>
      </c>
      <c r="G2090" s="749">
        <v>1</v>
      </c>
      <c r="H2090" s="749"/>
      <c r="I2090" s="733"/>
      <c r="J2090" s="733"/>
      <c r="K2090" s="735">
        <v>0</v>
      </c>
      <c r="L2090" s="750">
        <v>0</v>
      </c>
    </row>
    <row r="2091" spans="1:12" ht="31.5" x14ac:dyDescent="0.25">
      <c r="A2091" s="561" t="s">
        <v>107</v>
      </c>
      <c r="B2091" s="749">
        <v>2023</v>
      </c>
      <c r="C2091" s="561" t="s">
        <v>721</v>
      </c>
      <c r="D2091" s="561" t="s">
        <v>2256</v>
      </c>
      <c r="E2091" s="561" t="s">
        <v>728</v>
      </c>
      <c r="F2091" s="735">
        <v>0</v>
      </c>
      <c r="G2091" s="749">
        <v>1</v>
      </c>
      <c r="H2091" s="749"/>
      <c r="I2091" s="733"/>
      <c r="J2091" s="733"/>
      <c r="K2091" s="735">
        <v>0</v>
      </c>
      <c r="L2091" s="750">
        <v>0</v>
      </c>
    </row>
    <row r="2092" spans="1:12" ht="31.5" x14ac:dyDescent="0.25">
      <c r="A2092" s="561" t="s">
        <v>107</v>
      </c>
      <c r="B2092" s="749">
        <v>2023</v>
      </c>
      <c r="C2092" s="561" t="s">
        <v>721</v>
      </c>
      <c r="D2092" s="561" t="s">
        <v>2257</v>
      </c>
      <c r="E2092" s="561" t="s">
        <v>730</v>
      </c>
      <c r="F2092" s="735">
        <v>0</v>
      </c>
      <c r="G2092" s="749">
        <v>1</v>
      </c>
      <c r="H2092" s="749"/>
      <c r="I2092" s="733"/>
      <c r="J2092" s="733"/>
      <c r="K2092" s="735">
        <v>0</v>
      </c>
      <c r="L2092" s="750">
        <v>0</v>
      </c>
    </row>
    <row r="2093" spans="1:12" ht="31.5" x14ac:dyDescent="0.25">
      <c r="A2093" s="561" t="s">
        <v>107</v>
      </c>
      <c r="B2093" s="749">
        <v>2023</v>
      </c>
      <c r="C2093" s="561" t="s">
        <v>721</v>
      </c>
      <c r="D2093" s="561" t="s">
        <v>2258</v>
      </c>
      <c r="E2093" s="561" t="s">
        <v>142</v>
      </c>
      <c r="F2093" s="735">
        <v>0</v>
      </c>
      <c r="G2093" s="749">
        <v>1</v>
      </c>
      <c r="H2093" s="749"/>
      <c r="I2093" s="733"/>
      <c r="J2093" s="733"/>
      <c r="K2093" s="735">
        <v>0</v>
      </c>
      <c r="L2093" s="750">
        <v>0</v>
      </c>
    </row>
    <row r="2094" spans="1:12" ht="31.5" x14ac:dyDescent="0.25">
      <c r="A2094" s="561" t="s">
        <v>107</v>
      </c>
      <c r="B2094" s="749">
        <v>2023</v>
      </c>
      <c r="C2094" s="561" t="s">
        <v>721</v>
      </c>
      <c r="D2094" s="561" t="s">
        <v>2259</v>
      </c>
      <c r="E2094" s="561" t="s">
        <v>143</v>
      </c>
      <c r="F2094" s="735">
        <v>0</v>
      </c>
      <c r="G2094" s="749">
        <v>1</v>
      </c>
      <c r="H2094" s="749"/>
      <c r="I2094" s="733"/>
      <c r="J2094" s="733"/>
      <c r="K2094" s="735">
        <v>0</v>
      </c>
      <c r="L2094" s="750">
        <v>0</v>
      </c>
    </row>
    <row r="2095" spans="1:12" ht="31.5" x14ac:dyDescent="0.25">
      <c r="A2095" s="561" t="s">
        <v>107</v>
      </c>
      <c r="B2095" s="749">
        <v>2023</v>
      </c>
      <c r="C2095" s="561" t="s">
        <v>721</v>
      </c>
      <c r="D2095" s="561" t="s">
        <v>2260</v>
      </c>
      <c r="E2095" s="561" t="s">
        <v>182</v>
      </c>
      <c r="F2095" s="735">
        <v>0</v>
      </c>
      <c r="G2095" s="749">
        <v>1</v>
      </c>
      <c r="H2095" s="749"/>
      <c r="I2095" s="733"/>
      <c r="J2095" s="733"/>
      <c r="K2095" s="735">
        <v>0</v>
      </c>
      <c r="L2095" s="750">
        <v>0</v>
      </c>
    </row>
    <row r="2096" spans="1:12" ht="31.5" x14ac:dyDescent="0.25">
      <c r="A2096" s="561" t="s">
        <v>107</v>
      </c>
      <c r="B2096" s="749">
        <v>2023</v>
      </c>
      <c r="C2096" s="561" t="s">
        <v>721</v>
      </c>
      <c r="D2096" s="561" t="s">
        <v>2261</v>
      </c>
      <c r="E2096" s="561" t="s">
        <v>394</v>
      </c>
      <c r="F2096" s="735">
        <v>0</v>
      </c>
      <c r="G2096" s="749">
        <v>1</v>
      </c>
      <c r="H2096" s="749"/>
      <c r="I2096" s="733"/>
      <c r="J2096" s="733"/>
      <c r="K2096" s="735">
        <v>0</v>
      </c>
      <c r="L2096" s="750">
        <v>0</v>
      </c>
    </row>
    <row r="2097" spans="1:12" ht="31.5" x14ac:dyDescent="0.25">
      <c r="A2097" s="561" t="s">
        <v>107</v>
      </c>
      <c r="B2097" s="749">
        <v>2023</v>
      </c>
      <c r="C2097" s="561" t="s">
        <v>721</v>
      </c>
      <c r="D2097" s="561" t="s">
        <v>2262</v>
      </c>
      <c r="E2097" s="561" t="s">
        <v>423</v>
      </c>
      <c r="F2097" s="735">
        <v>0</v>
      </c>
      <c r="G2097" s="749">
        <v>1</v>
      </c>
      <c r="H2097" s="749"/>
      <c r="I2097" s="733"/>
      <c r="J2097" s="733"/>
      <c r="K2097" s="735">
        <v>0</v>
      </c>
      <c r="L2097" s="750">
        <v>0</v>
      </c>
    </row>
    <row r="2098" spans="1:12" ht="31.5" x14ac:dyDescent="0.25">
      <c r="A2098" s="561" t="s">
        <v>107</v>
      </c>
      <c r="B2098" s="749">
        <v>2023</v>
      </c>
      <c r="C2098" s="561" t="s">
        <v>721</v>
      </c>
      <c r="D2098" s="561" t="s">
        <v>3277</v>
      </c>
      <c r="E2098" s="561" t="s">
        <v>441</v>
      </c>
      <c r="F2098" s="735">
        <v>0</v>
      </c>
      <c r="G2098" s="749">
        <v>1</v>
      </c>
      <c r="H2098" s="749"/>
      <c r="I2098" s="733"/>
      <c r="J2098" s="733"/>
      <c r="K2098" s="735">
        <v>0</v>
      </c>
      <c r="L2098" s="750">
        <v>0</v>
      </c>
    </row>
    <row r="2099" spans="1:12" ht="31.5" x14ac:dyDescent="0.25">
      <c r="A2099" s="561" t="s">
        <v>107</v>
      </c>
      <c r="B2099" s="749">
        <v>2023</v>
      </c>
      <c r="C2099" s="561" t="s">
        <v>721</v>
      </c>
      <c r="D2099" s="561" t="s">
        <v>3576</v>
      </c>
      <c r="E2099" s="561" t="s">
        <v>3016</v>
      </c>
      <c r="F2099" s="735">
        <v>0</v>
      </c>
      <c r="G2099" s="749">
        <v>1</v>
      </c>
      <c r="H2099" s="749"/>
      <c r="I2099" s="735">
        <v>-12415.95</v>
      </c>
      <c r="J2099" s="735">
        <v>7528.36</v>
      </c>
      <c r="K2099" s="735">
        <v>-4887.59</v>
      </c>
      <c r="L2099" s="750">
        <v>-4887.59</v>
      </c>
    </row>
    <row r="2100" spans="1:12" ht="31.5" x14ac:dyDescent="0.25">
      <c r="A2100" s="561" t="s">
        <v>107</v>
      </c>
      <c r="B2100" s="749">
        <v>2023</v>
      </c>
      <c r="C2100" s="561" t="s">
        <v>721</v>
      </c>
      <c r="D2100" s="561" t="s">
        <v>3577</v>
      </c>
      <c r="E2100" s="561" t="s">
        <v>3058</v>
      </c>
      <c r="F2100" s="735">
        <v>0</v>
      </c>
      <c r="G2100" s="749">
        <v>1</v>
      </c>
      <c r="H2100" s="749"/>
      <c r="I2100" s="735">
        <v>14603</v>
      </c>
      <c r="J2100" s="735">
        <v>602.4</v>
      </c>
      <c r="K2100" s="735">
        <v>15205.4</v>
      </c>
      <c r="L2100" s="750">
        <v>15205.4</v>
      </c>
    </row>
    <row r="2101" spans="1:12" ht="31.5" x14ac:dyDescent="0.25">
      <c r="A2101" s="561" t="s">
        <v>107</v>
      </c>
      <c r="B2101" s="749">
        <v>2023</v>
      </c>
      <c r="C2101" s="561" t="s">
        <v>721</v>
      </c>
      <c r="D2101" s="561" t="s">
        <v>3578</v>
      </c>
      <c r="E2101" s="561" t="s">
        <v>3063</v>
      </c>
      <c r="F2101" s="735">
        <v>0</v>
      </c>
      <c r="G2101" s="749">
        <v>1</v>
      </c>
      <c r="H2101" s="749"/>
      <c r="I2101" s="735">
        <v>1950.56</v>
      </c>
      <c r="J2101" s="735">
        <v>-947.1</v>
      </c>
      <c r="K2101" s="735">
        <v>1003.46</v>
      </c>
      <c r="L2101" s="750">
        <v>1003.46</v>
      </c>
    </row>
    <row r="2102" spans="1:12" ht="31.5" x14ac:dyDescent="0.25">
      <c r="A2102" s="561" t="s">
        <v>107</v>
      </c>
      <c r="B2102" s="749">
        <v>2023</v>
      </c>
      <c r="C2102" s="561" t="s">
        <v>721</v>
      </c>
      <c r="D2102" s="561" t="s">
        <v>3904</v>
      </c>
      <c r="E2102" s="561" t="s">
        <v>3425</v>
      </c>
      <c r="F2102" s="735">
        <v>0</v>
      </c>
      <c r="G2102" s="749">
        <v>1</v>
      </c>
      <c r="H2102" s="749"/>
      <c r="I2102" s="735">
        <v>-577168.35</v>
      </c>
      <c r="J2102" s="735">
        <v>-16330.62</v>
      </c>
      <c r="K2102" s="735">
        <v>-593498.97</v>
      </c>
      <c r="L2102" s="750">
        <v>-593498.97</v>
      </c>
    </row>
    <row r="2103" spans="1:12" ht="42" x14ac:dyDescent="0.25">
      <c r="A2103" s="561" t="s">
        <v>107</v>
      </c>
      <c r="B2103" s="749">
        <v>2023</v>
      </c>
      <c r="C2103" s="561" t="s">
        <v>721</v>
      </c>
      <c r="D2103" s="561" t="s">
        <v>3905</v>
      </c>
      <c r="E2103" s="561" t="s">
        <v>737</v>
      </c>
      <c r="F2103" s="735">
        <v>-582177.69999999995</v>
      </c>
      <c r="G2103" s="749">
        <v>0</v>
      </c>
      <c r="H2103" s="749"/>
      <c r="I2103" s="733"/>
      <c r="J2103" s="733"/>
      <c r="K2103" s="735">
        <v>0</v>
      </c>
      <c r="L2103" s="750">
        <v>-582177.69999999995</v>
      </c>
    </row>
    <row r="2104" spans="1:12" x14ac:dyDescent="0.25">
      <c r="A2104" s="561" t="s">
        <v>107</v>
      </c>
      <c r="B2104" s="749">
        <v>2023</v>
      </c>
      <c r="C2104" s="561" t="s">
        <v>738</v>
      </c>
      <c r="D2104" s="561" t="s">
        <v>2264</v>
      </c>
      <c r="E2104" s="561" t="s">
        <v>7</v>
      </c>
      <c r="F2104" s="735">
        <v>0</v>
      </c>
      <c r="G2104" s="749">
        <v>0</v>
      </c>
      <c r="H2104" s="749"/>
      <c r="I2104" s="733"/>
      <c r="J2104" s="733"/>
      <c r="K2104" s="735">
        <v>0</v>
      </c>
      <c r="L2104" s="750">
        <v>0</v>
      </c>
    </row>
    <row r="2105" spans="1:12" x14ac:dyDescent="0.25">
      <c r="A2105" s="561" t="s">
        <v>108</v>
      </c>
      <c r="B2105" s="749">
        <v>2023</v>
      </c>
      <c r="C2105" s="561" t="s">
        <v>647</v>
      </c>
      <c r="D2105" s="561" t="s">
        <v>2265</v>
      </c>
      <c r="E2105" s="561" t="s">
        <v>649</v>
      </c>
      <c r="F2105" s="735">
        <v>-129763.9</v>
      </c>
      <c r="G2105" s="749">
        <v>0</v>
      </c>
      <c r="H2105" s="749"/>
      <c r="I2105" s="733"/>
      <c r="J2105" s="733"/>
      <c r="K2105" s="735">
        <v>0</v>
      </c>
      <c r="L2105" s="750">
        <v>-129763.9</v>
      </c>
    </row>
    <row r="2106" spans="1:12" ht="21" x14ac:dyDescent="0.25">
      <c r="A2106" s="561" t="s">
        <v>108</v>
      </c>
      <c r="B2106" s="749">
        <v>2023</v>
      </c>
      <c r="C2106" s="561" t="s">
        <v>3691</v>
      </c>
      <c r="D2106" s="561" t="s">
        <v>3661</v>
      </c>
      <c r="E2106" s="561" t="s">
        <v>3675</v>
      </c>
      <c r="F2106" s="735">
        <v>328</v>
      </c>
      <c r="G2106" s="749">
        <v>0</v>
      </c>
      <c r="H2106" s="749"/>
      <c r="I2106" s="733"/>
      <c r="J2106" s="733"/>
      <c r="K2106" s="735">
        <v>0</v>
      </c>
      <c r="L2106" s="750">
        <v>328</v>
      </c>
    </row>
    <row r="2107" spans="1:12" x14ac:dyDescent="0.25">
      <c r="A2107" s="561" t="s">
        <v>108</v>
      </c>
      <c r="B2107" s="749">
        <v>2023</v>
      </c>
      <c r="C2107" s="561" t="s">
        <v>651</v>
      </c>
      <c r="D2107" s="561" t="s">
        <v>2266</v>
      </c>
      <c r="E2107" s="561" t="s">
        <v>653</v>
      </c>
      <c r="F2107" s="735">
        <v>246383.94</v>
      </c>
      <c r="G2107" s="749">
        <v>0</v>
      </c>
      <c r="H2107" s="749"/>
      <c r="I2107" s="733"/>
      <c r="J2107" s="733"/>
      <c r="K2107" s="735">
        <v>0</v>
      </c>
      <c r="L2107" s="750">
        <v>246383.94</v>
      </c>
    </row>
    <row r="2108" spans="1:12" ht="31.5" x14ac:dyDescent="0.25">
      <c r="A2108" s="561" t="s">
        <v>108</v>
      </c>
      <c r="B2108" s="749">
        <v>2023</v>
      </c>
      <c r="C2108" s="561" t="s">
        <v>654</v>
      </c>
      <c r="D2108" s="561" t="s">
        <v>2267</v>
      </c>
      <c r="E2108" s="561" t="s">
        <v>445</v>
      </c>
      <c r="F2108" s="735">
        <v>0</v>
      </c>
      <c r="G2108" s="749">
        <v>0</v>
      </c>
      <c r="H2108" s="749"/>
      <c r="I2108" s="733"/>
      <c r="J2108" s="733"/>
      <c r="K2108" s="735">
        <v>0</v>
      </c>
      <c r="L2108" s="750">
        <v>0</v>
      </c>
    </row>
    <row r="2109" spans="1:12" ht="21" x14ac:dyDescent="0.25">
      <c r="A2109" s="561" t="s">
        <v>108</v>
      </c>
      <c r="B2109" s="749">
        <v>2023</v>
      </c>
      <c r="C2109" s="561" t="s">
        <v>656</v>
      </c>
      <c r="D2109" s="561" t="s">
        <v>2268</v>
      </c>
      <c r="E2109" s="561" t="s">
        <v>658</v>
      </c>
      <c r="F2109" s="735">
        <v>0</v>
      </c>
      <c r="G2109" s="749">
        <v>0</v>
      </c>
      <c r="H2109" s="749"/>
      <c r="I2109" s="733"/>
      <c r="J2109" s="733"/>
      <c r="K2109" s="735">
        <v>0</v>
      </c>
      <c r="L2109" s="750">
        <v>0</v>
      </c>
    </row>
    <row r="2110" spans="1:12" ht="21" x14ac:dyDescent="0.25">
      <c r="A2110" s="561" t="s">
        <v>108</v>
      </c>
      <c r="B2110" s="749">
        <v>2023</v>
      </c>
      <c r="C2110" s="561" t="s">
        <v>659</v>
      </c>
      <c r="D2110" s="561" t="s">
        <v>2269</v>
      </c>
      <c r="E2110" s="561" t="s">
        <v>661</v>
      </c>
      <c r="F2110" s="735">
        <v>0</v>
      </c>
      <c r="G2110" s="749">
        <v>0</v>
      </c>
      <c r="H2110" s="749"/>
      <c r="I2110" s="733"/>
      <c r="J2110" s="733"/>
      <c r="K2110" s="735">
        <v>0</v>
      </c>
      <c r="L2110" s="750">
        <v>0</v>
      </c>
    </row>
    <row r="2111" spans="1:12" ht="21" x14ac:dyDescent="0.25">
      <c r="A2111" s="561" t="s">
        <v>108</v>
      </c>
      <c r="B2111" s="749">
        <v>2023</v>
      </c>
      <c r="C2111" s="561" t="s">
        <v>662</v>
      </c>
      <c r="D2111" s="561" t="s">
        <v>2270</v>
      </c>
      <c r="E2111" s="561" t="s">
        <v>664</v>
      </c>
      <c r="F2111" s="735">
        <v>0</v>
      </c>
      <c r="G2111" s="749">
        <v>0</v>
      </c>
      <c r="H2111" s="749"/>
      <c r="I2111" s="733"/>
      <c r="J2111" s="733"/>
      <c r="K2111" s="735">
        <v>0</v>
      </c>
      <c r="L2111" s="750">
        <v>0</v>
      </c>
    </row>
    <row r="2112" spans="1:12" ht="31.5" x14ac:dyDescent="0.25">
      <c r="A2112" s="561" t="s">
        <v>108</v>
      </c>
      <c r="B2112" s="749">
        <v>2023</v>
      </c>
      <c r="C2112" s="561" t="s">
        <v>665</v>
      </c>
      <c r="D2112" s="561" t="s">
        <v>2271</v>
      </c>
      <c r="E2112" s="561" t="s">
        <v>667</v>
      </c>
      <c r="F2112" s="735">
        <v>0</v>
      </c>
      <c r="G2112" s="749">
        <v>0</v>
      </c>
      <c r="H2112" s="749"/>
      <c r="I2112" s="733"/>
      <c r="J2112" s="733"/>
      <c r="K2112" s="735">
        <v>0</v>
      </c>
      <c r="L2112" s="750">
        <v>0</v>
      </c>
    </row>
    <row r="2113" spans="1:12" ht="21" x14ac:dyDescent="0.25">
      <c r="A2113" s="561" t="s">
        <v>108</v>
      </c>
      <c r="B2113" s="749">
        <v>2023</v>
      </c>
      <c r="C2113" s="561" t="s">
        <v>668</v>
      </c>
      <c r="D2113" s="561" t="s">
        <v>2272</v>
      </c>
      <c r="E2113" s="561" t="s">
        <v>12</v>
      </c>
      <c r="F2113" s="735">
        <v>0</v>
      </c>
      <c r="G2113" s="749">
        <v>0</v>
      </c>
      <c r="H2113" s="749"/>
      <c r="I2113" s="733"/>
      <c r="J2113" s="733"/>
      <c r="K2113" s="735">
        <v>0</v>
      </c>
      <c r="L2113" s="750">
        <v>0</v>
      </c>
    </row>
    <row r="2114" spans="1:12" ht="21" x14ac:dyDescent="0.25">
      <c r="A2114" s="561" t="s">
        <v>108</v>
      </c>
      <c r="B2114" s="749">
        <v>2023</v>
      </c>
      <c r="C2114" s="561" t="s">
        <v>670</v>
      </c>
      <c r="D2114" s="561" t="s">
        <v>2273</v>
      </c>
      <c r="E2114" s="561" t="s">
        <v>13</v>
      </c>
      <c r="F2114" s="735">
        <v>0</v>
      </c>
      <c r="G2114" s="749">
        <v>0</v>
      </c>
      <c r="H2114" s="749"/>
      <c r="I2114" s="733"/>
      <c r="J2114" s="733"/>
      <c r="K2114" s="735">
        <v>0</v>
      </c>
      <c r="L2114" s="750">
        <v>0</v>
      </c>
    </row>
    <row r="2115" spans="1:12" ht="21" x14ac:dyDescent="0.25">
      <c r="A2115" s="561" t="s">
        <v>108</v>
      </c>
      <c r="B2115" s="749">
        <v>2023</v>
      </c>
      <c r="C2115" s="561" t="s">
        <v>672</v>
      </c>
      <c r="D2115" s="561" t="s">
        <v>2274</v>
      </c>
      <c r="E2115" s="561" t="s">
        <v>15</v>
      </c>
      <c r="F2115" s="735">
        <v>0</v>
      </c>
      <c r="G2115" s="749">
        <v>0</v>
      </c>
      <c r="H2115" s="749"/>
      <c r="I2115" s="733"/>
      <c r="J2115" s="733"/>
      <c r="K2115" s="735">
        <v>0</v>
      </c>
      <c r="L2115" s="750">
        <v>0</v>
      </c>
    </row>
    <row r="2116" spans="1:12" x14ac:dyDescent="0.25">
      <c r="A2116" s="561" t="s">
        <v>108</v>
      </c>
      <c r="B2116" s="749">
        <v>2023</v>
      </c>
      <c r="C2116" s="561" t="s">
        <v>674</v>
      </c>
      <c r="D2116" s="561" t="s">
        <v>2275</v>
      </c>
      <c r="E2116" s="561" t="s">
        <v>676</v>
      </c>
      <c r="F2116" s="735">
        <v>692.63</v>
      </c>
      <c r="G2116" s="749">
        <v>0</v>
      </c>
      <c r="H2116" s="749"/>
      <c r="I2116" s="733"/>
      <c r="J2116" s="733"/>
      <c r="K2116" s="735">
        <v>0</v>
      </c>
      <c r="L2116" s="750">
        <v>692.63</v>
      </c>
    </row>
    <row r="2117" spans="1:12" x14ac:dyDescent="0.25">
      <c r="A2117" s="561" t="s">
        <v>108</v>
      </c>
      <c r="B2117" s="749">
        <v>2023</v>
      </c>
      <c r="C2117" s="561" t="s">
        <v>677</v>
      </c>
      <c r="D2117" s="561" t="s">
        <v>2276</v>
      </c>
      <c r="E2117" s="561" t="s">
        <v>23</v>
      </c>
      <c r="F2117" s="735">
        <v>1490765.85</v>
      </c>
      <c r="G2117" s="749">
        <v>1</v>
      </c>
      <c r="H2117" s="749"/>
      <c r="I2117" s="735">
        <v>1461703.36</v>
      </c>
      <c r="J2117" s="735">
        <v>29062.49</v>
      </c>
      <c r="K2117" s="735">
        <v>1490765.85</v>
      </c>
      <c r="L2117" s="750">
        <v>1490765.85</v>
      </c>
    </row>
    <row r="2118" spans="1:12" ht="21" x14ac:dyDescent="0.25">
      <c r="A2118" s="561" t="s">
        <v>108</v>
      </c>
      <c r="B2118" s="749">
        <v>2023</v>
      </c>
      <c r="C2118" s="561" t="s">
        <v>679</v>
      </c>
      <c r="D2118" s="561" t="s">
        <v>2277</v>
      </c>
      <c r="E2118" s="561" t="s">
        <v>131</v>
      </c>
      <c r="F2118" s="735">
        <v>-43918.34</v>
      </c>
      <c r="G2118" s="749">
        <v>1</v>
      </c>
      <c r="H2118" s="749"/>
      <c r="I2118" s="735">
        <v>-43384.89</v>
      </c>
      <c r="J2118" s="735">
        <v>-533.45000000000005</v>
      </c>
      <c r="K2118" s="735">
        <v>-43918.34</v>
      </c>
      <c r="L2118" s="750">
        <v>-43918.34</v>
      </c>
    </row>
    <row r="2119" spans="1:12" ht="31.5" x14ac:dyDescent="0.25">
      <c r="A2119" s="561" t="s">
        <v>108</v>
      </c>
      <c r="B2119" s="749">
        <v>2023</v>
      </c>
      <c r="C2119" s="561" t="s">
        <v>681</v>
      </c>
      <c r="D2119" s="561" t="s">
        <v>2278</v>
      </c>
      <c r="E2119" s="561" t="s">
        <v>683</v>
      </c>
      <c r="F2119" s="735">
        <v>-7267.96</v>
      </c>
      <c r="G2119" s="749">
        <v>0</v>
      </c>
      <c r="H2119" s="749"/>
      <c r="I2119" s="733"/>
      <c r="J2119" s="733"/>
      <c r="K2119" s="735">
        <v>0</v>
      </c>
      <c r="L2119" s="750">
        <v>-7267.96</v>
      </c>
    </row>
    <row r="2120" spans="1:12" ht="21" x14ac:dyDescent="0.25">
      <c r="A2120" s="561" t="s">
        <v>108</v>
      </c>
      <c r="B2120" s="749">
        <v>2023</v>
      </c>
      <c r="C2120" s="561" t="s">
        <v>681</v>
      </c>
      <c r="D2120" s="561" t="s">
        <v>2278</v>
      </c>
      <c r="E2120" s="561" t="s">
        <v>684</v>
      </c>
      <c r="F2120" s="735">
        <v>0</v>
      </c>
      <c r="G2120" s="749">
        <v>0</v>
      </c>
      <c r="H2120" s="749"/>
      <c r="I2120" s="733"/>
      <c r="J2120" s="733"/>
      <c r="K2120" s="735">
        <v>0</v>
      </c>
      <c r="L2120" s="751">
        <v>-7267.96</v>
      </c>
    </row>
    <row r="2121" spans="1:12" x14ac:dyDescent="0.25">
      <c r="A2121" s="561" t="s">
        <v>108</v>
      </c>
      <c r="B2121" s="749">
        <v>2023</v>
      </c>
      <c r="C2121" s="561" t="s">
        <v>685</v>
      </c>
      <c r="D2121" s="561" t="s">
        <v>2279</v>
      </c>
      <c r="E2121" s="561" t="s">
        <v>687</v>
      </c>
      <c r="F2121" s="735">
        <v>0</v>
      </c>
      <c r="G2121" s="749">
        <v>0</v>
      </c>
      <c r="H2121" s="749"/>
      <c r="I2121" s="733"/>
      <c r="J2121" s="733"/>
      <c r="K2121" s="735">
        <v>0</v>
      </c>
      <c r="L2121" s="750">
        <v>0</v>
      </c>
    </row>
    <row r="2122" spans="1:12" x14ac:dyDescent="0.25">
      <c r="A2122" s="561" t="s">
        <v>108</v>
      </c>
      <c r="B2122" s="749">
        <v>2023</v>
      </c>
      <c r="C2122" s="561" t="s">
        <v>688</v>
      </c>
      <c r="D2122" s="561" t="s">
        <v>2280</v>
      </c>
      <c r="E2122" s="561" t="s">
        <v>50</v>
      </c>
      <c r="F2122" s="735">
        <v>0</v>
      </c>
      <c r="G2122" s="749">
        <v>0</v>
      </c>
      <c r="H2122" s="749"/>
      <c r="I2122" s="733"/>
      <c r="J2122" s="733"/>
      <c r="K2122" s="735">
        <v>0</v>
      </c>
      <c r="L2122" s="750">
        <v>0</v>
      </c>
    </row>
    <row r="2123" spans="1:12" x14ac:dyDescent="0.25">
      <c r="A2123" s="561" t="s">
        <v>108</v>
      </c>
      <c r="B2123" s="749">
        <v>2023</v>
      </c>
      <c r="C2123" s="561" t="s">
        <v>690</v>
      </c>
      <c r="D2123" s="561" t="s">
        <v>2281</v>
      </c>
      <c r="E2123" s="561" t="s">
        <v>692</v>
      </c>
      <c r="F2123" s="735">
        <v>0</v>
      </c>
      <c r="G2123" s="749">
        <v>0</v>
      </c>
      <c r="H2123" s="749"/>
      <c r="I2123" s="733"/>
      <c r="J2123" s="733"/>
      <c r="K2123" s="735">
        <v>0</v>
      </c>
      <c r="L2123" s="750">
        <v>0</v>
      </c>
    </row>
    <row r="2124" spans="1:12" ht="21" x14ac:dyDescent="0.25">
      <c r="A2124" s="561" t="s">
        <v>108</v>
      </c>
      <c r="B2124" s="749">
        <v>2023</v>
      </c>
      <c r="C2124" s="561" t="s">
        <v>693</v>
      </c>
      <c r="D2124" s="561" t="s">
        <v>2282</v>
      </c>
      <c r="E2124" s="561" t="s">
        <v>6</v>
      </c>
      <c r="F2124" s="735">
        <v>0</v>
      </c>
      <c r="G2124" s="749">
        <v>0</v>
      </c>
      <c r="H2124" s="749"/>
      <c r="I2124" s="733"/>
      <c r="J2124" s="733"/>
      <c r="K2124" s="735">
        <v>0</v>
      </c>
      <c r="L2124" s="750">
        <v>0</v>
      </c>
    </row>
    <row r="2125" spans="1:12" ht="21" x14ac:dyDescent="0.25">
      <c r="A2125" s="561" t="s">
        <v>108</v>
      </c>
      <c r="B2125" s="749">
        <v>2023</v>
      </c>
      <c r="C2125" s="561" t="s">
        <v>695</v>
      </c>
      <c r="D2125" s="561" t="s">
        <v>2283</v>
      </c>
      <c r="E2125" s="561" t="s">
        <v>697</v>
      </c>
      <c r="F2125" s="735">
        <v>0</v>
      </c>
      <c r="G2125" s="749">
        <v>0</v>
      </c>
      <c r="H2125" s="749"/>
      <c r="I2125" s="733"/>
      <c r="J2125" s="733"/>
      <c r="K2125" s="735">
        <v>0</v>
      </c>
      <c r="L2125" s="750">
        <v>0</v>
      </c>
    </row>
    <row r="2126" spans="1:12" x14ac:dyDescent="0.25">
      <c r="A2126" s="561" t="s">
        <v>108</v>
      </c>
      <c r="B2126" s="749">
        <v>2023</v>
      </c>
      <c r="C2126" s="561" t="s">
        <v>698</v>
      </c>
      <c r="D2126" s="561" t="s">
        <v>2284</v>
      </c>
      <c r="E2126" s="561" t="s">
        <v>700</v>
      </c>
      <c r="F2126" s="735">
        <v>-20093.07</v>
      </c>
      <c r="G2126" s="749">
        <v>0</v>
      </c>
      <c r="H2126" s="749"/>
      <c r="I2126" s="733"/>
      <c r="J2126" s="733"/>
      <c r="K2126" s="735">
        <v>0</v>
      </c>
      <c r="L2126" s="750">
        <v>-20093.07</v>
      </c>
    </row>
    <row r="2127" spans="1:12" ht="21" x14ac:dyDescent="0.25">
      <c r="A2127" s="561" t="s">
        <v>108</v>
      </c>
      <c r="B2127" s="749">
        <v>2023</v>
      </c>
      <c r="C2127" s="561" t="s">
        <v>701</v>
      </c>
      <c r="D2127" s="561" t="s">
        <v>2285</v>
      </c>
      <c r="E2127" s="561" t="s">
        <v>1</v>
      </c>
      <c r="F2127" s="735">
        <v>740633.02</v>
      </c>
      <c r="G2127" s="749">
        <v>1</v>
      </c>
      <c r="H2127" s="749"/>
      <c r="I2127" s="735">
        <v>729171.6</v>
      </c>
      <c r="J2127" s="735">
        <v>11461.42</v>
      </c>
      <c r="K2127" s="735">
        <v>740633.02</v>
      </c>
      <c r="L2127" s="750">
        <v>740633.02</v>
      </c>
    </row>
    <row r="2128" spans="1:12" ht="21" x14ac:dyDescent="0.25">
      <c r="A2128" s="561" t="s">
        <v>108</v>
      </c>
      <c r="B2128" s="749">
        <v>2023</v>
      </c>
      <c r="C2128" s="561" t="s">
        <v>701</v>
      </c>
      <c r="D2128" s="561" t="s">
        <v>2285</v>
      </c>
      <c r="E2128" s="561" t="s">
        <v>703</v>
      </c>
      <c r="F2128" s="735">
        <v>0</v>
      </c>
      <c r="G2128" s="749">
        <v>0</v>
      </c>
      <c r="H2128" s="749"/>
      <c r="I2128" s="733"/>
      <c r="J2128" s="733"/>
      <c r="K2128" s="735">
        <v>0</v>
      </c>
      <c r="L2128" s="751">
        <v>0</v>
      </c>
    </row>
    <row r="2129" spans="1:12" ht="21" x14ac:dyDescent="0.25">
      <c r="A2129" s="561" t="s">
        <v>108</v>
      </c>
      <c r="B2129" s="749">
        <v>2023</v>
      </c>
      <c r="C2129" s="561" t="s">
        <v>701</v>
      </c>
      <c r="D2129" s="561" t="s">
        <v>2285</v>
      </c>
      <c r="E2129" s="561" t="s">
        <v>704</v>
      </c>
      <c r="F2129" s="735">
        <v>0</v>
      </c>
      <c r="G2129" s="749">
        <v>0</v>
      </c>
      <c r="H2129" s="749"/>
      <c r="I2129" s="733"/>
      <c r="J2129" s="733"/>
      <c r="K2129" s="735">
        <v>0</v>
      </c>
      <c r="L2129" s="751">
        <v>-0.03</v>
      </c>
    </row>
    <row r="2130" spans="1:12" ht="21" x14ac:dyDescent="0.25">
      <c r="A2130" s="561" t="s">
        <v>108</v>
      </c>
      <c r="B2130" s="749">
        <v>2023</v>
      </c>
      <c r="C2130" s="561" t="s">
        <v>701</v>
      </c>
      <c r="D2130" s="561" t="s">
        <v>2285</v>
      </c>
      <c r="E2130" s="561" t="s">
        <v>705</v>
      </c>
      <c r="F2130" s="735">
        <v>0</v>
      </c>
      <c r="G2130" s="749">
        <v>0</v>
      </c>
      <c r="H2130" s="749"/>
      <c r="I2130" s="733"/>
      <c r="J2130" s="733"/>
      <c r="K2130" s="735">
        <v>0</v>
      </c>
      <c r="L2130" s="751">
        <v>-976.67</v>
      </c>
    </row>
    <row r="2131" spans="1:12" ht="21" x14ac:dyDescent="0.25">
      <c r="A2131" s="561" t="s">
        <v>108</v>
      </c>
      <c r="B2131" s="749">
        <v>2023</v>
      </c>
      <c r="C2131" s="561" t="s">
        <v>701</v>
      </c>
      <c r="D2131" s="561" t="s">
        <v>2285</v>
      </c>
      <c r="E2131" s="561" t="s">
        <v>706</v>
      </c>
      <c r="F2131" s="735">
        <v>0</v>
      </c>
      <c r="G2131" s="749">
        <v>0</v>
      </c>
      <c r="H2131" s="749"/>
      <c r="I2131" s="733"/>
      <c r="J2131" s="733"/>
      <c r="K2131" s="735">
        <v>0</v>
      </c>
      <c r="L2131" s="751">
        <v>-46787.89</v>
      </c>
    </row>
    <row r="2132" spans="1:12" x14ac:dyDescent="0.25">
      <c r="A2132" s="561" t="s">
        <v>108</v>
      </c>
      <c r="B2132" s="749">
        <v>2023</v>
      </c>
      <c r="C2132" s="561" t="s">
        <v>707</v>
      </c>
      <c r="D2132" s="561" t="s">
        <v>2286</v>
      </c>
      <c r="E2132" s="561" t="s">
        <v>709</v>
      </c>
      <c r="F2132" s="735">
        <v>0</v>
      </c>
      <c r="G2132" s="749">
        <v>0</v>
      </c>
      <c r="H2132" s="749"/>
      <c r="I2132" s="733"/>
      <c r="J2132" s="733"/>
      <c r="K2132" s="735">
        <v>0</v>
      </c>
      <c r="L2132" s="750">
        <v>0</v>
      </c>
    </row>
    <row r="2133" spans="1:12" ht="21" x14ac:dyDescent="0.25">
      <c r="A2133" s="561" t="s">
        <v>108</v>
      </c>
      <c r="B2133" s="749">
        <v>2023</v>
      </c>
      <c r="C2133" s="561" t="s">
        <v>710</v>
      </c>
      <c r="D2133" s="561" t="s">
        <v>2287</v>
      </c>
      <c r="E2133" s="561" t="s">
        <v>2</v>
      </c>
      <c r="F2133" s="735">
        <v>225345.62</v>
      </c>
      <c r="G2133" s="749">
        <v>1</v>
      </c>
      <c r="H2133" s="749"/>
      <c r="I2133" s="735">
        <v>220766.16</v>
      </c>
      <c r="J2133" s="735">
        <v>4579.46</v>
      </c>
      <c r="K2133" s="735">
        <v>225345.62</v>
      </c>
      <c r="L2133" s="750">
        <v>225345.62</v>
      </c>
    </row>
    <row r="2134" spans="1:12" ht="21" x14ac:dyDescent="0.25">
      <c r="A2134" s="561" t="s">
        <v>108</v>
      </c>
      <c r="B2134" s="749">
        <v>2023</v>
      </c>
      <c r="C2134" s="561" t="s">
        <v>712</v>
      </c>
      <c r="D2134" s="561" t="s">
        <v>2288</v>
      </c>
      <c r="E2134" s="561" t="s">
        <v>3</v>
      </c>
      <c r="F2134" s="735">
        <v>75049.490000000005</v>
      </c>
      <c r="G2134" s="749">
        <v>1</v>
      </c>
      <c r="H2134" s="749"/>
      <c r="I2134" s="735">
        <v>73303.87</v>
      </c>
      <c r="J2134" s="735">
        <v>1745.62</v>
      </c>
      <c r="K2134" s="735">
        <v>75049.490000000005</v>
      </c>
      <c r="L2134" s="750">
        <v>75049.490000000005</v>
      </c>
    </row>
    <row r="2135" spans="1:12" ht="21" x14ac:dyDescent="0.25">
      <c r="A2135" s="561" t="s">
        <v>108</v>
      </c>
      <c r="B2135" s="749">
        <v>2023</v>
      </c>
      <c r="C2135" s="561" t="s">
        <v>714</v>
      </c>
      <c r="D2135" s="561" t="s">
        <v>2289</v>
      </c>
      <c r="E2135" s="561" t="s">
        <v>38</v>
      </c>
      <c r="F2135" s="735">
        <v>-75008.63</v>
      </c>
      <c r="G2135" s="749">
        <v>1</v>
      </c>
      <c r="H2135" s="749"/>
      <c r="I2135" s="735">
        <v>-81395.22</v>
      </c>
      <c r="J2135" s="735">
        <v>6386.59</v>
      </c>
      <c r="K2135" s="735">
        <v>-75008.63</v>
      </c>
      <c r="L2135" s="750">
        <v>-75008.63</v>
      </c>
    </row>
    <row r="2136" spans="1:12" x14ac:dyDescent="0.25">
      <c r="A2136" s="561" t="s">
        <v>108</v>
      </c>
      <c r="B2136" s="749">
        <v>2023</v>
      </c>
      <c r="C2136" s="561" t="s">
        <v>716</v>
      </c>
      <c r="D2136" s="561" t="s">
        <v>2290</v>
      </c>
      <c r="E2136" s="561" t="s">
        <v>66</v>
      </c>
      <c r="F2136" s="735">
        <v>947915.14</v>
      </c>
      <c r="G2136" s="749">
        <v>1</v>
      </c>
      <c r="H2136" s="749"/>
      <c r="I2136" s="735">
        <v>918526.87</v>
      </c>
      <c r="J2136" s="735">
        <v>29388.27</v>
      </c>
      <c r="K2136" s="735">
        <v>947915.14</v>
      </c>
      <c r="L2136" s="750">
        <v>947915.14</v>
      </c>
    </row>
    <row r="2137" spans="1:12" ht="21" x14ac:dyDescent="0.25">
      <c r="A2137" s="561" t="s">
        <v>108</v>
      </c>
      <c r="B2137" s="749">
        <v>2023</v>
      </c>
      <c r="C2137" s="561" t="s">
        <v>718</v>
      </c>
      <c r="D2137" s="561" t="s">
        <v>2291</v>
      </c>
      <c r="E2137" s="561" t="s">
        <v>720</v>
      </c>
      <c r="F2137" s="735">
        <v>-131936.54</v>
      </c>
      <c r="G2137" s="749">
        <v>0</v>
      </c>
      <c r="H2137" s="749"/>
      <c r="I2137" s="733"/>
      <c r="J2137" s="733"/>
      <c r="K2137" s="735">
        <v>0</v>
      </c>
      <c r="L2137" s="750">
        <v>-131936.54</v>
      </c>
    </row>
    <row r="2138" spans="1:12" ht="31.5" x14ac:dyDescent="0.25">
      <c r="A2138" s="561" t="s">
        <v>108</v>
      </c>
      <c r="B2138" s="749">
        <v>2023</v>
      </c>
      <c r="C2138" s="561" t="s">
        <v>721</v>
      </c>
      <c r="D2138" s="561" t="s">
        <v>2293</v>
      </c>
      <c r="E2138" s="561" t="s">
        <v>724</v>
      </c>
      <c r="F2138" s="735">
        <v>0</v>
      </c>
      <c r="G2138" s="749">
        <v>1</v>
      </c>
      <c r="H2138" s="749"/>
      <c r="I2138" s="735">
        <v>0</v>
      </c>
      <c r="J2138" s="735">
        <v>0</v>
      </c>
      <c r="K2138" s="735">
        <v>0</v>
      </c>
      <c r="L2138" s="750">
        <v>0</v>
      </c>
    </row>
    <row r="2139" spans="1:12" ht="31.5" x14ac:dyDescent="0.25">
      <c r="A2139" s="561" t="s">
        <v>108</v>
      </c>
      <c r="B2139" s="749">
        <v>2023</v>
      </c>
      <c r="C2139" s="561" t="s">
        <v>721</v>
      </c>
      <c r="D2139" s="561" t="s">
        <v>2294</v>
      </c>
      <c r="E2139" s="561" t="s">
        <v>55</v>
      </c>
      <c r="F2139" s="735">
        <v>0</v>
      </c>
      <c r="G2139" s="749">
        <v>1</v>
      </c>
      <c r="H2139" s="749"/>
      <c r="I2139" s="735">
        <v>0</v>
      </c>
      <c r="J2139" s="735">
        <v>0</v>
      </c>
      <c r="K2139" s="735">
        <v>0</v>
      </c>
      <c r="L2139" s="750">
        <v>0</v>
      </c>
    </row>
    <row r="2140" spans="1:12" ht="31.5" x14ac:dyDescent="0.25">
      <c r="A2140" s="561" t="s">
        <v>108</v>
      </c>
      <c r="B2140" s="749">
        <v>2023</v>
      </c>
      <c r="C2140" s="561" t="s">
        <v>721</v>
      </c>
      <c r="D2140" s="561" t="s">
        <v>2295</v>
      </c>
      <c r="E2140" s="561" t="s">
        <v>56</v>
      </c>
      <c r="F2140" s="735">
        <v>0</v>
      </c>
      <c r="G2140" s="749">
        <v>1</v>
      </c>
      <c r="H2140" s="749"/>
      <c r="I2140" s="735">
        <v>0</v>
      </c>
      <c r="J2140" s="735">
        <v>0</v>
      </c>
      <c r="K2140" s="735">
        <v>0</v>
      </c>
      <c r="L2140" s="750">
        <v>0</v>
      </c>
    </row>
    <row r="2141" spans="1:12" ht="31.5" x14ac:dyDescent="0.25">
      <c r="A2141" s="561" t="s">
        <v>108</v>
      </c>
      <c r="B2141" s="749">
        <v>2023</v>
      </c>
      <c r="C2141" s="561" t="s">
        <v>721</v>
      </c>
      <c r="D2141" s="561" t="s">
        <v>2296</v>
      </c>
      <c r="E2141" s="561" t="s">
        <v>728</v>
      </c>
      <c r="F2141" s="735">
        <v>0</v>
      </c>
      <c r="G2141" s="749">
        <v>1</v>
      </c>
      <c r="H2141" s="749"/>
      <c r="I2141" s="735">
        <v>0</v>
      </c>
      <c r="J2141" s="735">
        <v>0</v>
      </c>
      <c r="K2141" s="735">
        <v>0</v>
      </c>
      <c r="L2141" s="750">
        <v>0</v>
      </c>
    </row>
    <row r="2142" spans="1:12" ht="31.5" x14ac:dyDescent="0.25">
      <c r="A2142" s="561" t="s">
        <v>108</v>
      </c>
      <c r="B2142" s="749">
        <v>2023</v>
      </c>
      <c r="C2142" s="561" t="s">
        <v>721</v>
      </c>
      <c r="D2142" s="561" t="s">
        <v>2297</v>
      </c>
      <c r="E2142" s="561" t="s">
        <v>730</v>
      </c>
      <c r="F2142" s="735">
        <v>0</v>
      </c>
      <c r="G2142" s="749">
        <v>1</v>
      </c>
      <c r="H2142" s="749"/>
      <c r="I2142" s="735">
        <v>0</v>
      </c>
      <c r="J2142" s="735">
        <v>0</v>
      </c>
      <c r="K2142" s="735">
        <v>0</v>
      </c>
      <c r="L2142" s="750">
        <v>0</v>
      </c>
    </row>
    <row r="2143" spans="1:12" ht="31.5" x14ac:dyDescent="0.25">
      <c r="A2143" s="561" t="s">
        <v>108</v>
      </c>
      <c r="B2143" s="749">
        <v>2023</v>
      </c>
      <c r="C2143" s="561" t="s">
        <v>721</v>
      </c>
      <c r="D2143" s="561" t="s">
        <v>2298</v>
      </c>
      <c r="E2143" s="561" t="s">
        <v>142</v>
      </c>
      <c r="F2143" s="735">
        <v>0</v>
      </c>
      <c r="G2143" s="749">
        <v>1</v>
      </c>
      <c r="H2143" s="749"/>
      <c r="I2143" s="735">
        <v>0</v>
      </c>
      <c r="J2143" s="735">
        <v>0</v>
      </c>
      <c r="K2143" s="735">
        <v>0</v>
      </c>
      <c r="L2143" s="750">
        <v>0</v>
      </c>
    </row>
    <row r="2144" spans="1:12" ht="31.5" x14ac:dyDescent="0.25">
      <c r="A2144" s="561" t="s">
        <v>108</v>
      </c>
      <c r="B2144" s="749">
        <v>2023</v>
      </c>
      <c r="C2144" s="561" t="s">
        <v>721</v>
      </c>
      <c r="D2144" s="561" t="s">
        <v>2299</v>
      </c>
      <c r="E2144" s="561" t="s">
        <v>143</v>
      </c>
      <c r="F2144" s="735">
        <v>0</v>
      </c>
      <c r="G2144" s="749">
        <v>1</v>
      </c>
      <c r="H2144" s="749"/>
      <c r="I2144" s="735">
        <v>0</v>
      </c>
      <c r="J2144" s="735">
        <v>0</v>
      </c>
      <c r="K2144" s="735">
        <v>0</v>
      </c>
      <c r="L2144" s="750">
        <v>0</v>
      </c>
    </row>
    <row r="2145" spans="1:12" ht="31.5" x14ac:dyDescent="0.25">
      <c r="A2145" s="561" t="s">
        <v>108</v>
      </c>
      <c r="B2145" s="749">
        <v>2023</v>
      </c>
      <c r="C2145" s="561" t="s">
        <v>721</v>
      </c>
      <c r="D2145" s="561" t="s">
        <v>2300</v>
      </c>
      <c r="E2145" s="561" t="s">
        <v>182</v>
      </c>
      <c r="F2145" s="735">
        <v>0</v>
      </c>
      <c r="G2145" s="749">
        <v>1</v>
      </c>
      <c r="H2145" s="749"/>
      <c r="I2145" s="735">
        <v>0</v>
      </c>
      <c r="J2145" s="735">
        <v>0</v>
      </c>
      <c r="K2145" s="735">
        <v>0</v>
      </c>
      <c r="L2145" s="750">
        <v>0</v>
      </c>
    </row>
    <row r="2146" spans="1:12" ht="31.5" x14ac:dyDescent="0.25">
      <c r="A2146" s="561" t="s">
        <v>108</v>
      </c>
      <c r="B2146" s="749">
        <v>2023</v>
      </c>
      <c r="C2146" s="561" t="s">
        <v>721</v>
      </c>
      <c r="D2146" s="561" t="s">
        <v>2301</v>
      </c>
      <c r="E2146" s="561" t="s">
        <v>394</v>
      </c>
      <c r="F2146" s="735">
        <v>0</v>
      </c>
      <c r="G2146" s="749">
        <v>1</v>
      </c>
      <c r="H2146" s="749"/>
      <c r="I2146" s="735">
        <v>0</v>
      </c>
      <c r="J2146" s="735">
        <v>0</v>
      </c>
      <c r="K2146" s="735">
        <v>0</v>
      </c>
      <c r="L2146" s="750">
        <v>0</v>
      </c>
    </row>
    <row r="2147" spans="1:12" ht="31.5" x14ac:dyDescent="0.25">
      <c r="A2147" s="561" t="s">
        <v>108</v>
      </c>
      <c r="B2147" s="749">
        <v>2023</v>
      </c>
      <c r="C2147" s="561" t="s">
        <v>721</v>
      </c>
      <c r="D2147" s="561" t="s">
        <v>2302</v>
      </c>
      <c r="E2147" s="561" t="s">
        <v>423</v>
      </c>
      <c r="F2147" s="735">
        <v>0</v>
      </c>
      <c r="G2147" s="749">
        <v>1</v>
      </c>
      <c r="H2147" s="749"/>
      <c r="I2147" s="735">
        <v>0</v>
      </c>
      <c r="J2147" s="735">
        <v>0</v>
      </c>
      <c r="K2147" s="735">
        <v>0</v>
      </c>
      <c r="L2147" s="750">
        <v>0</v>
      </c>
    </row>
    <row r="2148" spans="1:12" ht="31.5" x14ac:dyDescent="0.25">
      <c r="A2148" s="561" t="s">
        <v>108</v>
      </c>
      <c r="B2148" s="749">
        <v>2023</v>
      </c>
      <c r="C2148" s="561" t="s">
        <v>721</v>
      </c>
      <c r="D2148" s="561" t="s">
        <v>3278</v>
      </c>
      <c r="E2148" s="561" t="s">
        <v>441</v>
      </c>
      <c r="F2148" s="735">
        <v>0</v>
      </c>
      <c r="G2148" s="749">
        <v>1</v>
      </c>
      <c r="H2148" s="749"/>
      <c r="I2148" s="735">
        <v>0</v>
      </c>
      <c r="J2148" s="735">
        <v>0</v>
      </c>
      <c r="K2148" s="735">
        <v>0</v>
      </c>
      <c r="L2148" s="750">
        <v>0</v>
      </c>
    </row>
    <row r="2149" spans="1:12" ht="31.5" x14ac:dyDescent="0.25">
      <c r="A2149" s="561" t="s">
        <v>108</v>
      </c>
      <c r="B2149" s="749">
        <v>2023</v>
      </c>
      <c r="C2149" s="561" t="s">
        <v>721</v>
      </c>
      <c r="D2149" s="561" t="s">
        <v>3579</v>
      </c>
      <c r="E2149" s="561" t="s">
        <v>3016</v>
      </c>
      <c r="F2149" s="735">
        <v>0</v>
      </c>
      <c r="G2149" s="749">
        <v>1</v>
      </c>
      <c r="H2149" s="749"/>
      <c r="I2149" s="735">
        <v>-9211.81</v>
      </c>
      <c r="J2149" s="735">
        <v>1956.48</v>
      </c>
      <c r="K2149" s="735">
        <v>-7255.33</v>
      </c>
      <c r="L2149" s="750">
        <v>-7255.33</v>
      </c>
    </row>
    <row r="2150" spans="1:12" ht="31.5" x14ac:dyDescent="0.25">
      <c r="A2150" s="561" t="s">
        <v>108</v>
      </c>
      <c r="B2150" s="749">
        <v>2023</v>
      </c>
      <c r="C2150" s="561" t="s">
        <v>721</v>
      </c>
      <c r="D2150" s="561" t="s">
        <v>3580</v>
      </c>
      <c r="E2150" s="561" t="s">
        <v>3058</v>
      </c>
      <c r="F2150" s="735">
        <v>0</v>
      </c>
      <c r="G2150" s="749">
        <v>1</v>
      </c>
      <c r="H2150" s="749"/>
      <c r="I2150" s="735">
        <v>4844.5200000000004</v>
      </c>
      <c r="J2150" s="735">
        <v>3466.8</v>
      </c>
      <c r="K2150" s="735">
        <v>8311.32</v>
      </c>
      <c r="L2150" s="750">
        <v>8311.32</v>
      </c>
    </row>
    <row r="2151" spans="1:12" ht="31.5" x14ac:dyDescent="0.25">
      <c r="A2151" s="561" t="s">
        <v>108</v>
      </c>
      <c r="B2151" s="749">
        <v>2023</v>
      </c>
      <c r="C2151" s="561" t="s">
        <v>721</v>
      </c>
      <c r="D2151" s="561" t="s">
        <v>3581</v>
      </c>
      <c r="E2151" s="561" t="s">
        <v>3063</v>
      </c>
      <c r="F2151" s="735">
        <v>0</v>
      </c>
      <c r="G2151" s="749">
        <v>1</v>
      </c>
      <c r="H2151" s="749"/>
      <c r="I2151" s="735">
        <v>-22279.96</v>
      </c>
      <c r="J2151" s="735">
        <v>3202.34</v>
      </c>
      <c r="K2151" s="735">
        <v>-19077.62</v>
      </c>
      <c r="L2151" s="750">
        <v>-19077.62</v>
      </c>
    </row>
    <row r="2152" spans="1:12" ht="31.5" x14ac:dyDescent="0.25">
      <c r="A2152" s="561" t="s">
        <v>108</v>
      </c>
      <c r="B2152" s="749">
        <v>2023</v>
      </c>
      <c r="C2152" s="561" t="s">
        <v>721</v>
      </c>
      <c r="D2152" s="561" t="s">
        <v>3906</v>
      </c>
      <c r="E2152" s="561" t="s">
        <v>3425</v>
      </c>
      <c r="F2152" s="735">
        <v>0</v>
      </c>
      <c r="G2152" s="749">
        <v>1</v>
      </c>
      <c r="H2152" s="749"/>
      <c r="I2152" s="735">
        <v>314524.65000000002</v>
      </c>
      <c r="J2152" s="735">
        <v>10442.14</v>
      </c>
      <c r="K2152" s="735">
        <v>324966.78999999998</v>
      </c>
      <c r="L2152" s="750">
        <v>324966.78999999998</v>
      </c>
    </row>
    <row r="2153" spans="1:12" ht="42" x14ac:dyDescent="0.25">
      <c r="A2153" s="561" t="s">
        <v>108</v>
      </c>
      <c r="B2153" s="749">
        <v>2023</v>
      </c>
      <c r="C2153" s="561" t="s">
        <v>721</v>
      </c>
      <c r="D2153" s="561" t="s">
        <v>3907</v>
      </c>
      <c r="E2153" s="561" t="s">
        <v>737</v>
      </c>
      <c r="F2153" s="735">
        <v>306945.15999999997</v>
      </c>
      <c r="G2153" s="749">
        <v>0</v>
      </c>
      <c r="H2153" s="749"/>
      <c r="I2153" s="733"/>
      <c r="J2153" s="733"/>
      <c r="K2153" s="735">
        <v>0</v>
      </c>
      <c r="L2153" s="750">
        <v>306945.15999999997</v>
      </c>
    </row>
    <row r="2154" spans="1:12" x14ac:dyDescent="0.25">
      <c r="A2154" s="561" t="s">
        <v>108</v>
      </c>
      <c r="B2154" s="749">
        <v>2023</v>
      </c>
      <c r="C2154" s="561" t="s">
        <v>738</v>
      </c>
      <c r="D2154" s="561" t="s">
        <v>2304</v>
      </c>
      <c r="E2154" s="561" t="s">
        <v>7</v>
      </c>
      <c r="F2154" s="735">
        <v>0</v>
      </c>
      <c r="G2154" s="749">
        <v>0</v>
      </c>
      <c r="H2154" s="749"/>
      <c r="I2154" s="733"/>
      <c r="J2154" s="733"/>
      <c r="K2154" s="735">
        <v>0</v>
      </c>
      <c r="L2154" s="750">
        <v>0</v>
      </c>
    </row>
    <row r="2155" spans="1:12" x14ac:dyDescent="0.25">
      <c r="A2155" s="561" t="s">
        <v>110</v>
      </c>
      <c r="B2155" s="749">
        <v>2023</v>
      </c>
      <c r="C2155" s="561" t="s">
        <v>647</v>
      </c>
      <c r="D2155" s="561" t="s">
        <v>2345</v>
      </c>
      <c r="E2155" s="561" t="s">
        <v>649</v>
      </c>
      <c r="F2155" s="735">
        <v>-4218770.93</v>
      </c>
      <c r="G2155" s="749">
        <v>0</v>
      </c>
      <c r="H2155" s="749"/>
      <c r="I2155" s="733"/>
      <c r="J2155" s="733"/>
      <c r="K2155" s="735">
        <v>0</v>
      </c>
      <c r="L2155" s="750">
        <v>-4218770.93</v>
      </c>
    </row>
    <row r="2156" spans="1:12" ht="21" x14ac:dyDescent="0.25">
      <c r="A2156" s="561" t="s">
        <v>110</v>
      </c>
      <c r="B2156" s="749">
        <v>2023</v>
      </c>
      <c r="C2156" s="561" t="s">
        <v>3691</v>
      </c>
      <c r="D2156" s="561" t="s">
        <v>3662</v>
      </c>
      <c r="E2156" s="561" t="s">
        <v>3675</v>
      </c>
      <c r="F2156" s="735">
        <v>0</v>
      </c>
      <c r="G2156" s="749">
        <v>0</v>
      </c>
      <c r="H2156" s="749"/>
      <c r="I2156" s="733"/>
      <c r="J2156" s="733"/>
      <c r="K2156" s="735">
        <v>0</v>
      </c>
      <c r="L2156" s="750">
        <v>0</v>
      </c>
    </row>
    <row r="2157" spans="1:12" x14ac:dyDescent="0.25">
      <c r="A2157" s="561" t="s">
        <v>110</v>
      </c>
      <c r="B2157" s="749">
        <v>2023</v>
      </c>
      <c r="C2157" s="561" t="s">
        <v>651</v>
      </c>
      <c r="D2157" s="561" t="s">
        <v>2346</v>
      </c>
      <c r="E2157" s="561" t="s">
        <v>653</v>
      </c>
      <c r="F2157" s="735">
        <v>0</v>
      </c>
      <c r="G2157" s="749">
        <v>0</v>
      </c>
      <c r="H2157" s="749"/>
      <c r="I2157" s="733"/>
      <c r="J2157" s="733"/>
      <c r="K2157" s="735">
        <v>0</v>
      </c>
      <c r="L2157" s="750">
        <v>0</v>
      </c>
    </row>
    <row r="2158" spans="1:12" ht="31.5" x14ac:dyDescent="0.25">
      <c r="A2158" s="561" t="s">
        <v>110</v>
      </c>
      <c r="B2158" s="749">
        <v>2023</v>
      </c>
      <c r="C2158" s="561" t="s">
        <v>654</v>
      </c>
      <c r="D2158" s="561" t="s">
        <v>2347</v>
      </c>
      <c r="E2158" s="561" t="s">
        <v>445</v>
      </c>
      <c r="F2158" s="735">
        <v>0</v>
      </c>
      <c r="G2158" s="749">
        <v>0</v>
      </c>
      <c r="H2158" s="749"/>
      <c r="I2158" s="733"/>
      <c r="J2158" s="733"/>
      <c r="K2158" s="735">
        <v>0</v>
      </c>
      <c r="L2158" s="750">
        <v>0</v>
      </c>
    </row>
    <row r="2159" spans="1:12" ht="21" x14ac:dyDescent="0.25">
      <c r="A2159" s="561" t="s">
        <v>110</v>
      </c>
      <c r="B2159" s="749">
        <v>2023</v>
      </c>
      <c r="C2159" s="561" t="s">
        <v>656</v>
      </c>
      <c r="D2159" s="561" t="s">
        <v>2348</v>
      </c>
      <c r="E2159" s="561" t="s">
        <v>658</v>
      </c>
      <c r="F2159" s="735">
        <v>0</v>
      </c>
      <c r="G2159" s="749">
        <v>0</v>
      </c>
      <c r="H2159" s="749"/>
      <c r="I2159" s="733"/>
      <c r="J2159" s="733"/>
      <c r="K2159" s="735">
        <v>0</v>
      </c>
      <c r="L2159" s="750">
        <v>0</v>
      </c>
    </row>
    <row r="2160" spans="1:12" ht="21" x14ac:dyDescent="0.25">
      <c r="A2160" s="561" t="s">
        <v>110</v>
      </c>
      <c r="B2160" s="749">
        <v>2023</v>
      </c>
      <c r="C2160" s="561" t="s">
        <v>659</v>
      </c>
      <c r="D2160" s="561" t="s">
        <v>2349</v>
      </c>
      <c r="E2160" s="561" t="s">
        <v>661</v>
      </c>
      <c r="F2160" s="735">
        <v>0</v>
      </c>
      <c r="G2160" s="749">
        <v>0</v>
      </c>
      <c r="H2160" s="749"/>
      <c r="I2160" s="733"/>
      <c r="J2160" s="733"/>
      <c r="K2160" s="735">
        <v>0</v>
      </c>
      <c r="L2160" s="750">
        <v>0</v>
      </c>
    </row>
    <row r="2161" spans="1:12" ht="21" x14ac:dyDescent="0.25">
      <c r="A2161" s="561" t="s">
        <v>110</v>
      </c>
      <c r="B2161" s="749">
        <v>2023</v>
      </c>
      <c r="C2161" s="561" t="s">
        <v>662</v>
      </c>
      <c r="D2161" s="561" t="s">
        <v>2350</v>
      </c>
      <c r="E2161" s="561" t="s">
        <v>664</v>
      </c>
      <c r="F2161" s="735">
        <v>0</v>
      </c>
      <c r="G2161" s="749">
        <v>0</v>
      </c>
      <c r="H2161" s="749"/>
      <c r="I2161" s="733"/>
      <c r="J2161" s="733"/>
      <c r="K2161" s="735">
        <v>0</v>
      </c>
      <c r="L2161" s="750">
        <v>0</v>
      </c>
    </row>
    <row r="2162" spans="1:12" ht="31.5" x14ac:dyDescent="0.25">
      <c r="A2162" s="561" t="s">
        <v>110</v>
      </c>
      <c r="B2162" s="749">
        <v>2023</v>
      </c>
      <c r="C2162" s="561" t="s">
        <v>665</v>
      </c>
      <c r="D2162" s="561" t="s">
        <v>2351</v>
      </c>
      <c r="E2162" s="561" t="s">
        <v>667</v>
      </c>
      <c r="F2162" s="735">
        <v>0</v>
      </c>
      <c r="G2162" s="749">
        <v>0</v>
      </c>
      <c r="H2162" s="749"/>
      <c r="I2162" s="733"/>
      <c r="J2162" s="733"/>
      <c r="K2162" s="735">
        <v>0</v>
      </c>
      <c r="L2162" s="750">
        <v>0</v>
      </c>
    </row>
    <row r="2163" spans="1:12" ht="21" x14ac:dyDescent="0.25">
      <c r="A2163" s="561" t="s">
        <v>110</v>
      </c>
      <c r="B2163" s="749">
        <v>2023</v>
      </c>
      <c r="C2163" s="561" t="s">
        <v>668</v>
      </c>
      <c r="D2163" s="561" t="s">
        <v>2352</v>
      </c>
      <c r="E2163" s="561" t="s">
        <v>12</v>
      </c>
      <c r="F2163" s="735">
        <v>0</v>
      </c>
      <c r="G2163" s="749">
        <v>0</v>
      </c>
      <c r="H2163" s="749"/>
      <c r="I2163" s="733"/>
      <c r="J2163" s="733"/>
      <c r="K2163" s="735">
        <v>0</v>
      </c>
      <c r="L2163" s="750">
        <v>0</v>
      </c>
    </row>
    <row r="2164" spans="1:12" ht="21" x14ac:dyDescent="0.25">
      <c r="A2164" s="561" t="s">
        <v>110</v>
      </c>
      <c r="B2164" s="749">
        <v>2023</v>
      </c>
      <c r="C2164" s="561" t="s">
        <v>670</v>
      </c>
      <c r="D2164" s="561" t="s">
        <v>2353</v>
      </c>
      <c r="E2164" s="561" t="s">
        <v>13</v>
      </c>
      <c r="F2164" s="735">
        <v>0</v>
      </c>
      <c r="G2164" s="749">
        <v>0</v>
      </c>
      <c r="H2164" s="749"/>
      <c r="I2164" s="733"/>
      <c r="J2164" s="733"/>
      <c r="K2164" s="735">
        <v>0</v>
      </c>
      <c r="L2164" s="750">
        <v>0</v>
      </c>
    </row>
    <row r="2165" spans="1:12" ht="21" x14ac:dyDescent="0.25">
      <c r="A2165" s="561" t="s">
        <v>110</v>
      </c>
      <c r="B2165" s="749">
        <v>2023</v>
      </c>
      <c r="C2165" s="561" t="s">
        <v>672</v>
      </c>
      <c r="D2165" s="561" t="s">
        <v>2354</v>
      </c>
      <c r="E2165" s="561" t="s">
        <v>15</v>
      </c>
      <c r="F2165" s="735">
        <v>0</v>
      </c>
      <c r="G2165" s="749">
        <v>0</v>
      </c>
      <c r="H2165" s="749"/>
      <c r="I2165" s="733"/>
      <c r="J2165" s="733"/>
      <c r="K2165" s="735">
        <v>0</v>
      </c>
      <c r="L2165" s="750">
        <v>0</v>
      </c>
    </row>
    <row r="2166" spans="1:12" x14ac:dyDescent="0.25">
      <c r="A2166" s="561" t="s">
        <v>110</v>
      </c>
      <c r="B2166" s="749">
        <v>2023</v>
      </c>
      <c r="C2166" s="561" t="s">
        <v>674</v>
      </c>
      <c r="D2166" s="561" t="s">
        <v>2355</v>
      </c>
      <c r="E2166" s="561" t="s">
        <v>676</v>
      </c>
      <c r="F2166" s="735">
        <v>0</v>
      </c>
      <c r="G2166" s="749">
        <v>0</v>
      </c>
      <c r="H2166" s="749"/>
      <c r="I2166" s="733"/>
      <c r="J2166" s="733"/>
      <c r="K2166" s="735">
        <v>0</v>
      </c>
      <c r="L2166" s="750">
        <v>0</v>
      </c>
    </row>
    <row r="2167" spans="1:12" x14ac:dyDescent="0.25">
      <c r="A2167" s="561" t="s">
        <v>110</v>
      </c>
      <c r="B2167" s="749">
        <v>2023</v>
      </c>
      <c r="C2167" s="561" t="s">
        <v>677</v>
      </c>
      <c r="D2167" s="561" t="s">
        <v>2356</v>
      </c>
      <c r="E2167" s="561" t="s">
        <v>23</v>
      </c>
      <c r="F2167" s="735">
        <v>0</v>
      </c>
      <c r="G2167" s="749">
        <v>1</v>
      </c>
      <c r="H2167" s="749"/>
      <c r="I2167" s="733"/>
      <c r="J2167" s="733"/>
      <c r="K2167" s="735">
        <v>0</v>
      </c>
      <c r="L2167" s="750">
        <v>0</v>
      </c>
    </row>
    <row r="2168" spans="1:12" ht="21" x14ac:dyDescent="0.25">
      <c r="A2168" s="561" t="s">
        <v>110</v>
      </c>
      <c r="B2168" s="749">
        <v>2023</v>
      </c>
      <c r="C2168" s="561" t="s">
        <v>679</v>
      </c>
      <c r="D2168" s="561" t="s">
        <v>2357</v>
      </c>
      <c r="E2168" s="561" t="s">
        <v>131</v>
      </c>
      <c r="F2168" s="735">
        <v>-334295.46000000002</v>
      </c>
      <c r="G2168" s="749">
        <v>1</v>
      </c>
      <c r="H2168" s="749"/>
      <c r="I2168" s="735">
        <v>-323889.65999999997</v>
      </c>
      <c r="J2168" s="735">
        <v>-10405.799999999999</v>
      </c>
      <c r="K2168" s="735">
        <v>-334295.46000000002</v>
      </c>
      <c r="L2168" s="750">
        <v>-334295.46000000002</v>
      </c>
    </row>
    <row r="2169" spans="1:12" ht="31.5" x14ac:dyDescent="0.25">
      <c r="A2169" s="561" t="s">
        <v>110</v>
      </c>
      <c r="B2169" s="749">
        <v>2023</v>
      </c>
      <c r="C2169" s="561" t="s">
        <v>681</v>
      </c>
      <c r="D2169" s="561" t="s">
        <v>2358</v>
      </c>
      <c r="E2169" s="561" t="s">
        <v>683</v>
      </c>
      <c r="F2169" s="735">
        <v>-0.17</v>
      </c>
      <c r="G2169" s="749">
        <v>0</v>
      </c>
      <c r="H2169" s="749"/>
      <c r="I2169" s="733"/>
      <c r="J2169" s="733"/>
      <c r="K2169" s="735">
        <v>0</v>
      </c>
      <c r="L2169" s="750">
        <v>-0.17</v>
      </c>
    </row>
    <row r="2170" spans="1:12" ht="21" x14ac:dyDescent="0.25">
      <c r="A2170" s="561" t="s">
        <v>110</v>
      </c>
      <c r="B2170" s="749">
        <v>2023</v>
      </c>
      <c r="C2170" s="561" t="s">
        <v>681</v>
      </c>
      <c r="D2170" s="561" t="s">
        <v>2358</v>
      </c>
      <c r="E2170" s="561" t="s">
        <v>684</v>
      </c>
      <c r="F2170" s="735">
        <v>0</v>
      </c>
      <c r="G2170" s="749">
        <v>0</v>
      </c>
      <c r="H2170" s="749"/>
      <c r="I2170" s="733"/>
      <c r="J2170" s="733"/>
      <c r="K2170" s="735">
        <v>0</v>
      </c>
      <c r="L2170" s="751">
        <v>0</v>
      </c>
    </row>
    <row r="2171" spans="1:12" x14ac:dyDescent="0.25">
      <c r="A2171" s="561" t="s">
        <v>110</v>
      </c>
      <c r="B2171" s="749">
        <v>2023</v>
      </c>
      <c r="C2171" s="561" t="s">
        <v>685</v>
      </c>
      <c r="D2171" s="561" t="s">
        <v>2359</v>
      </c>
      <c r="E2171" s="561" t="s">
        <v>687</v>
      </c>
      <c r="F2171" s="735">
        <v>0</v>
      </c>
      <c r="G2171" s="749">
        <v>0</v>
      </c>
      <c r="H2171" s="749"/>
      <c r="I2171" s="733"/>
      <c r="J2171" s="733"/>
      <c r="K2171" s="735">
        <v>0</v>
      </c>
      <c r="L2171" s="750">
        <v>0</v>
      </c>
    </row>
    <row r="2172" spans="1:12" x14ac:dyDescent="0.25">
      <c r="A2172" s="561" t="s">
        <v>110</v>
      </c>
      <c r="B2172" s="749">
        <v>2023</v>
      </c>
      <c r="C2172" s="561" t="s">
        <v>688</v>
      </c>
      <c r="D2172" s="561" t="s">
        <v>2360</v>
      </c>
      <c r="E2172" s="561" t="s">
        <v>50</v>
      </c>
      <c r="F2172" s="735">
        <v>0</v>
      </c>
      <c r="G2172" s="749">
        <v>0</v>
      </c>
      <c r="H2172" s="749"/>
      <c r="I2172" s="733"/>
      <c r="J2172" s="733"/>
      <c r="K2172" s="735">
        <v>0</v>
      </c>
      <c r="L2172" s="750">
        <v>0</v>
      </c>
    </row>
    <row r="2173" spans="1:12" x14ac:dyDescent="0.25">
      <c r="A2173" s="561" t="s">
        <v>110</v>
      </c>
      <c r="B2173" s="749">
        <v>2023</v>
      </c>
      <c r="C2173" s="561" t="s">
        <v>690</v>
      </c>
      <c r="D2173" s="561" t="s">
        <v>2361</v>
      </c>
      <c r="E2173" s="561" t="s">
        <v>692</v>
      </c>
      <c r="F2173" s="735">
        <v>0</v>
      </c>
      <c r="G2173" s="749">
        <v>0</v>
      </c>
      <c r="H2173" s="749"/>
      <c r="I2173" s="733"/>
      <c r="J2173" s="733"/>
      <c r="K2173" s="735">
        <v>0</v>
      </c>
      <c r="L2173" s="750">
        <v>0</v>
      </c>
    </row>
    <row r="2174" spans="1:12" ht="21" x14ac:dyDescent="0.25">
      <c r="A2174" s="561" t="s">
        <v>110</v>
      </c>
      <c r="B2174" s="749">
        <v>2023</v>
      </c>
      <c r="C2174" s="561" t="s">
        <v>693</v>
      </c>
      <c r="D2174" s="561" t="s">
        <v>2362</v>
      </c>
      <c r="E2174" s="561" t="s">
        <v>6</v>
      </c>
      <c r="F2174" s="735">
        <v>0</v>
      </c>
      <c r="G2174" s="749">
        <v>0</v>
      </c>
      <c r="H2174" s="749"/>
      <c r="I2174" s="733"/>
      <c r="J2174" s="733"/>
      <c r="K2174" s="735">
        <v>0</v>
      </c>
      <c r="L2174" s="750">
        <v>0</v>
      </c>
    </row>
    <row r="2175" spans="1:12" ht="21" x14ac:dyDescent="0.25">
      <c r="A2175" s="561" t="s">
        <v>110</v>
      </c>
      <c r="B2175" s="749">
        <v>2023</v>
      </c>
      <c r="C2175" s="561" t="s">
        <v>695</v>
      </c>
      <c r="D2175" s="561" t="s">
        <v>2363</v>
      </c>
      <c r="E2175" s="561" t="s">
        <v>697</v>
      </c>
      <c r="F2175" s="735">
        <v>0</v>
      </c>
      <c r="G2175" s="749">
        <v>0</v>
      </c>
      <c r="H2175" s="749"/>
      <c r="I2175" s="733"/>
      <c r="J2175" s="733"/>
      <c r="K2175" s="735">
        <v>0</v>
      </c>
      <c r="L2175" s="750">
        <v>0</v>
      </c>
    </row>
    <row r="2176" spans="1:12" x14ac:dyDescent="0.25">
      <c r="A2176" s="561" t="s">
        <v>110</v>
      </c>
      <c r="B2176" s="749">
        <v>2023</v>
      </c>
      <c r="C2176" s="561" t="s">
        <v>698</v>
      </c>
      <c r="D2176" s="561" t="s">
        <v>2364</v>
      </c>
      <c r="E2176" s="561" t="s">
        <v>700</v>
      </c>
      <c r="F2176" s="735">
        <v>0</v>
      </c>
      <c r="G2176" s="749">
        <v>0</v>
      </c>
      <c r="H2176" s="749"/>
      <c r="I2176" s="733"/>
      <c r="J2176" s="733"/>
      <c r="K2176" s="735">
        <v>0</v>
      </c>
      <c r="L2176" s="750">
        <v>0</v>
      </c>
    </row>
    <row r="2177" spans="1:12" ht="21" x14ac:dyDescent="0.25">
      <c r="A2177" s="561" t="s">
        <v>110</v>
      </c>
      <c r="B2177" s="749">
        <v>2023</v>
      </c>
      <c r="C2177" s="561" t="s">
        <v>701</v>
      </c>
      <c r="D2177" s="561" t="s">
        <v>2365</v>
      </c>
      <c r="E2177" s="561" t="s">
        <v>1</v>
      </c>
      <c r="F2177" s="735">
        <v>642164.17000000004</v>
      </c>
      <c r="G2177" s="749">
        <v>1</v>
      </c>
      <c r="H2177" s="749"/>
      <c r="I2177" s="735">
        <v>732624.28</v>
      </c>
      <c r="J2177" s="735">
        <v>-90460.11</v>
      </c>
      <c r="K2177" s="735">
        <v>642164.17000000004</v>
      </c>
      <c r="L2177" s="750">
        <v>642164.17000000004</v>
      </c>
    </row>
    <row r="2178" spans="1:12" ht="21" x14ac:dyDescent="0.25">
      <c r="A2178" s="561" t="s">
        <v>110</v>
      </c>
      <c r="B2178" s="749">
        <v>2023</v>
      </c>
      <c r="C2178" s="561" t="s">
        <v>701</v>
      </c>
      <c r="D2178" s="561" t="s">
        <v>2365</v>
      </c>
      <c r="E2178" s="561" t="s">
        <v>703</v>
      </c>
      <c r="F2178" s="735">
        <v>0</v>
      </c>
      <c r="G2178" s="749">
        <v>0</v>
      </c>
      <c r="H2178" s="749"/>
      <c r="I2178" s="733"/>
      <c r="J2178" s="733"/>
      <c r="K2178" s="735">
        <v>0</v>
      </c>
      <c r="L2178" s="751">
        <v>0</v>
      </c>
    </row>
    <row r="2179" spans="1:12" ht="21" x14ac:dyDescent="0.25">
      <c r="A2179" s="561" t="s">
        <v>110</v>
      </c>
      <c r="B2179" s="749">
        <v>2023</v>
      </c>
      <c r="C2179" s="561" t="s">
        <v>701</v>
      </c>
      <c r="D2179" s="561" t="s">
        <v>2365</v>
      </c>
      <c r="E2179" s="561" t="s">
        <v>704</v>
      </c>
      <c r="F2179" s="735">
        <v>0</v>
      </c>
      <c r="G2179" s="749">
        <v>0</v>
      </c>
      <c r="H2179" s="749"/>
      <c r="I2179" s="733"/>
      <c r="J2179" s="733"/>
      <c r="K2179" s="735">
        <v>0</v>
      </c>
      <c r="L2179" s="751">
        <v>0</v>
      </c>
    </row>
    <row r="2180" spans="1:12" ht="21" x14ac:dyDescent="0.25">
      <c r="A2180" s="561" t="s">
        <v>110</v>
      </c>
      <c r="B2180" s="749">
        <v>2023</v>
      </c>
      <c r="C2180" s="561" t="s">
        <v>701</v>
      </c>
      <c r="D2180" s="561" t="s">
        <v>2365</v>
      </c>
      <c r="E2180" s="561" t="s">
        <v>705</v>
      </c>
      <c r="F2180" s="735">
        <v>0</v>
      </c>
      <c r="G2180" s="749">
        <v>0</v>
      </c>
      <c r="H2180" s="749"/>
      <c r="I2180" s="733"/>
      <c r="J2180" s="733"/>
      <c r="K2180" s="735">
        <v>0</v>
      </c>
      <c r="L2180" s="751">
        <v>-11295.4</v>
      </c>
    </row>
    <row r="2181" spans="1:12" ht="21" x14ac:dyDescent="0.25">
      <c r="A2181" s="561" t="s">
        <v>110</v>
      </c>
      <c r="B2181" s="749">
        <v>2023</v>
      </c>
      <c r="C2181" s="561" t="s">
        <v>701</v>
      </c>
      <c r="D2181" s="561" t="s">
        <v>2365</v>
      </c>
      <c r="E2181" s="561" t="s">
        <v>706</v>
      </c>
      <c r="F2181" s="735">
        <v>0</v>
      </c>
      <c r="G2181" s="749">
        <v>0</v>
      </c>
      <c r="H2181" s="749"/>
      <c r="I2181" s="733"/>
      <c r="J2181" s="733"/>
      <c r="K2181" s="735">
        <v>0</v>
      </c>
      <c r="L2181" s="751">
        <v>-365833.86</v>
      </c>
    </row>
    <row r="2182" spans="1:12" x14ac:dyDescent="0.25">
      <c r="A2182" s="561" t="s">
        <v>110</v>
      </c>
      <c r="B2182" s="749">
        <v>2023</v>
      </c>
      <c r="C2182" s="561" t="s">
        <v>707</v>
      </c>
      <c r="D2182" s="561" t="s">
        <v>2366</v>
      </c>
      <c r="E2182" s="561" t="s">
        <v>709</v>
      </c>
      <c r="F2182" s="735">
        <v>-1</v>
      </c>
      <c r="G2182" s="749">
        <v>0</v>
      </c>
      <c r="H2182" s="749"/>
      <c r="I2182" s="733"/>
      <c r="J2182" s="733"/>
      <c r="K2182" s="735">
        <v>0</v>
      </c>
      <c r="L2182" s="750">
        <v>-1</v>
      </c>
    </row>
    <row r="2183" spans="1:12" ht="21" x14ac:dyDescent="0.25">
      <c r="A2183" s="561" t="s">
        <v>110</v>
      </c>
      <c r="B2183" s="749">
        <v>2023</v>
      </c>
      <c r="C2183" s="561" t="s">
        <v>710</v>
      </c>
      <c r="D2183" s="561" t="s">
        <v>2367</v>
      </c>
      <c r="E2183" s="561" t="s">
        <v>2</v>
      </c>
      <c r="F2183" s="735">
        <v>3907803.73</v>
      </c>
      <c r="G2183" s="749">
        <v>1</v>
      </c>
      <c r="H2183" s="749"/>
      <c r="I2183" s="735">
        <v>3837846.7</v>
      </c>
      <c r="J2183" s="735">
        <v>69957.03</v>
      </c>
      <c r="K2183" s="735">
        <v>3907803.73</v>
      </c>
      <c r="L2183" s="750">
        <v>3907803.73</v>
      </c>
    </row>
    <row r="2184" spans="1:12" ht="21" x14ac:dyDescent="0.25">
      <c r="A2184" s="561" t="s">
        <v>110</v>
      </c>
      <c r="B2184" s="749">
        <v>2023</v>
      </c>
      <c r="C2184" s="561" t="s">
        <v>712</v>
      </c>
      <c r="D2184" s="561" t="s">
        <v>2368</v>
      </c>
      <c r="E2184" s="561" t="s">
        <v>3</v>
      </c>
      <c r="F2184" s="735">
        <v>2914757.43</v>
      </c>
      <c r="G2184" s="749">
        <v>1</v>
      </c>
      <c r="H2184" s="749"/>
      <c r="I2184" s="735">
        <v>2870949.4</v>
      </c>
      <c r="J2184" s="735">
        <v>43808.03</v>
      </c>
      <c r="K2184" s="735">
        <v>2914757.43</v>
      </c>
      <c r="L2184" s="750">
        <v>2914757.43</v>
      </c>
    </row>
    <row r="2185" spans="1:12" ht="21" x14ac:dyDescent="0.25">
      <c r="A2185" s="561" t="s">
        <v>110</v>
      </c>
      <c r="B2185" s="749">
        <v>2023</v>
      </c>
      <c r="C2185" s="561" t="s">
        <v>714</v>
      </c>
      <c r="D2185" s="561" t="s">
        <v>2369</v>
      </c>
      <c r="E2185" s="561" t="s">
        <v>38</v>
      </c>
      <c r="F2185" s="735">
        <v>-4159701.6</v>
      </c>
      <c r="G2185" s="749">
        <v>1</v>
      </c>
      <c r="H2185" s="749"/>
      <c r="I2185" s="735">
        <v>-4062306.9</v>
      </c>
      <c r="J2185" s="735">
        <v>-97394.7</v>
      </c>
      <c r="K2185" s="735">
        <v>-4159701.6</v>
      </c>
      <c r="L2185" s="750">
        <v>-4159701.6</v>
      </c>
    </row>
    <row r="2186" spans="1:12" x14ac:dyDescent="0.25">
      <c r="A2186" s="561" t="s">
        <v>110</v>
      </c>
      <c r="B2186" s="749">
        <v>2023</v>
      </c>
      <c r="C2186" s="561" t="s">
        <v>716</v>
      </c>
      <c r="D2186" s="561" t="s">
        <v>2370</v>
      </c>
      <c r="E2186" s="561" t="s">
        <v>66</v>
      </c>
      <c r="F2186" s="735">
        <v>-1338109.29</v>
      </c>
      <c r="G2186" s="749">
        <v>1</v>
      </c>
      <c r="H2186" s="749"/>
      <c r="I2186" s="735">
        <v>-1169976.99</v>
      </c>
      <c r="J2186" s="735">
        <v>-168132.3</v>
      </c>
      <c r="K2186" s="735">
        <v>-1338109.29</v>
      </c>
      <c r="L2186" s="750">
        <v>-1338109.29</v>
      </c>
    </row>
    <row r="2187" spans="1:12" ht="21" x14ac:dyDescent="0.25">
      <c r="A2187" s="561" t="s">
        <v>110</v>
      </c>
      <c r="B2187" s="749">
        <v>2023</v>
      </c>
      <c r="C2187" s="561" t="s">
        <v>718</v>
      </c>
      <c r="D2187" s="561" t="s">
        <v>2371</v>
      </c>
      <c r="E2187" s="561" t="s">
        <v>720</v>
      </c>
      <c r="F2187" s="735">
        <v>-462296.96</v>
      </c>
      <c r="G2187" s="749">
        <v>0</v>
      </c>
      <c r="H2187" s="749"/>
      <c r="I2187" s="733"/>
      <c r="J2187" s="733"/>
      <c r="K2187" s="735">
        <v>0</v>
      </c>
      <c r="L2187" s="750">
        <v>-462296.96</v>
      </c>
    </row>
    <row r="2188" spans="1:12" ht="31.5" x14ac:dyDescent="0.25">
      <c r="A2188" s="561" t="s">
        <v>110</v>
      </c>
      <c r="B2188" s="749">
        <v>2023</v>
      </c>
      <c r="C2188" s="561" t="s">
        <v>721</v>
      </c>
      <c r="D2188" s="561" t="s">
        <v>2373</v>
      </c>
      <c r="E2188" s="561" t="s">
        <v>724</v>
      </c>
      <c r="F2188" s="735">
        <v>0</v>
      </c>
      <c r="G2188" s="749">
        <v>1</v>
      </c>
      <c r="H2188" s="749"/>
      <c r="I2188" s="733"/>
      <c r="J2188" s="733"/>
      <c r="K2188" s="735">
        <v>0</v>
      </c>
      <c r="L2188" s="750">
        <v>0</v>
      </c>
    </row>
    <row r="2189" spans="1:12" ht="31.5" x14ac:dyDescent="0.25">
      <c r="A2189" s="561" t="s">
        <v>110</v>
      </c>
      <c r="B2189" s="749">
        <v>2023</v>
      </c>
      <c r="C2189" s="561" t="s">
        <v>721</v>
      </c>
      <c r="D2189" s="561" t="s">
        <v>2374</v>
      </c>
      <c r="E2189" s="561" t="s">
        <v>55</v>
      </c>
      <c r="F2189" s="735">
        <v>0</v>
      </c>
      <c r="G2189" s="749">
        <v>1</v>
      </c>
      <c r="H2189" s="749"/>
      <c r="I2189" s="733"/>
      <c r="J2189" s="733"/>
      <c r="K2189" s="735">
        <v>0</v>
      </c>
      <c r="L2189" s="750">
        <v>0</v>
      </c>
    </row>
    <row r="2190" spans="1:12" ht="31.5" x14ac:dyDescent="0.25">
      <c r="A2190" s="561" t="s">
        <v>110</v>
      </c>
      <c r="B2190" s="749">
        <v>2023</v>
      </c>
      <c r="C2190" s="561" t="s">
        <v>721</v>
      </c>
      <c r="D2190" s="561" t="s">
        <v>2375</v>
      </c>
      <c r="E2190" s="561" t="s">
        <v>56</v>
      </c>
      <c r="F2190" s="735">
        <v>0</v>
      </c>
      <c r="G2190" s="749">
        <v>1</v>
      </c>
      <c r="H2190" s="749"/>
      <c r="I2190" s="733"/>
      <c r="J2190" s="733"/>
      <c r="K2190" s="735">
        <v>0</v>
      </c>
      <c r="L2190" s="750">
        <v>0</v>
      </c>
    </row>
    <row r="2191" spans="1:12" ht="31.5" x14ac:dyDescent="0.25">
      <c r="A2191" s="561" t="s">
        <v>110</v>
      </c>
      <c r="B2191" s="749">
        <v>2023</v>
      </c>
      <c r="C2191" s="561" t="s">
        <v>721</v>
      </c>
      <c r="D2191" s="561" t="s">
        <v>2376</v>
      </c>
      <c r="E2191" s="561" t="s">
        <v>728</v>
      </c>
      <c r="F2191" s="735">
        <v>0</v>
      </c>
      <c r="G2191" s="749">
        <v>1</v>
      </c>
      <c r="H2191" s="749"/>
      <c r="I2191" s="733"/>
      <c r="J2191" s="733"/>
      <c r="K2191" s="735">
        <v>0</v>
      </c>
      <c r="L2191" s="750">
        <v>0</v>
      </c>
    </row>
    <row r="2192" spans="1:12" ht="31.5" x14ac:dyDescent="0.25">
      <c r="A2192" s="561" t="s">
        <v>110</v>
      </c>
      <c r="B2192" s="749">
        <v>2023</v>
      </c>
      <c r="C2192" s="561" t="s">
        <v>721</v>
      </c>
      <c r="D2192" s="561" t="s">
        <v>2377</v>
      </c>
      <c r="E2192" s="561" t="s">
        <v>730</v>
      </c>
      <c r="F2192" s="735">
        <v>0</v>
      </c>
      <c r="G2192" s="749">
        <v>1</v>
      </c>
      <c r="H2192" s="749"/>
      <c r="I2192" s="733"/>
      <c r="J2192" s="733"/>
      <c r="K2192" s="735">
        <v>0</v>
      </c>
      <c r="L2192" s="750">
        <v>0</v>
      </c>
    </row>
    <row r="2193" spans="1:12" ht="31.5" x14ac:dyDescent="0.25">
      <c r="A2193" s="561" t="s">
        <v>110</v>
      </c>
      <c r="B2193" s="749">
        <v>2023</v>
      </c>
      <c r="C2193" s="561" t="s">
        <v>721</v>
      </c>
      <c r="D2193" s="561" t="s">
        <v>2378</v>
      </c>
      <c r="E2193" s="561" t="s">
        <v>142</v>
      </c>
      <c r="F2193" s="735">
        <v>0</v>
      </c>
      <c r="G2193" s="749">
        <v>1</v>
      </c>
      <c r="H2193" s="749"/>
      <c r="I2193" s="733"/>
      <c r="J2193" s="733"/>
      <c r="K2193" s="735">
        <v>0</v>
      </c>
      <c r="L2193" s="750">
        <v>0</v>
      </c>
    </row>
    <row r="2194" spans="1:12" ht="31.5" x14ac:dyDescent="0.25">
      <c r="A2194" s="561" t="s">
        <v>110</v>
      </c>
      <c r="B2194" s="749">
        <v>2023</v>
      </c>
      <c r="C2194" s="561" t="s">
        <v>721</v>
      </c>
      <c r="D2194" s="561" t="s">
        <v>2379</v>
      </c>
      <c r="E2194" s="561" t="s">
        <v>143</v>
      </c>
      <c r="F2194" s="735">
        <v>0</v>
      </c>
      <c r="G2194" s="749">
        <v>1</v>
      </c>
      <c r="H2194" s="749"/>
      <c r="I2194" s="733"/>
      <c r="J2194" s="733"/>
      <c r="K2194" s="735">
        <v>0</v>
      </c>
      <c r="L2194" s="750">
        <v>0</v>
      </c>
    </row>
    <row r="2195" spans="1:12" ht="31.5" x14ac:dyDescent="0.25">
      <c r="A2195" s="561" t="s">
        <v>110</v>
      </c>
      <c r="B2195" s="749">
        <v>2023</v>
      </c>
      <c r="C2195" s="561" t="s">
        <v>721</v>
      </c>
      <c r="D2195" s="561" t="s">
        <v>2380</v>
      </c>
      <c r="E2195" s="561" t="s">
        <v>182</v>
      </c>
      <c r="F2195" s="735">
        <v>0</v>
      </c>
      <c r="G2195" s="749">
        <v>1</v>
      </c>
      <c r="H2195" s="749"/>
      <c r="I2195" s="735">
        <v>-54316.73</v>
      </c>
      <c r="J2195" s="735">
        <v>189446.93</v>
      </c>
      <c r="K2195" s="735">
        <v>135130.20000000001</v>
      </c>
      <c r="L2195" s="750">
        <v>135130.20000000001</v>
      </c>
    </row>
    <row r="2196" spans="1:12" ht="31.5" x14ac:dyDescent="0.25">
      <c r="A2196" s="561" t="s">
        <v>110</v>
      </c>
      <c r="B2196" s="749">
        <v>2023</v>
      </c>
      <c r="C2196" s="561" t="s">
        <v>721</v>
      </c>
      <c r="D2196" s="561" t="s">
        <v>2381</v>
      </c>
      <c r="E2196" s="561" t="s">
        <v>394</v>
      </c>
      <c r="F2196" s="735">
        <v>0</v>
      </c>
      <c r="G2196" s="749">
        <v>1</v>
      </c>
      <c r="H2196" s="749"/>
      <c r="I2196" s="733"/>
      <c r="J2196" s="733"/>
      <c r="K2196" s="735">
        <v>0</v>
      </c>
      <c r="L2196" s="750">
        <v>0</v>
      </c>
    </row>
    <row r="2197" spans="1:12" ht="31.5" x14ac:dyDescent="0.25">
      <c r="A2197" s="561" t="s">
        <v>110</v>
      </c>
      <c r="B2197" s="749">
        <v>2023</v>
      </c>
      <c r="C2197" s="561" t="s">
        <v>721</v>
      </c>
      <c r="D2197" s="561" t="s">
        <v>2382</v>
      </c>
      <c r="E2197" s="561" t="s">
        <v>423</v>
      </c>
      <c r="F2197" s="735">
        <v>0</v>
      </c>
      <c r="G2197" s="749">
        <v>1</v>
      </c>
      <c r="H2197" s="749"/>
      <c r="I2197" s="733"/>
      <c r="J2197" s="733"/>
      <c r="K2197" s="735">
        <v>0</v>
      </c>
      <c r="L2197" s="750">
        <v>0</v>
      </c>
    </row>
    <row r="2198" spans="1:12" ht="31.5" x14ac:dyDescent="0.25">
      <c r="A2198" s="561" t="s">
        <v>110</v>
      </c>
      <c r="B2198" s="749">
        <v>2023</v>
      </c>
      <c r="C2198" s="561" t="s">
        <v>721</v>
      </c>
      <c r="D2198" s="561" t="s">
        <v>3280</v>
      </c>
      <c r="E2198" s="561" t="s">
        <v>441</v>
      </c>
      <c r="F2198" s="735">
        <v>0</v>
      </c>
      <c r="G2198" s="749">
        <v>1</v>
      </c>
      <c r="H2198" s="749"/>
      <c r="I2198" s="735">
        <v>-513081.37</v>
      </c>
      <c r="J2198" s="735">
        <v>-141049.57999999999</v>
      </c>
      <c r="K2198" s="735">
        <v>-654130.94999999995</v>
      </c>
      <c r="L2198" s="750">
        <v>-654130.94999999995</v>
      </c>
    </row>
    <row r="2199" spans="1:12" ht="31.5" x14ac:dyDescent="0.25">
      <c r="A2199" s="561" t="s">
        <v>110</v>
      </c>
      <c r="B2199" s="749">
        <v>2023</v>
      </c>
      <c r="C2199" s="561" t="s">
        <v>721</v>
      </c>
      <c r="D2199" s="561" t="s">
        <v>3582</v>
      </c>
      <c r="E2199" s="561" t="s">
        <v>3016</v>
      </c>
      <c r="F2199" s="735">
        <v>0</v>
      </c>
      <c r="G2199" s="749">
        <v>1</v>
      </c>
      <c r="H2199" s="749"/>
      <c r="I2199" s="733"/>
      <c r="J2199" s="733"/>
      <c r="K2199" s="735">
        <v>0</v>
      </c>
      <c r="L2199" s="750">
        <v>0</v>
      </c>
    </row>
    <row r="2200" spans="1:12" ht="31.5" x14ac:dyDescent="0.25">
      <c r="A2200" s="561" t="s">
        <v>110</v>
      </c>
      <c r="B2200" s="749">
        <v>2023</v>
      </c>
      <c r="C2200" s="561" t="s">
        <v>721</v>
      </c>
      <c r="D2200" s="561" t="s">
        <v>3583</v>
      </c>
      <c r="E2200" s="561" t="s">
        <v>3058</v>
      </c>
      <c r="F2200" s="735">
        <v>0</v>
      </c>
      <c r="G2200" s="749">
        <v>1</v>
      </c>
      <c r="H2200" s="749"/>
      <c r="I2200" s="735">
        <v>-21722.13</v>
      </c>
      <c r="J2200" s="735">
        <v>-5104.18</v>
      </c>
      <c r="K2200" s="735">
        <v>-26826.31</v>
      </c>
      <c r="L2200" s="750">
        <v>-26826.31</v>
      </c>
    </row>
    <row r="2201" spans="1:12" ht="31.5" x14ac:dyDescent="0.25">
      <c r="A2201" s="561" t="s">
        <v>110</v>
      </c>
      <c r="B2201" s="749">
        <v>2023</v>
      </c>
      <c r="C2201" s="561" t="s">
        <v>721</v>
      </c>
      <c r="D2201" s="561" t="s">
        <v>3584</v>
      </c>
      <c r="E2201" s="561" t="s">
        <v>3063</v>
      </c>
      <c r="F2201" s="735">
        <v>0</v>
      </c>
      <c r="G2201" s="749">
        <v>1</v>
      </c>
      <c r="H2201" s="749"/>
      <c r="I2201" s="735">
        <v>-43779.99</v>
      </c>
      <c r="J2201" s="735">
        <v>51345.05</v>
      </c>
      <c r="K2201" s="735">
        <v>7565.06</v>
      </c>
      <c r="L2201" s="750">
        <v>7565.06</v>
      </c>
    </row>
    <row r="2202" spans="1:12" ht="31.5" x14ac:dyDescent="0.25">
      <c r="A2202" s="561" t="s">
        <v>110</v>
      </c>
      <c r="B2202" s="749">
        <v>2023</v>
      </c>
      <c r="C2202" s="561" t="s">
        <v>721</v>
      </c>
      <c r="D2202" s="561" t="s">
        <v>3908</v>
      </c>
      <c r="E2202" s="561" t="s">
        <v>3425</v>
      </c>
      <c r="F2202" s="735">
        <v>0</v>
      </c>
      <c r="G2202" s="749">
        <v>1</v>
      </c>
      <c r="H2202" s="749"/>
      <c r="I2202" s="733"/>
      <c r="J2202" s="733"/>
      <c r="K2202" s="735">
        <v>0</v>
      </c>
      <c r="L2202" s="750">
        <v>0</v>
      </c>
    </row>
    <row r="2203" spans="1:12" ht="42" x14ac:dyDescent="0.25">
      <c r="A2203" s="561" t="s">
        <v>110</v>
      </c>
      <c r="B2203" s="749">
        <v>2023</v>
      </c>
      <c r="C2203" s="561" t="s">
        <v>721</v>
      </c>
      <c r="D2203" s="561" t="s">
        <v>3909</v>
      </c>
      <c r="E2203" s="561" t="s">
        <v>737</v>
      </c>
      <c r="F2203" s="735">
        <v>-538262</v>
      </c>
      <c r="G2203" s="749">
        <v>0</v>
      </c>
      <c r="H2203" s="749"/>
      <c r="I2203" s="733"/>
      <c r="J2203" s="733"/>
      <c r="K2203" s="735">
        <v>0</v>
      </c>
      <c r="L2203" s="750">
        <v>-538262</v>
      </c>
    </row>
    <row r="2204" spans="1:12" x14ac:dyDescent="0.25">
      <c r="A2204" s="561" t="s">
        <v>110</v>
      </c>
      <c r="B2204" s="749">
        <v>2023</v>
      </c>
      <c r="C2204" s="561" t="s">
        <v>738</v>
      </c>
      <c r="D2204" s="561" t="s">
        <v>2384</v>
      </c>
      <c r="E2204" s="561" t="s">
        <v>7</v>
      </c>
      <c r="F2204" s="735">
        <v>0</v>
      </c>
      <c r="G2204" s="749">
        <v>0</v>
      </c>
      <c r="H2204" s="749"/>
      <c r="I2204" s="733"/>
      <c r="J2204" s="733"/>
      <c r="K2204" s="735">
        <v>0</v>
      </c>
      <c r="L2204" s="750">
        <v>0</v>
      </c>
    </row>
    <row r="2205" spans="1:12" x14ac:dyDescent="0.25">
      <c r="A2205" s="561" t="s">
        <v>111</v>
      </c>
      <c r="B2205" s="749">
        <v>2023</v>
      </c>
      <c r="C2205" s="561" t="s">
        <v>647</v>
      </c>
      <c r="D2205" s="561" t="s">
        <v>2385</v>
      </c>
      <c r="E2205" s="561" t="s">
        <v>649</v>
      </c>
      <c r="F2205" s="735">
        <v>7941.03</v>
      </c>
      <c r="G2205" s="749">
        <v>0</v>
      </c>
      <c r="H2205" s="749"/>
      <c r="I2205" s="733"/>
      <c r="J2205" s="733"/>
      <c r="K2205" s="735">
        <v>0</v>
      </c>
      <c r="L2205" s="750">
        <v>7941.03</v>
      </c>
    </row>
    <row r="2206" spans="1:12" ht="21" x14ac:dyDescent="0.25">
      <c r="A2206" s="561" t="s">
        <v>111</v>
      </c>
      <c r="B2206" s="749">
        <v>2023</v>
      </c>
      <c r="C2206" s="561" t="s">
        <v>3691</v>
      </c>
      <c r="D2206" s="561" t="s">
        <v>3663</v>
      </c>
      <c r="E2206" s="561" t="s">
        <v>3675</v>
      </c>
      <c r="F2206" s="735">
        <v>0</v>
      </c>
      <c r="G2206" s="749">
        <v>0</v>
      </c>
      <c r="H2206" s="749"/>
      <c r="I2206" s="733"/>
      <c r="J2206" s="733"/>
      <c r="K2206" s="735">
        <v>0</v>
      </c>
      <c r="L2206" s="750">
        <v>0</v>
      </c>
    </row>
    <row r="2207" spans="1:12" x14ac:dyDescent="0.25">
      <c r="A2207" s="561" t="s">
        <v>111</v>
      </c>
      <c r="B2207" s="749">
        <v>2023</v>
      </c>
      <c r="C2207" s="561" t="s">
        <v>651</v>
      </c>
      <c r="D2207" s="561" t="s">
        <v>2386</v>
      </c>
      <c r="E2207" s="561" t="s">
        <v>653</v>
      </c>
      <c r="F2207" s="735">
        <v>0</v>
      </c>
      <c r="G2207" s="749">
        <v>0</v>
      </c>
      <c r="H2207" s="749"/>
      <c r="I2207" s="733"/>
      <c r="J2207" s="733"/>
      <c r="K2207" s="735">
        <v>0</v>
      </c>
      <c r="L2207" s="750">
        <v>0</v>
      </c>
    </row>
    <row r="2208" spans="1:12" ht="31.5" x14ac:dyDescent="0.25">
      <c r="A2208" s="561" t="s">
        <v>111</v>
      </c>
      <c r="B2208" s="749">
        <v>2023</v>
      </c>
      <c r="C2208" s="561" t="s">
        <v>654</v>
      </c>
      <c r="D2208" s="561" t="s">
        <v>2387</v>
      </c>
      <c r="E2208" s="561" t="s">
        <v>445</v>
      </c>
      <c r="F2208" s="735">
        <v>0</v>
      </c>
      <c r="G2208" s="749">
        <v>0</v>
      </c>
      <c r="H2208" s="749"/>
      <c r="I2208" s="733"/>
      <c r="J2208" s="733"/>
      <c r="K2208" s="735">
        <v>0</v>
      </c>
      <c r="L2208" s="750">
        <v>0</v>
      </c>
    </row>
    <row r="2209" spans="1:12" ht="21" x14ac:dyDescent="0.25">
      <c r="A2209" s="561" t="s">
        <v>111</v>
      </c>
      <c r="B2209" s="749">
        <v>2023</v>
      </c>
      <c r="C2209" s="561" t="s">
        <v>656</v>
      </c>
      <c r="D2209" s="561" t="s">
        <v>2388</v>
      </c>
      <c r="E2209" s="561" t="s">
        <v>658</v>
      </c>
      <c r="F2209" s="735">
        <v>0</v>
      </c>
      <c r="G2209" s="749">
        <v>0</v>
      </c>
      <c r="H2209" s="749"/>
      <c r="I2209" s="733"/>
      <c r="J2209" s="733"/>
      <c r="K2209" s="735">
        <v>0</v>
      </c>
      <c r="L2209" s="750">
        <v>0</v>
      </c>
    </row>
    <row r="2210" spans="1:12" ht="21" x14ac:dyDescent="0.25">
      <c r="A2210" s="561" t="s">
        <v>111</v>
      </c>
      <c r="B2210" s="749">
        <v>2023</v>
      </c>
      <c r="C2210" s="561" t="s">
        <v>659</v>
      </c>
      <c r="D2210" s="561" t="s">
        <v>2389</v>
      </c>
      <c r="E2210" s="561" t="s">
        <v>661</v>
      </c>
      <c r="F2210" s="735">
        <v>0</v>
      </c>
      <c r="G2210" s="749">
        <v>0</v>
      </c>
      <c r="H2210" s="749"/>
      <c r="I2210" s="733"/>
      <c r="J2210" s="733"/>
      <c r="K2210" s="735">
        <v>0</v>
      </c>
      <c r="L2210" s="750">
        <v>0</v>
      </c>
    </row>
    <row r="2211" spans="1:12" ht="21" x14ac:dyDescent="0.25">
      <c r="A2211" s="561" t="s">
        <v>111</v>
      </c>
      <c r="B2211" s="749">
        <v>2023</v>
      </c>
      <c r="C2211" s="561" t="s">
        <v>662</v>
      </c>
      <c r="D2211" s="561" t="s">
        <v>2390</v>
      </c>
      <c r="E2211" s="561" t="s">
        <v>664</v>
      </c>
      <c r="F2211" s="735">
        <v>0</v>
      </c>
      <c r="G2211" s="749">
        <v>0</v>
      </c>
      <c r="H2211" s="749"/>
      <c r="I2211" s="733"/>
      <c r="J2211" s="733"/>
      <c r="K2211" s="735">
        <v>0</v>
      </c>
      <c r="L2211" s="750">
        <v>0</v>
      </c>
    </row>
    <row r="2212" spans="1:12" ht="31.5" x14ac:dyDescent="0.25">
      <c r="A2212" s="561" t="s">
        <v>111</v>
      </c>
      <c r="B2212" s="749">
        <v>2023</v>
      </c>
      <c r="C2212" s="561" t="s">
        <v>665</v>
      </c>
      <c r="D2212" s="561" t="s">
        <v>2391</v>
      </c>
      <c r="E2212" s="561" t="s">
        <v>667</v>
      </c>
      <c r="F2212" s="735">
        <v>0</v>
      </c>
      <c r="G2212" s="749">
        <v>0</v>
      </c>
      <c r="H2212" s="749"/>
      <c r="I2212" s="733"/>
      <c r="J2212" s="733"/>
      <c r="K2212" s="735">
        <v>0</v>
      </c>
      <c r="L2212" s="750">
        <v>0</v>
      </c>
    </row>
    <row r="2213" spans="1:12" ht="21" x14ac:dyDescent="0.25">
      <c r="A2213" s="561" t="s">
        <v>111</v>
      </c>
      <c r="B2213" s="749">
        <v>2023</v>
      </c>
      <c r="C2213" s="561" t="s">
        <v>668</v>
      </c>
      <c r="D2213" s="561" t="s">
        <v>2392</v>
      </c>
      <c r="E2213" s="561" t="s">
        <v>12</v>
      </c>
      <c r="F2213" s="735">
        <v>0</v>
      </c>
      <c r="G2213" s="749">
        <v>0</v>
      </c>
      <c r="H2213" s="749"/>
      <c r="I2213" s="733"/>
      <c r="J2213" s="733"/>
      <c r="K2213" s="735">
        <v>0</v>
      </c>
      <c r="L2213" s="750">
        <v>0</v>
      </c>
    </row>
    <row r="2214" spans="1:12" ht="21" x14ac:dyDescent="0.25">
      <c r="A2214" s="561" t="s">
        <v>111</v>
      </c>
      <c r="B2214" s="749">
        <v>2023</v>
      </c>
      <c r="C2214" s="561" t="s">
        <v>670</v>
      </c>
      <c r="D2214" s="561" t="s">
        <v>2393</v>
      </c>
      <c r="E2214" s="561" t="s">
        <v>13</v>
      </c>
      <c r="F2214" s="735">
        <v>0</v>
      </c>
      <c r="G2214" s="749">
        <v>0</v>
      </c>
      <c r="H2214" s="749"/>
      <c r="I2214" s="733"/>
      <c r="J2214" s="733"/>
      <c r="K2214" s="735">
        <v>0</v>
      </c>
      <c r="L2214" s="750">
        <v>0</v>
      </c>
    </row>
    <row r="2215" spans="1:12" ht="21" x14ac:dyDescent="0.25">
      <c r="A2215" s="561" t="s">
        <v>111</v>
      </c>
      <c r="B2215" s="749">
        <v>2023</v>
      </c>
      <c r="C2215" s="561" t="s">
        <v>672</v>
      </c>
      <c r="D2215" s="561" t="s">
        <v>2394</v>
      </c>
      <c r="E2215" s="561" t="s">
        <v>15</v>
      </c>
      <c r="F2215" s="735">
        <v>0</v>
      </c>
      <c r="G2215" s="749">
        <v>0</v>
      </c>
      <c r="H2215" s="749"/>
      <c r="I2215" s="733"/>
      <c r="J2215" s="733"/>
      <c r="K2215" s="735">
        <v>0</v>
      </c>
      <c r="L2215" s="750">
        <v>0</v>
      </c>
    </row>
    <row r="2216" spans="1:12" x14ac:dyDescent="0.25">
      <c r="A2216" s="561" t="s">
        <v>111</v>
      </c>
      <c r="B2216" s="749">
        <v>2023</v>
      </c>
      <c r="C2216" s="561" t="s">
        <v>674</v>
      </c>
      <c r="D2216" s="561" t="s">
        <v>2395</v>
      </c>
      <c r="E2216" s="561" t="s">
        <v>676</v>
      </c>
      <c r="F2216" s="735">
        <v>0</v>
      </c>
      <c r="G2216" s="749">
        <v>0</v>
      </c>
      <c r="H2216" s="749"/>
      <c r="I2216" s="733"/>
      <c r="J2216" s="733"/>
      <c r="K2216" s="735">
        <v>0</v>
      </c>
      <c r="L2216" s="750">
        <v>0</v>
      </c>
    </row>
    <row r="2217" spans="1:12" x14ac:dyDescent="0.25">
      <c r="A2217" s="561" t="s">
        <v>111</v>
      </c>
      <c r="B2217" s="749">
        <v>2023</v>
      </c>
      <c r="C2217" s="561" t="s">
        <v>677</v>
      </c>
      <c r="D2217" s="561" t="s">
        <v>2396</v>
      </c>
      <c r="E2217" s="561" t="s">
        <v>23</v>
      </c>
      <c r="F2217" s="735">
        <v>841162.68</v>
      </c>
      <c r="G2217" s="749">
        <v>1</v>
      </c>
      <c r="H2217" s="749"/>
      <c r="I2217" s="735">
        <v>822998.03</v>
      </c>
      <c r="J2217" s="735">
        <v>18164.650000000001</v>
      </c>
      <c r="K2217" s="735">
        <v>841162.68</v>
      </c>
      <c r="L2217" s="750">
        <v>841162.68</v>
      </c>
    </row>
    <row r="2218" spans="1:12" ht="21" x14ac:dyDescent="0.25">
      <c r="A2218" s="561" t="s">
        <v>111</v>
      </c>
      <c r="B2218" s="749">
        <v>2023</v>
      </c>
      <c r="C2218" s="561" t="s">
        <v>679</v>
      </c>
      <c r="D2218" s="561" t="s">
        <v>2397</v>
      </c>
      <c r="E2218" s="561" t="s">
        <v>131</v>
      </c>
      <c r="F2218" s="735">
        <v>-38854.32</v>
      </c>
      <c r="G2218" s="749">
        <v>1</v>
      </c>
      <c r="H2218" s="749"/>
      <c r="I2218" s="735">
        <v>-38416.46</v>
      </c>
      <c r="J2218" s="735">
        <v>-437.86</v>
      </c>
      <c r="K2218" s="735">
        <v>-38854.32</v>
      </c>
      <c r="L2218" s="750">
        <v>-38854.32</v>
      </c>
    </row>
    <row r="2219" spans="1:12" ht="31.5" x14ac:dyDescent="0.25">
      <c r="A2219" s="561" t="s">
        <v>111</v>
      </c>
      <c r="B2219" s="749">
        <v>2023</v>
      </c>
      <c r="C2219" s="561" t="s">
        <v>681</v>
      </c>
      <c r="D2219" s="561" t="s">
        <v>2398</v>
      </c>
      <c r="E2219" s="561" t="s">
        <v>683</v>
      </c>
      <c r="F2219" s="735">
        <v>0</v>
      </c>
      <c r="G2219" s="749">
        <v>0</v>
      </c>
      <c r="H2219" s="749"/>
      <c r="I2219" s="733"/>
      <c r="J2219" s="733"/>
      <c r="K2219" s="735">
        <v>0</v>
      </c>
      <c r="L2219" s="750">
        <v>0</v>
      </c>
    </row>
    <row r="2220" spans="1:12" ht="21" x14ac:dyDescent="0.25">
      <c r="A2220" s="561" t="s">
        <v>111</v>
      </c>
      <c r="B2220" s="749">
        <v>2023</v>
      </c>
      <c r="C2220" s="561" t="s">
        <v>681</v>
      </c>
      <c r="D2220" s="561" t="s">
        <v>2398</v>
      </c>
      <c r="E2220" s="561" t="s">
        <v>684</v>
      </c>
      <c r="F2220" s="735">
        <v>0</v>
      </c>
      <c r="G2220" s="749">
        <v>0</v>
      </c>
      <c r="H2220" s="749"/>
      <c r="I2220" s="733"/>
      <c r="J2220" s="733"/>
      <c r="K2220" s="735">
        <v>0</v>
      </c>
      <c r="L2220" s="751">
        <v>0</v>
      </c>
    </row>
    <row r="2221" spans="1:12" x14ac:dyDescent="0.25">
      <c r="A2221" s="561" t="s">
        <v>111</v>
      </c>
      <c r="B2221" s="749">
        <v>2023</v>
      </c>
      <c r="C2221" s="561" t="s">
        <v>685</v>
      </c>
      <c r="D2221" s="561" t="s">
        <v>2399</v>
      </c>
      <c r="E2221" s="561" t="s">
        <v>687</v>
      </c>
      <c r="F2221" s="735">
        <v>0</v>
      </c>
      <c r="G2221" s="749">
        <v>0</v>
      </c>
      <c r="H2221" s="749"/>
      <c r="I2221" s="733"/>
      <c r="J2221" s="733"/>
      <c r="K2221" s="735">
        <v>0</v>
      </c>
      <c r="L2221" s="750">
        <v>0</v>
      </c>
    </row>
    <row r="2222" spans="1:12" x14ac:dyDescent="0.25">
      <c r="A2222" s="561" t="s">
        <v>111</v>
      </c>
      <c r="B2222" s="749">
        <v>2023</v>
      </c>
      <c r="C2222" s="561" t="s">
        <v>688</v>
      </c>
      <c r="D2222" s="561" t="s">
        <v>2400</v>
      </c>
      <c r="E2222" s="561" t="s">
        <v>50</v>
      </c>
      <c r="F2222" s="735">
        <v>0</v>
      </c>
      <c r="G2222" s="749">
        <v>0</v>
      </c>
      <c r="H2222" s="749"/>
      <c r="I2222" s="733"/>
      <c r="J2222" s="733"/>
      <c r="K2222" s="735">
        <v>0</v>
      </c>
      <c r="L2222" s="750">
        <v>0</v>
      </c>
    </row>
    <row r="2223" spans="1:12" x14ac:dyDescent="0.25">
      <c r="A2223" s="561" t="s">
        <v>111</v>
      </c>
      <c r="B2223" s="749">
        <v>2023</v>
      </c>
      <c r="C2223" s="561" t="s">
        <v>690</v>
      </c>
      <c r="D2223" s="561" t="s">
        <v>2401</v>
      </c>
      <c r="E2223" s="561" t="s">
        <v>692</v>
      </c>
      <c r="F2223" s="735">
        <v>0</v>
      </c>
      <c r="G2223" s="749">
        <v>0</v>
      </c>
      <c r="H2223" s="749"/>
      <c r="I2223" s="733"/>
      <c r="J2223" s="733"/>
      <c r="K2223" s="735">
        <v>0</v>
      </c>
      <c r="L2223" s="750">
        <v>0</v>
      </c>
    </row>
    <row r="2224" spans="1:12" ht="21" x14ac:dyDescent="0.25">
      <c r="A2224" s="561" t="s">
        <v>111</v>
      </c>
      <c r="B2224" s="749">
        <v>2023</v>
      </c>
      <c r="C2224" s="561" t="s">
        <v>693</v>
      </c>
      <c r="D2224" s="561" t="s">
        <v>2402</v>
      </c>
      <c r="E2224" s="561" t="s">
        <v>6</v>
      </c>
      <c r="F2224" s="735">
        <v>0</v>
      </c>
      <c r="G2224" s="749">
        <v>0</v>
      </c>
      <c r="H2224" s="749"/>
      <c r="I2224" s="733"/>
      <c r="J2224" s="733"/>
      <c r="K2224" s="735">
        <v>0</v>
      </c>
      <c r="L2224" s="750">
        <v>0</v>
      </c>
    </row>
    <row r="2225" spans="1:12" ht="21" x14ac:dyDescent="0.25">
      <c r="A2225" s="561" t="s">
        <v>111</v>
      </c>
      <c r="B2225" s="749">
        <v>2023</v>
      </c>
      <c r="C2225" s="561" t="s">
        <v>695</v>
      </c>
      <c r="D2225" s="561" t="s">
        <v>2403</v>
      </c>
      <c r="E2225" s="561" t="s">
        <v>697</v>
      </c>
      <c r="F2225" s="735">
        <v>0</v>
      </c>
      <c r="G2225" s="749">
        <v>0</v>
      </c>
      <c r="H2225" s="749"/>
      <c r="I2225" s="733"/>
      <c r="J2225" s="733"/>
      <c r="K2225" s="735">
        <v>0</v>
      </c>
      <c r="L2225" s="750">
        <v>0</v>
      </c>
    </row>
    <row r="2226" spans="1:12" x14ac:dyDescent="0.25">
      <c r="A2226" s="561" t="s">
        <v>111</v>
      </c>
      <c r="B2226" s="749">
        <v>2023</v>
      </c>
      <c r="C2226" s="561" t="s">
        <v>698</v>
      </c>
      <c r="D2226" s="561" t="s">
        <v>2404</v>
      </c>
      <c r="E2226" s="561" t="s">
        <v>700</v>
      </c>
      <c r="F2226" s="735">
        <v>0</v>
      </c>
      <c r="G2226" s="749">
        <v>0</v>
      </c>
      <c r="H2226" s="749"/>
      <c r="I2226" s="733"/>
      <c r="J2226" s="733"/>
      <c r="K2226" s="735">
        <v>0</v>
      </c>
      <c r="L2226" s="750">
        <v>0</v>
      </c>
    </row>
    <row r="2227" spans="1:12" ht="21" x14ac:dyDescent="0.25">
      <c r="A2227" s="561" t="s">
        <v>111</v>
      </c>
      <c r="B2227" s="749">
        <v>2023</v>
      </c>
      <c r="C2227" s="561" t="s">
        <v>701</v>
      </c>
      <c r="D2227" s="561" t="s">
        <v>2405</v>
      </c>
      <c r="E2227" s="561" t="s">
        <v>1</v>
      </c>
      <c r="F2227" s="735">
        <v>-125554.35</v>
      </c>
      <c r="G2227" s="749">
        <v>1</v>
      </c>
      <c r="H2227" s="749"/>
      <c r="I2227" s="735">
        <v>-121826.45</v>
      </c>
      <c r="J2227" s="735">
        <v>-3727.9</v>
      </c>
      <c r="K2227" s="735">
        <v>-125554.35</v>
      </c>
      <c r="L2227" s="750">
        <v>-125554.35</v>
      </c>
    </row>
    <row r="2228" spans="1:12" ht="21" x14ac:dyDescent="0.25">
      <c r="A2228" s="561" t="s">
        <v>111</v>
      </c>
      <c r="B2228" s="749">
        <v>2023</v>
      </c>
      <c r="C2228" s="561" t="s">
        <v>701</v>
      </c>
      <c r="D2228" s="561" t="s">
        <v>2405</v>
      </c>
      <c r="E2228" s="561" t="s">
        <v>703</v>
      </c>
      <c r="F2228" s="735">
        <v>0</v>
      </c>
      <c r="G2228" s="749">
        <v>0</v>
      </c>
      <c r="H2228" s="749"/>
      <c r="I2228" s="733"/>
      <c r="J2228" s="733"/>
      <c r="K2228" s="735">
        <v>0</v>
      </c>
      <c r="L2228" s="751">
        <v>0</v>
      </c>
    </row>
    <row r="2229" spans="1:12" ht="21" x14ac:dyDescent="0.25">
      <c r="A2229" s="561" t="s">
        <v>111</v>
      </c>
      <c r="B2229" s="749">
        <v>2023</v>
      </c>
      <c r="C2229" s="561" t="s">
        <v>701</v>
      </c>
      <c r="D2229" s="561" t="s">
        <v>2405</v>
      </c>
      <c r="E2229" s="561" t="s">
        <v>704</v>
      </c>
      <c r="F2229" s="735">
        <v>0</v>
      </c>
      <c r="G2229" s="749">
        <v>0</v>
      </c>
      <c r="H2229" s="749"/>
      <c r="I2229" s="733"/>
      <c r="J2229" s="733"/>
      <c r="K2229" s="735">
        <v>0</v>
      </c>
      <c r="L2229" s="751">
        <v>0</v>
      </c>
    </row>
    <row r="2230" spans="1:12" ht="21" x14ac:dyDescent="0.25">
      <c r="A2230" s="561" t="s">
        <v>111</v>
      </c>
      <c r="B2230" s="749">
        <v>2023</v>
      </c>
      <c r="C2230" s="561" t="s">
        <v>701</v>
      </c>
      <c r="D2230" s="561" t="s">
        <v>2405</v>
      </c>
      <c r="E2230" s="561" t="s">
        <v>705</v>
      </c>
      <c r="F2230" s="735">
        <v>0</v>
      </c>
      <c r="G2230" s="749">
        <v>0</v>
      </c>
      <c r="H2230" s="749"/>
      <c r="I2230" s="733"/>
      <c r="J2230" s="733"/>
      <c r="K2230" s="735">
        <v>0</v>
      </c>
      <c r="L2230" s="751">
        <v>0</v>
      </c>
    </row>
    <row r="2231" spans="1:12" ht="21" x14ac:dyDescent="0.25">
      <c r="A2231" s="561" t="s">
        <v>111</v>
      </c>
      <c r="B2231" s="749">
        <v>2023</v>
      </c>
      <c r="C2231" s="561" t="s">
        <v>701</v>
      </c>
      <c r="D2231" s="561" t="s">
        <v>2405</v>
      </c>
      <c r="E2231" s="561" t="s">
        <v>706</v>
      </c>
      <c r="F2231" s="735">
        <v>0</v>
      </c>
      <c r="G2231" s="749">
        <v>0</v>
      </c>
      <c r="H2231" s="749"/>
      <c r="I2231" s="733"/>
      <c r="J2231" s="733"/>
      <c r="K2231" s="735">
        <v>0</v>
      </c>
      <c r="L2231" s="751">
        <v>0</v>
      </c>
    </row>
    <row r="2232" spans="1:12" x14ac:dyDescent="0.25">
      <c r="A2232" s="561" t="s">
        <v>111</v>
      </c>
      <c r="B2232" s="749">
        <v>2023</v>
      </c>
      <c r="C2232" s="561" t="s">
        <v>707</v>
      </c>
      <c r="D2232" s="561" t="s">
        <v>2406</v>
      </c>
      <c r="E2232" s="561" t="s">
        <v>709</v>
      </c>
      <c r="F2232" s="735">
        <v>0</v>
      </c>
      <c r="G2232" s="749">
        <v>0</v>
      </c>
      <c r="H2232" s="749"/>
      <c r="I2232" s="733"/>
      <c r="J2232" s="733"/>
      <c r="K2232" s="735">
        <v>0</v>
      </c>
      <c r="L2232" s="750">
        <v>0</v>
      </c>
    </row>
    <row r="2233" spans="1:12" ht="21" x14ac:dyDescent="0.25">
      <c r="A2233" s="561" t="s">
        <v>111</v>
      </c>
      <c r="B2233" s="749">
        <v>2023</v>
      </c>
      <c r="C2233" s="561" t="s">
        <v>710</v>
      </c>
      <c r="D2233" s="561" t="s">
        <v>2407</v>
      </c>
      <c r="E2233" s="561" t="s">
        <v>2</v>
      </c>
      <c r="F2233" s="735">
        <v>359780.04</v>
      </c>
      <c r="G2233" s="749">
        <v>1</v>
      </c>
      <c r="H2233" s="749"/>
      <c r="I2233" s="735">
        <v>356007.35</v>
      </c>
      <c r="J2233" s="735">
        <v>3772.69</v>
      </c>
      <c r="K2233" s="735">
        <v>359780.04</v>
      </c>
      <c r="L2233" s="750">
        <v>359780.04</v>
      </c>
    </row>
    <row r="2234" spans="1:12" ht="21" x14ac:dyDescent="0.25">
      <c r="A2234" s="561" t="s">
        <v>111</v>
      </c>
      <c r="B2234" s="749">
        <v>2023</v>
      </c>
      <c r="C2234" s="561" t="s">
        <v>712</v>
      </c>
      <c r="D2234" s="561" t="s">
        <v>2408</v>
      </c>
      <c r="E2234" s="561" t="s">
        <v>3</v>
      </c>
      <c r="F2234" s="735">
        <v>134957.79</v>
      </c>
      <c r="G2234" s="749">
        <v>1</v>
      </c>
      <c r="H2234" s="749"/>
      <c r="I2234" s="735">
        <v>133273.48000000001</v>
      </c>
      <c r="J2234" s="735">
        <v>1684.31</v>
      </c>
      <c r="K2234" s="735">
        <v>134957.79</v>
      </c>
      <c r="L2234" s="750">
        <v>134957.79</v>
      </c>
    </row>
    <row r="2235" spans="1:12" ht="21" x14ac:dyDescent="0.25">
      <c r="A2235" s="561" t="s">
        <v>111</v>
      </c>
      <c r="B2235" s="749">
        <v>2023</v>
      </c>
      <c r="C2235" s="561" t="s">
        <v>714</v>
      </c>
      <c r="D2235" s="561" t="s">
        <v>2409</v>
      </c>
      <c r="E2235" s="561" t="s">
        <v>38</v>
      </c>
      <c r="F2235" s="735">
        <v>-399529.88</v>
      </c>
      <c r="G2235" s="749">
        <v>1</v>
      </c>
      <c r="H2235" s="749"/>
      <c r="I2235" s="735">
        <v>-379849.24</v>
      </c>
      <c r="J2235" s="735">
        <v>-19680.64</v>
      </c>
      <c r="K2235" s="735">
        <v>-399529.88</v>
      </c>
      <c r="L2235" s="750">
        <v>-399529.88</v>
      </c>
    </row>
    <row r="2236" spans="1:12" x14ac:dyDescent="0.25">
      <c r="A2236" s="561" t="s">
        <v>111</v>
      </c>
      <c r="B2236" s="749">
        <v>2023</v>
      </c>
      <c r="C2236" s="561" t="s">
        <v>716</v>
      </c>
      <c r="D2236" s="561" t="s">
        <v>2410</v>
      </c>
      <c r="E2236" s="561" t="s">
        <v>66</v>
      </c>
      <c r="F2236" s="735">
        <v>-2110425.83</v>
      </c>
      <c r="G2236" s="749">
        <v>1</v>
      </c>
      <c r="H2236" s="749"/>
      <c r="I2236" s="735">
        <v>-2065823.83</v>
      </c>
      <c r="J2236" s="735">
        <v>-44602</v>
      </c>
      <c r="K2236" s="735">
        <v>-2110425.83</v>
      </c>
      <c r="L2236" s="750">
        <v>-2110425.83</v>
      </c>
    </row>
    <row r="2237" spans="1:12" ht="21" x14ac:dyDescent="0.25">
      <c r="A2237" s="561" t="s">
        <v>111</v>
      </c>
      <c r="B2237" s="749">
        <v>2023</v>
      </c>
      <c r="C2237" s="561" t="s">
        <v>718</v>
      </c>
      <c r="D2237" s="561" t="s">
        <v>2411</v>
      </c>
      <c r="E2237" s="561" t="s">
        <v>720</v>
      </c>
      <c r="F2237" s="735">
        <v>-4865.95</v>
      </c>
      <c r="G2237" s="749">
        <v>0</v>
      </c>
      <c r="H2237" s="749"/>
      <c r="I2237" s="733"/>
      <c r="J2237" s="733"/>
      <c r="K2237" s="735">
        <v>0</v>
      </c>
      <c r="L2237" s="750">
        <v>-4865.95</v>
      </c>
    </row>
    <row r="2238" spans="1:12" ht="31.5" x14ac:dyDescent="0.25">
      <c r="A2238" s="561" t="s">
        <v>111</v>
      </c>
      <c r="B2238" s="749">
        <v>2023</v>
      </c>
      <c r="C2238" s="561" t="s">
        <v>721</v>
      </c>
      <c r="D2238" s="561" t="s">
        <v>2413</v>
      </c>
      <c r="E2238" s="561" t="s">
        <v>724</v>
      </c>
      <c r="F2238" s="735">
        <v>0</v>
      </c>
      <c r="G2238" s="749">
        <v>1</v>
      </c>
      <c r="H2238" s="749"/>
      <c r="I2238" s="733"/>
      <c r="J2238" s="733"/>
      <c r="K2238" s="735">
        <v>0</v>
      </c>
      <c r="L2238" s="750">
        <v>0</v>
      </c>
    </row>
    <row r="2239" spans="1:12" ht="31.5" x14ac:dyDescent="0.25">
      <c r="A2239" s="561" t="s">
        <v>111</v>
      </c>
      <c r="B2239" s="749">
        <v>2023</v>
      </c>
      <c r="C2239" s="561" t="s">
        <v>721</v>
      </c>
      <c r="D2239" s="561" t="s">
        <v>2414</v>
      </c>
      <c r="E2239" s="561" t="s">
        <v>55</v>
      </c>
      <c r="F2239" s="735">
        <v>0</v>
      </c>
      <c r="G2239" s="749">
        <v>1</v>
      </c>
      <c r="H2239" s="749"/>
      <c r="I2239" s="733"/>
      <c r="J2239" s="733"/>
      <c r="K2239" s="735">
        <v>0</v>
      </c>
      <c r="L2239" s="750">
        <v>0</v>
      </c>
    </row>
    <row r="2240" spans="1:12" ht="31.5" x14ac:dyDescent="0.25">
      <c r="A2240" s="561" t="s">
        <v>111</v>
      </c>
      <c r="B2240" s="749">
        <v>2023</v>
      </c>
      <c r="C2240" s="561" t="s">
        <v>721</v>
      </c>
      <c r="D2240" s="561" t="s">
        <v>2415</v>
      </c>
      <c r="E2240" s="561" t="s">
        <v>56</v>
      </c>
      <c r="F2240" s="735">
        <v>0</v>
      </c>
      <c r="G2240" s="749">
        <v>1</v>
      </c>
      <c r="H2240" s="749"/>
      <c r="I2240" s="733"/>
      <c r="J2240" s="733"/>
      <c r="K2240" s="735">
        <v>0</v>
      </c>
      <c r="L2240" s="750">
        <v>0</v>
      </c>
    </row>
    <row r="2241" spans="1:12" ht="31.5" x14ac:dyDescent="0.25">
      <c r="A2241" s="561" t="s">
        <v>111</v>
      </c>
      <c r="B2241" s="749">
        <v>2023</v>
      </c>
      <c r="C2241" s="561" t="s">
        <v>721</v>
      </c>
      <c r="D2241" s="561" t="s">
        <v>2416</v>
      </c>
      <c r="E2241" s="561" t="s">
        <v>728</v>
      </c>
      <c r="F2241" s="735">
        <v>0</v>
      </c>
      <c r="G2241" s="749">
        <v>1</v>
      </c>
      <c r="H2241" s="749"/>
      <c r="I2241" s="733"/>
      <c r="J2241" s="733"/>
      <c r="K2241" s="735">
        <v>0</v>
      </c>
      <c r="L2241" s="750">
        <v>0</v>
      </c>
    </row>
    <row r="2242" spans="1:12" ht="31.5" x14ac:dyDescent="0.25">
      <c r="A2242" s="561" t="s">
        <v>111</v>
      </c>
      <c r="B2242" s="749">
        <v>2023</v>
      </c>
      <c r="C2242" s="561" t="s">
        <v>721</v>
      </c>
      <c r="D2242" s="561" t="s">
        <v>2417</v>
      </c>
      <c r="E2242" s="561" t="s">
        <v>730</v>
      </c>
      <c r="F2242" s="735">
        <v>0</v>
      </c>
      <c r="G2242" s="749">
        <v>1</v>
      </c>
      <c r="H2242" s="749"/>
      <c r="I2242" s="733"/>
      <c r="J2242" s="733"/>
      <c r="K2242" s="735">
        <v>0</v>
      </c>
      <c r="L2242" s="750">
        <v>0</v>
      </c>
    </row>
    <row r="2243" spans="1:12" ht="31.5" x14ac:dyDescent="0.25">
      <c r="A2243" s="561" t="s">
        <v>111</v>
      </c>
      <c r="B2243" s="749">
        <v>2023</v>
      </c>
      <c r="C2243" s="561" t="s">
        <v>721</v>
      </c>
      <c r="D2243" s="561" t="s">
        <v>2418</v>
      </c>
      <c r="E2243" s="561" t="s">
        <v>142</v>
      </c>
      <c r="F2243" s="735">
        <v>0</v>
      </c>
      <c r="G2243" s="749">
        <v>1</v>
      </c>
      <c r="H2243" s="749"/>
      <c r="I2243" s="733"/>
      <c r="J2243" s="733"/>
      <c r="K2243" s="735">
        <v>0</v>
      </c>
      <c r="L2243" s="750">
        <v>0</v>
      </c>
    </row>
    <row r="2244" spans="1:12" ht="31.5" x14ac:dyDescent="0.25">
      <c r="A2244" s="561" t="s">
        <v>111</v>
      </c>
      <c r="B2244" s="749">
        <v>2023</v>
      </c>
      <c r="C2244" s="561" t="s">
        <v>721</v>
      </c>
      <c r="D2244" s="561" t="s">
        <v>2419</v>
      </c>
      <c r="E2244" s="561" t="s">
        <v>143</v>
      </c>
      <c r="F2244" s="735">
        <v>0</v>
      </c>
      <c r="G2244" s="749">
        <v>1</v>
      </c>
      <c r="H2244" s="749"/>
      <c r="I2244" s="733"/>
      <c r="J2244" s="733"/>
      <c r="K2244" s="735">
        <v>0</v>
      </c>
      <c r="L2244" s="750">
        <v>0</v>
      </c>
    </row>
    <row r="2245" spans="1:12" ht="31.5" x14ac:dyDescent="0.25">
      <c r="A2245" s="561" t="s">
        <v>111</v>
      </c>
      <c r="B2245" s="749">
        <v>2023</v>
      </c>
      <c r="C2245" s="561" t="s">
        <v>721</v>
      </c>
      <c r="D2245" s="561" t="s">
        <v>2420</v>
      </c>
      <c r="E2245" s="561" t="s">
        <v>182</v>
      </c>
      <c r="F2245" s="735">
        <v>0</v>
      </c>
      <c r="G2245" s="749">
        <v>1</v>
      </c>
      <c r="H2245" s="749"/>
      <c r="I2245" s="733"/>
      <c r="J2245" s="733"/>
      <c r="K2245" s="735">
        <v>0</v>
      </c>
      <c r="L2245" s="750">
        <v>0</v>
      </c>
    </row>
    <row r="2246" spans="1:12" ht="31.5" x14ac:dyDescent="0.25">
      <c r="A2246" s="561" t="s">
        <v>111</v>
      </c>
      <c r="B2246" s="749">
        <v>2023</v>
      </c>
      <c r="C2246" s="561" t="s">
        <v>721</v>
      </c>
      <c r="D2246" s="561" t="s">
        <v>2421</v>
      </c>
      <c r="E2246" s="561" t="s">
        <v>394</v>
      </c>
      <c r="F2246" s="735">
        <v>0</v>
      </c>
      <c r="G2246" s="749">
        <v>1</v>
      </c>
      <c r="H2246" s="749"/>
      <c r="I2246" s="733"/>
      <c r="J2246" s="733"/>
      <c r="K2246" s="735">
        <v>0</v>
      </c>
      <c r="L2246" s="750">
        <v>0</v>
      </c>
    </row>
    <row r="2247" spans="1:12" ht="31.5" x14ac:dyDescent="0.25">
      <c r="A2247" s="561" t="s">
        <v>111</v>
      </c>
      <c r="B2247" s="749">
        <v>2023</v>
      </c>
      <c r="C2247" s="561" t="s">
        <v>721</v>
      </c>
      <c r="D2247" s="561" t="s">
        <v>2422</v>
      </c>
      <c r="E2247" s="561" t="s">
        <v>423</v>
      </c>
      <c r="F2247" s="735">
        <v>0</v>
      </c>
      <c r="G2247" s="749">
        <v>1</v>
      </c>
      <c r="H2247" s="749"/>
      <c r="I2247" s="733"/>
      <c r="J2247" s="733"/>
      <c r="K2247" s="735">
        <v>0</v>
      </c>
      <c r="L2247" s="750">
        <v>0</v>
      </c>
    </row>
    <row r="2248" spans="1:12" ht="31.5" x14ac:dyDescent="0.25">
      <c r="A2248" s="561" t="s">
        <v>111</v>
      </c>
      <c r="B2248" s="749">
        <v>2023</v>
      </c>
      <c r="C2248" s="561" t="s">
        <v>721</v>
      </c>
      <c r="D2248" s="561" t="s">
        <v>3281</v>
      </c>
      <c r="E2248" s="561" t="s">
        <v>441</v>
      </c>
      <c r="F2248" s="735">
        <v>0</v>
      </c>
      <c r="G2248" s="749">
        <v>1</v>
      </c>
      <c r="H2248" s="749"/>
      <c r="I2248" s="733"/>
      <c r="J2248" s="733"/>
      <c r="K2248" s="735">
        <v>0</v>
      </c>
      <c r="L2248" s="750">
        <v>0</v>
      </c>
    </row>
    <row r="2249" spans="1:12" ht="31.5" x14ac:dyDescent="0.25">
      <c r="A2249" s="561" t="s">
        <v>111</v>
      </c>
      <c r="B2249" s="749">
        <v>2023</v>
      </c>
      <c r="C2249" s="561" t="s">
        <v>721</v>
      </c>
      <c r="D2249" s="561" t="s">
        <v>3585</v>
      </c>
      <c r="E2249" s="561" t="s">
        <v>3016</v>
      </c>
      <c r="F2249" s="735">
        <v>0</v>
      </c>
      <c r="G2249" s="749">
        <v>1</v>
      </c>
      <c r="H2249" s="749"/>
      <c r="I2249" s="735">
        <v>71042.14</v>
      </c>
      <c r="J2249" s="735">
        <v>9058.43</v>
      </c>
      <c r="K2249" s="735">
        <v>80100.570000000007</v>
      </c>
      <c r="L2249" s="750">
        <v>80100.570000000007</v>
      </c>
    </row>
    <row r="2250" spans="1:12" ht="31.5" x14ac:dyDescent="0.25">
      <c r="A2250" s="561" t="s">
        <v>111</v>
      </c>
      <c r="B2250" s="749">
        <v>2023</v>
      </c>
      <c r="C2250" s="561" t="s">
        <v>721</v>
      </c>
      <c r="D2250" s="561" t="s">
        <v>3586</v>
      </c>
      <c r="E2250" s="561" t="s">
        <v>3058</v>
      </c>
      <c r="F2250" s="735">
        <v>0</v>
      </c>
      <c r="G2250" s="749">
        <v>1</v>
      </c>
      <c r="H2250" s="749"/>
      <c r="I2250" s="733"/>
      <c r="J2250" s="733"/>
      <c r="K2250" s="735">
        <v>0</v>
      </c>
      <c r="L2250" s="750">
        <v>0</v>
      </c>
    </row>
    <row r="2251" spans="1:12" ht="31.5" x14ac:dyDescent="0.25">
      <c r="A2251" s="561" t="s">
        <v>111</v>
      </c>
      <c r="B2251" s="749">
        <v>2023</v>
      </c>
      <c r="C2251" s="561" t="s">
        <v>721</v>
      </c>
      <c r="D2251" s="561" t="s">
        <v>3587</v>
      </c>
      <c r="E2251" s="561" t="s">
        <v>3063</v>
      </c>
      <c r="F2251" s="735">
        <v>0</v>
      </c>
      <c r="G2251" s="749">
        <v>1</v>
      </c>
      <c r="H2251" s="749"/>
      <c r="I2251" s="735">
        <v>287.95</v>
      </c>
      <c r="J2251" s="735">
        <v>1365.18</v>
      </c>
      <c r="K2251" s="735">
        <v>1653.13</v>
      </c>
      <c r="L2251" s="750">
        <v>1653.13</v>
      </c>
    </row>
    <row r="2252" spans="1:12" ht="31.5" x14ac:dyDescent="0.25">
      <c r="A2252" s="561" t="s">
        <v>111</v>
      </c>
      <c r="B2252" s="749">
        <v>2023</v>
      </c>
      <c r="C2252" s="561" t="s">
        <v>721</v>
      </c>
      <c r="D2252" s="561" t="s">
        <v>3910</v>
      </c>
      <c r="E2252" s="561" t="s">
        <v>3425</v>
      </c>
      <c r="F2252" s="735">
        <v>0</v>
      </c>
      <c r="G2252" s="749">
        <v>1</v>
      </c>
      <c r="H2252" s="749"/>
      <c r="I2252" s="735">
        <v>-94081.27</v>
      </c>
      <c r="J2252" s="735">
        <v>-900.83</v>
      </c>
      <c r="K2252" s="735">
        <v>-94982.1</v>
      </c>
      <c r="L2252" s="750">
        <v>-94982.1</v>
      </c>
    </row>
    <row r="2253" spans="1:12" ht="42" x14ac:dyDescent="0.25">
      <c r="A2253" s="561" t="s">
        <v>111</v>
      </c>
      <c r="B2253" s="749">
        <v>2023</v>
      </c>
      <c r="C2253" s="561" t="s">
        <v>721</v>
      </c>
      <c r="D2253" s="561" t="s">
        <v>3911</v>
      </c>
      <c r="E2253" s="561" t="s">
        <v>737</v>
      </c>
      <c r="F2253" s="735">
        <v>-13228.4</v>
      </c>
      <c r="G2253" s="749">
        <v>0</v>
      </c>
      <c r="H2253" s="749"/>
      <c r="I2253" s="733"/>
      <c r="J2253" s="733"/>
      <c r="K2253" s="735">
        <v>0</v>
      </c>
      <c r="L2253" s="750">
        <v>-13228.4</v>
      </c>
    </row>
    <row r="2254" spans="1:12" x14ac:dyDescent="0.25">
      <c r="A2254" s="561" t="s">
        <v>111</v>
      </c>
      <c r="B2254" s="749">
        <v>2023</v>
      </c>
      <c r="C2254" s="561" t="s">
        <v>738</v>
      </c>
      <c r="D2254" s="561" t="s">
        <v>2424</v>
      </c>
      <c r="E2254" s="561" t="s">
        <v>7</v>
      </c>
      <c r="F2254" s="735">
        <v>0</v>
      </c>
      <c r="G2254" s="749">
        <v>0</v>
      </c>
      <c r="H2254" s="749"/>
      <c r="I2254" s="733"/>
      <c r="J2254" s="733"/>
      <c r="K2254" s="735">
        <v>0</v>
      </c>
      <c r="L2254" s="750">
        <v>0</v>
      </c>
    </row>
    <row r="2255" spans="1:12" x14ac:dyDescent="0.25">
      <c r="A2255" s="561" t="s">
        <v>113</v>
      </c>
      <c r="B2255" s="749">
        <v>2023</v>
      </c>
      <c r="C2255" s="561" t="s">
        <v>647</v>
      </c>
      <c r="D2255" s="561" t="s">
        <v>2425</v>
      </c>
      <c r="E2255" s="561" t="s">
        <v>649</v>
      </c>
      <c r="F2255" s="735">
        <v>17767678.539999999</v>
      </c>
      <c r="G2255" s="749">
        <v>0</v>
      </c>
      <c r="H2255" s="749"/>
      <c r="I2255" s="733"/>
      <c r="J2255" s="733"/>
      <c r="K2255" s="735">
        <v>0</v>
      </c>
      <c r="L2255" s="750">
        <v>17767678.539999999</v>
      </c>
    </row>
    <row r="2256" spans="1:12" ht="21" x14ac:dyDescent="0.25">
      <c r="A2256" s="561" t="s">
        <v>113</v>
      </c>
      <c r="B2256" s="749">
        <v>2023</v>
      </c>
      <c r="C2256" s="561" t="s">
        <v>3691</v>
      </c>
      <c r="D2256" s="561" t="s">
        <v>3664</v>
      </c>
      <c r="E2256" s="561" t="s">
        <v>3675</v>
      </c>
      <c r="F2256" s="735">
        <v>421369.92</v>
      </c>
      <c r="G2256" s="749">
        <v>0</v>
      </c>
      <c r="H2256" s="749"/>
      <c r="I2256" s="733"/>
      <c r="J2256" s="733"/>
      <c r="K2256" s="735">
        <v>0</v>
      </c>
      <c r="L2256" s="750">
        <v>421369.92</v>
      </c>
    </row>
    <row r="2257" spans="1:12" x14ac:dyDescent="0.25">
      <c r="A2257" s="561" t="s">
        <v>113</v>
      </c>
      <c r="B2257" s="749">
        <v>2023</v>
      </c>
      <c r="C2257" s="561" t="s">
        <v>651</v>
      </c>
      <c r="D2257" s="561" t="s">
        <v>2426</v>
      </c>
      <c r="E2257" s="561" t="s">
        <v>653</v>
      </c>
      <c r="F2257" s="735">
        <v>-12321.38</v>
      </c>
      <c r="G2257" s="749">
        <v>0</v>
      </c>
      <c r="H2257" s="749"/>
      <c r="I2257" s="733"/>
      <c r="J2257" s="733"/>
      <c r="K2257" s="735">
        <v>0</v>
      </c>
      <c r="L2257" s="750">
        <v>-12321.38</v>
      </c>
    </row>
    <row r="2258" spans="1:12" ht="31.5" x14ac:dyDescent="0.25">
      <c r="A2258" s="561" t="s">
        <v>113</v>
      </c>
      <c r="B2258" s="749">
        <v>2023</v>
      </c>
      <c r="C2258" s="561" t="s">
        <v>654</v>
      </c>
      <c r="D2258" s="561" t="s">
        <v>2427</v>
      </c>
      <c r="E2258" s="561" t="s">
        <v>445</v>
      </c>
      <c r="F2258" s="735">
        <v>0</v>
      </c>
      <c r="G2258" s="749">
        <v>0</v>
      </c>
      <c r="H2258" s="749"/>
      <c r="I2258" s="733"/>
      <c r="J2258" s="733"/>
      <c r="K2258" s="735">
        <v>0</v>
      </c>
      <c r="L2258" s="750">
        <v>0</v>
      </c>
    </row>
    <row r="2259" spans="1:12" ht="21" x14ac:dyDescent="0.25">
      <c r="A2259" s="561" t="s">
        <v>113</v>
      </c>
      <c r="B2259" s="749">
        <v>2023</v>
      </c>
      <c r="C2259" s="561" t="s">
        <v>656</v>
      </c>
      <c r="D2259" s="561" t="s">
        <v>2428</v>
      </c>
      <c r="E2259" s="561" t="s">
        <v>658</v>
      </c>
      <c r="F2259" s="735">
        <v>0</v>
      </c>
      <c r="G2259" s="749">
        <v>0</v>
      </c>
      <c r="H2259" s="749"/>
      <c r="I2259" s="733"/>
      <c r="J2259" s="733"/>
      <c r="K2259" s="735">
        <v>0</v>
      </c>
      <c r="L2259" s="750">
        <v>0</v>
      </c>
    </row>
    <row r="2260" spans="1:12" ht="21" x14ac:dyDescent="0.25">
      <c r="A2260" s="561" t="s">
        <v>113</v>
      </c>
      <c r="B2260" s="749">
        <v>2023</v>
      </c>
      <c r="C2260" s="561" t="s">
        <v>659</v>
      </c>
      <c r="D2260" s="561" t="s">
        <v>2429</v>
      </c>
      <c r="E2260" s="561" t="s">
        <v>661</v>
      </c>
      <c r="F2260" s="735">
        <v>0</v>
      </c>
      <c r="G2260" s="749">
        <v>0</v>
      </c>
      <c r="H2260" s="749"/>
      <c r="I2260" s="733"/>
      <c r="J2260" s="733"/>
      <c r="K2260" s="735">
        <v>0</v>
      </c>
      <c r="L2260" s="750">
        <v>0</v>
      </c>
    </row>
    <row r="2261" spans="1:12" ht="21" x14ac:dyDescent="0.25">
      <c r="A2261" s="561" t="s">
        <v>113</v>
      </c>
      <c r="B2261" s="749">
        <v>2023</v>
      </c>
      <c r="C2261" s="561" t="s">
        <v>662</v>
      </c>
      <c r="D2261" s="561" t="s">
        <v>2430</v>
      </c>
      <c r="E2261" s="561" t="s">
        <v>664</v>
      </c>
      <c r="F2261" s="735">
        <v>0</v>
      </c>
      <c r="G2261" s="749">
        <v>0</v>
      </c>
      <c r="H2261" s="749"/>
      <c r="I2261" s="733"/>
      <c r="J2261" s="733"/>
      <c r="K2261" s="735">
        <v>0</v>
      </c>
      <c r="L2261" s="750">
        <v>0</v>
      </c>
    </row>
    <row r="2262" spans="1:12" ht="31.5" x14ac:dyDescent="0.25">
      <c r="A2262" s="561" t="s">
        <v>113</v>
      </c>
      <c r="B2262" s="749">
        <v>2023</v>
      </c>
      <c r="C2262" s="561" t="s">
        <v>665</v>
      </c>
      <c r="D2262" s="561" t="s">
        <v>2431</v>
      </c>
      <c r="E2262" s="561" t="s">
        <v>667</v>
      </c>
      <c r="F2262" s="735">
        <v>0</v>
      </c>
      <c r="G2262" s="749">
        <v>0</v>
      </c>
      <c r="H2262" s="749"/>
      <c r="I2262" s="733"/>
      <c r="J2262" s="733"/>
      <c r="K2262" s="735">
        <v>0</v>
      </c>
      <c r="L2262" s="750">
        <v>0</v>
      </c>
    </row>
    <row r="2263" spans="1:12" ht="21" x14ac:dyDescent="0.25">
      <c r="A2263" s="561" t="s">
        <v>113</v>
      </c>
      <c r="B2263" s="749">
        <v>2023</v>
      </c>
      <c r="C2263" s="561" t="s">
        <v>668</v>
      </c>
      <c r="D2263" s="561" t="s">
        <v>2432</v>
      </c>
      <c r="E2263" s="561" t="s">
        <v>12</v>
      </c>
      <c r="F2263" s="735">
        <v>0</v>
      </c>
      <c r="G2263" s="749">
        <v>0</v>
      </c>
      <c r="H2263" s="749"/>
      <c r="I2263" s="733"/>
      <c r="J2263" s="733"/>
      <c r="K2263" s="735">
        <v>0</v>
      </c>
      <c r="L2263" s="750">
        <v>0</v>
      </c>
    </row>
    <row r="2264" spans="1:12" ht="21" x14ac:dyDescent="0.25">
      <c r="A2264" s="561" t="s">
        <v>113</v>
      </c>
      <c r="B2264" s="749">
        <v>2023</v>
      </c>
      <c r="C2264" s="561" t="s">
        <v>670</v>
      </c>
      <c r="D2264" s="561" t="s">
        <v>2433</v>
      </c>
      <c r="E2264" s="561" t="s">
        <v>13</v>
      </c>
      <c r="F2264" s="735">
        <v>0</v>
      </c>
      <c r="G2264" s="749">
        <v>0</v>
      </c>
      <c r="H2264" s="749"/>
      <c r="I2264" s="733"/>
      <c r="J2264" s="733"/>
      <c r="K2264" s="735">
        <v>0</v>
      </c>
      <c r="L2264" s="750">
        <v>0</v>
      </c>
    </row>
    <row r="2265" spans="1:12" ht="21" x14ac:dyDescent="0.25">
      <c r="A2265" s="561" t="s">
        <v>113</v>
      </c>
      <c r="B2265" s="749">
        <v>2023</v>
      </c>
      <c r="C2265" s="561" t="s">
        <v>672</v>
      </c>
      <c r="D2265" s="561" t="s">
        <v>2434</v>
      </c>
      <c r="E2265" s="561" t="s">
        <v>15</v>
      </c>
      <c r="F2265" s="735">
        <v>0</v>
      </c>
      <c r="G2265" s="749">
        <v>0</v>
      </c>
      <c r="H2265" s="749"/>
      <c r="I2265" s="733"/>
      <c r="J2265" s="733"/>
      <c r="K2265" s="735">
        <v>0</v>
      </c>
      <c r="L2265" s="750">
        <v>0</v>
      </c>
    </row>
    <row r="2266" spans="1:12" x14ac:dyDescent="0.25">
      <c r="A2266" s="561" t="s">
        <v>113</v>
      </c>
      <c r="B2266" s="749">
        <v>2023</v>
      </c>
      <c r="C2266" s="561" t="s">
        <v>674</v>
      </c>
      <c r="D2266" s="561" t="s">
        <v>2435</v>
      </c>
      <c r="E2266" s="561" t="s">
        <v>676</v>
      </c>
      <c r="F2266" s="735">
        <v>63507.03</v>
      </c>
      <c r="G2266" s="749">
        <v>0</v>
      </c>
      <c r="H2266" s="749"/>
      <c r="I2266" s="733"/>
      <c r="J2266" s="733"/>
      <c r="K2266" s="735">
        <v>0</v>
      </c>
      <c r="L2266" s="750">
        <v>63507.03</v>
      </c>
    </row>
    <row r="2267" spans="1:12" x14ac:dyDescent="0.25">
      <c r="A2267" s="561" t="s">
        <v>113</v>
      </c>
      <c r="B2267" s="749">
        <v>2023</v>
      </c>
      <c r="C2267" s="561" t="s">
        <v>677</v>
      </c>
      <c r="D2267" s="561" t="s">
        <v>2436</v>
      </c>
      <c r="E2267" s="561" t="s">
        <v>23</v>
      </c>
      <c r="F2267" s="735">
        <v>0</v>
      </c>
      <c r="G2267" s="749">
        <v>1</v>
      </c>
      <c r="H2267" s="749"/>
      <c r="I2267" s="733"/>
      <c r="J2267" s="733"/>
      <c r="K2267" s="735">
        <v>0</v>
      </c>
      <c r="L2267" s="750">
        <v>0</v>
      </c>
    </row>
    <row r="2268" spans="1:12" ht="21" x14ac:dyDescent="0.25">
      <c r="A2268" s="561" t="s">
        <v>113</v>
      </c>
      <c r="B2268" s="749">
        <v>2023</v>
      </c>
      <c r="C2268" s="561" t="s">
        <v>679</v>
      </c>
      <c r="D2268" s="561" t="s">
        <v>2437</v>
      </c>
      <c r="E2268" s="561" t="s">
        <v>131</v>
      </c>
      <c r="F2268" s="735">
        <v>-110852.41</v>
      </c>
      <c r="G2268" s="749">
        <v>1</v>
      </c>
      <c r="H2268" s="749"/>
      <c r="I2268" s="735">
        <v>-109906.96</v>
      </c>
      <c r="J2268" s="735">
        <v>-945.45</v>
      </c>
      <c r="K2268" s="735">
        <v>-110852.41</v>
      </c>
      <c r="L2268" s="750">
        <v>-110852.41</v>
      </c>
    </row>
    <row r="2269" spans="1:12" ht="31.5" x14ac:dyDescent="0.25">
      <c r="A2269" s="561" t="s">
        <v>113</v>
      </c>
      <c r="B2269" s="749">
        <v>2023</v>
      </c>
      <c r="C2269" s="561" t="s">
        <v>681</v>
      </c>
      <c r="D2269" s="561" t="s">
        <v>2438</v>
      </c>
      <c r="E2269" s="561" t="s">
        <v>683</v>
      </c>
      <c r="F2269" s="735">
        <v>0</v>
      </c>
      <c r="G2269" s="749">
        <v>0</v>
      </c>
      <c r="H2269" s="749"/>
      <c r="I2269" s="733"/>
      <c r="J2269" s="733"/>
      <c r="K2269" s="735">
        <v>0</v>
      </c>
      <c r="L2269" s="750">
        <v>0</v>
      </c>
    </row>
    <row r="2270" spans="1:12" ht="21" x14ac:dyDescent="0.25">
      <c r="A2270" s="561" t="s">
        <v>113</v>
      </c>
      <c r="B2270" s="749">
        <v>2023</v>
      </c>
      <c r="C2270" s="561" t="s">
        <v>681</v>
      </c>
      <c r="D2270" s="561" t="s">
        <v>2438</v>
      </c>
      <c r="E2270" s="561" t="s">
        <v>684</v>
      </c>
      <c r="F2270" s="735">
        <v>0</v>
      </c>
      <c r="G2270" s="749">
        <v>0</v>
      </c>
      <c r="H2270" s="749"/>
      <c r="I2270" s="733"/>
      <c r="J2270" s="733"/>
      <c r="K2270" s="735">
        <v>0</v>
      </c>
      <c r="L2270" s="751">
        <v>0</v>
      </c>
    </row>
    <row r="2271" spans="1:12" x14ac:dyDescent="0.25">
      <c r="A2271" s="561" t="s">
        <v>113</v>
      </c>
      <c r="B2271" s="749">
        <v>2023</v>
      </c>
      <c r="C2271" s="561" t="s">
        <v>685</v>
      </c>
      <c r="D2271" s="561" t="s">
        <v>2439</v>
      </c>
      <c r="E2271" s="561" t="s">
        <v>687</v>
      </c>
      <c r="F2271" s="735">
        <v>0</v>
      </c>
      <c r="G2271" s="749">
        <v>0</v>
      </c>
      <c r="H2271" s="749"/>
      <c r="I2271" s="733"/>
      <c r="J2271" s="733"/>
      <c r="K2271" s="735">
        <v>0</v>
      </c>
      <c r="L2271" s="750">
        <v>0</v>
      </c>
    </row>
    <row r="2272" spans="1:12" x14ac:dyDescent="0.25">
      <c r="A2272" s="561" t="s">
        <v>113</v>
      </c>
      <c r="B2272" s="749">
        <v>2023</v>
      </c>
      <c r="C2272" s="561" t="s">
        <v>688</v>
      </c>
      <c r="D2272" s="561" t="s">
        <v>2440</v>
      </c>
      <c r="E2272" s="561" t="s">
        <v>50</v>
      </c>
      <c r="F2272" s="735">
        <v>525.22</v>
      </c>
      <c r="G2272" s="749">
        <v>0</v>
      </c>
      <c r="H2272" s="749"/>
      <c r="I2272" s="733"/>
      <c r="J2272" s="733"/>
      <c r="K2272" s="735">
        <v>0</v>
      </c>
      <c r="L2272" s="750">
        <v>525.22</v>
      </c>
    </row>
    <row r="2273" spans="1:12" x14ac:dyDescent="0.25">
      <c r="A2273" s="561" t="s">
        <v>113</v>
      </c>
      <c r="B2273" s="749">
        <v>2023</v>
      </c>
      <c r="C2273" s="561" t="s">
        <v>690</v>
      </c>
      <c r="D2273" s="561" t="s">
        <v>2441</v>
      </c>
      <c r="E2273" s="561" t="s">
        <v>692</v>
      </c>
      <c r="F2273" s="735">
        <v>0</v>
      </c>
      <c r="G2273" s="749">
        <v>0</v>
      </c>
      <c r="H2273" s="749"/>
      <c r="I2273" s="733"/>
      <c r="J2273" s="733"/>
      <c r="K2273" s="735">
        <v>0</v>
      </c>
      <c r="L2273" s="750">
        <v>0</v>
      </c>
    </row>
    <row r="2274" spans="1:12" ht="21" x14ac:dyDescent="0.25">
      <c r="A2274" s="561" t="s">
        <v>113</v>
      </c>
      <c r="B2274" s="749">
        <v>2023</v>
      </c>
      <c r="C2274" s="561" t="s">
        <v>693</v>
      </c>
      <c r="D2274" s="561" t="s">
        <v>2442</v>
      </c>
      <c r="E2274" s="561" t="s">
        <v>6</v>
      </c>
      <c r="F2274" s="735">
        <v>0</v>
      </c>
      <c r="G2274" s="749">
        <v>0</v>
      </c>
      <c r="H2274" s="749"/>
      <c r="I2274" s="733"/>
      <c r="J2274" s="733"/>
      <c r="K2274" s="735">
        <v>0</v>
      </c>
      <c r="L2274" s="750">
        <v>0</v>
      </c>
    </row>
    <row r="2275" spans="1:12" ht="21" x14ac:dyDescent="0.25">
      <c r="A2275" s="561" t="s">
        <v>113</v>
      </c>
      <c r="B2275" s="749">
        <v>2023</v>
      </c>
      <c r="C2275" s="561" t="s">
        <v>695</v>
      </c>
      <c r="D2275" s="561" t="s">
        <v>2443</v>
      </c>
      <c r="E2275" s="561" t="s">
        <v>697</v>
      </c>
      <c r="F2275" s="735">
        <v>0</v>
      </c>
      <c r="G2275" s="749">
        <v>0</v>
      </c>
      <c r="H2275" s="749"/>
      <c r="I2275" s="733"/>
      <c r="J2275" s="733"/>
      <c r="K2275" s="735">
        <v>0</v>
      </c>
      <c r="L2275" s="750">
        <v>0</v>
      </c>
    </row>
    <row r="2276" spans="1:12" x14ac:dyDescent="0.25">
      <c r="A2276" s="561" t="s">
        <v>113</v>
      </c>
      <c r="B2276" s="749">
        <v>2023</v>
      </c>
      <c r="C2276" s="561" t="s">
        <v>698</v>
      </c>
      <c r="D2276" s="561" t="s">
        <v>2444</v>
      </c>
      <c r="E2276" s="561" t="s">
        <v>700</v>
      </c>
      <c r="F2276" s="735">
        <v>0</v>
      </c>
      <c r="G2276" s="749">
        <v>0</v>
      </c>
      <c r="H2276" s="749"/>
      <c r="I2276" s="733"/>
      <c r="J2276" s="733"/>
      <c r="K2276" s="735">
        <v>0</v>
      </c>
      <c r="L2276" s="750">
        <v>0</v>
      </c>
    </row>
    <row r="2277" spans="1:12" ht="21" x14ac:dyDescent="0.25">
      <c r="A2277" s="561" t="s">
        <v>113</v>
      </c>
      <c r="B2277" s="749">
        <v>2023</v>
      </c>
      <c r="C2277" s="561" t="s">
        <v>701</v>
      </c>
      <c r="D2277" s="561" t="s">
        <v>2445</v>
      </c>
      <c r="E2277" s="561" t="s">
        <v>1</v>
      </c>
      <c r="F2277" s="735">
        <v>2691789.49</v>
      </c>
      <c r="G2277" s="749">
        <v>1</v>
      </c>
      <c r="H2277" s="749"/>
      <c r="I2277" s="735">
        <v>2664305.15</v>
      </c>
      <c r="J2277" s="735">
        <v>27484.34</v>
      </c>
      <c r="K2277" s="735">
        <v>2691789.49</v>
      </c>
      <c r="L2277" s="750">
        <v>2691789.49</v>
      </c>
    </row>
    <row r="2278" spans="1:12" ht="21" x14ac:dyDescent="0.25">
      <c r="A2278" s="561" t="s">
        <v>113</v>
      </c>
      <c r="B2278" s="749">
        <v>2023</v>
      </c>
      <c r="C2278" s="561" t="s">
        <v>701</v>
      </c>
      <c r="D2278" s="561" t="s">
        <v>2445</v>
      </c>
      <c r="E2278" s="561" t="s">
        <v>703</v>
      </c>
      <c r="F2278" s="735">
        <v>0</v>
      </c>
      <c r="G2278" s="749">
        <v>0</v>
      </c>
      <c r="H2278" s="749"/>
      <c r="I2278" s="733"/>
      <c r="J2278" s="733"/>
      <c r="K2278" s="735">
        <v>0</v>
      </c>
      <c r="L2278" s="751">
        <v>0</v>
      </c>
    </row>
    <row r="2279" spans="1:12" ht="21" x14ac:dyDescent="0.25">
      <c r="A2279" s="561" t="s">
        <v>113</v>
      </c>
      <c r="B2279" s="749">
        <v>2023</v>
      </c>
      <c r="C2279" s="561" t="s">
        <v>701</v>
      </c>
      <c r="D2279" s="561" t="s">
        <v>2445</v>
      </c>
      <c r="E2279" s="561" t="s">
        <v>704</v>
      </c>
      <c r="F2279" s="735">
        <v>0</v>
      </c>
      <c r="G2279" s="749">
        <v>0</v>
      </c>
      <c r="H2279" s="749"/>
      <c r="I2279" s="733"/>
      <c r="J2279" s="733"/>
      <c r="K2279" s="735">
        <v>0</v>
      </c>
      <c r="L2279" s="751">
        <v>0</v>
      </c>
    </row>
    <row r="2280" spans="1:12" ht="21" x14ac:dyDescent="0.25">
      <c r="A2280" s="561" t="s">
        <v>113</v>
      </c>
      <c r="B2280" s="749">
        <v>2023</v>
      </c>
      <c r="C2280" s="561" t="s">
        <v>701</v>
      </c>
      <c r="D2280" s="561" t="s">
        <v>2445</v>
      </c>
      <c r="E2280" s="561" t="s">
        <v>705</v>
      </c>
      <c r="F2280" s="735">
        <v>0</v>
      </c>
      <c r="G2280" s="749">
        <v>0</v>
      </c>
      <c r="H2280" s="749"/>
      <c r="I2280" s="733"/>
      <c r="J2280" s="733"/>
      <c r="K2280" s="735">
        <v>0</v>
      </c>
      <c r="L2280" s="751">
        <v>-3257.86</v>
      </c>
    </row>
    <row r="2281" spans="1:12" ht="21" x14ac:dyDescent="0.25">
      <c r="A2281" s="561" t="s">
        <v>113</v>
      </c>
      <c r="B2281" s="749">
        <v>2023</v>
      </c>
      <c r="C2281" s="561" t="s">
        <v>701</v>
      </c>
      <c r="D2281" s="561" t="s">
        <v>2445</v>
      </c>
      <c r="E2281" s="561" t="s">
        <v>706</v>
      </c>
      <c r="F2281" s="735">
        <v>0</v>
      </c>
      <c r="G2281" s="749">
        <v>0</v>
      </c>
      <c r="H2281" s="749"/>
      <c r="I2281" s="733"/>
      <c r="J2281" s="733"/>
      <c r="K2281" s="735">
        <v>0</v>
      </c>
      <c r="L2281" s="751">
        <v>-160872.82</v>
      </c>
    </row>
    <row r="2282" spans="1:12" x14ac:dyDescent="0.25">
      <c r="A2282" s="561" t="s">
        <v>113</v>
      </c>
      <c r="B2282" s="749">
        <v>2023</v>
      </c>
      <c r="C2282" s="561" t="s">
        <v>707</v>
      </c>
      <c r="D2282" s="561" t="s">
        <v>2446</v>
      </c>
      <c r="E2282" s="561" t="s">
        <v>709</v>
      </c>
      <c r="F2282" s="735">
        <v>0</v>
      </c>
      <c r="G2282" s="749">
        <v>0</v>
      </c>
      <c r="H2282" s="749"/>
      <c r="I2282" s="733"/>
      <c r="J2282" s="733"/>
      <c r="K2282" s="735">
        <v>0</v>
      </c>
      <c r="L2282" s="750">
        <v>0</v>
      </c>
    </row>
    <row r="2283" spans="1:12" ht="21" x14ac:dyDescent="0.25">
      <c r="A2283" s="561" t="s">
        <v>113</v>
      </c>
      <c r="B2283" s="749">
        <v>2023</v>
      </c>
      <c r="C2283" s="561" t="s">
        <v>710</v>
      </c>
      <c r="D2283" s="561" t="s">
        <v>2447</v>
      </c>
      <c r="E2283" s="561" t="s">
        <v>2</v>
      </c>
      <c r="F2283" s="735">
        <v>718452.72</v>
      </c>
      <c r="G2283" s="749">
        <v>1</v>
      </c>
      <c r="H2283" s="749"/>
      <c r="I2283" s="735">
        <v>705466.2</v>
      </c>
      <c r="J2283" s="735">
        <v>12986.52</v>
      </c>
      <c r="K2283" s="735">
        <v>718452.72</v>
      </c>
      <c r="L2283" s="750">
        <v>718452.72</v>
      </c>
    </row>
    <row r="2284" spans="1:12" ht="21" x14ac:dyDescent="0.25">
      <c r="A2284" s="561" t="s">
        <v>113</v>
      </c>
      <c r="B2284" s="749">
        <v>2023</v>
      </c>
      <c r="C2284" s="561" t="s">
        <v>712</v>
      </c>
      <c r="D2284" s="561" t="s">
        <v>2448</v>
      </c>
      <c r="E2284" s="561" t="s">
        <v>3</v>
      </c>
      <c r="F2284" s="735">
        <v>0</v>
      </c>
      <c r="G2284" s="749">
        <v>1</v>
      </c>
      <c r="H2284" s="749"/>
      <c r="I2284" s="733"/>
      <c r="J2284" s="733"/>
      <c r="K2284" s="735">
        <v>0</v>
      </c>
      <c r="L2284" s="750">
        <v>0</v>
      </c>
    </row>
    <row r="2285" spans="1:12" ht="21" x14ac:dyDescent="0.25">
      <c r="A2285" s="561" t="s">
        <v>113</v>
      </c>
      <c r="B2285" s="749">
        <v>2023</v>
      </c>
      <c r="C2285" s="561" t="s">
        <v>714</v>
      </c>
      <c r="D2285" s="561" t="s">
        <v>2449</v>
      </c>
      <c r="E2285" s="561" t="s">
        <v>38</v>
      </c>
      <c r="F2285" s="735">
        <v>-1251368.46</v>
      </c>
      <c r="G2285" s="749">
        <v>1</v>
      </c>
      <c r="H2285" s="749"/>
      <c r="I2285" s="735">
        <v>-1198404.67</v>
      </c>
      <c r="J2285" s="735">
        <v>-52963.79</v>
      </c>
      <c r="K2285" s="735">
        <v>-1251368.46</v>
      </c>
      <c r="L2285" s="750">
        <v>-1251368.46</v>
      </c>
    </row>
    <row r="2286" spans="1:12" x14ac:dyDescent="0.25">
      <c r="A2286" s="561" t="s">
        <v>113</v>
      </c>
      <c r="B2286" s="749">
        <v>2023</v>
      </c>
      <c r="C2286" s="561" t="s">
        <v>716</v>
      </c>
      <c r="D2286" s="561" t="s">
        <v>2450</v>
      </c>
      <c r="E2286" s="561" t="s">
        <v>66</v>
      </c>
      <c r="F2286" s="735">
        <v>-113917.62</v>
      </c>
      <c r="G2286" s="749">
        <v>1</v>
      </c>
      <c r="H2286" s="749"/>
      <c r="I2286" s="735">
        <v>-126535.91</v>
      </c>
      <c r="J2286" s="735">
        <v>12618.29</v>
      </c>
      <c r="K2286" s="735">
        <v>-113917.62</v>
      </c>
      <c r="L2286" s="750">
        <v>-113917.62</v>
      </c>
    </row>
    <row r="2287" spans="1:12" ht="21" x14ac:dyDescent="0.25">
      <c r="A2287" s="561" t="s">
        <v>113</v>
      </c>
      <c r="B2287" s="749">
        <v>2023</v>
      </c>
      <c r="C2287" s="561" t="s">
        <v>718</v>
      </c>
      <c r="D2287" s="561" t="s">
        <v>2451</v>
      </c>
      <c r="E2287" s="561" t="s">
        <v>720</v>
      </c>
      <c r="F2287" s="735">
        <v>-608032.41</v>
      </c>
      <c r="G2287" s="749">
        <v>0</v>
      </c>
      <c r="H2287" s="749"/>
      <c r="I2287" s="733"/>
      <c r="J2287" s="733"/>
      <c r="K2287" s="735">
        <v>0</v>
      </c>
      <c r="L2287" s="750">
        <v>-608032.41</v>
      </c>
    </row>
    <row r="2288" spans="1:12" ht="31.5" x14ac:dyDescent="0.25">
      <c r="A2288" s="561" t="s">
        <v>113</v>
      </c>
      <c r="B2288" s="749">
        <v>2023</v>
      </c>
      <c r="C2288" s="561" t="s">
        <v>721</v>
      </c>
      <c r="D2288" s="561" t="s">
        <v>2453</v>
      </c>
      <c r="E2288" s="561" t="s">
        <v>724</v>
      </c>
      <c r="F2288" s="735">
        <v>0</v>
      </c>
      <c r="G2288" s="749">
        <v>1</v>
      </c>
      <c r="H2288" s="749"/>
      <c r="I2288" s="733"/>
      <c r="J2288" s="733"/>
      <c r="K2288" s="735">
        <v>0</v>
      </c>
      <c r="L2288" s="750">
        <v>0</v>
      </c>
    </row>
    <row r="2289" spans="1:12" ht="31.5" x14ac:dyDescent="0.25">
      <c r="A2289" s="561" t="s">
        <v>113</v>
      </c>
      <c r="B2289" s="749">
        <v>2023</v>
      </c>
      <c r="C2289" s="561" t="s">
        <v>721</v>
      </c>
      <c r="D2289" s="561" t="s">
        <v>2454</v>
      </c>
      <c r="E2289" s="561" t="s">
        <v>55</v>
      </c>
      <c r="F2289" s="735">
        <v>0</v>
      </c>
      <c r="G2289" s="749">
        <v>1</v>
      </c>
      <c r="H2289" s="749"/>
      <c r="I2289" s="733"/>
      <c r="J2289" s="733"/>
      <c r="K2289" s="735">
        <v>0</v>
      </c>
      <c r="L2289" s="750">
        <v>0</v>
      </c>
    </row>
    <row r="2290" spans="1:12" ht="31.5" x14ac:dyDescent="0.25">
      <c r="A2290" s="561" t="s">
        <v>113</v>
      </c>
      <c r="B2290" s="749">
        <v>2023</v>
      </c>
      <c r="C2290" s="561" t="s">
        <v>721</v>
      </c>
      <c r="D2290" s="561" t="s">
        <v>2455</v>
      </c>
      <c r="E2290" s="561" t="s">
        <v>56</v>
      </c>
      <c r="F2290" s="735">
        <v>0</v>
      </c>
      <c r="G2290" s="749">
        <v>1</v>
      </c>
      <c r="H2290" s="749"/>
      <c r="I2290" s="733"/>
      <c r="J2290" s="733"/>
      <c r="K2290" s="735">
        <v>0</v>
      </c>
      <c r="L2290" s="750">
        <v>0</v>
      </c>
    </row>
    <row r="2291" spans="1:12" ht="31.5" x14ac:dyDescent="0.25">
      <c r="A2291" s="561" t="s">
        <v>113</v>
      </c>
      <c r="B2291" s="749">
        <v>2023</v>
      </c>
      <c r="C2291" s="561" t="s">
        <v>721</v>
      </c>
      <c r="D2291" s="561" t="s">
        <v>2456</v>
      </c>
      <c r="E2291" s="561" t="s">
        <v>728</v>
      </c>
      <c r="F2291" s="735">
        <v>0</v>
      </c>
      <c r="G2291" s="749">
        <v>1</v>
      </c>
      <c r="H2291" s="749"/>
      <c r="I2291" s="733"/>
      <c r="J2291" s="733"/>
      <c r="K2291" s="735">
        <v>0</v>
      </c>
      <c r="L2291" s="750">
        <v>0</v>
      </c>
    </row>
    <row r="2292" spans="1:12" ht="31.5" x14ac:dyDescent="0.25">
      <c r="A2292" s="561" t="s">
        <v>113</v>
      </c>
      <c r="B2292" s="749">
        <v>2023</v>
      </c>
      <c r="C2292" s="561" t="s">
        <v>721</v>
      </c>
      <c r="D2292" s="561" t="s">
        <v>2457</v>
      </c>
      <c r="E2292" s="561" t="s">
        <v>730</v>
      </c>
      <c r="F2292" s="735">
        <v>0</v>
      </c>
      <c r="G2292" s="749">
        <v>1</v>
      </c>
      <c r="H2292" s="749"/>
      <c r="I2292" s="733"/>
      <c r="J2292" s="733"/>
      <c r="K2292" s="735">
        <v>0</v>
      </c>
      <c r="L2292" s="750">
        <v>0</v>
      </c>
    </row>
    <row r="2293" spans="1:12" ht="31.5" x14ac:dyDescent="0.25">
      <c r="A2293" s="561" t="s">
        <v>113</v>
      </c>
      <c r="B2293" s="749">
        <v>2023</v>
      </c>
      <c r="C2293" s="561" t="s">
        <v>721</v>
      </c>
      <c r="D2293" s="561" t="s">
        <v>2458</v>
      </c>
      <c r="E2293" s="561" t="s">
        <v>142</v>
      </c>
      <c r="F2293" s="735">
        <v>0</v>
      </c>
      <c r="G2293" s="749">
        <v>1</v>
      </c>
      <c r="H2293" s="749"/>
      <c r="I2293" s="733"/>
      <c r="J2293" s="733"/>
      <c r="K2293" s="735">
        <v>0</v>
      </c>
      <c r="L2293" s="750">
        <v>0</v>
      </c>
    </row>
    <row r="2294" spans="1:12" ht="31.5" x14ac:dyDescent="0.25">
      <c r="A2294" s="561" t="s">
        <v>113</v>
      </c>
      <c r="B2294" s="749">
        <v>2023</v>
      </c>
      <c r="C2294" s="561" t="s">
        <v>721</v>
      </c>
      <c r="D2294" s="561" t="s">
        <v>2459</v>
      </c>
      <c r="E2294" s="561" t="s">
        <v>143</v>
      </c>
      <c r="F2294" s="735">
        <v>0</v>
      </c>
      <c r="G2294" s="749">
        <v>1</v>
      </c>
      <c r="H2294" s="749"/>
      <c r="I2294" s="733"/>
      <c r="J2294" s="733"/>
      <c r="K2294" s="735">
        <v>0</v>
      </c>
      <c r="L2294" s="750">
        <v>0</v>
      </c>
    </row>
    <row r="2295" spans="1:12" ht="31.5" x14ac:dyDescent="0.25">
      <c r="A2295" s="561" t="s">
        <v>113</v>
      </c>
      <c r="B2295" s="749">
        <v>2023</v>
      </c>
      <c r="C2295" s="561" t="s">
        <v>721</v>
      </c>
      <c r="D2295" s="561" t="s">
        <v>2460</v>
      </c>
      <c r="E2295" s="561" t="s">
        <v>182</v>
      </c>
      <c r="F2295" s="735">
        <v>0</v>
      </c>
      <c r="G2295" s="749">
        <v>1</v>
      </c>
      <c r="H2295" s="749"/>
      <c r="I2295" s="733"/>
      <c r="J2295" s="733"/>
      <c r="K2295" s="735">
        <v>0</v>
      </c>
      <c r="L2295" s="750">
        <v>0</v>
      </c>
    </row>
    <row r="2296" spans="1:12" ht="31.5" x14ac:dyDescent="0.25">
      <c r="A2296" s="561" t="s">
        <v>113</v>
      </c>
      <c r="B2296" s="749">
        <v>2023</v>
      </c>
      <c r="C2296" s="561" t="s">
        <v>721</v>
      </c>
      <c r="D2296" s="561" t="s">
        <v>2461</v>
      </c>
      <c r="E2296" s="561" t="s">
        <v>394</v>
      </c>
      <c r="F2296" s="735">
        <v>0</v>
      </c>
      <c r="G2296" s="749">
        <v>1</v>
      </c>
      <c r="H2296" s="749"/>
      <c r="I2296" s="733"/>
      <c r="J2296" s="733"/>
      <c r="K2296" s="735">
        <v>0</v>
      </c>
      <c r="L2296" s="750">
        <v>0</v>
      </c>
    </row>
    <row r="2297" spans="1:12" ht="31.5" x14ac:dyDescent="0.25">
      <c r="A2297" s="561" t="s">
        <v>113</v>
      </c>
      <c r="B2297" s="749">
        <v>2023</v>
      </c>
      <c r="C2297" s="561" t="s">
        <v>721</v>
      </c>
      <c r="D2297" s="561" t="s">
        <v>2462</v>
      </c>
      <c r="E2297" s="561" t="s">
        <v>423</v>
      </c>
      <c r="F2297" s="735">
        <v>0</v>
      </c>
      <c r="G2297" s="749">
        <v>1</v>
      </c>
      <c r="H2297" s="749"/>
      <c r="I2297" s="733"/>
      <c r="J2297" s="733"/>
      <c r="K2297" s="735">
        <v>0</v>
      </c>
      <c r="L2297" s="750">
        <v>0</v>
      </c>
    </row>
    <row r="2298" spans="1:12" ht="31.5" x14ac:dyDescent="0.25">
      <c r="A2298" s="561" t="s">
        <v>113</v>
      </c>
      <c r="B2298" s="749">
        <v>2023</v>
      </c>
      <c r="C2298" s="561" t="s">
        <v>721</v>
      </c>
      <c r="D2298" s="561" t="s">
        <v>3282</v>
      </c>
      <c r="E2298" s="561" t="s">
        <v>441</v>
      </c>
      <c r="F2298" s="735">
        <v>0</v>
      </c>
      <c r="G2298" s="749">
        <v>1</v>
      </c>
      <c r="H2298" s="749"/>
      <c r="I2298" s="735">
        <v>99481.1</v>
      </c>
      <c r="J2298" s="735">
        <v>-73669.77</v>
      </c>
      <c r="K2298" s="735">
        <v>25811.33</v>
      </c>
      <c r="L2298" s="750">
        <v>25811.33</v>
      </c>
    </row>
    <row r="2299" spans="1:12" ht="31.5" x14ac:dyDescent="0.25">
      <c r="A2299" s="561" t="s">
        <v>113</v>
      </c>
      <c r="B2299" s="749">
        <v>2023</v>
      </c>
      <c r="C2299" s="561" t="s">
        <v>721</v>
      </c>
      <c r="D2299" s="561" t="s">
        <v>3588</v>
      </c>
      <c r="E2299" s="561" t="s">
        <v>3016</v>
      </c>
      <c r="F2299" s="735">
        <v>0</v>
      </c>
      <c r="G2299" s="749">
        <v>1</v>
      </c>
      <c r="H2299" s="749"/>
      <c r="I2299" s="735">
        <v>300811.2</v>
      </c>
      <c r="J2299" s="735">
        <v>-325296.59999999998</v>
      </c>
      <c r="K2299" s="735">
        <v>-24485.4</v>
      </c>
      <c r="L2299" s="750">
        <v>-24485.4</v>
      </c>
    </row>
    <row r="2300" spans="1:12" ht="31.5" x14ac:dyDescent="0.25">
      <c r="A2300" s="561" t="s">
        <v>113</v>
      </c>
      <c r="B2300" s="749">
        <v>2023</v>
      </c>
      <c r="C2300" s="561" t="s">
        <v>721</v>
      </c>
      <c r="D2300" s="561" t="s">
        <v>3589</v>
      </c>
      <c r="E2300" s="561" t="s">
        <v>3058</v>
      </c>
      <c r="F2300" s="735">
        <v>0</v>
      </c>
      <c r="G2300" s="749">
        <v>1</v>
      </c>
      <c r="H2300" s="749"/>
      <c r="I2300" s="733"/>
      <c r="J2300" s="733"/>
      <c r="K2300" s="735">
        <v>0</v>
      </c>
      <c r="L2300" s="750">
        <v>0</v>
      </c>
    </row>
    <row r="2301" spans="1:12" ht="31.5" x14ac:dyDescent="0.25">
      <c r="A2301" s="561" t="s">
        <v>113</v>
      </c>
      <c r="B2301" s="749">
        <v>2023</v>
      </c>
      <c r="C2301" s="561" t="s">
        <v>721</v>
      </c>
      <c r="D2301" s="561" t="s">
        <v>3590</v>
      </c>
      <c r="E2301" s="561" t="s">
        <v>3063</v>
      </c>
      <c r="F2301" s="735">
        <v>0</v>
      </c>
      <c r="G2301" s="749">
        <v>1</v>
      </c>
      <c r="H2301" s="749"/>
      <c r="I2301" s="735">
        <v>10230.26</v>
      </c>
      <c r="J2301" s="735">
        <v>1884</v>
      </c>
      <c r="K2301" s="735">
        <v>12114.26</v>
      </c>
      <c r="L2301" s="750">
        <v>12114.26</v>
      </c>
    </row>
    <row r="2302" spans="1:12" ht="31.5" x14ac:dyDescent="0.25">
      <c r="A2302" s="561" t="s">
        <v>113</v>
      </c>
      <c r="B2302" s="749">
        <v>2023</v>
      </c>
      <c r="C2302" s="561" t="s">
        <v>721</v>
      </c>
      <c r="D2302" s="561" t="s">
        <v>3912</v>
      </c>
      <c r="E2302" s="561" t="s">
        <v>3425</v>
      </c>
      <c r="F2302" s="735">
        <v>0</v>
      </c>
      <c r="G2302" s="749">
        <v>1</v>
      </c>
      <c r="H2302" s="749"/>
      <c r="I2302" s="735">
        <v>187297.91</v>
      </c>
      <c r="J2302" s="735">
        <v>6992.73</v>
      </c>
      <c r="K2302" s="735">
        <v>194290.64</v>
      </c>
      <c r="L2302" s="750">
        <v>194290.64</v>
      </c>
    </row>
    <row r="2303" spans="1:12" ht="42" x14ac:dyDescent="0.25">
      <c r="A2303" s="561" t="s">
        <v>113</v>
      </c>
      <c r="B2303" s="749">
        <v>2023</v>
      </c>
      <c r="C2303" s="561" t="s">
        <v>721</v>
      </c>
      <c r="D2303" s="561" t="s">
        <v>3913</v>
      </c>
      <c r="E2303" s="561" t="s">
        <v>737</v>
      </c>
      <c r="F2303" s="735">
        <v>207730.83</v>
      </c>
      <c r="G2303" s="749">
        <v>0</v>
      </c>
      <c r="H2303" s="749"/>
      <c r="I2303" s="733"/>
      <c r="J2303" s="733"/>
      <c r="K2303" s="735">
        <v>0</v>
      </c>
      <c r="L2303" s="750">
        <v>207730.83</v>
      </c>
    </row>
    <row r="2304" spans="1:12" x14ac:dyDescent="0.25">
      <c r="A2304" s="561" t="s">
        <v>113</v>
      </c>
      <c r="B2304" s="749">
        <v>2023</v>
      </c>
      <c r="C2304" s="561" t="s">
        <v>738</v>
      </c>
      <c r="D2304" s="561" t="s">
        <v>2464</v>
      </c>
      <c r="E2304" s="561" t="s">
        <v>7</v>
      </c>
      <c r="F2304" s="735">
        <v>0</v>
      </c>
      <c r="G2304" s="749">
        <v>0</v>
      </c>
      <c r="H2304" s="749"/>
      <c r="I2304" s="733"/>
      <c r="J2304" s="733"/>
      <c r="K2304" s="735">
        <v>0</v>
      </c>
      <c r="L2304" s="750">
        <v>0</v>
      </c>
    </row>
    <row r="2305" spans="1:12" x14ac:dyDescent="0.25">
      <c r="A2305" s="561" t="s">
        <v>114</v>
      </c>
      <c r="B2305" s="749">
        <v>2023</v>
      </c>
      <c r="C2305" s="561" t="s">
        <v>647</v>
      </c>
      <c r="D2305" s="561" t="s">
        <v>2465</v>
      </c>
      <c r="E2305" s="561" t="s">
        <v>649</v>
      </c>
      <c r="F2305" s="735">
        <v>-149589.74</v>
      </c>
      <c r="G2305" s="749">
        <v>0</v>
      </c>
      <c r="H2305" s="749"/>
      <c r="I2305" s="733"/>
      <c r="J2305" s="733"/>
      <c r="K2305" s="735">
        <v>0</v>
      </c>
      <c r="L2305" s="750">
        <v>-149589.74</v>
      </c>
    </row>
    <row r="2306" spans="1:12" ht="21" x14ac:dyDescent="0.25">
      <c r="A2306" s="561" t="s">
        <v>114</v>
      </c>
      <c r="B2306" s="749">
        <v>2023</v>
      </c>
      <c r="C2306" s="561" t="s">
        <v>3691</v>
      </c>
      <c r="D2306" s="561" t="s">
        <v>3665</v>
      </c>
      <c r="E2306" s="561" t="s">
        <v>3675</v>
      </c>
      <c r="F2306" s="735">
        <v>5223.91</v>
      </c>
      <c r="G2306" s="749">
        <v>0</v>
      </c>
      <c r="H2306" s="749"/>
      <c r="I2306" s="733"/>
      <c r="J2306" s="733"/>
      <c r="K2306" s="735">
        <v>0</v>
      </c>
      <c r="L2306" s="750">
        <v>5223.91</v>
      </c>
    </row>
    <row r="2307" spans="1:12" x14ac:dyDescent="0.25">
      <c r="A2307" s="561" t="s">
        <v>114</v>
      </c>
      <c r="B2307" s="749">
        <v>2023</v>
      </c>
      <c r="C2307" s="561" t="s">
        <v>651</v>
      </c>
      <c r="D2307" s="561" t="s">
        <v>2466</v>
      </c>
      <c r="E2307" s="561" t="s">
        <v>653</v>
      </c>
      <c r="F2307" s="735">
        <v>-13087.39</v>
      </c>
      <c r="G2307" s="749">
        <v>0</v>
      </c>
      <c r="H2307" s="749"/>
      <c r="I2307" s="733"/>
      <c r="J2307" s="733"/>
      <c r="K2307" s="735">
        <v>0</v>
      </c>
      <c r="L2307" s="750">
        <v>-13087.39</v>
      </c>
    </row>
    <row r="2308" spans="1:12" ht="31.5" x14ac:dyDescent="0.25">
      <c r="A2308" s="561" t="s">
        <v>114</v>
      </c>
      <c r="B2308" s="749">
        <v>2023</v>
      </c>
      <c r="C2308" s="561" t="s">
        <v>654</v>
      </c>
      <c r="D2308" s="561" t="s">
        <v>2467</v>
      </c>
      <c r="E2308" s="561" t="s">
        <v>445</v>
      </c>
      <c r="F2308" s="735">
        <v>0</v>
      </c>
      <c r="G2308" s="749">
        <v>0</v>
      </c>
      <c r="H2308" s="749"/>
      <c r="I2308" s="733"/>
      <c r="J2308" s="733"/>
      <c r="K2308" s="735">
        <v>0</v>
      </c>
      <c r="L2308" s="750">
        <v>0</v>
      </c>
    </row>
    <row r="2309" spans="1:12" ht="21" x14ac:dyDescent="0.25">
      <c r="A2309" s="561" t="s">
        <v>114</v>
      </c>
      <c r="B2309" s="749">
        <v>2023</v>
      </c>
      <c r="C2309" s="561" t="s">
        <v>656</v>
      </c>
      <c r="D2309" s="561" t="s">
        <v>2468</v>
      </c>
      <c r="E2309" s="561" t="s">
        <v>658</v>
      </c>
      <c r="F2309" s="735">
        <v>0</v>
      </c>
      <c r="G2309" s="749">
        <v>0</v>
      </c>
      <c r="H2309" s="749"/>
      <c r="I2309" s="733"/>
      <c r="J2309" s="733"/>
      <c r="K2309" s="735">
        <v>0</v>
      </c>
      <c r="L2309" s="750">
        <v>0</v>
      </c>
    </row>
    <row r="2310" spans="1:12" ht="21" x14ac:dyDescent="0.25">
      <c r="A2310" s="561" t="s">
        <v>114</v>
      </c>
      <c r="B2310" s="749">
        <v>2023</v>
      </c>
      <c r="C2310" s="561" t="s">
        <v>659</v>
      </c>
      <c r="D2310" s="561" t="s">
        <v>2469</v>
      </c>
      <c r="E2310" s="561" t="s">
        <v>661</v>
      </c>
      <c r="F2310" s="735">
        <v>0</v>
      </c>
      <c r="G2310" s="749">
        <v>0</v>
      </c>
      <c r="H2310" s="749"/>
      <c r="I2310" s="733"/>
      <c r="J2310" s="733"/>
      <c r="K2310" s="735">
        <v>0</v>
      </c>
      <c r="L2310" s="750">
        <v>0</v>
      </c>
    </row>
    <row r="2311" spans="1:12" ht="21" x14ac:dyDescent="0.25">
      <c r="A2311" s="561" t="s">
        <v>114</v>
      </c>
      <c r="B2311" s="749">
        <v>2023</v>
      </c>
      <c r="C2311" s="561" t="s">
        <v>662</v>
      </c>
      <c r="D2311" s="561" t="s">
        <v>2470</v>
      </c>
      <c r="E2311" s="561" t="s">
        <v>664</v>
      </c>
      <c r="F2311" s="735">
        <v>0</v>
      </c>
      <c r="G2311" s="749">
        <v>0</v>
      </c>
      <c r="H2311" s="749"/>
      <c r="I2311" s="733"/>
      <c r="J2311" s="733"/>
      <c r="K2311" s="735">
        <v>0</v>
      </c>
      <c r="L2311" s="750">
        <v>0</v>
      </c>
    </row>
    <row r="2312" spans="1:12" ht="31.5" x14ac:dyDescent="0.25">
      <c r="A2312" s="561" t="s">
        <v>114</v>
      </c>
      <c r="B2312" s="749">
        <v>2023</v>
      </c>
      <c r="C2312" s="561" t="s">
        <v>665</v>
      </c>
      <c r="D2312" s="561" t="s">
        <v>2471</v>
      </c>
      <c r="E2312" s="561" t="s">
        <v>667</v>
      </c>
      <c r="F2312" s="735">
        <v>0</v>
      </c>
      <c r="G2312" s="749">
        <v>0</v>
      </c>
      <c r="H2312" s="749"/>
      <c r="I2312" s="733"/>
      <c r="J2312" s="733"/>
      <c r="K2312" s="735">
        <v>0</v>
      </c>
      <c r="L2312" s="750">
        <v>0</v>
      </c>
    </row>
    <row r="2313" spans="1:12" ht="21" x14ac:dyDescent="0.25">
      <c r="A2313" s="561" t="s">
        <v>114</v>
      </c>
      <c r="B2313" s="749">
        <v>2023</v>
      </c>
      <c r="C2313" s="561" t="s">
        <v>668</v>
      </c>
      <c r="D2313" s="561" t="s">
        <v>2472</v>
      </c>
      <c r="E2313" s="561" t="s">
        <v>12</v>
      </c>
      <c r="F2313" s="735">
        <v>0</v>
      </c>
      <c r="G2313" s="749">
        <v>0</v>
      </c>
      <c r="H2313" s="749"/>
      <c r="I2313" s="733"/>
      <c r="J2313" s="733"/>
      <c r="K2313" s="735">
        <v>0</v>
      </c>
      <c r="L2313" s="750">
        <v>0</v>
      </c>
    </row>
    <row r="2314" spans="1:12" ht="21" x14ac:dyDescent="0.25">
      <c r="A2314" s="561" t="s">
        <v>114</v>
      </c>
      <c r="B2314" s="749">
        <v>2023</v>
      </c>
      <c r="C2314" s="561" t="s">
        <v>670</v>
      </c>
      <c r="D2314" s="561" t="s">
        <v>2473</v>
      </c>
      <c r="E2314" s="561" t="s">
        <v>13</v>
      </c>
      <c r="F2314" s="735">
        <v>0</v>
      </c>
      <c r="G2314" s="749">
        <v>0</v>
      </c>
      <c r="H2314" s="749"/>
      <c r="I2314" s="733"/>
      <c r="J2314" s="733"/>
      <c r="K2314" s="735">
        <v>0</v>
      </c>
      <c r="L2314" s="750">
        <v>0</v>
      </c>
    </row>
    <row r="2315" spans="1:12" ht="21" x14ac:dyDescent="0.25">
      <c r="A2315" s="561" t="s">
        <v>114</v>
      </c>
      <c r="B2315" s="749">
        <v>2023</v>
      </c>
      <c r="C2315" s="561" t="s">
        <v>672</v>
      </c>
      <c r="D2315" s="561" t="s">
        <v>2474</v>
      </c>
      <c r="E2315" s="561" t="s">
        <v>15</v>
      </c>
      <c r="F2315" s="735">
        <v>0</v>
      </c>
      <c r="G2315" s="749">
        <v>0</v>
      </c>
      <c r="H2315" s="749"/>
      <c r="I2315" s="733"/>
      <c r="J2315" s="733"/>
      <c r="K2315" s="735">
        <v>0</v>
      </c>
      <c r="L2315" s="750">
        <v>0</v>
      </c>
    </row>
    <row r="2316" spans="1:12" x14ac:dyDescent="0.25">
      <c r="A2316" s="561" t="s">
        <v>114</v>
      </c>
      <c r="B2316" s="749">
        <v>2023</v>
      </c>
      <c r="C2316" s="561" t="s">
        <v>674</v>
      </c>
      <c r="D2316" s="561" t="s">
        <v>2475</v>
      </c>
      <c r="E2316" s="561" t="s">
        <v>676</v>
      </c>
      <c r="F2316" s="735">
        <v>6168.73</v>
      </c>
      <c r="G2316" s="749">
        <v>0</v>
      </c>
      <c r="H2316" s="749"/>
      <c r="I2316" s="733"/>
      <c r="J2316" s="733"/>
      <c r="K2316" s="735">
        <v>0</v>
      </c>
      <c r="L2316" s="750">
        <v>6168.73</v>
      </c>
    </row>
    <row r="2317" spans="1:12" x14ac:dyDescent="0.25">
      <c r="A2317" s="561" t="s">
        <v>114</v>
      </c>
      <c r="B2317" s="749">
        <v>2023</v>
      </c>
      <c r="C2317" s="561" t="s">
        <v>677</v>
      </c>
      <c r="D2317" s="561" t="s">
        <v>2476</v>
      </c>
      <c r="E2317" s="561" t="s">
        <v>23</v>
      </c>
      <c r="F2317" s="735">
        <v>275938.46999999997</v>
      </c>
      <c r="G2317" s="749">
        <v>1</v>
      </c>
      <c r="H2317" s="749"/>
      <c r="I2317" s="735">
        <v>271436.3</v>
      </c>
      <c r="J2317" s="735">
        <v>4502.17</v>
      </c>
      <c r="K2317" s="735">
        <v>275938.46999999997</v>
      </c>
      <c r="L2317" s="750">
        <v>275938.46999999997</v>
      </c>
    </row>
    <row r="2318" spans="1:12" ht="21" x14ac:dyDescent="0.25">
      <c r="A2318" s="561" t="s">
        <v>114</v>
      </c>
      <c r="B2318" s="749">
        <v>2023</v>
      </c>
      <c r="C2318" s="561" t="s">
        <v>679</v>
      </c>
      <c r="D2318" s="561" t="s">
        <v>2477</v>
      </c>
      <c r="E2318" s="561" t="s">
        <v>131</v>
      </c>
      <c r="F2318" s="735">
        <v>-14358.86</v>
      </c>
      <c r="G2318" s="749">
        <v>1</v>
      </c>
      <c r="H2318" s="749"/>
      <c r="I2318" s="735">
        <v>-14192.3</v>
      </c>
      <c r="J2318" s="735">
        <v>-166.56</v>
      </c>
      <c r="K2318" s="735">
        <v>-14358.86</v>
      </c>
      <c r="L2318" s="750">
        <v>-14358.86</v>
      </c>
    </row>
    <row r="2319" spans="1:12" ht="31.5" x14ac:dyDescent="0.25">
      <c r="A2319" s="561" t="s">
        <v>114</v>
      </c>
      <c r="B2319" s="749">
        <v>2023</v>
      </c>
      <c r="C2319" s="561" t="s">
        <v>681</v>
      </c>
      <c r="D2319" s="561" t="s">
        <v>2478</v>
      </c>
      <c r="E2319" s="561" t="s">
        <v>683</v>
      </c>
      <c r="F2319" s="735">
        <v>8848.01</v>
      </c>
      <c r="G2319" s="749">
        <v>0</v>
      </c>
      <c r="H2319" s="749"/>
      <c r="I2319" s="733"/>
      <c r="J2319" s="733"/>
      <c r="K2319" s="735">
        <v>0</v>
      </c>
      <c r="L2319" s="750">
        <v>8848.01</v>
      </c>
    </row>
    <row r="2320" spans="1:12" ht="21" x14ac:dyDescent="0.25">
      <c r="A2320" s="561" t="s">
        <v>114</v>
      </c>
      <c r="B2320" s="749">
        <v>2023</v>
      </c>
      <c r="C2320" s="561" t="s">
        <v>681</v>
      </c>
      <c r="D2320" s="561" t="s">
        <v>2478</v>
      </c>
      <c r="E2320" s="561" t="s">
        <v>684</v>
      </c>
      <c r="F2320" s="735">
        <v>0</v>
      </c>
      <c r="G2320" s="749">
        <v>0</v>
      </c>
      <c r="H2320" s="749"/>
      <c r="I2320" s="733"/>
      <c r="J2320" s="733"/>
      <c r="K2320" s="735">
        <v>0</v>
      </c>
      <c r="L2320" s="751">
        <v>8848.01</v>
      </c>
    </row>
    <row r="2321" spans="1:12" x14ac:dyDescent="0.25">
      <c r="A2321" s="561" t="s">
        <v>114</v>
      </c>
      <c r="B2321" s="749">
        <v>2023</v>
      </c>
      <c r="C2321" s="561" t="s">
        <v>685</v>
      </c>
      <c r="D2321" s="561" t="s">
        <v>2479</v>
      </c>
      <c r="E2321" s="561" t="s">
        <v>687</v>
      </c>
      <c r="F2321" s="735">
        <v>0</v>
      </c>
      <c r="G2321" s="749">
        <v>0</v>
      </c>
      <c r="H2321" s="749"/>
      <c r="I2321" s="733"/>
      <c r="J2321" s="733"/>
      <c r="K2321" s="735">
        <v>0</v>
      </c>
      <c r="L2321" s="750">
        <v>0</v>
      </c>
    </row>
    <row r="2322" spans="1:12" x14ac:dyDescent="0.25">
      <c r="A2322" s="561" t="s">
        <v>114</v>
      </c>
      <c r="B2322" s="749">
        <v>2023</v>
      </c>
      <c r="C2322" s="561" t="s">
        <v>688</v>
      </c>
      <c r="D2322" s="561" t="s">
        <v>2480</v>
      </c>
      <c r="E2322" s="561" t="s">
        <v>50</v>
      </c>
      <c r="F2322" s="735">
        <v>25170.46</v>
      </c>
      <c r="G2322" s="749">
        <v>0</v>
      </c>
      <c r="H2322" s="749"/>
      <c r="I2322" s="733"/>
      <c r="J2322" s="733"/>
      <c r="K2322" s="735">
        <v>0</v>
      </c>
      <c r="L2322" s="750">
        <v>25170.46</v>
      </c>
    </row>
    <row r="2323" spans="1:12" x14ac:dyDescent="0.25">
      <c r="A2323" s="561" t="s">
        <v>114</v>
      </c>
      <c r="B2323" s="749">
        <v>2023</v>
      </c>
      <c r="C2323" s="561" t="s">
        <v>690</v>
      </c>
      <c r="D2323" s="561" t="s">
        <v>2481</v>
      </c>
      <c r="E2323" s="561" t="s">
        <v>692</v>
      </c>
      <c r="F2323" s="735">
        <v>0</v>
      </c>
      <c r="G2323" s="749">
        <v>0</v>
      </c>
      <c r="H2323" s="749"/>
      <c r="I2323" s="733"/>
      <c r="J2323" s="733"/>
      <c r="K2323" s="735">
        <v>0</v>
      </c>
      <c r="L2323" s="750">
        <v>0</v>
      </c>
    </row>
    <row r="2324" spans="1:12" ht="21" x14ac:dyDescent="0.25">
      <c r="A2324" s="561" t="s">
        <v>114</v>
      </c>
      <c r="B2324" s="749">
        <v>2023</v>
      </c>
      <c r="C2324" s="561" t="s">
        <v>693</v>
      </c>
      <c r="D2324" s="561" t="s">
        <v>2482</v>
      </c>
      <c r="E2324" s="561" t="s">
        <v>6</v>
      </c>
      <c r="F2324" s="735">
        <v>0</v>
      </c>
      <c r="G2324" s="749">
        <v>0</v>
      </c>
      <c r="H2324" s="749"/>
      <c r="I2324" s="733"/>
      <c r="J2324" s="733"/>
      <c r="K2324" s="735">
        <v>0</v>
      </c>
      <c r="L2324" s="750">
        <v>0</v>
      </c>
    </row>
    <row r="2325" spans="1:12" ht="21" x14ac:dyDescent="0.25">
      <c r="A2325" s="561" t="s">
        <v>114</v>
      </c>
      <c r="B2325" s="749">
        <v>2023</v>
      </c>
      <c r="C2325" s="561" t="s">
        <v>695</v>
      </c>
      <c r="D2325" s="561" t="s">
        <v>2483</v>
      </c>
      <c r="E2325" s="561" t="s">
        <v>697</v>
      </c>
      <c r="F2325" s="735">
        <v>0</v>
      </c>
      <c r="G2325" s="749">
        <v>0</v>
      </c>
      <c r="H2325" s="749"/>
      <c r="I2325" s="733"/>
      <c r="J2325" s="733"/>
      <c r="K2325" s="735">
        <v>0</v>
      </c>
      <c r="L2325" s="750">
        <v>0</v>
      </c>
    </row>
    <row r="2326" spans="1:12" x14ac:dyDescent="0.25">
      <c r="A2326" s="561" t="s">
        <v>114</v>
      </c>
      <c r="B2326" s="749">
        <v>2023</v>
      </c>
      <c r="C2326" s="561" t="s">
        <v>698</v>
      </c>
      <c r="D2326" s="561" t="s">
        <v>2484</v>
      </c>
      <c r="E2326" s="561" t="s">
        <v>700</v>
      </c>
      <c r="F2326" s="735">
        <v>-77771.039999999994</v>
      </c>
      <c r="G2326" s="749">
        <v>0</v>
      </c>
      <c r="H2326" s="749"/>
      <c r="I2326" s="733"/>
      <c r="J2326" s="733"/>
      <c r="K2326" s="735">
        <v>0</v>
      </c>
      <c r="L2326" s="750">
        <v>-77771.039999999994</v>
      </c>
    </row>
    <row r="2327" spans="1:12" ht="21" x14ac:dyDescent="0.25">
      <c r="A2327" s="561" t="s">
        <v>114</v>
      </c>
      <c r="B2327" s="749">
        <v>2023</v>
      </c>
      <c r="C2327" s="561" t="s">
        <v>701</v>
      </c>
      <c r="D2327" s="561" t="s">
        <v>2485</v>
      </c>
      <c r="E2327" s="561" t="s">
        <v>1</v>
      </c>
      <c r="F2327" s="735">
        <v>-125274.05</v>
      </c>
      <c r="G2327" s="749">
        <v>1</v>
      </c>
      <c r="H2327" s="749"/>
      <c r="I2327" s="735">
        <v>-123014.23</v>
      </c>
      <c r="J2327" s="735">
        <v>-2259.8200000000002</v>
      </c>
      <c r="K2327" s="735">
        <v>-125274.05</v>
      </c>
      <c r="L2327" s="750">
        <v>-125274.05</v>
      </c>
    </row>
    <row r="2328" spans="1:12" ht="21" x14ac:dyDescent="0.25">
      <c r="A2328" s="561" t="s">
        <v>114</v>
      </c>
      <c r="B2328" s="749">
        <v>2023</v>
      </c>
      <c r="C2328" s="561" t="s">
        <v>701</v>
      </c>
      <c r="D2328" s="561" t="s">
        <v>2485</v>
      </c>
      <c r="E2328" s="561" t="s">
        <v>703</v>
      </c>
      <c r="F2328" s="735">
        <v>0</v>
      </c>
      <c r="G2328" s="749">
        <v>0</v>
      </c>
      <c r="H2328" s="749"/>
      <c r="I2328" s="733"/>
      <c r="J2328" s="733"/>
      <c r="K2328" s="735">
        <v>0</v>
      </c>
      <c r="L2328" s="751">
        <v>0</v>
      </c>
    </row>
    <row r="2329" spans="1:12" ht="21" x14ac:dyDescent="0.25">
      <c r="A2329" s="561" t="s">
        <v>114</v>
      </c>
      <c r="B2329" s="749">
        <v>2023</v>
      </c>
      <c r="C2329" s="561" t="s">
        <v>701</v>
      </c>
      <c r="D2329" s="561" t="s">
        <v>2485</v>
      </c>
      <c r="E2329" s="561" t="s">
        <v>704</v>
      </c>
      <c r="F2329" s="735">
        <v>0</v>
      </c>
      <c r="G2329" s="749">
        <v>0</v>
      </c>
      <c r="H2329" s="749"/>
      <c r="I2329" s="733"/>
      <c r="J2329" s="733"/>
      <c r="K2329" s="735">
        <v>0</v>
      </c>
      <c r="L2329" s="751">
        <v>0</v>
      </c>
    </row>
    <row r="2330" spans="1:12" ht="21" x14ac:dyDescent="0.25">
      <c r="A2330" s="561" t="s">
        <v>114</v>
      </c>
      <c r="B2330" s="749">
        <v>2023</v>
      </c>
      <c r="C2330" s="561" t="s">
        <v>701</v>
      </c>
      <c r="D2330" s="561" t="s">
        <v>2485</v>
      </c>
      <c r="E2330" s="561" t="s">
        <v>705</v>
      </c>
      <c r="F2330" s="735">
        <v>0</v>
      </c>
      <c r="G2330" s="749">
        <v>0</v>
      </c>
      <c r="H2330" s="749"/>
      <c r="I2330" s="733"/>
      <c r="J2330" s="733"/>
      <c r="K2330" s="735">
        <v>0</v>
      </c>
      <c r="L2330" s="751">
        <v>-355.83</v>
      </c>
    </row>
    <row r="2331" spans="1:12" ht="21" x14ac:dyDescent="0.25">
      <c r="A2331" s="561" t="s">
        <v>114</v>
      </c>
      <c r="B2331" s="749">
        <v>2023</v>
      </c>
      <c r="C2331" s="561" t="s">
        <v>701</v>
      </c>
      <c r="D2331" s="561" t="s">
        <v>2485</v>
      </c>
      <c r="E2331" s="561" t="s">
        <v>706</v>
      </c>
      <c r="F2331" s="735">
        <v>0</v>
      </c>
      <c r="G2331" s="749">
        <v>0</v>
      </c>
      <c r="H2331" s="749"/>
      <c r="I2331" s="733"/>
      <c r="J2331" s="733"/>
      <c r="K2331" s="735">
        <v>0</v>
      </c>
      <c r="L2331" s="751">
        <v>-19403.830000000002</v>
      </c>
    </row>
    <row r="2332" spans="1:12" x14ac:dyDescent="0.25">
      <c r="A2332" s="561" t="s">
        <v>114</v>
      </c>
      <c r="B2332" s="749">
        <v>2023</v>
      </c>
      <c r="C2332" s="561" t="s">
        <v>707</v>
      </c>
      <c r="D2332" s="561" t="s">
        <v>2486</v>
      </c>
      <c r="E2332" s="561" t="s">
        <v>709</v>
      </c>
      <c r="F2332" s="735">
        <v>0</v>
      </c>
      <c r="G2332" s="749">
        <v>0</v>
      </c>
      <c r="H2332" s="749"/>
      <c r="I2332" s="733"/>
      <c r="J2332" s="733"/>
      <c r="K2332" s="735">
        <v>0</v>
      </c>
      <c r="L2332" s="750">
        <v>0</v>
      </c>
    </row>
    <row r="2333" spans="1:12" ht="21" x14ac:dyDescent="0.25">
      <c r="A2333" s="561" t="s">
        <v>114</v>
      </c>
      <c r="B2333" s="749">
        <v>2023</v>
      </c>
      <c r="C2333" s="561" t="s">
        <v>710</v>
      </c>
      <c r="D2333" s="561" t="s">
        <v>2487</v>
      </c>
      <c r="E2333" s="561" t="s">
        <v>2</v>
      </c>
      <c r="F2333" s="735">
        <v>136280.81</v>
      </c>
      <c r="G2333" s="749">
        <v>1</v>
      </c>
      <c r="H2333" s="749"/>
      <c r="I2333" s="735">
        <v>134763.14000000001</v>
      </c>
      <c r="J2333" s="735">
        <v>1517.67</v>
      </c>
      <c r="K2333" s="735">
        <v>136280.81</v>
      </c>
      <c r="L2333" s="750">
        <v>136280.81</v>
      </c>
    </row>
    <row r="2334" spans="1:12" ht="21" x14ac:dyDescent="0.25">
      <c r="A2334" s="561" t="s">
        <v>114</v>
      </c>
      <c r="B2334" s="749">
        <v>2023</v>
      </c>
      <c r="C2334" s="561" t="s">
        <v>712</v>
      </c>
      <c r="D2334" s="561" t="s">
        <v>2488</v>
      </c>
      <c r="E2334" s="561" t="s">
        <v>3</v>
      </c>
      <c r="F2334" s="735">
        <v>4098.1899999999996</v>
      </c>
      <c r="G2334" s="749">
        <v>1</v>
      </c>
      <c r="H2334" s="749"/>
      <c r="I2334" s="735">
        <v>4061.43</v>
      </c>
      <c r="J2334" s="735">
        <v>36.76</v>
      </c>
      <c r="K2334" s="735">
        <v>4098.1899999999996</v>
      </c>
      <c r="L2334" s="750">
        <v>4098.1899999999996</v>
      </c>
    </row>
    <row r="2335" spans="1:12" ht="21" x14ac:dyDescent="0.25">
      <c r="A2335" s="561" t="s">
        <v>114</v>
      </c>
      <c r="B2335" s="749">
        <v>2023</v>
      </c>
      <c r="C2335" s="561" t="s">
        <v>714</v>
      </c>
      <c r="D2335" s="561" t="s">
        <v>2489</v>
      </c>
      <c r="E2335" s="561" t="s">
        <v>38</v>
      </c>
      <c r="F2335" s="735">
        <v>-112254.41</v>
      </c>
      <c r="G2335" s="749">
        <v>1</v>
      </c>
      <c r="H2335" s="749"/>
      <c r="I2335" s="735">
        <v>-110342.03</v>
      </c>
      <c r="J2335" s="735">
        <v>-1912.38</v>
      </c>
      <c r="K2335" s="735">
        <v>-112254.41</v>
      </c>
      <c r="L2335" s="750">
        <v>-112254.41</v>
      </c>
    </row>
    <row r="2336" spans="1:12" x14ac:dyDescent="0.25">
      <c r="A2336" s="561" t="s">
        <v>114</v>
      </c>
      <c r="B2336" s="749">
        <v>2023</v>
      </c>
      <c r="C2336" s="561" t="s">
        <v>716</v>
      </c>
      <c r="D2336" s="561" t="s">
        <v>2490</v>
      </c>
      <c r="E2336" s="561" t="s">
        <v>66</v>
      </c>
      <c r="F2336" s="735">
        <v>-150708.67000000001</v>
      </c>
      <c r="G2336" s="749">
        <v>1</v>
      </c>
      <c r="H2336" s="749"/>
      <c r="I2336" s="735">
        <v>-147812.76</v>
      </c>
      <c r="J2336" s="735">
        <v>-2895.91</v>
      </c>
      <c r="K2336" s="735">
        <v>-150708.67000000001</v>
      </c>
      <c r="L2336" s="750">
        <v>-150708.67000000001</v>
      </c>
    </row>
    <row r="2337" spans="1:12" ht="21" x14ac:dyDescent="0.25">
      <c r="A2337" s="561" t="s">
        <v>114</v>
      </c>
      <c r="B2337" s="749">
        <v>2023</v>
      </c>
      <c r="C2337" s="561" t="s">
        <v>718</v>
      </c>
      <c r="D2337" s="561" t="s">
        <v>2491</v>
      </c>
      <c r="E2337" s="561" t="s">
        <v>720</v>
      </c>
      <c r="F2337" s="735">
        <v>-72773.179999999993</v>
      </c>
      <c r="G2337" s="749">
        <v>0</v>
      </c>
      <c r="H2337" s="749"/>
      <c r="I2337" s="733"/>
      <c r="J2337" s="733"/>
      <c r="K2337" s="735">
        <v>0</v>
      </c>
      <c r="L2337" s="750">
        <v>-72773.179999999993</v>
      </c>
    </row>
    <row r="2338" spans="1:12" ht="31.5" x14ac:dyDescent="0.25">
      <c r="A2338" s="561" t="s">
        <v>114</v>
      </c>
      <c r="B2338" s="749">
        <v>2023</v>
      </c>
      <c r="C2338" s="561" t="s">
        <v>721</v>
      </c>
      <c r="D2338" s="561" t="s">
        <v>2493</v>
      </c>
      <c r="E2338" s="561" t="s">
        <v>724</v>
      </c>
      <c r="F2338" s="735">
        <v>0</v>
      </c>
      <c r="G2338" s="749">
        <v>1</v>
      </c>
      <c r="H2338" s="749"/>
      <c r="I2338" s="733"/>
      <c r="J2338" s="733"/>
      <c r="K2338" s="735">
        <v>0</v>
      </c>
      <c r="L2338" s="750">
        <v>0</v>
      </c>
    </row>
    <row r="2339" spans="1:12" ht="31.5" x14ac:dyDescent="0.25">
      <c r="A2339" s="561" t="s">
        <v>114</v>
      </c>
      <c r="B2339" s="749">
        <v>2023</v>
      </c>
      <c r="C2339" s="561" t="s">
        <v>721</v>
      </c>
      <c r="D2339" s="561" t="s">
        <v>2494</v>
      </c>
      <c r="E2339" s="561" t="s">
        <v>55</v>
      </c>
      <c r="F2339" s="735">
        <v>0</v>
      </c>
      <c r="G2339" s="749">
        <v>1</v>
      </c>
      <c r="H2339" s="749"/>
      <c r="I2339" s="733"/>
      <c r="J2339" s="733"/>
      <c r="K2339" s="735">
        <v>0</v>
      </c>
      <c r="L2339" s="750">
        <v>0</v>
      </c>
    </row>
    <row r="2340" spans="1:12" ht="31.5" x14ac:dyDescent="0.25">
      <c r="A2340" s="561" t="s">
        <v>114</v>
      </c>
      <c r="B2340" s="749">
        <v>2023</v>
      </c>
      <c r="C2340" s="561" t="s">
        <v>721</v>
      </c>
      <c r="D2340" s="561" t="s">
        <v>2495</v>
      </c>
      <c r="E2340" s="561" t="s">
        <v>56</v>
      </c>
      <c r="F2340" s="735">
        <v>0</v>
      </c>
      <c r="G2340" s="749">
        <v>1</v>
      </c>
      <c r="H2340" s="749"/>
      <c r="I2340" s="733"/>
      <c r="J2340" s="733"/>
      <c r="K2340" s="735">
        <v>0</v>
      </c>
      <c r="L2340" s="750">
        <v>0</v>
      </c>
    </row>
    <row r="2341" spans="1:12" ht="31.5" x14ac:dyDescent="0.25">
      <c r="A2341" s="561" t="s">
        <v>114</v>
      </c>
      <c r="B2341" s="749">
        <v>2023</v>
      </c>
      <c r="C2341" s="561" t="s">
        <v>721</v>
      </c>
      <c r="D2341" s="561" t="s">
        <v>2496</v>
      </c>
      <c r="E2341" s="561" t="s">
        <v>728</v>
      </c>
      <c r="F2341" s="735">
        <v>0</v>
      </c>
      <c r="G2341" s="749">
        <v>1</v>
      </c>
      <c r="H2341" s="749"/>
      <c r="I2341" s="733"/>
      <c r="J2341" s="733"/>
      <c r="K2341" s="735">
        <v>0</v>
      </c>
      <c r="L2341" s="750">
        <v>0</v>
      </c>
    </row>
    <row r="2342" spans="1:12" ht="31.5" x14ac:dyDescent="0.25">
      <c r="A2342" s="561" t="s">
        <v>114</v>
      </c>
      <c r="B2342" s="749">
        <v>2023</v>
      </c>
      <c r="C2342" s="561" t="s">
        <v>721</v>
      </c>
      <c r="D2342" s="561" t="s">
        <v>2497</v>
      </c>
      <c r="E2342" s="561" t="s">
        <v>730</v>
      </c>
      <c r="F2342" s="735">
        <v>0</v>
      </c>
      <c r="G2342" s="749">
        <v>1</v>
      </c>
      <c r="H2342" s="749"/>
      <c r="I2342" s="733"/>
      <c r="J2342" s="733"/>
      <c r="K2342" s="735">
        <v>0</v>
      </c>
      <c r="L2342" s="750">
        <v>0</v>
      </c>
    </row>
    <row r="2343" spans="1:12" ht="31.5" x14ac:dyDescent="0.25">
      <c r="A2343" s="561" t="s">
        <v>114</v>
      </c>
      <c r="B2343" s="749">
        <v>2023</v>
      </c>
      <c r="C2343" s="561" t="s">
        <v>721</v>
      </c>
      <c r="D2343" s="561" t="s">
        <v>2498</v>
      </c>
      <c r="E2343" s="561" t="s">
        <v>142</v>
      </c>
      <c r="F2343" s="735">
        <v>0</v>
      </c>
      <c r="G2343" s="749">
        <v>1</v>
      </c>
      <c r="H2343" s="749"/>
      <c r="I2343" s="733"/>
      <c r="J2343" s="733"/>
      <c r="K2343" s="735">
        <v>0</v>
      </c>
      <c r="L2343" s="750">
        <v>0</v>
      </c>
    </row>
    <row r="2344" spans="1:12" ht="31.5" x14ac:dyDescent="0.25">
      <c r="A2344" s="561" t="s">
        <v>114</v>
      </c>
      <c r="B2344" s="749">
        <v>2023</v>
      </c>
      <c r="C2344" s="561" t="s">
        <v>721</v>
      </c>
      <c r="D2344" s="561" t="s">
        <v>2499</v>
      </c>
      <c r="E2344" s="561" t="s">
        <v>143</v>
      </c>
      <c r="F2344" s="735">
        <v>0</v>
      </c>
      <c r="G2344" s="749">
        <v>1</v>
      </c>
      <c r="H2344" s="749"/>
      <c r="I2344" s="733"/>
      <c r="J2344" s="733"/>
      <c r="K2344" s="735">
        <v>0</v>
      </c>
      <c r="L2344" s="750">
        <v>0</v>
      </c>
    </row>
    <row r="2345" spans="1:12" ht="31.5" x14ac:dyDescent="0.25">
      <c r="A2345" s="561" t="s">
        <v>114</v>
      </c>
      <c r="B2345" s="749">
        <v>2023</v>
      </c>
      <c r="C2345" s="561" t="s">
        <v>721</v>
      </c>
      <c r="D2345" s="561" t="s">
        <v>2500</v>
      </c>
      <c r="E2345" s="561" t="s">
        <v>182</v>
      </c>
      <c r="F2345" s="735">
        <v>0</v>
      </c>
      <c r="G2345" s="749">
        <v>1</v>
      </c>
      <c r="H2345" s="749"/>
      <c r="I2345" s="733"/>
      <c r="J2345" s="733"/>
      <c r="K2345" s="735">
        <v>0</v>
      </c>
      <c r="L2345" s="750">
        <v>0</v>
      </c>
    </row>
    <row r="2346" spans="1:12" ht="31.5" x14ac:dyDescent="0.25">
      <c r="A2346" s="561" t="s">
        <v>114</v>
      </c>
      <c r="B2346" s="749">
        <v>2023</v>
      </c>
      <c r="C2346" s="561" t="s">
        <v>721</v>
      </c>
      <c r="D2346" s="561" t="s">
        <v>2501</v>
      </c>
      <c r="E2346" s="561" t="s">
        <v>394</v>
      </c>
      <c r="F2346" s="735">
        <v>0</v>
      </c>
      <c r="G2346" s="749">
        <v>1</v>
      </c>
      <c r="H2346" s="749"/>
      <c r="I2346" s="733"/>
      <c r="J2346" s="733"/>
      <c r="K2346" s="735">
        <v>0</v>
      </c>
      <c r="L2346" s="750">
        <v>0</v>
      </c>
    </row>
    <row r="2347" spans="1:12" ht="31.5" x14ac:dyDescent="0.25">
      <c r="A2347" s="561" t="s">
        <v>114</v>
      </c>
      <c r="B2347" s="749">
        <v>2023</v>
      </c>
      <c r="C2347" s="561" t="s">
        <v>721</v>
      </c>
      <c r="D2347" s="561" t="s">
        <v>2502</v>
      </c>
      <c r="E2347" s="561" t="s">
        <v>423</v>
      </c>
      <c r="F2347" s="735">
        <v>0</v>
      </c>
      <c r="G2347" s="749">
        <v>1</v>
      </c>
      <c r="H2347" s="749"/>
      <c r="I2347" s="733"/>
      <c r="J2347" s="733"/>
      <c r="K2347" s="735">
        <v>0</v>
      </c>
      <c r="L2347" s="750">
        <v>0</v>
      </c>
    </row>
    <row r="2348" spans="1:12" ht="31.5" x14ac:dyDescent="0.25">
      <c r="A2348" s="561" t="s">
        <v>114</v>
      </c>
      <c r="B2348" s="749">
        <v>2023</v>
      </c>
      <c r="C2348" s="561" t="s">
        <v>721</v>
      </c>
      <c r="D2348" s="561" t="s">
        <v>3283</v>
      </c>
      <c r="E2348" s="561" t="s">
        <v>441</v>
      </c>
      <c r="F2348" s="735">
        <v>0</v>
      </c>
      <c r="G2348" s="749">
        <v>1</v>
      </c>
      <c r="H2348" s="749"/>
      <c r="I2348" s="733"/>
      <c r="J2348" s="733"/>
      <c r="K2348" s="735">
        <v>0</v>
      </c>
      <c r="L2348" s="750">
        <v>0</v>
      </c>
    </row>
    <row r="2349" spans="1:12" ht="31.5" x14ac:dyDescent="0.25">
      <c r="A2349" s="561" t="s">
        <v>114</v>
      </c>
      <c r="B2349" s="749">
        <v>2023</v>
      </c>
      <c r="C2349" s="561" t="s">
        <v>721</v>
      </c>
      <c r="D2349" s="561" t="s">
        <v>3591</v>
      </c>
      <c r="E2349" s="561" t="s">
        <v>3016</v>
      </c>
      <c r="F2349" s="735">
        <v>0</v>
      </c>
      <c r="G2349" s="749">
        <v>1</v>
      </c>
      <c r="H2349" s="749"/>
      <c r="I2349" s="735">
        <v>-2026</v>
      </c>
      <c r="J2349" s="735">
        <v>-111.61</v>
      </c>
      <c r="K2349" s="735">
        <v>-2137.61</v>
      </c>
      <c r="L2349" s="750">
        <v>-2137.61</v>
      </c>
    </row>
    <row r="2350" spans="1:12" ht="31.5" x14ac:dyDescent="0.25">
      <c r="A2350" s="561" t="s">
        <v>114</v>
      </c>
      <c r="B2350" s="749">
        <v>2023</v>
      </c>
      <c r="C2350" s="561" t="s">
        <v>721</v>
      </c>
      <c r="D2350" s="561" t="s">
        <v>3592</v>
      </c>
      <c r="E2350" s="561" t="s">
        <v>3058</v>
      </c>
      <c r="F2350" s="735">
        <v>0</v>
      </c>
      <c r="G2350" s="749">
        <v>1</v>
      </c>
      <c r="H2350" s="749"/>
      <c r="I2350" s="735">
        <v>-5493.08</v>
      </c>
      <c r="J2350" s="735">
        <v>-5840.49</v>
      </c>
      <c r="K2350" s="735">
        <v>-11333.57</v>
      </c>
      <c r="L2350" s="750">
        <v>-11333.57</v>
      </c>
    </row>
    <row r="2351" spans="1:12" ht="31.5" x14ac:dyDescent="0.25">
      <c r="A2351" s="561" t="s">
        <v>114</v>
      </c>
      <c r="B2351" s="749">
        <v>2023</v>
      </c>
      <c r="C2351" s="561" t="s">
        <v>721</v>
      </c>
      <c r="D2351" s="561" t="s">
        <v>3593</v>
      </c>
      <c r="E2351" s="561" t="s">
        <v>3063</v>
      </c>
      <c r="F2351" s="735">
        <v>0</v>
      </c>
      <c r="G2351" s="749">
        <v>1</v>
      </c>
      <c r="H2351" s="749"/>
      <c r="I2351" s="735">
        <v>1315.45</v>
      </c>
      <c r="J2351" s="735">
        <v>2365.08</v>
      </c>
      <c r="K2351" s="735">
        <v>3680.53</v>
      </c>
      <c r="L2351" s="750">
        <v>3680.53</v>
      </c>
    </row>
    <row r="2352" spans="1:12" ht="31.5" x14ac:dyDescent="0.25">
      <c r="A2352" s="561" t="s">
        <v>114</v>
      </c>
      <c r="B2352" s="749">
        <v>2023</v>
      </c>
      <c r="C2352" s="561" t="s">
        <v>721</v>
      </c>
      <c r="D2352" s="561" t="s">
        <v>3914</v>
      </c>
      <c r="E2352" s="561" t="s">
        <v>3425</v>
      </c>
      <c r="F2352" s="735">
        <v>0</v>
      </c>
      <c r="G2352" s="749">
        <v>1</v>
      </c>
      <c r="H2352" s="749"/>
      <c r="I2352" s="735">
        <v>6884.07</v>
      </c>
      <c r="J2352" s="735">
        <v>-503.59</v>
      </c>
      <c r="K2352" s="735">
        <v>6380.48</v>
      </c>
      <c r="L2352" s="750">
        <v>6380.48</v>
      </c>
    </row>
    <row r="2353" spans="1:12" ht="42" x14ac:dyDescent="0.25">
      <c r="A2353" s="561" t="s">
        <v>114</v>
      </c>
      <c r="B2353" s="749">
        <v>2023</v>
      </c>
      <c r="C2353" s="561" t="s">
        <v>721</v>
      </c>
      <c r="D2353" s="561" t="s">
        <v>3915</v>
      </c>
      <c r="E2353" s="561" t="s">
        <v>737</v>
      </c>
      <c r="F2353" s="735">
        <v>-3410.17</v>
      </c>
      <c r="G2353" s="749">
        <v>0</v>
      </c>
      <c r="H2353" s="749"/>
      <c r="I2353" s="733"/>
      <c r="J2353" s="733"/>
      <c r="K2353" s="735">
        <v>0</v>
      </c>
      <c r="L2353" s="750">
        <v>-3410.17</v>
      </c>
    </row>
    <row r="2354" spans="1:12" x14ac:dyDescent="0.25">
      <c r="A2354" s="561" t="s">
        <v>114</v>
      </c>
      <c r="B2354" s="749">
        <v>2023</v>
      </c>
      <c r="C2354" s="561" t="s">
        <v>738</v>
      </c>
      <c r="D2354" s="561" t="s">
        <v>2504</v>
      </c>
      <c r="E2354" s="561" t="s">
        <v>7</v>
      </c>
      <c r="F2354" s="735">
        <v>0</v>
      </c>
      <c r="G2354" s="749">
        <v>0</v>
      </c>
      <c r="H2354" s="749"/>
      <c r="I2354" s="733"/>
      <c r="J2354" s="733"/>
      <c r="K2354" s="735">
        <v>0</v>
      </c>
      <c r="L2354" s="750">
        <v>0</v>
      </c>
    </row>
    <row r="2355" spans="1:12" x14ac:dyDescent="0.25">
      <c r="A2355" s="561" t="s">
        <v>438</v>
      </c>
      <c r="B2355" s="749">
        <v>2023</v>
      </c>
      <c r="C2355" s="561" t="s">
        <v>647</v>
      </c>
      <c r="D2355" s="561" t="s">
        <v>2505</v>
      </c>
      <c r="E2355" s="561" t="s">
        <v>649</v>
      </c>
      <c r="F2355" s="735">
        <v>66721.13</v>
      </c>
      <c r="G2355" s="749">
        <v>0</v>
      </c>
      <c r="H2355" s="749"/>
      <c r="I2355" s="733"/>
      <c r="J2355" s="733"/>
      <c r="K2355" s="735">
        <v>0</v>
      </c>
      <c r="L2355" s="750">
        <v>66721.13</v>
      </c>
    </row>
    <row r="2356" spans="1:12" ht="21" x14ac:dyDescent="0.25">
      <c r="A2356" s="561" t="s">
        <v>438</v>
      </c>
      <c r="B2356" s="749">
        <v>2023</v>
      </c>
      <c r="C2356" s="561" t="s">
        <v>3691</v>
      </c>
      <c r="D2356" s="561" t="s">
        <v>3666</v>
      </c>
      <c r="E2356" s="561" t="s">
        <v>3675</v>
      </c>
      <c r="F2356" s="735">
        <v>0</v>
      </c>
      <c r="G2356" s="749">
        <v>0</v>
      </c>
      <c r="H2356" s="749"/>
      <c r="I2356" s="733"/>
      <c r="J2356" s="733"/>
      <c r="K2356" s="735">
        <v>0</v>
      </c>
      <c r="L2356" s="750">
        <v>0</v>
      </c>
    </row>
    <row r="2357" spans="1:12" x14ac:dyDescent="0.25">
      <c r="A2357" s="561" t="s">
        <v>438</v>
      </c>
      <c r="B2357" s="749">
        <v>2023</v>
      </c>
      <c r="C2357" s="561" t="s">
        <v>651</v>
      </c>
      <c r="D2357" s="561" t="s">
        <v>2506</v>
      </c>
      <c r="E2357" s="561" t="s">
        <v>653</v>
      </c>
      <c r="F2357" s="735">
        <v>-1354.99</v>
      </c>
      <c r="G2357" s="749">
        <v>0</v>
      </c>
      <c r="H2357" s="749"/>
      <c r="I2357" s="733"/>
      <c r="J2357" s="733"/>
      <c r="K2357" s="735">
        <v>0</v>
      </c>
      <c r="L2357" s="750">
        <v>-1354.99</v>
      </c>
    </row>
    <row r="2358" spans="1:12" ht="31.5" x14ac:dyDescent="0.25">
      <c r="A2358" s="561" t="s">
        <v>438</v>
      </c>
      <c r="B2358" s="749">
        <v>2023</v>
      </c>
      <c r="C2358" s="561" t="s">
        <v>654</v>
      </c>
      <c r="D2358" s="561" t="s">
        <v>2507</v>
      </c>
      <c r="E2358" s="561" t="s">
        <v>445</v>
      </c>
      <c r="F2358" s="735">
        <v>-86.58</v>
      </c>
      <c r="G2358" s="749">
        <v>0</v>
      </c>
      <c r="H2358" s="749"/>
      <c r="I2358" s="733"/>
      <c r="J2358" s="733"/>
      <c r="K2358" s="735">
        <v>0</v>
      </c>
      <c r="L2358" s="750">
        <v>-86.58</v>
      </c>
    </row>
    <row r="2359" spans="1:12" ht="21" x14ac:dyDescent="0.25">
      <c r="A2359" s="561" t="s">
        <v>438</v>
      </c>
      <c r="B2359" s="749">
        <v>2023</v>
      </c>
      <c r="C2359" s="561" t="s">
        <v>656</v>
      </c>
      <c r="D2359" s="561" t="s">
        <v>2508</v>
      </c>
      <c r="E2359" s="561" t="s">
        <v>658</v>
      </c>
      <c r="F2359" s="735">
        <v>0</v>
      </c>
      <c r="G2359" s="749">
        <v>0</v>
      </c>
      <c r="H2359" s="749"/>
      <c r="I2359" s="733"/>
      <c r="J2359" s="733"/>
      <c r="K2359" s="735">
        <v>0</v>
      </c>
      <c r="L2359" s="750">
        <v>0</v>
      </c>
    </row>
    <row r="2360" spans="1:12" ht="21" x14ac:dyDescent="0.25">
      <c r="A2360" s="561" t="s">
        <v>438</v>
      </c>
      <c r="B2360" s="749">
        <v>2023</v>
      </c>
      <c r="C2360" s="561" t="s">
        <v>659</v>
      </c>
      <c r="D2360" s="561" t="s">
        <v>2509</v>
      </c>
      <c r="E2360" s="561" t="s">
        <v>661</v>
      </c>
      <c r="F2360" s="735">
        <v>0</v>
      </c>
      <c r="G2360" s="749">
        <v>0</v>
      </c>
      <c r="H2360" s="749"/>
      <c r="I2360" s="733"/>
      <c r="J2360" s="733"/>
      <c r="K2360" s="735">
        <v>0</v>
      </c>
      <c r="L2360" s="750">
        <v>0</v>
      </c>
    </row>
    <row r="2361" spans="1:12" ht="21" x14ac:dyDescent="0.25">
      <c r="A2361" s="561" t="s">
        <v>438</v>
      </c>
      <c r="B2361" s="749">
        <v>2023</v>
      </c>
      <c r="C2361" s="561" t="s">
        <v>662</v>
      </c>
      <c r="D2361" s="561" t="s">
        <v>2510</v>
      </c>
      <c r="E2361" s="561" t="s">
        <v>664</v>
      </c>
      <c r="F2361" s="735">
        <v>0</v>
      </c>
      <c r="G2361" s="749">
        <v>0</v>
      </c>
      <c r="H2361" s="749"/>
      <c r="I2361" s="733"/>
      <c r="J2361" s="733"/>
      <c r="K2361" s="735">
        <v>0</v>
      </c>
      <c r="L2361" s="750">
        <v>0</v>
      </c>
    </row>
    <row r="2362" spans="1:12" ht="31.5" x14ac:dyDescent="0.25">
      <c r="A2362" s="561" t="s">
        <v>438</v>
      </c>
      <c r="B2362" s="749">
        <v>2023</v>
      </c>
      <c r="C2362" s="561" t="s">
        <v>665</v>
      </c>
      <c r="D2362" s="561" t="s">
        <v>2511</v>
      </c>
      <c r="E2362" s="561" t="s">
        <v>667</v>
      </c>
      <c r="F2362" s="735">
        <v>0</v>
      </c>
      <c r="G2362" s="749">
        <v>0</v>
      </c>
      <c r="H2362" s="749"/>
      <c r="I2362" s="733"/>
      <c r="J2362" s="733"/>
      <c r="K2362" s="735">
        <v>0</v>
      </c>
      <c r="L2362" s="750">
        <v>0</v>
      </c>
    </row>
    <row r="2363" spans="1:12" ht="21" x14ac:dyDescent="0.25">
      <c r="A2363" s="561" t="s">
        <v>438</v>
      </c>
      <c r="B2363" s="749">
        <v>2023</v>
      </c>
      <c r="C2363" s="561" t="s">
        <v>668</v>
      </c>
      <c r="D2363" s="561" t="s">
        <v>2512</v>
      </c>
      <c r="E2363" s="561" t="s">
        <v>12</v>
      </c>
      <c r="F2363" s="735">
        <v>0</v>
      </c>
      <c r="G2363" s="749">
        <v>0</v>
      </c>
      <c r="H2363" s="749"/>
      <c r="I2363" s="733"/>
      <c r="J2363" s="733"/>
      <c r="K2363" s="735">
        <v>0</v>
      </c>
      <c r="L2363" s="750">
        <v>0</v>
      </c>
    </row>
    <row r="2364" spans="1:12" ht="21" x14ac:dyDescent="0.25">
      <c r="A2364" s="561" t="s">
        <v>438</v>
      </c>
      <c r="B2364" s="749">
        <v>2023</v>
      </c>
      <c r="C2364" s="561" t="s">
        <v>670</v>
      </c>
      <c r="D2364" s="561" t="s">
        <v>2513</v>
      </c>
      <c r="E2364" s="561" t="s">
        <v>13</v>
      </c>
      <c r="F2364" s="735">
        <v>0</v>
      </c>
      <c r="G2364" s="749">
        <v>0</v>
      </c>
      <c r="H2364" s="749"/>
      <c r="I2364" s="733"/>
      <c r="J2364" s="733"/>
      <c r="K2364" s="735">
        <v>0</v>
      </c>
      <c r="L2364" s="750">
        <v>0</v>
      </c>
    </row>
    <row r="2365" spans="1:12" ht="21" x14ac:dyDescent="0.25">
      <c r="A2365" s="561" t="s">
        <v>438</v>
      </c>
      <c r="B2365" s="749">
        <v>2023</v>
      </c>
      <c r="C2365" s="561" t="s">
        <v>672</v>
      </c>
      <c r="D2365" s="561" t="s">
        <v>2514</v>
      </c>
      <c r="E2365" s="561" t="s">
        <v>15</v>
      </c>
      <c r="F2365" s="735">
        <v>0</v>
      </c>
      <c r="G2365" s="749">
        <v>0</v>
      </c>
      <c r="H2365" s="749"/>
      <c r="I2365" s="733"/>
      <c r="J2365" s="733"/>
      <c r="K2365" s="735">
        <v>0</v>
      </c>
      <c r="L2365" s="750">
        <v>0</v>
      </c>
    </row>
    <row r="2366" spans="1:12" x14ac:dyDescent="0.25">
      <c r="A2366" s="561" t="s">
        <v>438</v>
      </c>
      <c r="B2366" s="749">
        <v>2023</v>
      </c>
      <c r="C2366" s="561" t="s">
        <v>674</v>
      </c>
      <c r="D2366" s="561" t="s">
        <v>2515</v>
      </c>
      <c r="E2366" s="561" t="s">
        <v>676</v>
      </c>
      <c r="F2366" s="735">
        <v>193.52</v>
      </c>
      <c r="G2366" s="749">
        <v>0</v>
      </c>
      <c r="H2366" s="749"/>
      <c r="I2366" s="733"/>
      <c r="J2366" s="733"/>
      <c r="K2366" s="735">
        <v>0</v>
      </c>
      <c r="L2366" s="750">
        <v>193.52</v>
      </c>
    </row>
    <row r="2367" spans="1:12" x14ac:dyDescent="0.25">
      <c r="A2367" s="561" t="s">
        <v>438</v>
      </c>
      <c r="B2367" s="749">
        <v>2023</v>
      </c>
      <c r="C2367" s="561" t="s">
        <v>677</v>
      </c>
      <c r="D2367" s="561" t="s">
        <v>2516</v>
      </c>
      <c r="E2367" s="561" t="s">
        <v>23</v>
      </c>
      <c r="F2367" s="735">
        <v>97344.960000000006</v>
      </c>
      <c r="G2367" s="749">
        <v>1</v>
      </c>
      <c r="H2367" s="749"/>
      <c r="I2367" s="735">
        <v>95132.97</v>
      </c>
      <c r="J2367" s="735">
        <v>2211.9899999999998</v>
      </c>
      <c r="K2367" s="735">
        <v>97344.960000000006</v>
      </c>
      <c r="L2367" s="750">
        <v>97344.960000000006</v>
      </c>
    </row>
    <row r="2368" spans="1:12" ht="21" x14ac:dyDescent="0.25">
      <c r="A2368" s="561" t="s">
        <v>438</v>
      </c>
      <c r="B2368" s="749">
        <v>2023</v>
      </c>
      <c r="C2368" s="561" t="s">
        <v>679</v>
      </c>
      <c r="D2368" s="561" t="s">
        <v>2517</v>
      </c>
      <c r="E2368" s="561" t="s">
        <v>131</v>
      </c>
      <c r="F2368" s="735">
        <v>-19768.919999999998</v>
      </c>
      <c r="G2368" s="749">
        <v>1</v>
      </c>
      <c r="H2368" s="749"/>
      <c r="I2368" s="735">
        <v>-19535.57</v>
      </c>
      <c r="J2368" s="735">
        <v>-233.35</v>
      </c>
      <c r="K2368" s="735">
        <v>-19768.919999999998</v>
      </c>
      <c r="L2368" s="750">
        <v>-19768.919999999998</v>
      </c>
    </row>
    <row r="2369" spans="1:12" ht="31.5" x14ac:dyDescent="0.25">
      <c r="A2369" s="561" t="s">
        <v>438</v>
      </c>
      <c r="B2369" s="749">
        <v>2023</v>
      </c>
      <c r="C2369" s="561" t="s">
        <v>681</v>
      </c>
      <c r="D2369" s="561" t="s">
        <v>2518</v>
      </c>
      <c r="E2369" s="561" t="s">
        <v>683</v>
      </c>
      <c r="F2369" s="735">
        <v>0</v>
      </c>
      <c r="G2369" s="749">
        <v>0</v>
      </c>
      <c r="H2369" s="749"/>
      <c r="I2369" s="733"/>
      <c r="J2369" s="733"/>
      <c r="K2369" s="735">
        <v>0</v>
      </c>
      <c r="L2369" s="750">
        <v>0</v>
      </c>
    </row>
    <row r="2370" spans="1:12" ht="21" x14ac:dyDescent="0.25">
      <c r="A2370" s="561" t="s">
        <v>438</v>
      </c>
      <c r="B2370" s="749">
        <v>2023</v>
      </c>
      <c r="C2370" s="561" t="s">
        <v>681</v>
      </c>
      <c r="D2370" s="561" t="s">
        <v>2518</v>
      </c>
      <c r="E2370" s="561" t="s">
        <v>684</v>
      </c>
      <c r="F2370" s="735">
        <v>0</v>
      </c>
      <c r="G2370" s="749">
        <v>0</v>
      </c>
      <c r="H2370" s="749"/>
      <c r="I2370" s="733"/>
      <c r="J2370" s="733"/>
      <c r="K2370" s="735">
        <v>0</v>
      </c>
      <c r="L2370" s="751">
        <v>0</v>
      </c>
    </row>
    <row r="2371" spans="1:12" x14ac:dyDescent="0.25">
      <c r="A2371" s="561" t="s">
        <v>438</v>
      </c>
      <c r="B2371" s="749">
        <v>2023</v>
      </c>
      <c r="C2371" s="561" t="s">
        <v>685</v>
      </c>
      <c r="D2371" s="561" t="s">
        <v>2519</v>
      </c>
      <c r="E2371" s="561" t="s">
        <v>687</v>
      </c>
      <c r="F2371" s="735">
        <v>0</v>
      </c>
      <c r="G2371" s="749">
        <v>0</v>
      </c>
      <c r="H2371" s="749"/>
      <c r="I2371" s="733"/>
      <c r="J2371" s="733"/>
      <c r="K2371" s="735">
        <v>0</v>
      </c>
      <c r="L2371" s="750">
        <v>0</v>
      </c>
    </row>
    <row r="2372" spans="1:12" x14ac:dyDescent="0.25">
      <c r="A2372" s="561" t="s">
        <v>438</v>
      </c>
      <c r="B2372" s="749">
        <v>2023</v>
      </c>
      <c r="C2372" s="561" t="s">
        <v>688</v>
      </c>
      <c r="D2372" s="561" t="s">
        <v>2520</v>
      </c>
      <c r="E2372" s="561" t="s">
        <v>50</v>
      </c>
      <c r="F2372" s="735">
        <v>47673.04</v>
      </c>
      <c r="G2372" s="749">
        <v>0</v>
      </c>
      <c r="H2372" s="749"/>
      <c r="I2372" s="733"/>
      <c r="J2372" s="733"/>
      <c r="K2372" s="735">
        <v>0</v>
      </c>
      <c r="L2372" s="750">
        <v>47673.04</v>
      </c>
    </row>
    <row r="2373" spans="1:12" x14ac:dyDescent="0.25">
      <c r="A2373" s="561" t="s">
        <v>438</v>
      </c>
      <c r="B2373" s="749">
        <v>2023</v>
      </c>
      <c r="C2373" s="561" t="s">
        <v>690</v>
      </c>
      <c r="D2373" s="561" t="s">
        <v>2521</v>
      </c>
      <c r="E2373" s="561" t="s">
        <v>692</v>
      </c>
      <c r="F2373" s="735">
        <v>0</v>
      </c>
      <c r="G2373" s="749">
        <v>0</v>
      </c>
      <c r="H2373" s="749"/>
      <c r="I2373" s="733"/>
      <c r="J2373" s="733"/>
      <c r="K2373" s="735">
        <v>0</v>
      </c>
      <c r="L2373" s="750">
        <v>0</v>
      </c>
    </row>
    <row r="2374" spans="1:12" ht="21" x14ac:dyDescent="0.25">
      <c r="A2374" s="561" t="s">
        <v>438</v>
      </c>
      <c r="B2374" s="749">
        <v>2023</v>
      </c>
      <c r="C2374" s="561" t="s">
        <v>693</v>
      </c>
      <c r="D2374" s="561" t="s">
        <v>2522</v>
      </c>
      <c r="E2374" s="561" t="s">
        <v>6</v>
      </c>
      <c r="F2374" s="735">
        <v>0</v>
      </c>
      <c r="G2374" s="749">
        <v>0</v>
      </c>
      <c r="H2374" s="749"/>
      <c r="I2374" s="733"/>
      <c r="J2374" s="733"/>
      <c r="K2374" s="735">
        <v>0</v>
      </c>
      <c r="L2374" s="750">
        <v>0</v>
      </c>
    </row>
    <row r="2375" spans="1:12" ht="21" x14ac:dyDescent="0.25">
      <c r="A2375" s="561" t="s">
        <v>438</v>
      </c>
      <c r="B2375" s="749">
        <v>2023</v>
      </c>
      <c r="C2375" s="561" t="s">
        <v>695</v>
      </c>
      <c r="D2375" s="561" t="s">
        <v>2523</v>
      </c>
      <c r="E2375" s="561" t="s">
        <v>697</v>
      </c>
      <c r="F2375" s="735">
        <v>0</v>
      </c>
      <c r="G2375" s="749">
        <v>0</v>
      </c>
      <c r="H2375" s="749"/>
      <c r="I2375" s="733"/>
      <c r="J2375" s="733"/>
      <c r="K2375" s="735">
        <v>0</v>
      </c>
      <c r="L2375" s="750">
        <v>0</v>
      </c>
    </row>
    <row r="2376" spans="1:12" x14ac:dyDescent="0.25">
      <c r="A2376" s="561" t="s">
        <v>438</v>
      </c>
      <c r="B2376" s="749">
        <v>2023</v>
      </c>
      <c r="C2376" s="561" t="s">
        <v>698</v>
      </c>
      <c r="D2376" s="561" t="s">
        <v>2524</v>
      </c>
      <c r="E2376" s="561" t="s">
        <v>700</v>
      </c>
      <c r="F2376" s="735">
        <v>0</v>
      </c>
      <c r="G2376" s="749">
        <v>0</v>
      </c>
      <c r="H2376" s="749"/>
      <c r="I2376" s="733"/>
      <c r="J2376" s="733"/>
      <c r="K2376" s="735">
        <v>0</v>
      </c>
      <c r="L2376" s="750">
        <v>0</v>
      </c>
    </row>
    <row r="2377" spans="1:12" ht="21" x14ac:dyDescent="0.25">
      <c r="A2377" s="561" t="s">
        <v>438</v>
      </c>
      <c r="B2377" s="749">
        <v>2023</v>
      </c>
      <c r="C2377" s="561" t="s">
        <v>701</v>
      </c>
      <c r="D2377" s="561" t="s">
        <v>2525</v>
      </c>
      <c r="E2377" s="561" t="s">
        <v>1</v>
      </c>
      <c r="F2377" s="735">
        <v>312884.84000000003</v>
      </c>
      <c r="G2377" s="749">
        <v>1</v>
      </c>
      <c r="H2377" s="749"/>
      <c r="I2377" s="735">
        <v>308201.67</v>
      </c>
      <c r="J2377" s="735">
        <v>4683.17</v>
      </c>
      <c r="K2377" s="735">
        <v>312884.84000000003</v>
      </c>
      <c r="L2377" s="750">
        <v>312884.84000000003</v>
      </c>
    </row>
    <row r="2378" spans="1:12" ht="21" x14ac:dyDescent="0.25">
      <c r="A2378" s="561" t="s">
        <v>438</v>
      </c>
      <c r="B2378" s="749">
        <v>2023</v>
      </c>
      <c r="C2378" s="561" t="s">
        <v>701</v>
      </c>
      <c r="D2378" s="561" t="s">
        <v>2525</v>
      </c>
      <c r="E2378" s="561" t="s">
        <v>703</v>
      </c>
      <c r="F2378" s="735">
        <v>0</v>
      </c>
      <c r="G2378" s="749">
        <v>0</v>
      </c>
      <c r="H2378" s="749"/>
      <c r="I2378" s="733"/>
      <c r="J2378" s="733"/>
      <c r="K2378" s="735">
        <v>0</v>
      </c>
      <c r="L2378" s="751">
        <v>0</v>
      </c>
    </row>
    <row r="2379" spans="1:12" ht="21" x14ac:dyDescent="0.25">
      <c r="A2379" s="561" t="s">
        <v>438</v>
      </c>
      <c r="B2379" s="749">
        <v>2023</v>
      </c>
      <c r="C2379" s="561" t="s">
        <v>701</v>
      </c>
      <c r="D2379" s="561" t="s">
        <v>2525</v>
      </c>
      <c r="E2379" s="561" t="s">
        <v>704</v>
      </c>
      <c r="F2379" s="735">
        <v>0</v>
      </c>
      <c r="G2379" s="749">
        <v>0</v>
      </c>
      <c r="H2379" s="749"/>
      <c r="I2379" s="733"/>
      <c r="J2379" s="733"/>
      <c r="K2379" s="735">
        <v>0</v>
      </c>
      <c r="L2379" s="751">
        <v>0</v>
      </c>
    </row>
    <row r="2380" spans="1:12" ht="21" x14ac:dyDescent="0.25">
      <c r="A2380" s="561" t="s">
        <v>438</v>
      </c>
      <c r="B2380" s="749">
        <v>2023</v>
      </c>
      <c r="C2380" s="561" t="s">
        <v>701</v>
      </c>
      <c r="D2380" s="561" t="s">
        <v>2525</v>
      </c>
      <c r="E2380" s="561" t="s">
        <v>705</v>
      </c>
      <c r="F2380" s="735">
        <v>0</v>
      </c>
      <c r="G2380" s="749">
        <v>0</v>
      </c>
      <c r="H2380" s="749"/>
      <c r="I2380" s="733"/>
      <c r="J2380" s="733"/>
      <c r="K2380" s="735">
        <v>0</v>
      </c>
      <c r="L2380" s="751">
        <v>0</v>
      </c>
    </row>
    <row r="2381" spans="1:12" ht="21" x14ac:dyDescent="0.25">
      <c r="A2381" s="561" t="s">
        <v>438</v>
      </c>
      <c r="B2381" s="749">
        <v>2023</v>
      </c>
      <c r="C2381" s="561" t="s">
        <v>701</v>
      </c>
      <c r="D2381" s="561" t="s">
        <v>2525</v>
      </c>
      <c r="E2381" s="561" t="s">
        <v>706</v>
      </c>
      <c r="F2381" s="735">
        <v>0</v>
      </c>
      <c r="G2381" s="749">
        <v>0</v>
      </c>
      <c r="H2381" s="749"/>
      <c r="I2381" s="733"/>
      <c r="J2381" s="733"/>
      <c r="K2381" s="735">
        <v>0</v>
      </c>
      <c r="L2381" s="751">
        <v>0</v>
      </c>
    </row>
    <row r="2382" spans="1:12" x14ac:dyDescent="0.25">
      <c r="A2382" s="561" t="s">
        <v>438</v>
      </c>
      <c r="B2382" s="749">
        <v>2023</v>
      </c>
      <c r="C2382" s="561" t="s">
        <v>707</v>
      </c>
      <c r="D2382" s="561" t="s">
        <v>2526</v>
      </c>
      <c r="E2382" s="561" t="s">
        <v>709</v>
      </c>
      <c r="F2382" s="735">
        <v>0</v>
      </c>
      <c r="G2382" s="749">
        <v>0</v>
      </c>
      <c r="H2382" s="749"/>
      <c r="I2382" s="733"/>
      <c r="J2382" s="733"/>
      <c r="K2382" s="735">
        <v>0</v>
      </c>
      <c r="L2382" s="750">
        <v>0</v>
      </c>
    </row>
    <row r="2383" spans="1:12" ht="21" x14ac:dyDescent="0.25">
      <c r="A2383" s="561" t="s">
        <v>438</v>
      </c>
      <c r="B2383" s="749">
        <v>2023</v>
      </c>
      <c r="C2383" s="561" t="s">
        <v>710</v>
      </c>
      <c r="D2383" s="561" t="s">
        <v>2527</v>
      </c>
      <c r="E2383" s="561" t="s">
        <v>2</v>
      </c>
      <c r="F2383" s="735">
        <v>115319.92</v>
      </c>
      <c r="G2383" s="749">
        <v>1</v>
      </c>
      <c r="H2383" s="749"/>
      <c r="I2383" s="735">
        <v>113583.56</v>
      </c>
      <c r="J2383" s="735">
        <v>1736.36</v>
      </c>
      <c r="K2383" s="735">
        <v>115319.92</v>
      </c>
      <c r="L2383" s="750">
        <v>115319.92</v>
      </c>
    </row>
    <row r="2384" spans="1:12" ht="21" x14ac:dyDescent="0.25">
      <c r="A2384" s="561" t="s">
        <v>438</v>
      </c>
      <c r="B2384" s="749">
        <v>2023</v>
      </c>
      <c r="C2384" s="561" t="s">
        <v>712</v>
      </c>
      <c r="D2384" s="561" t="s">
        <v>2528</v>
      </c>
      <c r="E2384" s="561" t="s">
        <v>3</v>
      </c>
      <c r="F2384" s="735">
        <v>-35168.14</v>
      </c>
      <c r="G2384" s="749">
        <v>1</v>
      </c>
      <c r="H2384" s="749"/>
      <c r="I2384" s="735">
        <v>-34340.79</v>
      </c>
      <c r="J2384" s="735">
        <v>-827.35</v>
      </c>
      <c r="K2384" s="735">
        <v>-35168.14</v>
      </c>
      <c r="L2384" s="750">
        <v>-35168.14</v>
      </c>
    </row>
    <row r="2385" spans="1:12" ht="21" x14ac:dyDescent="0.25">
      <c r="A2385" s="561" t="s">
        <v>438</v>
      </c>
      <c r="B2385" s="749">
        <v>2023</v>
      </c>
      <c r="C2385" s="561" t="s">
        <v>714</v>
      </c>
      <c r="D2385" s="561" t="s">
        <v>2529</v>
      </c>
      <c r="E2385" s="561" t="s">
        <v>38</v>
      </c>
      <c r="F2385" s="735">
        <v>213375.65</v>
      </c>
      <c r="G2385" s="749">
        <v>1</v>
      </c>
      <c r="H2385" s="749"/>
      <c r="I2385" s="735">
        <v>211063.44</v>
      </c>
      <c r="J2385" s="735">
        <v>2312.21</v>
      </c>
      <c r="K2385" s="735">
        <v>213375.65</v>
      </c>
      <c r="L2385" s="750">
        <v>213375.65</v>
      </c>
    </row>
    <row r="2386" spans="1:12" x14ac:dyDescent="0.25">
      <c r="A2386" s="561" t="s">
        <v>438</v>
      </c>
      <c r="B2386" s="749">
        <v>2023</v>
      </c>
      <c r="C2386" s="561" t="s">
        <v>716</v>
      </c>
      <c r="D2386" s="561" t="s">
        <v>2530</v>
      </c>
      <c r="E2386" s="561" t="s">
        <v>66</v>
      </c>
      <c r="F2386" s="735">
        <v>-78039.44</v>
      </c>
      <c r="G2386" s="749">
        <v>1</v>
      </c>
      <c r="H2386" s="749"/>
      <c r="I2386" s="735">
        <v>-76819.149999999994</v>
      </c>
      <c r="J2386" s="735">
        <v>-1220.29</v>
      </c>
      <c r="K2386" s="735">
        <v>-78039.44</v>
      </c>
      <c r="L2386" s="750">
        <v>-78039.44</v>
      </c>
    </row>
    <row r="2387" spans="1:12" ht="21" x14ac:dyDescent="0.25">
      <c r="A2387" s="561" t="s">
        <v>438</v>
      </c>
      <c r="B2387" s="749">
        <v>2023</v>
      </c>
      <c r="C2387" s="561" t="s">
        <v>718</v>
      </c>
      <c r="D2387" s="561" t="s">
        <v>2531</v>
      </c>
      <c r="E2387" s="561" t="s">
        <v>720</v>
      </c>
      <c r="F2387" s="735">
        <v>33302.94</v>
      </c>
      <c r="G2387" s="749">
        <v>0</v>
      </c>
      <c r="H2387" s="749"/>
      <c r="I2387" s="733"/>
      <c r="J2387" s="733"/>
      <c r="K2387" s="735">
        <v>0</v>
      </c>
      <c r="L2387" s="750">
        <v>33302.94</v>
      </c>
    </row>
    <row r="2388" spans="1:12" ht="31.5" x14ac:dyDescent="0.25">
      <c r="A2388" s="561" t="s">
        <v>438</v>
      </c>
      <c r="B2388" s="749">
        <v>2023</v>
      </c>
      <c r="C2388" s="561" t="s">
        <v>721</v>
      </c>
      <c r="D2388" s="561" t="s">
        <v>2533</v>
      </c>
      <c r="E2388" s="561" t="s">
        <v>724</v>
      </c>
      <c r="F2388" s="735">
        <v>0</v>
      </c>
      <c r="G2388" s="749">
        <v>1</v>
      </c>
      <c r="H2388" s="749"/>
      <c r="I2388" s="733"/>
      <c r="J2388" s="733"/>
      <c r="K2388" s="735">
        <v>0</v>
      </c>
      <c r="L2388" s="750">
        <v>0</v>
      </c>
    </row>
    <row r="2389" spans="1:12" ht="31.5" x14ac:dyDescent="0.25">
      <c r="A2389" s="561" t="s">
        <v>438</v>
      </c>
      <c r="B2389" s="749">
        <v>2023</v>
      </c>
      <c r="C2389" s="561" t="s">
        <v>721</v>
      </c>
      <c r="D2389" s="561" t="s">
        <v>2534</v>
      </c>
      <c r="E2389" s="561" t="s">
        <v>55</v>
      </c>
      <c r="F2389" s="735">
        <v>0</v>
      </c>
      <c r="G2389" s="749">
        <v>1</v>
      </c>
      <c r="H2389" s="749"/>
      <c r="I2389" s="733"/>
      <c r="J2389" s="733"/>
      <c r="K2389" s="735">
        <v>0</v>
      </c>
      <c r="L2389" s="750">
        <v>0</v>
      </c>
    </row>
    <row r="2390" spans="1:12" ht="31.5" x14ac:dyDescent="0.25">
      <c r="A2390" s="561" t="s">
        <v>438</v>
      </c>
      <c r="B2390" s="749">
        <v>2023</v>
      </c>
      <c r="C2390" s="561" t="s">
        <v>721</v>
      </c>
      <c r="D2390" s="561" t="s">
        <v>2535</v>
      </c>
      <c r="E2390" s="561" t="s">
        <v>56</v>
      </c>
      <c r="F2390" s="735">
        <v>0</v>
      </c>
      <c r="G2390" s="749">
        <v>1</v>
      </c>
      <c r="H2390" s="749"/>
      <c r="I2390" s="733"/>
      <c r="J2390" s="733"/>
      <c r="K2390" s="735">
        <v>0</v>
      </c>
      <c r="L2390" s="750">
        <v>0</v>
      </c>
    </row>
    <row r="2391" spans="1:12" ht="31.5" x14ac:dyDescent="0.25">
      <c r="A2391" s="561" t="s">
        <v>438</v>
      </c>
      <c r="B2391" s="749">
        <v>2023</v>
      </c>
      <c r="C2391" s="561" t="s">
        <v>721</v>
      </c>
      <c r="D2391" s="561" t="s">
        <v>2536</v>
      </c>
      <c r="E2391" s="561" t="s">
        <v>728</v>
      </c>
      <c r="F2391" s="735">
        <v>0</v>
      </c>
      <c r="G2391" s="749">
        <v>1</v>
      </c>
      <c r="H2391" s="749"/>
      <c r="I2391" s="733"/>
      <c r="J2391" s="733"/>
      <c r="K2391" s="735">
        <v>0</v>
      </c>
      <c r="L2391" s="750">
        <v>0</v>
      </c>
    </row>
    <row r="2392" spans="1:12" ht="31.5" x14ac:dyDescent="0.25">
      <c r="A2392" s="561" t="s">
        <v>438</v>
      </c>
      <c r="B2392" s="749">
        <v>2023</v>
      </c>
      <c r="C2392" s="561" t="s">
        <v>721</v>
      </c>
      <c r="D2392" s="561" t="s">
        <v>2537</v>
      </c>
      <c r="E2392" s="561" t="s">
        <v>730</v>
      </c>
      <c r="F2392" s="735">
        <v>0</v>
      </c>
      <c r="G2392" s="749">
        <v>1</v>
      </c>
      <c r="H2392" s="749"/>
      <c r="I2392" s="733"/>
      <c r="J2392" s="733"/>
      <c r="K2392" s="735">
        <v>0</v>
      </c>
      <c r="L2392" s="750">
        <v>0</v>
      </c>
    </row>
    <row r="2393" spans="1:12" ht="31.5" x14ac:dyDescent="0.25">
      <c r="A2393" s="561" t="s">
        <v>438</v>
      </c>
      <c r="B2393" s="749">
        <v>2023</v>
      </c>
      <c r="C2393" s="561" t="s">
        <v>721</v>
      </c>
      <c r="D2393" s="561" t="s">
        <v>2538</v>
      </c>
      <c r="E2393" s="561" t="s">
        <v>142</v>
      </c>
      <c r="F2393" s="735">
        <v>0</v>
      </c>
      <c r="G2393" s="749">
        <v>1</v>
      </c>
      <c r="H2393" s="749"/>
      <c r="I2393" s="733"/>
      <c r="J2393" s="733"/>
      <c r="K2393" s="735">
        <v>0</v>
      </c>
      <c r="L2393" s="750">
        <v>0</v>
      </c>
    </row>
    <row r="2394" spans="1:12" ht="31.5" x14ac:dyDescent="0.25">
      <c r="A2394" s="561" t="s">
        <v>438</v>
      </c>
      <c r="B2394" s="749">
        <v>2023</v>
      </c>
      <c r="C2394" s="561" t="s">
        <v>721</v>
      </c>
      <c r="D2394" s="561" t="s">
        <v>2539</v>
      </c>
      <c r="E2394" s="561" t="s">
        <v>143</v>
      </c>
      <c r="F2394" s="735">
        <v>0</v>
      </c>
      <c r="G2394" s="749">
        <v>1</v>
      </c>
      <c r="H2394" s="749"/>
      <c r="I2394" s="733"/>
      <c r="J2394" s="733"/>
      <c r="K2394" s="735">
        <v>0</v>
      </c>
      <c r="L2394" s="750">
        <v>0</v>
      </c>
    </row>
    <row r="2395" spans="1:12" ht="31.5" x14ac:dyDescent="0.25">
      <c r="A2395" s="561" t="s">
        <v>438</v>
      </c>
      <c r="B2395" s="749">
        <v>2023</v>
      </c>
      <c r="C2395" s="561" t="s">
        <v>721</v>
      </c>
      <c r="D2395" s="561" t="s">
        <v>2540</v>
      </c>
      <c r="E2395" s="561" t="s">
        <v>182</v>
      </c>
      <c r="F2395" s="735">
        <v>0</v>
      </c>
      <c r="G2395" s="749">
        <v>1</v>
      </c>
      <c r="H2395" s="749"/>
      <c r="I2395" s="733"/>
      <c r="J2395" s="733"/>
      <c r="K2395" s="735">
        <v>0</v>
      </c>
      <c r="L2395" s="750">
        <v>0</v>
      </c>
    </row>
    <row r="2396" spans="1:12" ht="31.5" x14ac:dyDescent="0.25">
      <c r="A2396" s="561" t="s">
        <v>438</v>
      </c>
      <c r="B2396" s="749">
        <v>2023</v>
      </c>
      <c r="C2396" s="561" t="s">
        <v>721</v>
      </c>
      <c r="D2396" s="561" t="s">
        <v>2541</v>
      </c>
      <c r="E2396" s="561" t="s">
        <v>394</v>
      </c>
      <c r="F2396" s="735">
        <v>0</v>
      </c>
      <c r="G2396" s="749">
        <v>1</v>
      </c>
      <c r="H2396" s="749"/>
      <c r="I2396" s="733"/>
      <c r="J2396" s="733"/>
      <c r="K2396" s="735">
        <v>0</v>
      </c>
      <c r="L2396" s="750">
        <v>0</v>
      </c>
    </row>
    <row r="2397" spans="1:12" ht="31.5" x14ac:dyDescent="0.25">
      <c r="A2397" s="561" t="s">
        <v>438</v>
      </c>
      <c r="B2397" s="749">
        <v>2023</v>
      </c>
      <c r="C2397" s="561" t="s">
        <v>721</v>
      </c>
      <c r="D2397" s="561" t="s">
        <v>2542</v>
      </c>
      <c r="E2397" s="561" t="s">
        <v>423</v>
      </c>
      <c r="F2397" s="735">
        <v>0</v>
      </c>
      <c r="G2397" s="749">
        <v>1</v>
      </c>
      <c r="H2397" s="749"/>
      <c r="I2397" s="733"/>
      <c r="J2397" s="733"/>
      <c r="K2397" s="735">
        <v>0</v>
      </c>
      <c r="L2397" s="750">
        <v>0</v>
      </c>
    </row>
    <row r="2398" spans="1:12" ht="31.5" x14ac:dyDescent="0.25">
      <c r="A2398" s="561" t="s">
        <v>438</v>
      </c>
      <c r="B2398" s="749">
        <v>2023</v>
      </c>
      <c r="C2398" s="561" t="s">
        <v>721</v>
      </c>
      <c r="D2398" s="561" t="s">
        <v>3284</v>
      </c>
      <c r="E2398" s="561" t="s">
        <v>441</v>
      </c>
      <c r="F2398" s="735">
        <v>0</v>
      </c>
      <c r="G2398" s="749">
        <v>1</v>
      </c>
      <c r="H2398" s="749"/>
      <c r="I2398" s="735">
        <v>2111.62</v>
      </c>
      <c r="J2398" s="735">
        <v>2393.9899999999998</v>
      </c>
      <c r="K2398" s="735">
        <v>4505.6099999999997</v>
      </c>
      <c r="L2398" s="750">
        <v>4505.6099999999997</v>
      </c>
    </row>
    <row r="2399" spans="1:12" ht="31.5" x14ac:dyDescent="0.25">
      <c r="A2399" s="561" t="s">
        <v>438</v>
      </c>
      <c r="B2399" s="749">
        <v>2023</v>
      </c>
      <c r="C2399" s="561" t="s">
        <v>721</v>
      </c>
      <c r="D2399" s="561" t="s">
        <v>3594</v>
      </c>
      <c r="E2399" s="561" t="s">
        <v>3016</v>
      </c>
      <c r="F2399" s="735">
        <v>0</v>
      </c>
      <c r="G2399" s="749">
        <v>1</v>
      </c>
      <c r="H2399" s="749"/>
      <c r="I2399" s="735">
        <v>-9466.48</v>
      </c>
      <c r="J2399" s="735">
        <v>12679.92</v>
      </c>
      <c r="K2399" s="735">
        <v>3213.44</v>
      </c>
      <c r="L2399" s="750">
        <v>3213.44</v>
      </c>
    </row>
    <row r="2400" spans="1:12" ht="31.5" x14ac:dyDescent="0.25">
      <c r="A2400" s="561" t="s">
        <v>438</v>
      </c>
      <c r="B2400" s="749">
        <v>2023</v>
      </c>
      <c r="C2400" s="561" t="s">
        <v>721</v>
      </c>
      <c r="D2400" s="561" t="s">
        <v>3595</v>
      </c>
      <c r="E2400" s="561" t="s">
        <v>3058</v>
      </c>
      <c r="F2400" s="735">
        <v>0</v>
      </c>
      <c r="G2400" s="749">
        <v>1</v>
      </c>
      <c r="H2400" s="749"/>
      <c r="I2400" s="735">
        <v>-3499.78</v>
      </c>
      <c r="J2400" s="735">
        <v>-13393.36</v>
      </c>
      <c r="K2400" s="735">
        <v>-16893.14</v>
      </c>
      <c r="L2400" s="750">
        <v>-16893.14</v>
      </c>
    </row>
    <row r="2401" spans="1:12" ht="31.5" x14ac:dyDescent="0.25">
      <c r="A2401" s="561" t="s">
        <v>438</v>
      </c>
      <c r="B2401" s="749">
        <v>2023</v>
      </c>
      <c r="C2401" s="561" t="s">
        <v>721</v>
      </c>
      <c r="D2401" s="561" t="s">
        <v>3596</v>
      </c>
      <c r="E2401" s="561" t="s">
        <v>3063</v>
      </c>
      <c r="F2401" s="735">
        <v>0</v>
      </c>
      <c r="G2401" s="749">
        <v>1</v>
      </c>
      <c r="H2401" s="749"/>
      <c r="I2401" s="735">
        <v>-4795.07</v>
      </c>
      <c r="J2401" s="735">
        <v>3895.35</v>
      </c>
      <c r="K2401" s="735">
        <v>-899.72</v>
      </c>
      <c r="L2401" s="750">
        <v>-899.72</v>
      </c>
    </row>
    <row r="2402" spans="1:12" ht="31.5" x14ac:dyDescent="0.25">
      <c r="A2402" s="561" t="s">
        <v>438</v>
      </c>
      <c r="B2402" s="749">
        <v>2023</v>
      </c>
      <c r="C2402" s="561" t="s">
        <v>721</v>
      </c>
      <c r="D2402" s="561" t="s">
        <v>3916</v>
      </c>
      <c r="E2402" s="561" t="s">
        <v>3425</v>
      </c>
      <c r="F2402" s="735">
        <v>0</v>
      </c>
      <c r="G2402" s="749">
        <v>1</v>
      </c>
      <c r="H2402" s="749"/>
      <c r="I2402" s="735">
        <v>238979.86</v>
      </c>
      <c r="J2402" s="735">
        <v>-3055.67</v>
      </c>
      <c r="K2402" s="735">
        <v>235924.19</v>
      </c>
      <c r="L2402" s="750">
        <v>235924.19</v>
      </c>
    </row>
    <row r="2403" spans="1:12" ht="42" x14ac:dyDescent="0.25">
      <c r="A2403" s="561" t="s">
        <v>438</v>
      </c>
      <c r="B2403" s="749">
        <v>2023</v>
      </c>
      <c r="C2403" s="561" t="s">
        <v>721</v>
      </c>
      <c r="D2403" s="561" t="s">
        <v>3917</v>
      </c>
      <c r="E2403" s="561" t="s">
        <v>737</v>
      </c>
      <c r="F2403" s="735">
        <v>225850.38</v>
      </c>
      <c r="G2403" s="749">
        <v>0</v>
      </c>
      <c r="H2403" s="749"/>
      <c r="I2403" s="733"/>
      <c r="J2403" s="733"/>
      <c r="K2403" s="735">
        <v>0</v>
      </c>
      <c r="L2403" s="750">
        <v>225850.38</v>
      </c>
    </row>
    <row r="2404" spans="1:12" x14ac:dyDescent="0.25">
      <c r="A2404" s="561" t="s">
        <v>438</v>
      </c>
      <c r="B2404" s="749">
        <v>2023</v>
      </c>
      <c r="C2404" s="561" t="s">
        <v>738</v>
      </c>
      <c r="D2404" s="561" t="s">
        <v>2544</v>
      </c>
      <c r="E2404" s="561" t="s">
        <v>7</v>
      </c>
      <c r="F2404" s="735">
        <v>0</v>
      </c>
      <c r="G2404" s="749">
        <v>0</v>
      </c>
      <c r="H2404" s="749"/>
      <c r="I2404" s="733"/>
      <c r="J2404" s="733"/>
      <c r="K2404" s="735">
        <v>0</v>
      </c>
      <c r="L2404" s="750">
        <v>0</v>
      </c>
    </row>
    <row r="2405" spans="1:12" x14ac:dyDescent="0.25">
      <c r="A2405" s="561" t="s">
        <v>115</v>
      </c>
      <c r="B2405" s="749">
        <v>2023</v>
      </c>
      <c r="C2405" s="561" t="s">
        <v>647</v>
      </c>
      <c r="D2405" s="561" t="s">
        <v>2545</v>
      </c>
      <c r="E2405" s="561" t="s">
        <v>649</v>
      </c>
      <c r="F2405" s="735">
        <v>-152990.51</v>
      </c>
      <c r="G2405" s="749">
        <v>0</v>
      </c>
      <c r="H2405" s="749"/>
      <c r="I2405" s="733"/>
      <c r="J2405" s="733"/>
      <c r="K2405" s="735">
        <v>0</v>
      </c>
      <c r="L2405" s="750">
        <v>-152990.51</v>
      </c>
    </row>
    <row r="2406" spans="1:12" ht="21" x14ac:dyDescent="0.25">
      <c r="A2406" s="561" t="s">
        <v>115</v>
      </c>
      <c r="B2406" s="749">
        <v>2023</v>
      </c>
      <c r="C2406" s="561" t="s">
        <v>3691</v>
      </c>
      <c r="D2406" s="561" t="s">
        <v>3667</v>
      </c>
      <c r="E2406" s="561" t="s">
        <v>3675</v>
      </c>
      <c r="F2406" s="735">
        <v>0</v>
      </c>
      <c r="G2406" s="749">
        <v>0</v>
      </c>
      <c r="H2406" s="749"/>
      <c r="I2406" s="733"/>
      <c r="J2406" s="733"/>
      <c r="K2406" s="735">
        <v>0</v>
      </c>
      <c r="L2406" s="750">
        <v>0</v>
      </c>
    </row>
    <row r="2407" spans="1:12" x14ac:dyDescent="0.25">
      <c r="A2407" s="561" t="s">
        <v>115</v>
      </c>
      <c r="B2407" s="749">
        <v>2023</v>
      </c>
      <c r="C2407" s="561" t="s">
        <v>651</v>
      </c>
      <c r="D2407" s="561" t="s">
        <v>2546</v>
      </c>
      <c r="E2407" s="561" t="s">
        <v>653</v>
      </c>
      <c r="F2407" s="735">
        <v>-12628.8</v>
      </c>
      <c r="G2407" s="749">
        <v>0</v>
      </c>
      <c r="H2407" s="749"/>
      <c r="I2407" s="733"/>
      <c r="J2407" s="733"/>
      <c r="K2407" s="735">
        <v>0</v>
      </c>
      <c r="L2407" s="750">
        <v>-12628.8</v>
      </c>
    </row>
    <row r="2408" spans="1:12" ht="31.5" x14ac:dyDescent="0.25">
      <c r="A2408" s="561" t="s">
        <v>115</v>
      </c>
      <c r="B2408" s="749">
        <v>2023</v>
      </c>
      <c r="C2408" s="561" t="s">
        <v>654</v>
      </c>
      <c r="D2408" s="561" t="s">
        <v>2547</v>
      </c>
      <c r="E2408" s="561" t="s">
        <v>445</v>
      </c>
      <c r="F2408" s="735">
        <v>0</v>
      </c>
      <c r="G2408" s="749">
        <v>0</v>
      </c>
      <c r="H2408" s="749"/>
      <c r="I2408" s="733"/>
      <c r="J2408" s="733"/>
      <c r="K2408" s="735">
        <v>0</v>
      </c>
      <c r="L2408" s="750">
        <v>0</v>
      </c>
    </row>
    <row r="2409" spans="1:12" ht="21" x14ac:dyDescent="0.25">
      <c r="A2409" s="561" t="s">
        <v>115</v>
      </c>
      <c r="B2409" s="749">
        <v>2023</v>
      </c>
      <c r="C2409" s="561" t="s">
        <v>656</v>
      </c>
      <c r="D2409" s="561" t="s">
        <v>2548</v>
      </c>
      <c r="E2409" s="561" t="s">
        <v>658</v>
      </c>
      <c r="F2409" s="735">
        <v>0</v>
      </c>
      <c r="G2409" s="749">
        <v>0</v>
      </c>
      <c r="H2409" s="749"/>
      <c r="I2409" s="733"/>
      <c r="J2409" s="733"/>
      <c r="K2409" s="735">
        <v>0</v>
      </c>
      <c r="L2409" s="750">
        <v>0</v>
      </c>
    </row>
    <row r="2410" spans="1:12" ht="21" x14ac:dyDescent="0.25">
      <c r="A2410" s="561" t="s">
        <v>115</v>
      </c>
      <c r="B2410" s="749">
        <v>2023</v>
      </c>
      <c r="C2410" s="561" t="s">
        <v>659</v>
      </c>
      <c r="D2410" s="561" t="s">
        <v>2549</v>
      </c>
      <c r="E2410" s="561" t="s">
        <v>661</v>
      </c>
      <c r="F2410" s="735">
        <v>0</v>
      </c>
      <c r="G2410" s="749">
        <v>0</v>
      </c>
      <c r="H2410" s="749"/>
      <c r="I2410" s="733"/>
      <c r="J2410" s="733"/>
      <c r="K2410" s="735">
        <v>0</v>
      </c>
      <c r="L2410" s="750">
        <v>0</v>
      </c>
    </row>
    <row r="2411" spans="1:12" ht="21" x14ac:dyDescent="0.25">
      <c r="A2411" s="561" t="s">
        <v>115</v>
      </c>
      <c r="B2411" s="749">
        <v>2023</v>
      </c>
      <c r="C2411" s="561" t="s">
        <v>662</v>
      </c>
      <c r="D2411" s="561" t="s">
        <v>2550</v>
      </c>
      <c r="E2411" s="561" t="s">
        <v>664</v>
      </c>
      <c r="F2411" s="735">
        <v>0</v>
      </c>
      <c r="G2411" s="749">
        <v>0</v>
      </c>
      <c r="H2411" s="749"/>
      <c r="I2411" s="733"/>
      <c r="J2411" s="733"/>
      <c r="K2411" s="735">
        <v>0</v>
      </c>
      <c r="L2411" s="750">
        <v>0</v>
      </c>
    </row>
    <row r="2412" spans="1:12" ht="31.5" x14ac:dyDescent="0.25">
      <c r="A2412" s="561" t="s">
        <v>115</v>
      </c>
      <c r="B2412" s="749">
        <v>2023</v>
      </c>
      <c r="C2412" s="561" t="s">
        <v>665</v>
      </c>
      <c r="D2412" s="561" t="s">
        <v>2551</v>
      </c>
      <c r="E2412" s="561" t="s">
        <v>667</v>
      </c>
      <c r="F2412" s="735">
        <v>0</v>
      </c>
      <c r="G2412" s="749">
        <v>0</v>
      </c>
      <c r="H2412" s="749"/>
      <c r="I2412" s="733"/>
      <c r="J2412" s="733"/>
      <c r="K2412" s="735">
        <v>0</v>
      </c>
      <c r="L2412" s="750">
        <v>0</v>
      </c>
    </row>
    <row r="2413" spans="1:12" ht="21" x14ac:dyDescent="0.25">
      <c r="A2413" s="561" t="s">
        <v>115</v>
      </c>
      <c r="B2413" s="749">
        <v>2023</v>
      </c>
      <c r="C2413" s="561" t="s">
        <v>668</v>
      </c>
      <c r="D2413" s="561" t="s">
        <v>2552</v>
      </c>
      <c r="E2413" s="561" t="s">
        <v>12</v>
      </c>
      <c r="F2413" s="735">
        <v>0</v>
      </c>
      <c r="G2413" s="749">
        <v>0</v>
      </c>
      <c r="H2413" s="749"/>
      <c r="I2413" s="733"/>
      <c r="J2413" s="733"/>
      <c r="K2413" s="735">
        <v>0</v>
      </c>
      <c r="L2413" s="750">
        <v>0</v>
      </c>
    </row>
    <row r="2414" spans="1:12" ht="21" x14ac:dyDescent="0.25">
      <c r="A2414" s="561" t="s">
        <v>115</v>
      </c>
      <c r="B2414" s="749">
        <v>2023</v>
      </c>
      <c r="C2414" s="561" t="s">
        <v>670</v>
      </c>
      <c r="D2414" s="561" t="s">
        <v>2553</v>
      </c>
      <c r="E2414" s="561" t="s">
        <v>13</v>
      </c>
      <c r="F2414" s="735">
        <v>0</v>
      </c>
      <c r="G2414" s="749">
        <v>0</v>
      </c>
      <c r="H2414" s="749"/>
      <c r="I2414" s="733"/>
      <c r="J2414" s="733"/>
      <c r="K2414" s="735">
        <v>0</v>
      </c>
      <c r="L2414" s="750">
        <v>0</v>
      </c>
    </row>
    <row r="2415" spans="1:12" ht="21" x14ac:dyDescent="0.25">
      <c r="A2415" s="561" t="s">
        <v>115</v>
      </c>
      <c r="B2415" s="749">
        <v>2023</v>
      </c>
      <c r="C2415" s="561" t="s">
        <v>672</v>
      </c>
      <c r="D2415" s="561" t="s">
        <v>2554</v>
      </c>
      <c r="E2415" s="561" t="s">
        <v>15</v>
      </c>
      <c r="F2415" s="735">
        <v>0</v>
      </c>
      <c r="G2415" s="749">
        <v>0</v>
      </c>
      <c r="H2415" s="749"/>
      <c r="I2415" s="733"/>
      <c r="J2415" s="733"/>
      <c r="K2415" s="735">
        <v>0</v>
      </c>
      <c r="L2415" s="750">
        <v>0</v>
      </c>
    </row>
    <row r="2416" spans="1:12" x14ac:dyDescent="0.25">
      <c r="A2416" s="561" t="s">
        <v>115</v>
      </c>
      <c r="B2416" s="749">
        <v>2023</v>
      </c>
      <c r="C2416" s="561" t="s">
        <v>674</v>
      </c>
      <c r="D2416" s="561" t="s">
        <v>2555</v>
      </c>
      <c r="E2416" s="561" t="s">
        <v>676</v>
      </c>
      <c r="F2416" s="735">
        <v>-65.540000000000006</v>
      </c>
      <c r="G2416" s="749">
        <v>0</v>
      </c>
      <c r="H2416" s="749"/>
      <c r="I2416" s="733"/>
      <c r="J2416" s="733"/>
      <c r="K2416" s="735">
        <v>0</v>
      </c>
      <c r="L2416" s="750">
        <v>-65.540000000000006</v>
      </c>
    </row>
    <row r="2417" spans="1:12" x14ac:dyDescent="0.25">
      <c r="A2417" s="561" t="s">
        <v>115</v>
      </c>
      <c r="B2417" s="749">
        <v>2023</v>
      </c>
      <c r="C2417" s="561" t="s">
        <v>677</v>
      </c>
      <c r="D2417" s="561" t="s">
        <v>2556</v>
      </c>
      <c r="E2417" s="561" t="s">
        <v>23</v>
      </c>
      <c r="F2417" s="735">
        <v>82854.22</v>
      </c>
      <c r="G2417" s="749">
        <v>1</v>
      </c>
      <c r="H2417" s="749"/>
      <c r="I2417" s="735">
        <v>82043.17</v>
      </c>
      <c r="J2417" s="735">
        <v>811.05</v>
      </c>
      <c r="K2417" s="735">
        <v>82854.22</v>
      </c>
      <c r="L2417" s="750">
        <v>82854.22</v>
      </c>
    </row>
    <row r="2418" spans="1:12" ht="21" x14ac:dyDescent="0.25">
      <c r="A2418" s="561" t="s">
        <v>115</v>
      </c>
      <c r="B2418" s="749">
        <v>2023</v>
      </c>
      <c r="C2418" s="561" t="s">
        <v>679</v>
      </c>
      <c r="D2418" s="561" t="s">
        <v>2557</v>
      </c>
      <c r="E2418" s="561" t="s">
        <v>131</v>
      </c>
      <c r="F2418" s="735">
        <v>-9618.56</v>
      </c>
      <c r="G2418" s="749">
        <v>1</v>
      </c>
      <c r="H2418" s="749"/>
      <c r="I2418" s="735">
        <v>-9511.27</v>
      </c>
      <c r="J2418" s="735">
        <v>-107.29</v>
      </c>
      <c r="K2418" s="735">
        <v>-9618.56</v>
      </c>
      <c r="L2418" s="750">
        <v>-9618.56</v>
      </c>
    </row>
    <row r="2419" spans="1:12" ht="31.5" x14ac:dyDescent="0.25">
      <c r="A2419" s="561" t="s">
        <v>115</v>
      </c>
      <c r="B2419" s="749">
        <v>2023</v>
      </c>
      <c r="C2419" s="561" t="s">
        <v>681</v>
      </c>
      <c r="D2419" s="561" t="s">
        <v>2558</v>
      </c>
      <c r="E2419" s="561" t="s">
        <v>683</v>
      </c>
      <c r="F2419" s="735">
        <v>0</v>
      </c>
      <c r="G2419" s="749">
        <v>0</v>
      </c>
      <c r="H2419" s="749"/>
      <c r="I2419" s="733"/>
      <c r="J2419" s="733"/>
      <c r="K2419" s="735">
        <v>0</v>
      </c>
      <c r="L2419" s="750">
        <v>0</v>
      </c>
    </row>
    <row r="2420" spans="1:12" ht="21" x14ac:dyDescent="0.25">
      <c r="A2420" s="561" t="s">
        <v>115</v>
      </c>
      <c r="B2420" s="749">
        <v>2023</v>
      </c>
      <c r="C2420" s="561" t="s">
        <v>681</v>
      </c>
      <c r="D2420" s="561" t="s">
        <v>2558</v>
      </c>
      <c r="E2420" s="561" t="s">
        <v>684</v>
      </c>
      <c r="F2420" s="735">
        <v>0</v>
      </c>
      <c r="G2420" s="749">
        <v>0</v>
      </c>
      <c r="H2420" s="749"/>
      <c r="I2420" s="733"/>
      <c r="J2420" s="733"/>
      <c r="K2420" s="735">
        <v>0</v>
      </c>
      <c r="L2420" s="751">
        <v>0</v>
      </c>
    </row>
    <row r="2421" spans="1:12" x14ac:dyDescent="0.25">
      <c r="A2421" s="561" t="s">
        <v>115</v>
      </c>
      <c r="B2421" s="749">
        <v>2023</v>
      </c>
      <c r="C2421" s="561" t="s">
        <v>685</v>
      </c>
      <c r="D2421" s="561" t="s">
        <v>2559</v>
      </c>
      <c r="E2421" s="561" t="s">
        <v>687</v>
      </c>
      <c r="F2421" s="735">
        <v>0</v>
      </c>
      <c r="G2421" s="749">
        <v>0</v>
      </c>
      <c r="H2421" s="749"/>
      <c r="I2421" s="733"/>
      <c r="J2421" s="733"/>
      <c r="K2421" s="735">
        <v>0</v>
      </c>
      <c r="L2421" s="750">
        <v>0</v>
      </c>
    </row>
    <row r="2422" spans="1:12" x14ac:dyDescent="0.25">
      <c r="A2422" s="561" t="s">
        <v>115</v>
      </c>
      <c r="B2422" s="749">
        <v>2023</v>
      </c>
      <c r="C2422" s="561" t="s">
        <v>688</v>
      </c>
      <c r="D2422" s="561" t="s">
        <v>2560</v>
      </c>
      <c r="E2422" s="561" t="s">
        <v>50</v>
      </c>
      <c r="F2422" s="735">
        <v>6057.14</v>
      </c>
      <c r="G2422" s="749">
        <v>0</v>
      </c>
      <c r="H2422" s="749"/>
      <c r="I2422" s="733"/>
      <c r="J2422" s="733"/>
      <c r="K2422" s="735">
        <v>0</v>
      </c>
      <c r="L2422" s="750">
        <v>6057.14</v>
      </c>
    </row>
    <row r="2423" spans="1:12" x14ac:dyDescent="0.25">
      <c r="A2423" s="561" t="s">
        <v>115</v>
      </c>
      <c r="B2423" s="749">
        <v>2023</v>
      </c>
      <c r="C2423" s="561" t="s">
        <v>690</v>
      </c>
      <c r="D2423" s="561" t="s">
        <v>2561</v>
      </c>
      <c r="E2423" s="561" t="s">
        <v>692</v>
      </c>
      <c r="F2423" s="735">
        <v>234783.37</v>
      </c>
      <c r="G2423" s="749">
        <v>0</v>
      </c>
      <c r="H2423" s="749"/>
      <c r="I2423" s="733"/>
      <c r="J2423" s="733"/>
      <c r="K2423" s="735">
        <v>0</v>
      </c>
      <c r="L2423" s="750">
        <v>234783.37</v>
      </c>
    </row>
    <row r="2424" spans="1:12" ht="21" x14ac:dyDescent="0.25">
      <c r="A2424" s="561" t="s">
        <v>115</v>
      </c>
      <c r="B2424" s="749">
        <v>2023</v>
      </c>
      <c r="C2424" s="561" t="s">
        <v>693</v>
      </c>
      <c r="D2424" s="561" t="s">
        <v>2562</v>
      </c>
      <c r="E2424" s="561" t="s">
        <v>6</v>
      </c>
      <c r="F2424" s="735">
        <v>0</v>
      </c>
      <c r="G2424" s="749">
        <v>0</v>
      </c>
      <c r="H2424" s="749"/>
      <c r="I2424" s="733"/>
      <c r="J2424" s="733"/>
      <c r="K2424" s="735">
        <v>0</v>
      </c>
      <c r="L2424" s="750">
        <v>0</v>
      </c>
    </row>
    <row r="2425" spans="1:12" ht="21" x14ac:dyDescent="0.25">
      <c r="A2425" s="561" t="s">
        <v>115</v>
      </c>
      <c r="B2425" s="749">
        <v>2023</v>
      </c>
      <c r="C2425" s="561" t="s">
        <v>695</v>
      </c>
      <c r="D2425" s="561" t="s">
        <v>2563</v>
      </c>
      <c r="E2425" s="561" t="s">
        <v>697</v>
      </c>
      <c r="F2425" s="735">
        <v>7946.15</v>
      </c>
      <c r="G2425" s="749">
        <v>0</v>
      </c>
      <c r="H2425" s="749"/>
      <c r="I2425" s="733"/>
      <c r="J2425" s="733"/>
      <c r="K2425" s="735">
        <v>0</v>
      </c>
      <c r="L2425" s="750">
        <v>7946.15</v>
      </c>
    </row>
    <row r="2426" spans="1:12" x14ac:dyDescent="0.25">
      <c r="A2426" s="561" t="s">
        <v>115</v>
      </c>
      <c r="B2426" s="749">
        <v>2023</v>
      </c>
      <c r="C2426" s="561" t="s">
        <v>698</v>
      </c>
      <c r="D2426" s="561" t="s">
        <v>2564</v>
      </c>
      <c r="E2426" s="561" t="s">
        <v>700</v>
      </c>
      <c r="F2426" s="735">
        <v>0</v>
      </c>
      <c r="G2426" s="749">
        <v>0</v>
      </c>
      <c r="H2426" s="749"/>
      <c r="I2426" s="733"/>
      <c r="J2426" s="733"/>
      <c r="K2426" s="735">
        <v>0</v>
      </c>
      <c r="L2426" s="750">
        <v>0</v>
      </c>
    </row>
    <row r="2427" spans="1:12" ht="21" x14ac:dyDescent="0.25">
      <c r="A2427" s="561" t="s">
        <v>115</v>
      </c>
      <c r="B2427" s="749">
        <v>2023</v>
      </c>
      <c r="C2427" s="561" t="s">
        <v>701</v>
      </c>
      <c r="D2427" s="561" t="s">
        <v>2565</v>
      </c>
      <c r="E2427" s="561" t="s">
        <v>1</v>
      </c>
      <c r="F2427" s="735">
        <v>-1911.13</v>
      </c>
      <c r="G2427" s="749">
        <v>1</v>
      </c>
      <c r="H2427" s="749"/>
      <c r="I2427" s="735">
        <v>-1868.33</v>
      </c>
      <c r="J2427" s="735">
        <v>-42.8</v>
      </c>
      <c r="K2427" s="735">
        <v>-1911.13</v>
      </c>
      <c r="L2427" s="750">
        <v>-1911.13</v>
      </c>
    </row>
    <row r="2428" spans="1:12" ht="21" x14ac:dyDescent="0.25">
      <c r="A2428" s="561" t="s">
        <v>115</v>
      </c>
      <c r="B2428" s="749">
        <v>2023</v>
      </c>
      <c r="C2428" s="561" t="s">
        <v>701</v>
      </c>
      <c r="D2428" s="561" t="s">
        <v>2565</v>
      </c>
      <c r="E2428" s="561" t="s">
        <v>703</v>
      </c>
      <c r="F2428" s="735">
        <v>0</v>
      </c>
      <c r="G2428" s="749">
        <v>0</v>
      </c>
      <c r="H2428" s="749"/>
      <c r="I2428" s="733"/>
      <c r="J2428" s="733"/>
      <c r="K2428" s="735">
        <v>0</v>
      </c>
      <c r="L2428" s="751">
        <v>0</v>
      </c>
    </row>
    <row r="2429" spans="1:12" ht="21" x14ac:dyDescent="0.25">
      <c r="A2429" s="561" t="s">
        <v>115</v>
      </c>
      <c r="B2429" s="749">
        <v>2023</v>
      </c>
      <c r="C2429" s="561" t="s">
        <v>701</v>
      </c>
      <c r="D2429" s="561" t="s">
        <v>2565</v>
      </c>
      <c r="E2429" s="561" t="s">
        <v>704</v>
      </c>
      <c r="F2429" s="735">
        <v>0</v>
      </c>
      <c r="G2429" s="749">
        <v>0</v>
      </c>
      <c r="H2429" s="749"/>
      <c r="I2429" s="733"/>
      <c r="J2429" s="733"/>
      <c r="K2429" s="735">
        <v>0</v>
      </c>
      <c r="L2429" s="751">
        <v>0</v>
      </c>
    </row>
    <row r="2430" spans="1:12" ht="21" x14ac:dyDescent="0.25">
      <c r="A2430" s="561" t="s">
        <v>115</v>
      </c>
      <c r="B2430" s="749">
        <v>2023</v>
      </c>
      <c r="C2430" s="561" t="s">
        <v>701</v>
      </c>
      <c r="D2430" s="561" t="s">
        <v>2565</v>
      </c>
      <c r="E2430" s="561" t="s">
        <v>705</v>
      </c>
      <c r="F2430" s="735">
        <v>0</v>
      </c>
      <c r="G2430" s="749">
        <v>0</v>
      </c>
      <c r="H2430" s="749"/>
      <c r="I2430" s="733"/>
      <c r="J2430" s="733"/>
      <c r="K2430" s="735">
        <v>0</v>
      </c>
      <c r="L2430" s="751">
        <v>-42.8</v>
      </c>
    </row>
    <row r="2431" spans="1:12" ht="21" x14ac:dyDescent="0.25">
      <c r="A2431" s="561" t="s">
        <v>115</v>
      </c>
      <c r="B2431" s="749">
        <v>2023</v>
      </c>
      <c r="C2431" s="561" t="s">
        <v>701</v>
      </c>
      <c r="D2431" s="561" t="s">
        <v>2565</v>
      </c>
      <c r="E2431" s="561" t="s">
        <v>706</v>
      </c>
      <c r="F2431" s="735">
        <v>0</v>
      </c>
      <c r="G2431" s="749">
        <v>0</v>
      </c>
      <c r="H2431" s="749"/>
      <c r="I2431" s="733"/>
      <c r="J2431" s="733"/>
      <c r="K2431" s="735">
        <v>0</v>
      </c>
      <c r="L2431" s="751">
        <v>-1868.33</v>
      </c>
    </row>
    <row r="2432" spans="1:12" x14ac:dyDescent="0.25">
      <c r="A2432" s="561" t="s">
        <v>115</v>
      </c>
      <c r="B2432" s="749">
        <v>2023</v>
      </c>
      <c r="C2432" s="561" t="s">
        <v>707</v>
      </c>
      <c r="D2432" s="561" t="s">
        <v>2566</v>
      </c>
      <c r="E2432" s="561" t="s">
        <v>709</v>
      </c>
      <c r="F2432" s="735">
        <v>0</v>
      </c>
      <c r="G2432" s="749">
        <v>0</v>
      </c>
      <c r="H2432" s="749"/>
      <c r="I2432" s="733"/>
      <c r="J2432" s="733"/>
      <c r="K2432" s="735">
        <v>0</v>
      </c>
      <c r="L2432" s="750">
        <v>0</v>
      </c>
    </row>
    <row r="2433" spans="1:12" ht="21" x14ac:dyDescent="0.25">
      <c r="A2433" s="561" t="s">
        <v>115</v>
      </c>
      <c r="B2433" s="749">
        <v>2023</v>
      </c>
      <c r="C2433" s="561" t="s">
        <v>710</v>
      </c>
      <c r="D2433" s="561" t="s">
        <v>2567</v>
      </c>
      <c r="E2433" s="561" t="s">
        <v>2</v>
      </c>
      <c r="F2433" s="735">
        <v>51166.080000000002</v>
      </c>
      <c r="G2433" s="749">
        <v>1</v>
      </c>
      <c r="H2433" s="749"/>
      <c r="I2433" s="735">
        <v>50316.79</v>
      </c>
      <c r="J2433" s="735">
        <v>849.29</v>
      </c>
      <c r="K2433" s="735">
        <v>51166.080000000002</v>
      </c>
      <c r="L2433" s="750">
        <v>51166.080000000002</v>
      </c>
    </row>
    <row r="2434" spans="1:12" ht="21" x14ac:dyDescent="0.25">
      <c r="A2434" s="561" t="s">
        <v>115</v>
      </c>
      <c r="B2434" s="749">
        <v>2023</v>
      </c>
      <c r="C2434" s="561" t="s">
        <v>712</v>
      </c>
      <c r="D2434" s="561" t="s">
        <v>2568</v>
      </c>
      <c r="E2434" s="561" t="s">
        <v>3</v>
      </c>
      <c r="F2434" s="735">
        <v>-13995.56</v>
      </c>
      <c r="G2434" s="749">
        <v>1</v>
      </c>
      <c r="H2434" s="749"/>
      <c r="I2434" s="735">
        <v>-13788.98</v>
      </c>
      <c r="J2434" s="735">
        <v>-206.58</v>
      </c>
      <c r="K2434" s="735">
        <v>-13995.56</v>
      </c>
      <c r="L2434" s="750">
        <v>-13995.56</v>
      </c>
    </row>
    <row r="2435" spans="1:12" ht="21" x14ac:dyDescent="0.25">
      <c r="A2435" s="561" t="s">
        <v>115</v>
      </c>
      <c r="B2435" s="749">
        <v>2023</v>
      </c>
      <c r="C2435" s="561" t="s">
        <v>714</v>
      </c>
      <c r="D2435" s="561" t="s">
        <v>2569</v>
      </c>
      <c r="E2435" s="561" t="s">
        <v>38</v>
      </c>
      <c r="F2435" s="735">
        <v>15864.37</v>
      </c>
      <c r="G2435" s="749">
        <v>1</v>
      </c>
      <c r="H2435" s="749"/>
      <c r="I2435" s="735">
        <v>16377.9</v>
      </c>
      <c r="J2435" s="735">
        <v>-513.53</v>
      </c>
      <c r="K2435" s="735">
        <v>15864.37</v>
      </c>
      <c r="L2435" s="750">
        <v>15864.37</v>
      </c>
    </row>
    <row r="2436" spans="1:12" x14ac:dyDescent="0.25">
      <c r="A2436" s="561" t="s">
        <v>115</v>
      </c>
      <c r="B2436" s="749">
        <v>2023</v>
      </c>
      <c r="C2436" s="561" t="s">
        <v>716</v>
      </c>
      <c r="D2436" s="561" t="s">
        <v>2570</v>
      </c>
      <c r="E2436" s="561" t="s">
        <v>66</v>
      </c>
      <c r="F2436" s="735">
        <v>-80730.23</v>
      </c>
      <c r="G2436" s="749">
        <v>1</v>
      </c>
      <c r="H2436" s="749"/>
      <c r="I2436" s="735">
        <v>-79806.52</v>
      </c>
      <c r="J2436" s="735">
        <v>-923.71</v>
      </c>
      <c r="K2436" s="735">
        <v>-80730.23</v>
      </c>
      <c r="L2436" s="750">
        <v>-80730.23</v>
      </c>
    </row>
    <row r="2437" spans="1:12" ht="21" x14ac:dyDescent="0.25">
      <c r="A2437" s="561" t="s">
        <v>115</v>
      </c>
      <c r="B2437" s="749">
        <v>2023</v>
      </c>
      <c r="C2437" s="561" t="s">
        <v>718</v>
      </c>
      <c r="D2437" s="561" t="s">
        <v>2571</v>
      </c>
      <c r="E2437" s="561" t="s">
        <v>720</v>
      </c>
      <c r="F2437" s="735">
        <v>0</v>
      </c>
      <c r="G2437" s="749">
        <v>0</v>
      </c>
      <c r="H2437" s="749"/>
      <c r="I2437" s="733"/>
      <c r="J2437" s="733"/>
      <c r="K2437" s="735">
        <v>0</v>
      </c>
      <c r="L2437" s="750">
        <v>0</v>
      </c>
    </row>
    <row r="2438" spans="1:12" ht="31.5" x14ac:dyDescent="0.25">
      <c r="A2438" s="561" t="s">
        <v>115</v>
      </c>
      <c r="B2438" s="749">
        <v>2023</v>
      </c>
      <c r="C2438" s="561" t="s">
        <v>721</v>
      </c>
      <c r="D2438" s="561" t="s">
        <v>2573</v>
      </c>
      <c r="E2438" s="561" t="s">
        <v>724</v>
      </c>
      <c r="F2438" s="735">
        <v>0</v>
      </c>
      <c r="G2438" s="749">
        <v>1</v>
      </c>
      <c r="H2438" s="749"/>
      <c r="I2438" s="733"/>
      <c r="J2438" s="733"/>
      <c r="K2438" s="735">
        <v>0</v>
      </c>
      <c r="L2438" s="750">
        <v>0</v>
      </c>
    </row>
    <row r="2439" spans="1:12" ht="31.5" x14ac:dyDescent="0.25">
      <c r="A2439" s="561" t="s">
        <v>115</v>
      </c>
      <c r="B2439" s="749">
        <v>2023</v>
      </c>
      <c r="C2439" s="561" t="s">
        <v>721</v>
      </c>
      <c r="D2439" s="561" t="s">
        <v>2574</v>
      </c>
      <c r="E2439" s="561" t="s">
        <v>55</v>
      </c>
      <c r="F2439" s="735">
        <v>0</v>
      </c>
      <c r="G2439" s="749">
        <v>1</v>
      </c>
      <c r="H2439" s="749"/>
      <c r="I2439" s="733"/>
      <c r="J2439" s="733"/>
      <c r="K2439" s="735">
        <v>0</v>
      </c>
      <c r="L2439" s="750">
        <v>0</v>
      </c>
    </row>
    <row r="2440" spans="1:12" ht="31.5" x14ac:dyDescent="0.25">
      <c r="A2440" s="561" t="s">
        <v>115</v>
      </c>
      <c r="B2440" s="749">
        <v>2023</v>
      </c>
      <c r="C2440" s="561" t="s">
        <v>721</v>
      </c>
      <c r="D2440" s="561" t="s">
        <v>2575</v>
      </c>
      <c r="E2440" s="561" t="s">
        <v>56</v>
      </c>
      <c r="F2440" s="735">
        <v>0</v>
      </c>
      <c r="G2440" s="749">
        <v>1</v>
      </c>
      <c r="H2440" s="749"/>
      <c r="I2440" s="733"/>
      <c r="J2440" s="733"/>
      <c r="K2440" s="735">
        <v>0</v>
      </c>
      <c r="L2440" s="750">
        <v>0</v>
      </c>
    </row>
    <row r="2441" spans="1:12" ht="31.5" x14ac:dyDescent="0.25">
      <c r="A2441" s="561" t="s">
        <v>115</v>
      </c>
      <c r="B2441" s="749">
        <v>2023</v>
      </c>
      <c r="C2441" s="561" t="s">
        <v>721</v>
      </c>
      <c r="D2441" s="561" t="s">
        <v>2576</v>
      </c>
      <c r="E2441" s="561" t="s">
        <v>728</v>
      </c>
      <c r="F2441" s="735">
        <v>0</v>
      </c>
      <c r="G2441" s="749">
        <v>1</v>
      </c>
      <c r="H2441" s="749"/>
      <c r="I2441" s="733"/>
      <c r="J2441" s="733"/>
      <c r="K2441" s="735">
        <v>0</v>
      </c>
      <c r="L2441" s="750">
        <v>0</v>
      </c>
    </row>
    <row r="2442" spans="1:12" ht="31.5" x14ac:dyDescent="0.25">
      <c r="A2442" s="561" t="s">
        <v>115</v>
      </c>
      <c r="B2442" s="749">
        <v>2023</v>
      </c>
      <c r="C2442" s="561" t="s">
        <v>721</v>
      </c>
      <c r="D2442" s="561" t="s">
        <v>2577</v>
      </c>
      <c r="E2442" s="561" t="s">
        <v>730</v>
      </c>
      <c r="F2442" s="735">
        <v>0</v>
      </c>
      <c r="G2442" s="749">
        <v>1</v>
      </c>
      <c r="H2442" s="749"/>
      <c r="I2442" s="733"/>
      <c r="J2442" s="733"/>
      <c r="K2442" s="735">
        <v>0</v>
      </c>
      <c r="L2442" s="750">
        <v>0</v>
      </c>
    </row>
    <row r="2443" spans="1:12" ht="31.5" x14ac:dyDescent="0.25">
      <c r="A2443" s="561" t="s">
        <v>115</v>
      </c>
      <c r="B2443" s="749">
        <v>2023</v>
      </c>
      <c r="C2443" s="561" t="s">
        <v>721</v>
      </c>
      <c r="D2443" s="561" t="s">
        <v>2578</v>
      </c>
      <c r="E2443" s="561" t="s">
        <v>142</v>
      </c>
      <c r="F2443" s="735">
        <v>0</v>
      </c>
      <c r="G2443" s="749">
        <v>1</v>
      </c>
      <c r="H2443" s="749"/>
      <c r="I2443" s="733"/>
      <c r="J2443" s="733"/>
      <c r="K2443" s="735">
        <v>0</v>
      </c>
      <c r="L2443" s="750">
        <v>0</v>
      </c>
    </row>
    <row r="2444" spans="1:12" ht="31.5" x14ac:dyDescent="0.25">
      <c r="A2444" s="561" t="s">
        <v>115</v>
      </c>
      <c r="B2444" s="749">
        <v>2023</v>
      </c>
      <c r="C2444" s="561" t="s">
        <v>721</v>
      </c>
      <c r="D2444" s="561" t="s">
        <v>2579</v>
      </c>
      <c r="E2444" s="561" t="s">
        <v>143</v>
      </c>
      <c r="F2444" s="735">
        <v>0</v>
      </c>
      <c r="G2444" s="749">
        <v>1</v>
      </c>
      <c r="H2444" s="749"/>
      <c r="I2444" s="733"/>
      <c r="J2444" s="733"/>
      <c r="K2444" s="735">
        <v>0</v>
      </c>
      <c r="L2444" s="750">
        <v>0</v>
      </c>
    </row>
    <row r="2445" spans="1:12" ht="31.5" x14ac:dyDescent="0.25">
      <c r="A2445" s="561" t="s">
        <v>115</v>
      </c>
      <c r="B2445" s="749">
        <v>2023</v>
      </c>
      <c r="C2445" s="561" t="s">
        <v>721</v>
      </c>
      <c r="D2445" s="561" t="s">
        <v>2580</v>
      </c>
      <c r="E2445" s="561" t="s">
        <v>182</v>
      </c>
      <c r="F2445" s="735">
        <v>0</v>
      </c>
      <c r="G2445" s="749">
        <v>1</v>
      </c>
      <c r="H2445" s="749"/>
      <c r="I2445" s="733"/>
      <c r="J2445" s="733"/>
      <c r="K2445" s="735">
        <v>0</v>
      </c>
      <c r="L2445" s="750">
        <v>0</v>
      </c>
    </row>
    <row r="2446" spans="1:12" ht="31.5" x14ac:dyDescent="0.25">
      <c r="A2446" s="561" t="s">
        <v>115</v>
      </c>
      <c r="B2446" s="749">
        <v>2023</v>
      </c>
      <c r="C2446" s="561" t="s">
        <v>721</v>
      </c>
      <c r="D2446" s="561" t="s">
        <v>2581</v>
      </c>
      <c r="E2446" s="561" t="s">
        <v>394</v>
      </c>
      <c r="F2446" s="735">
        <v>0</v>
      </c>
      <c r="G2446" s="749">
        <v>1</v>
      </c>
      <c r="H2446" s="749"/>
      <c r="I2446" s="733"/>
      <c r="J2446" s="733"/>
      <c r="K2446" s="735">
        <v>0</v>
      </c>
      <c r="L2446" s="750">
        <v>0</v>
      </c>
    </row>
    <row r="2447" spans="1:12" ht="31.5" x14ac:dyDescent="0.25">
      <c r="A2447" s="561" t="s">
        <v>115</v>
      </c>
      <c r="B2447" s="749">
        <v>2023</v>
      </c>
      <c r="C2447" s="561" t="s">
        <v>721</v>
      </c>
      <c r="D2447" s="561" t="s">
        <v>2582</v>
      </c>
      <c r="E2447" s="561" t="s">
        <v>423</v>
      </c>
      <c r="F2447" s="735">
        <v>0</v>
      </c>
      <c r="G2447" s="749">
        <v>1</v>
      </c>
      <c r="H2447" s="749"/>
      <c r="I2447" s="733"/>
      <c r="J2447" s="733"/>
      <c r="K2447" s="735">
        <v>0</v>
      </c>
      <c r="L2447" s="750">
        <v>0</v>
      </c>
    </row>
    <row r="2448" spans="1:12" ht="31.5" x14ac:dyDescent="0.25">
      <c r="A2448" s="561" t="s">
        <v>115</v>
      </c>
      <c r="B2448" s="749">
        <v>2023</v>
      </c>
      <c r="C2448" s="561" t="s">
        <v>721</v>
      </c>
      <c r="D2448" s="561" t="s">
        <v>3285</v>
      </c>
      <c r="E2448" s="561" t="s">
        <v>441</v>
      </c>
      <c r="F2448" s="735">
        <v>0</v>
      </c>
      <c r="G2448" s="749">
        <v>1</v>
      </c>
      <c r="H2448" s="749"/>
      <c r="I2448" s="735">
        <v>-73022.33</v>
      </c>
      <c r="J2448" s="735">
        <v>70513.149999999994</v>
      </c>
      <c r="K2448" s="735">
        <v>-2509.1800000000098</v>
      </c>
      <c r="L2448" s="750">
        <v>-2509.1800000000098</v>
      </c>
    </row>
    <row r="2449" spans="1:12" ht="31.5" x14ac:dyDescent="0.25">
      <c r="A2449" s="561" t="s">
        <v>115</v>
      </c>
      <c r="B2449" s="749">
        <v>2023</v>
      </c>
      <c r="C2449" s="561" t="s">
        <v>721</v>
      </c>
      <c r="D2449" s="561" t="s">
        <v>3597</v>
      </c>
      <c r="E2449" s="561" t="s">
        <v>3016</v>
      </c>
      <c r="F2449" s="735">
        <v>0</v>
      </c>
      <c r="G2449" s="749">
        <v>1</v>
      </c>
      <c r="H2449" s="749"/>
      <c r="I2449" s="735">
        <v>28487.06</v>
      </c>
      <c r="J2449" s="735">
        <v>11589.27</v>
      </c>
      <c r="K2449" s="735">
        <v>40076.33</v>
      </c>
      <c r="L2449" s="750">
        <v>40076.33</v>
      </c>
    </row>
    <row r="2450" spans="1:12" ht="31.5" x14ac:dyDescent="0.25">
      <c r="A2450" s="561" t="s">
        <v>115</v>
      </c>
      <c r="B2450" s="749">
        <v>2023</v>
      </c>
      <c r="C2450" s="561" t="s">
        <v>721</v>
      </c>
      <c r="D2450" s="561" t="s">
        <v>3598</v>
      </c>
      <c r="E2450" s="561" t="s">
        <v>3058</v>
      </c>
      <c r="F2450" s="735">
        <v>0</v>
      </c>
      <c r="G2450" s="749">
        <v>1</v>
      </c>
      <c r="H2450" s="749"/>
      <c r="I2450" s="735">
        <v>17836.009999999998</v>
      </c>
      <c r="J2450" s="735">
        <v>-2034.56</v>
      </c>
      <c r="K2450" s="735">
        <v>15801.45</v>
      </c>
      <c r="L2450" s="750">
        <v>15801.45</v>
      </c>
    </row>
    <row r="2451" spans="1:12" ht="31.5" x14ac:dyDescent="0.25">
      <c r="A2451" s="561" t="s">
        <v>115</v>
      </c>
      <c r="B2451" s="749">
        <v>2023</v>
      </c>
      <c r="C2451" s="561" t="s">
        <v>721</v>
      </c>
      <c r="D2451" s="561" t="s">
        <v>3599</v>
      </c>
      <c r="E2451" s="561" t="s">
        <v>3063</v>
      </c>
      <c r="F2451" s="735">
        <v>0</v>
      </c>
      <c r="G2451" s="749">
        <v>1</v>
      </c>
      <c r="H2451" s="749"/>
      <c r="I2451" s="735">
        <v>10317.040000000001</v>
      </c>
      <c r="J2451" s="735">
        <v>-9858</v>
      </c>
      <c r="K2451" s="735">
        <v>459.04000000000099</v>
      </c>
      <c r="L2451" s="750">
        <v>459.04000000000099</v>
      </c>
    </row>
    <row r="2452" spans="1:12" ht="31.5" x14ac:dyDescent="0.25">
      <c r="A2452" s="561" t="s">
        <v>115</v>
      </c>
      <c r="B2452" s="749">
        <v>2023</v>
      </c>
      <c r="C2452" s="561" t="s">
        <v>721</v>
      </c>
      <c r="D2452" s="561" t="s">
        <v>3918</v>
      </c>
      <c r="E2452" s="561" t="s">
        <v>3425</v>
      </c>
      <c r="F2452" s="735">
        <v>0</v>
      </c>
      <c r="G2452" s="749">
        <v>1</v>
      </c>
      <c r="H2452" s="749"/>
      <c r="I2452" s="735">
        <v>-5774.18</v>
      </c>
      <c r="J2452" s="735">
        <v>-4847.3100000000004</v>
      </c>
      <c r="K2452" s="735">
        <v>-10621.49</v>
      </c>
      <c r="L2452" s="750">
        <v>-10621.49</v>
      </c>
    </row>
    <row r="2453" spans="1:12" ht="42" x14ac:dyDescent="0.25">
      <c r="A2453" s="561" t="s">
        <v>115</v>
      </c>
      <c r="B2453" s="749">
        <v>2023</v>
      </c>
      <c r="C2453" s="561" t="s">
        <v>721</v>
      </c>
      <c r="D2453" s="561" t="s">
        <v>3919</v>
      </c>
      <c r="E2453" s="561" t="s">
        <v>737</v>
      </c>
      <c r="F2453" s="735">
        <v>43206.15</v>
      </c>
      <c r="G2453" s="749">
        <v>0</v>
      </c>
      <c r="H2453" s="749"/>
      <c r="I2453" s="733"/>
      <c r="J2453" s="733"/>
      <c r="K2453" s="735">
        <v>0</v>
      </c>
      <c r="L2453" s="750">
        <v>43206.15</v>
      </c>
    </row>
    <row r="2454" spans="1:12" x14ac:dyDescent="0.25">
      <c r="A2454" s="561" t="s">
        <v>115</v>
      </c>
      <c r="B2454" s="749">
        <v>2023</v>
      </c>
      <c r="C2454" s="561" t="s">
        <v>738</v>
      </c>
      <c r="D2454" s="561" t="s">
        <v>2584</v>
      </c>
      <c r="E2454" s="561" t="s">
        <v>7</v>
      </c>
      <c r="F2454" s="735">
        <v>0</v>
      </c>
      <c r="G2454" s="749">
        <v>0</v>
      </c>
      <c r="H2454" s="749"/>
      <c r="I2454" s="733"/>
      <c r="J2454" s="733"/>
      <c r="K2454" s="735">
        <v>0</v>
      </c>
      <c r="L2454" s="750">
        <v>0</v>
      </c>
    </row>
    <row r="2455" spans="1:12" x14ac:dyDescent="0.25">
      <c r="A2455" s="561" t="s">
        <v>3286</v>
      </c>
      <c r="B2455" s="749">
        <v>2023</v>
      </c>
      <c r="C2455" s="561" t="s">
        <v>647</v>
      </c>
      <c r="D2455" s="561" t="s">
        <v>3287</v>
      </c>
      <c r="E2455" s="561" t="s">
        <v>649</v>
      </c>
      <c r="F2455" s="735">
        <v>-2368951.13</v>
      </c>
      <c r="G2455" s="749">
        <v>0</v>
      </c>
      <c r="H2455" s="749"/>
      <c r="I2455" s="733"/>
      <c r="J2455" s="733"/>
      <c r="K2455" s="735">
        <v>0</v>
      </c>
      <c r="L2455" s="750">
        <v>-2368951.13</v>
      </c>
    </row>
    <row r="2456" spans="1:12" ht="21" x14ac:dyDescent="0.25">
      <c r="A2456" s="561" t="s">
        <v>3286</v>
      </c>
      <c r="B2456" s="749">
        <v>2023</v>
      </c>
      <c r="C2456" s="561" t="s">
        <v>3691</v>
      </c>
      <c r="D2456" s="561" t="s">
        <v>3668</v>
      </c>
      <c r="E2456" s="561" t="s">
        <v>3675</v>
      </c>
      <c r="F2456" s="735">
        <v>0</v>
      </c>
      <c r="G2456" s="749">
        <v>0</v>
      </c>
      <c r="H2456" s="749"/>
      <c r="I2456" s="733"/>
      <c r="J2456" s="733"/>
      <c r="K2456" s="735">
        <v>0</v>
      </c>
      <c r="L2456" s="750">
        <v>0</v>
      </c>
    </row>
    <row r="2457" spans="1:12" x14ac:dyDescent="0.25">
      <c r="A2457" s="561" t="s">
        <v>3286</v>
      </c>
      <c r="B2457" s="749">
        <v>2023</v>
      </c>
      <c r="C2457" s="561" t="s">
        <v>651</v>
      </c>
      <c r="D2457" s="561" t="s">
        <v>3288</v>
      </c>
      <c r="E2457" s="561" t="s">
        <v>653</v>
      </c>
      <c r="F2457" s="735">
        <v>202282.98</v>
      </c>
      <c r="G2457" s="749">
        <v>0</v>
      </c>
      <c r="H2457" s="749"/>
      <c r="I2457" s="733"/>
      <c r="J2457" s="733"/>
      <c r="K2457" s="735">
        <v>0</v>
      </c>
      <c r="L2457" s="750">
        <v>202282.98</v>
      </c>
    </row>
    <row r="2458" spans="1:12" ht="31.5" x14ac:dyDescent="0.25">
      <c r="A2458" s="561" t="s">
        <v>3286</v>
      </c>
      <c r="B2458" s="749">
        <v>2023</v>
      </c>
      <c r="C2458" s="561" t="s">
        <v>654</v>
      </c>
      <c r="D2458" s="561" t="s">
        <v>3289</v>
      </c>
      <c r="E2458" s="561" t="s">
        <v>445</v>
      </c>
      <c r="F2458" s="735">
        <v>-13423.28</v>
      </c>
      <c r="G2458" s="749">
        <v>0</v>
      </c>
      <c r="H2458" s="749"/>
      <c r="I2458" s="733"/>
      <c r="J2458" s="733"/>
      <c r="K2458" s="735">
        <v>0</v>
      </c>
      <c r="L2458" s="750">
        <v>-13423.28</v>
      </c>
    </row>
    <row r="2459" spans="1:12" ht="21" x14ac:dyDescent="0.25">
      <c r="A2459" s="561" t="s">
        <v>3286</v>
      </c>
      <c r="B2459" s="749">
        <v>2023</v>
      </c>
      <c r="C2459" s="561" t="s">
        <v>656</v>
      </c>
      <c r="D2459" s="561" t="s">
        <v>3290</v>
      </c>
      <c r="E2459" s="561" t="s">
        <v>658</v>
      </c>
      <c r="F2459" s="735">
        <v>26787.96</v>
      </c>
      <c r="G2459" s="749">
        <v>0</v>
      </c>
      <c r="H2459" s="749"/>
      <c r="I2459" s="733"/>
      <c r="J2459" s="733"/>
      <c r="K2459" s="735">
        <v>0</v>
      </c>
      <c r="L2459" s="750">
        <v>26787.96</v>
      </c>
    </row>
    <row r="2460" spans="1:12" ht="21" x14ac:dyDescent="0.25">
      <c r="A2460" s="561" t="s">
        <v>3286</v>
      </c>
      <c r="B2460" s="749">
        <v>2023</v>
      </c>
      <c r="C2460" s="561" t="s">
        <v>659</v>
      </c>
      <c r="D2460" s="561" t="s">
        <v>3291</v>
      </c>
      <c r="E2460" s="561" t="s">
        <v>661</v>
      </c>
      <c r="F2460" s="735">
        <v>0</v>
      </c>
      <c r="G2460" s="749">
        <v>0</v>
      </c>
      <c r="H2460" s="749"/>
      <c r="I2460" s="733"/>
      <c r="J2460" s="733"/>
      <c r="K2460" s="735">
        <v>0</v>
      </c>
      <c r="L2460" s="750">
        <v>0</v>
      </c>
    </row>
    <row r="2461" spans="1:12" ht="21" x14ac:dyDescent="0.25">
      <c r="A2461" s="561" t="s">
        <v>3286</v>
      </c>
      <c r="B2461" s="749">
        <v>2023</v>
      </c>
      <c r="C2461" s="561" t="s">
        <v>662</v>
      </c>
      <c r="D2461" s="561" t="s">
        <v>3292</v>
      </c>
      <c r="E2461" s="561" t="s">
        <v>664</v>
      </c>
      <c r="F2461" s="735">
        <v>27053.5</v>
      </c>
      <c r="G2461" s="749">
        <v>0</v>
      </c>
      <c r="H2461" s="749"/>
      <c r="I2461" s="733"/>
      <c r="J2461" s="733"/>
      <c r="K2461" s="735">
        <v>0</v>
      </c>
      <c r="L2461" s="750">
        <v>27053.5</v>
      </c>
    </row>
    <row r="2462" spans="1:12" ht="31.5" x14ac:dyDescent="0.25">
      <c r="A2462" s="561" t="s">
        <v>3286</v>
      </c>
      <c r="B2462" s="749">
        <v>2023</v>
      </c>
      <c r="C2462" s="561" t="s">
        <v>665</v>
      </c>
      <c r="D2462" s="561" t="s">
        <v>3293</v>
      </c>
      <c r="E2462" s="561" t="s">
        <v>667</v>
      </c>
      <c r="F2462" s="735">
        <v>0</v>
      </c>
      <c r="G2462" s="749">
        <v>0</v>
      </c>
      <c r="H2462" s="749"/>
      <c r="I2462" s="733"/>
      <c r="J2462" s="733"/>
      <c r="K2462" s="735">
        <v>0</v>
      </c>
      <c r="L2462" s="750">
        <v>0</v>
      </c>
    </row>
    <row r="2463" spans="1:12" ht="21" x14ac:dyDescent="0.25">
      <c r="A2463" s="561" t="s">
        <v>3286</v>
      </c>
      <c r="B2463" s="749">
        <v>2023</v>
      </c>
      <c r="C2463" s="561" t="s">
        <v>668</v>
      </c>
      <c r="D2463" s="561" t="s">
        <v>3294</v>
      </c>
      <c r="E2463" s="561" t="s">
        <v>12</v>
      </c>
      <c r="F2463" s="735">
        <v>0</v>
      </c>
      <c r="G2463" s="749">
        <v>0</v>
      </c>
      <c r="H2463" s="749"/>
      <c r="I2463" s="733"/>
      <c r="J2463" s="733"/>
      <c r="K2463" s="735">
        <v>0</v>
      </c>
      <c r="L2463" s="750">
        <v>0</v>
      </c>
    </row>
    <row r="2464" spans="1:12" ht="21" x14ac:dyDescent="0.25">
      <c r="A2464" s="561" t="s">
        <v>3286</v>
      </c>
      <c r="B2464" s="749">
        <v>2023</v>
      </c>
      <c r="C2464" s="561" t="s">
        <v>670</v>
      </c>
      <c r="D2464" s="561" t="s">
        <v>3295</v>
      </c>
      <c r="E2464" s="561" t="s">
        <v>13</v>
      </c>
      <c r="F2464" s="735">
        <v>2180.31</v>
      </c>
      <c r="G2464" s="749">
        <v>0</v>
      </c>
      <c r="H2464" s="749"/>
      <c r="I2464" s="733"/>
      <c r="J2464" s="733"/>
      <c r="K2464" s="735">
        <v>0</v>
      </c>
      <c r="L2464" s="750">
        <v>2180.31</v>
      </c>
    </row>
    <row r="2465" spans="1:12" ht="21" x14ac:dyDescent="0.25">
      <c r="A2465" s="561" t="s">
        <v>3286</v>
      </c>
      <c r="B2465" s="749">
        <v>2023</v>
      </c>
      <c r="C2465" s="561" t="s">
        <v>672</v>
      </c>
      <c r="D2465" s="561" t="s">
        <v>3296</v>
      </c>
      <c r="E2465" s="561" t="s">
        <v>15</v>
      </c>
      <c r="F2465" s="735">
        <v>0</v>
      </c>
      <c r="G2465" s="749">
        <v>0</v>
      </c>
      <c r="H2465" s="749"/>
      <c r="I2465" s="733"/>
      <c r="J2465" s="733"/>
      <c r="K2465" s="735">
        <v>0</v>
      </c>
      <c r="L2465" s="750">
        <v>0</v>
      </c>
    </row>
    <row r="2466" spans="1:12" x14ac:dyDescent="0.25">
      <c r="A2466" s="561" t="s">
        <v>3286</v>
      </c>
      <c r="B2466" s="749">
        <v>2023</v>
      </c>
      <c r="C2466" s="561" t="s">
        <v>674</v>
      </c>
      <c r="D2466" s="561" t="s">
        <v>3297</v>
      </c>
      <c r="E2466" s="561" t="s">
        <v>676</v>
      </c>
      <c r="F2466" s="735">
        <v>49001.34</v>
      </c>
      <c r="G2466" s="749">
        <v>0</v>
      </c>
      <c r="H2466" s="749"/>
      <c r="I2466" s="733"/>
      <c r="J2466" s="733"/>
      <c r="K2466" s="735">
        <v>0</v>
      </c>
      <c r="L2466" s="750">
        <v>49001.34</v>
      </c>
    </row>
    <row r="2467" spans="1:12" x14ac:dyDescent="0.25">
      <c r="A2467" s="561" t="s">
        <v>3286</v>
      </c>
      <c r="B2467" s="749">
        <v>2023</v>
      </c>
      <c r="C2467" s="561" t="s">
        <v>677</v>
      </c>
      <c r="D2467" s="561" t="s">
        <v>3298</v>
      </c>
      <c r="E2467" s="561" t="s">
        <v>23</v>
      </c>
      <c r="F2467" s="735">
        <v>0</v>
      </c>
      <c r="G2467" s="749">
        <v>1</v>
      </c>
      <c r="H2467" s="749"/>
      <c r="I2467" s="733"/>
      <c r="J2467" s="733"/>
      <c r="K2467" s="735">
        <v>0</v>
      </c>
      <c r="L2467" s="750">
        <v>0</v>
      </c>
    </row>
    <row r="2468" spans="1:12" ht="21" x14ac:dyDescent="0.25">
      <c r="A2468" s="561" t="s">
        <v>3286</v>
      </c>
      <c r="B2468" s="749">
        <v>2023</v>
      </c>
      <c r="C2468" s="561" t="s">
        <v>679</v>
      </c>
      <c r="D2468" s="561" t="s">
        <v>3299</v>
      </c>
      <c r="E2468" s="561" t="s">
        <v>131</v>
      </c>
      <c r="F2468" s="735">
        <v>-185151.03</v>
      </c>
      <c r="G2468" s="749">
        <v>1</v>
      </c>
      <c r="H2468" s="749"/>
      <c r="I2468" s="735">
        <v>-182993.6</v>
      </c>
      <c r="J2468" s="735">
        <v>-2157.4299999999998</v>
      </c>
      <c r="K2468" s="735">
        <v>-185151.03</v>
      </c>
      <c r="L2468" s="750">
        <v>-185151.03</v>
      </c>
    </row>
    <row r="2469" spans="1:12" ht="31.5" x14ac:dyDescent="0.25">
      <c r="A2469" s="561" t="s">
        <v>3286</v>
      </c>
      <c r="B2469" s="749">
        <v>2023</v>
      </c>
      <c r="C2469" s="561" t="s">
        <v>681</v>
      </c>
      <c r="D2469" s="561" t="s">
        <v>3300</v>
      </c>
      <c r="E2469" s="561" t="s">
        <v>683</v>
      </c>
      <c r="F2469" s="735">
        <v>-116142.65</v>
      </c>
      <c r="G2469" s="749">
        <v>0</v>
      </c>
      <c r="H2469" s="749"/>
      <c r="I2469" s="733"/>
      <c r="J2469" s="733"/>
      <c r="K2469" s="735">
        <v>0</v>
      </c>
      <c r="L2469" s="750">
        <v>-116142.65</v>
      </c>
    </row>
    <row r="2470" spans="1:12" ht="21" x14ac:dyDescent="0.25">
      <c r="A2470" s="561" t="s">
        <v>3286</v>
      </c>
      <c r="B2470" s="749">
        <v>2023</v>
      </c>
      <c r="C2470" s="561" t="s">
        <v>681</v>
      </c>
      <c r="D2470" s="561" t="s">
        <v>3300</v>
      </c>
      <c r="E2470" s="561" t="s">
        <v>684</v>
      </c>
      <c r="F2470" s="735">
        <v>0</v>
      </c>
      <c r="G2470" s="749">
        <v>0</v>
      </c>
      <c r="H2470" s="749"/>
      <c r="I2470" s="733"/>
      <c r="J2470" s="733"/>
      <c r="K2470" s="735">
        <v>0</v>
      </c>
      <c r="L2470" s="751">
        <v>59667.21</v>
      </c>
    </row>
    <row r="2471" spans="1:12" x14ac:dyDescent="0.25">
      <c r="A2471" s="561" t="s">
        <v>3286</v>
      </c>
      <c r="B2471" s="749">
        <v>2023</v>
      </c>
      <c r="C2471" s="561" t="s">
        <v>685</v>
      </c>
      <c r="D2471" s="561" t="s">
        <v>3301</v>
      </c>
      <c r="E2471" s="561" t="s">
        <v>687</v>
      </c>
      <c r="F2471" s="735">
        <v>0</v>
      </c>
      <c r="G2471" s="749">
        <v>0</v>
      </c>
      <c r="H2471" s="749"/>
      <c r="I2471" s="733"/>
      <c r="J2471" s="733"/>
      <c r="K2471" s="735">
        <v>0</v>
      </c>
      <c r="L2471" s="750">
        <v>0</v>
      </c>
    </row>
    <row r="2472" spans="1:12" x14ac:dyDescent="0.25">
      <c r="A2472" s="561" t="s">
        <v>3286</v>
      </c>
      <c r="B2472" s="749">
        <v>2023</v>
      </c>
      <c r="C2472" s="561" t="s">
        <v>688</v>
      </c>
      <c r="D2472" s="561" t="s">
        <v>3302</v>
      </c>
      <c r="E2472" s="561" t="s">
        <v>50</v>
      </c>
      <c r="F2472" s="735">
        <v>609866</v>
      </c>
      <c r="G2472" s="749">
        <v>0</v>
      </c>
      <c r="H2472" s="749"/>
      <c r="I2472" s="733"/>
      <c r="J2472" s="733"/>
      <c r="K2472" s="735">
        <v>0</v>
      </c>
      <c r="L2472" s="750">
        <v>609866</v>
      </c>
    </row>
    <row r="2473" spans="1:12" x14ac:dyDescent="0.25">
      <c r="A2473" s="561" t="s">
        <v>3286</v>
      </c>
      <c r="B2473" s="749">
        <v>2023</v>
      </c>
      <c r="C2473" s="561" t="s">
        <v>690</v>
      </c>
      <c r="D2473" s="561" t="s">
        <v>3303</v>
      </c>
      <c r="E2473" s="561" t="s">
        <v>692</v>
      </c>
      <c r="F2473" s="735">
        <v>0</v>
      </c>
      <c r="G2473" s="749">
        <v>0</v>
      </c>
      <c r="H2473" s="749"/>
      <c r="I2473" s="733"/>
      <c r="J2473" s="733"/>
      <c r="K2473" s="735">
        <v>0</v>
      </c>
      <c r="L2473" s="750">
        <v>0</v>
      </c>
    </row>
    <row r="2474" spans="1:12" ht="21" x14ac:dyDescent="0.25">
      <c r="A2474" s="561" t="s">
        <v>3286</v>
      </c>
      <c r="B2474" s="749">
        <v>2023</v>
      </c>
      <c r="C2474" s="561" t="s">
        <v>693</v>
      </c>
      <c r="D2474" s="561" t="s">
        <v>3304</v>
      </c>
      <c r="E2474" s="561" t="s">
        <v>6</v>
      </c>
      <c r="F2474" s="735">
        <v>0</v>
      </c>
      <c r="G2474" s="749">
        <v>0</v>
      </c>
      <c r="H2474" s="749"/>
      <c r="I2474" s="733"/>
      <c r="J2474" s="733"/>
      <c r="K2474" s="735">
        <v>0</v>
      </c>
      <c r="L2474" s="750">
        <v>0</v>
      </c>
    </row>
    <row r="2475" spans="1:12" ht="21" x14ac:dyDescent="0.25">
      <c r="A2475" s="561" t="s">
        <v>3286</v>
      </c>
      <c r="B2475" s="749">
        <v>2023</v>
      </c>
      <c r="C2475" s="561" t="s">
        <v>695</v>
      </c>
      <c r="D2475" s="561" t="s">
        <v>3305</v>
      </c>
      <c r="E2475" s="561" t="s">
        <v>697</v>
      </c>
      <c r="F2475" s="735">
        <v>-9763.5300000000007</v>
      </c>
      <c r="G2475" s="749">
        <v>0</v>
      </c>
      <c r="H2475" s="749"/>
      <c r="I2475" s="733"/>
      <c r="J2475" s="733"/>
      <c r="K2475" s="735">
        <v>0</v>
      </c>
      <c r="L2475" s="750">
        <v>-9763.5300000000007</v>
      </c>
    </row>
    <row r="2476" spans="1:12" x14ac:dyDescent="0.25">
      <c r="A2476" s="561" t="s">
        <v>3286</v>
      </c>
      <c r="B2476" s="749">
        <v>2023</v>
      </c>
      <c r="C2476" s="561" t="s">
        <v>698</v>
      </c>
      <c r="D2476" s="561" t="s">
        <v>3306</v>
      </c>
      <c r="E2476" s="561" t="s">
        <v>700</v>
      </c>
      <c r="F2476" s="735">
        <v>0</v>
      </c>
      <c r="G2476" s="749">
        <v>0</v>
      </c>
      <c r="H2476" s="749"/>
      <c r="I2476" s="733"/>
      <c r="J2476" s="733"/>
      <c r="K2476" s="735">
        <v>0</v>
      </c>
      <c r="L2476" s="750">
        <v>0</v>
      </c>
    </row>
    <row r="2477" spans="1:12" ht="21" x14ac:dyDescent="0.25">
      <c r="A2477" s="561" t="s">
        <v>3286</v>
      </c>
      <c r="B2477" s="749">
        <v>2023</v>
      </c>
      <c r="C2477" s="561" t="s">
        <v>701</v>
      </c>
      <c r="D2477" s="561" t="s">
        <v>3307</v>
      </c>
      <c r="E2477" s="561" t="s">
        <v>1</v>
      </c>
      <c r="F2477" s="735">
        <v>2342734.08</v>
      </c>
      <c r="G2477" s="749">
        <v>1</v>
      </c>
      <c r="H2477" s="749"/>
      <c r="I2477" s="735">
        <v>2309680.42</v>
      </c>
      <c r="J2477" s="735">
        <v>33053.660000000003</v>
      </c>
      <c r="K2477" s="735">
        <v>2342734.08</v>
      </c>
      <c r="L2477" s="750">
        <v>2342734.08</v>
      </c>
    </row>
    <row r="2478" spans="1:12" ht="21" x14ac:dyDescent="0.25">
      <c r="A2478" s="561" t="s">
        <v>3286</v>
      </c>
      <c r="B2478" s="749">
        <v>2023</v>
      </c>
      <c r="C2478" s="561" t="s">
        <v>701</v>
      </c>
      <c r="D2478" s="561" t="s">
        <v>3307</v>
      </c>
      <c r="E2478" s="561" t="s">
        <v>703</v>
      </c>
      <c r="F2478" s="735">
        <v>0</v>
      </c>
      <c r="G2478" s="749">
        <v>0</v>
      </c>
      <c r="H2478" s="749"/>
      <c r="I2478" s="733"/>
      <c r="J2478" s="733"/>
      <c r="K2478" s="735">
        <v>0</v>
      </c>
      <c r="L2478" s="751">
        <v>0</v>
      </c>
    </row>
    <row r="2479" spans="1:12" ht="21" x14ac:dyDescent="0.25">
      <c r="A2479" s="561" t="s">
        <v>3286</v>
      </c>
      <c r="B2479" s="749">
        <v>2023</v>
      </c>
      <c r="C2479" s="561" t="s">
        <v>701</v>
      </c>
      <c r="D2479" s="561" t="s">
        <v>3307</v>
      </c>
      <c r="E2479" s="561" t="s">
        <v>704</v>
      </c>
      <c r="F2479" s="735">
        <v>0</v>
      </c>
      <c r="G2479" s="749">
        <v>0</v>
      </c>
      <c r="H2479" s="749"/>
      <c r="I2479" s="733"/>
      <c r="J2479" s="733"/>
      <c r="K2479" s="735">
        <v>0</v>
      </c>
      <c r="L2479" s="751">
        <v>0</v>
      </c>
    </row>
    <row r="2480" spans="1:12" ht="21" x14ac:dyDescent="0.25">
      <c r="A2480" s="561" t="s">
        <v>3286</v>
      </c>
      <c r="B2480" s="749">
        <v>2023</v>
      </c>
      <c r="C2480" s="561" t="s">
        <v>701</v>
      </c>
      <c r="D2480" s="561" t="s">
        <v>3307</v>
      </c>
      <c r="E2480" s="561" t="s">
        <v>705</v>
      </c>
      <c r="F2480" s="735">
        <v>0</v>
      </c>
      <c r="G2480" s="749">
        <v>0</v>
      </c>
      <c r="H2480" s="749"/>
      <c r="I2480" s="733"/>
      <c r="J2480" s="733"/>
      <c r="K2480" s="735">
        <v>0</v>
      </c>
      <c r="L2480" s="751">
        <v>-4738.43</v>
      </c>
    </row>
    <row r="2481" spans="1:12" ht="21" x14ac:dyDescent="0.25">
      <c r="A2481" s="561" t="s">
        <v>3286</v>
      </c>
      <c r="B2481" s="749">
        <v>2023</v>
      </c>
      <c r="C2481" s="561" t="s">
        <v>701</v>
      </c>
      <c r="D2481" s="561" t="s">
        <v>3307</v>
      </c>
      <c r="E2481" s="561" t="s">
        <v>706</v>
      </c>
      <c r="F2481" s="735">
        <v>0</v>
      </c>
      <c r="G2481" s="749">
        <v>0</v>
      </c>
      <c r="H2481" s="749"/>
      <c r="I2481" s="733"/>
      <c r="J2481" s="733"/>
      <c r="K2481" s="735">
        <v>0</v>
      </c>
      <c r="L2481" s="751">
        <v>-222169.49</v>
      </c>
    </row>
    <row r="2482" spans="1:12" x14ac:dyDescent="0.25">
      <c r="A2482" s="561" t="s">
        <v>3286</v>
      </c>
      <c r="B2482" s="749">
        <v>2023</v>
      </c>
      <c r="C2482" s="561" t="s">
        <v>707</v>
      </c>
      <c r="D2482" s="561" t="s">
        <v>3308</v>
      </c>
      <c r="E2482" s="561" t="s">
        <v>709</v>
      </c>
      <c r="F2482" s="735">
        <v>0</v>
      </c>
      <c r="G2482" s="749">
        <v>0</v>
      </c>
      <c r="H2482" s="749"/>
      <c r="I2482" s="733"/>
      <c r="J2482" s="733"/>
      <c r="K2482" s="735">
        <v>0</v>
      </c>
      <c r="L2482" s="750">
        <v>0</v>
      </c>
    </row>
    <row r="2483" spans="1:12" ht="21" x14ac:dyDescent="0.25">
      <c r="A2483" s="561" t="s">
        <v>3286</v>
      </c>
      <c r="B2483" s="749">
        <v>2023</v>
      </c>
      <c r="C2483" s="561" t="s">
        <v>710</v>
      </c>
      <c r="D2483" s="561" t="s">
        <v>3309</v>
      </c>
      <c r="E2483" s="561" t="s">
        <v>2</v>
      </c>
      <c r="F2483" s="735">
        <v>1364231.8</v>
      </c>
      <c r="G2483" s="749">
        <v>1</v>
      </c>
      <c r="H2483" s="749"/>
      <c r="I2483" s="735">
        <v>1341996.8799999999</v>
      </c>
      <c r="J2483" s="735">
        <v>22234.92</v>
      </c>
      <c r="K2483" s="735">
        <v>1364231.8</v>
      </c>
      <c r="L2483" s="750">
        <v>1364231.8</v>
      </c>
    </row>
    <row r="2484" spans="1:12" ht="21" x14ac:dyDescent="0.25">
      <c r="A2484" s="561" t="s">
        <v>3286</v>
      </c>
      <c r="B2484" s="749">
        <v>2023</v>
      </c>
      <c r="C2484" s="561" t="s">
        <v>712</v>
      </c>
      <c r="D2484" s="561" t="s">
        <v>3310</v>
      </c>
      <c r="E2484" s="561" t="s">
        <v>3</v>
      </c>
      <c r="F2484" s="735">
        <v>520868.5</v>
      </c>
      <c r="G2484" s="749">
        <v>1</v>
      </c>
      <c r="H2484" s="749"/>
      <c r="I2484" s="735">
        <v>511755.71</v>
      </c>
      <c r="J2484" s="735">
        <v>9112.7900000000009</v>
      </c>
      <c r="K2484" s="735">
        <v>520868.5</v>
      </c>
      <c r="L2484" s="750">
        <v>520868.5</v>
      </c>
    </row>
    <row r="2485" spans="1:12" ht="21" x14ac:dyDescent="0.25">
      <c r="A2485" s="561" t="s">
        <v>3286</v>
      </c>
      <c r="B2485" s="749">
        <v>2023</v>
      </c>
      <c r="C2485" s="561" t="s">
        <v>714</v>
      </c>
      <c r="D2485" s="561" t="s">
        <v>3311</v>
      </c>
      <c r="E2485" s="561" t="s">
        <v>38</v>
      </c>
      <c r="F2485" s="735">
        <v>530645.77</v>
      </c>
      <c r="G2485" s="749">
        <v>1</v>
      </c>
      <c r="H2485" s="749"/>
      <c r="I2485" s="735">
        <v>568103.52</v>
      </c>
      <c r="J2485" s="735">
        <v>-37457.75</v>
      </c>
      <c r="K2485" s="735">
        <v>530645.77</v>
      </c>
      <c r="L2485" s="750">
        <v>530645.77</v>
      </c>
    </row>
    <row r="2486" spans="1:12" x14ac:dyDescent="0.25">
      <c r="A2486" s="561" t="s">
        <v>3286</v>
      </c>
      <c r="B2486" s="749">
        <v>2023</v>
      </c>
      <c r="C2486" s="561" t="s">
        <v>716</v>
      </c>
      <c r="D2486" s="561" t="s">
        <v>3312</v>
      </c>
      <c r="E2486" s="561" t="s">
        <v>66</v>
      </c>
      <c r="F2486" s="735">
        <v>-1211141.21</v>
      </c>
      <c r="G2486" s="749">
        <v>1</v>
      </c>
      <c r="H2486" s="749"/>
      <c r="I2486" s="735">
        <v>-1188867.4099999999</v>
      </c>
      <c r="J2486" s="735">
        <v>-22273.8</v>
      </c>
      <c r="K2486" s="735">
        <v>-1211141.21</v>
      </c>
      <c r="L2486" s="750">
        <v>-1211141.21</v>
      </c>
    </row>
    <row r="2487" spans="1:12" ht="21" x14ac:dyDescent="0.25">
      <c r="A2487" s="561" t="s">
        <v>3286</v>
      </c>
      <c r="B2487" s="749">
        <v>2023</v>
      </c>
      <c r="C2487" s="561" t="s">
        <v>718</v>
      </c>
      <c r="D2487" s="561" t="s">
        <v>3313</v>
      </c>
      <c r="E2487" s="561" t="s">
        <v>720</v>
      </c>
      <c r="F2487" s="735">
        <v>-12155.66</v>
      </c>
      <c r="G2487" s="749">
        <v>0</v>
      </c>
      <c r="H2487" s="749"/>
      <c r="I2487" s="733"/>
      <c r="J2487" s="733"/>
      <c r="K2487" s="735">
        <v>0</v>
      </c>
      <c r="L2487" s="750">
        <v>-12155.66</v>
      </c>
    </row>
    <row r="2488" spans="1:12" ht="31.5" x14ac:dyDescent="0.25">
      <c r="A2488" s="561" t="s">
        <v>3286</v>
      </c>
      <c r="B2488" s="749">
        <v>2023</v>
      </c>
      <c r="C2488" s="561" t="s">
        <v>721</v>
      </c>
      <c r="D2488" s="561" t="s">
        <v>3315</v>
      </c>
      <c r="E2488" s="561" t="s">
        <v>724</v>
      </c>
      <c r="F2488" s="735">
        <v>0</v>
      </c>
      <c r="G2488" s="749">
        <v>1</v>
      </c>
      <c r="H2488" s="749"/>
      <c r="I2488" s="733"/>
      <c r="J2488" s="733"/>
      <c r="K2488" s="735">
        <v>0</v>
      </c>
      <c r="L2488" s="750">
        <v>0</v>
      </c>
    </row>
    <row r="2489" spans="1:12" ht="31.5" x14ac:dyDescent="0.25">
      <c r="A2489" s="561" t="s">
        <v>3286</v>
      </c>
      <c r="B2489" s="749">
        <v>2023</v>
      </c>
      <c r="C2489" s="561" t="s">
        <v>721</v>
      </c>
      <c r="D2489" s="561" t="s">
        <v>3316</v>
      </c>
      <c r="E2489" s="561" t="s">
        <v>55</v>
      </c>
      <c r="F2489" s="735">
        <v>0</v>
      </c>
      <c r="G2489" s="749">
        <v>1</v>
      </c>
      <c r="H2489" s="749"/>
      <c r="I2489" s="733"/>
      <c r="J2489" s="733"/>
      <c r="K2489" s="735">
        <v>0</v>
      </c>
      <c r="L2489" s="750">
        <v>0</v>
      </c>
    </row>
    <row r="2490" spans="1:12" ht="31.5" x14ac:dyDescent="0.25">
      <c r="A2490" s="561" t="s">
        <v>3286</v>
      </c>
      <c r="B2490" s="749">
        <v>2023</v>
      </c>
      <c r="C2490" s="561" t="s">
        <v>721</v>
      </c>
      <c r="D2490" s="561" t="s">
        <v>3317</v>
      </c>
      <c r="E2490" s="561" t="s">
        <v>56</v>
      </c>
      <c r="F2490" s="735">
        <v>0</v>
      </c>
      <c r="G2490" s="749">
        <v>1</v>
      </c>
      <c r="H2490" s="749"/>
      <c r="I2490" s="733"/>
      <c r="J2490" s="733"/>
      <c r="K2490" s="735">
        <v>0</v>
      </c>
      <c r="L2490" s="750">
        <v>0</v>
      </c>
    </row>
    <row r="2491" spans="1:12" ht="31.5" x14ac:dyDescent="0.25">
      <c r="A2491" s="561" t="s">
        <v>3286</v>
      </c>
      <c r="B2491" s="749">
        <v>2023</v>
      </c>
      <c r="C2491" s="561" t="s">
        <v>721</v>
      </c>
      <c r="D2491" s="561" t="s">
        <v>3318</v>
      </c>
      <c r="E2491" s="561" t="s">
        <v>728</v>
      </c>
      <c r="F2491" s="735">
        <v>0</v>
      </c>
      <c r="G2491" s="749">
        <v>1</v>
      </c>
      <c r="H2491" s="749"/>
      <c r="I2491" s="733"/>
      <c r="J2491" s="733"/>
      <c r="K2491" s="735">
        <v>0</v>
      </c>
      <c r="L2491" s="750">
        <v>0</v>
      </c>
    </row>
    <row r="2492" spans="1:12" ht="31.5" x14ac:dyDescent="0.25">
      <c r="A2492" s="561" t="s">
        <v>3286</v>
      </c>
      <c r="B2492" s="749">
        <v>2023</v>
      </c>
      <c r="C2492" s="561" t="s">
        <v>721</v>
      </c>
      <c r="D2492" s="561" t="s">
        <v>3319</v>
      </c>
      <c r="E2492" s="561" t="s">
        <v>730</v>
      </c>
      <c r="F2492" s="735">
        <v>0</v>
      </c>
      <c r="G2492" s="749">
        <v>1</v>
      </c>
      <c r="H2492" s="749"/>
      <c r="I2492" s="733"/>
      <c r="J2492" s="733"/>
      <c r="K2492" s="735">
        <v>0</v>
      </c>
      <c r="L2492" s="750">
        <v>0</v>
      </c>
    </row>
    <row r="2493" spans="1:12" ht="31.5" x14ac:dyDescent="0.25">
      <c r="A2493" s="561" t="s">
        <v>3286</v>
      </c>
      <c r="B2493" s="749">
        <v>2023</v>
      </c>
      <c r="C2493" s="561" t="s">
        <v>721</v>
      </c>
      <c r="D2493" s="561" t="s">
        <v>3320</v>
      </c>
      <c r="E2493" s="561" t="s">
        <v>142</v>
      </c>
      <c r="F2493" s="735">
        <v>0</v>
      </c>
      <c r="G2493" s="749">
        <v>1</v>
      </c>
      <c r="H2493" s="749"/>
      <c r="I2493" s="733"/>
      <c r="J2493" s="733"/>
      <c r="K2493" s="735">
        <v>0</v>
      </c>
      <c r="L2493" s="750">
        <v>0</v>
      </c>
    </row>
    <row r="2494" spans="1:12" ht="31.5" x14ac:dyDescent="0.25">
      <c r="A2494" s="561" t="s">
        <v>3286</v>
      </c>
      <c r="B2494" s="749">
        <v>2023</v>
      </c>
      <c r="C2494" s="561" t="s">
        <v>721</v>
      </c>
      <c r="D2494" s="561" t="s">
        <v>3321</v>
      </c>
      <c r="E2494" s="561" t="s">
        <v>143</v>
      </c>
      <c r="F2494" s="735">
        <v>0</v>
      </c>
      <c r="G2494" s="749">
        <v>1</v>
      </c>
      <c r="H2494" s="749"/>
      <c r="I2494" s="733"/>
      <c r="J2494" s="733"/>
      <c r="K2494" s="735">
        <v>0</v>
      </c>
      <c r="L2494" s="750">
        <v>0</v>
      </c>
    </row>
    <row r="2495" spans="1:12" ht="31.5" x14ac:dyDescent="0.25">
      <c r="A2495" s="561" t="s">
        <v>3286</v>
      </c>
      <c r="B2495" s="749">
        <v>2023</v>
      </c>
      <c r="C2495" s="561" t="s">
        <v>721</v>
      </c>
      <c r="D2495" s="561" t="s">
        <v>3322</v>
      </c>
      <c r="E2495" s="561" t="s">
        <v>182</v>
      </c>
      <c r="F2495" s="735">
        <v>0</v>
      </c>
      <c r="G2495" s="749">
        <v>1</v>
      </c>
      <c r="H2495" s="749"/>
      <c r="I2495" s="733"/>
      <c r="J2495" s="735">
        <v>0</v>
      </c>
      <c r="K2495" s="735">
        <v>0</v>
      </c>
      <c r="L2495" s="750">
        <v>0</v>
      </c>
    </row>
    <row r="2496" spans="1:12" ht="31.5" x14ac:dyDescent="0.25">
      <c r="A2496" s="561" t="s">
        <v>3286</v>
      </c>
      <c r="B2496" s="749">
        <v>2023</v>
      </c>
      <c r="C2496" s="561" t="s">
        <v>721</v>
      </c>
      <c r="D2496" s="561" t="s">
        <v>3323</v>
      </c>
      <c r="E2496" s="561" t="s">
        <v>394</v>
      </c>
      <c r="F2496" s="735">
        <v>0</v>
      </c>
      <c r="G2496" s="749">
        <v>1</v>
      </c>
      <c r="H2496" s="749"/>
      <c r="I2496" s="733"/>
      <c r="J2496" s="733"/>
      <c r="K2496" s="735">
        <v>0</v>
      </c>
      <c r="L2496" s="750">
        <v>0</v>
      </c>
    </row>
    <row r="2497" spans="1:12" ht="31.5" x14ac:dyDescent="0.25">
      <c r="A2497" s="561" t="s">
        <v>3286</v>
      </c>
      <c r="B2497" s="749">
        <v>2023</v>
      </c>
      <c r="C2497" s="561" t="s">
        <v>721</v>
      </c>
      <c r="D2497" s="561" t="s">
        <v>3324</v>
      </c>
      <c r="E2497" s="561" t="s">
        <v>423</v>
      </c>
      <c r="F2497" s="735">
        <v>0</v>
      </c>
      <c r="G2497" s="749">
        <v>1</v>
      </c>
      <c r="H2497" s="749"/>
      <c r="I2497" s="733"/>
      <c r="J2497" s="733"/>
      <c r="K2497" s="735">
        <v>0</v>
      </c>
      <c r="L2497" s="750">
        <v>0</v>
      </c>
    </row>
    <row r="2498" spans="1:12" ht="31.5" x14ac:dyDescent="0.25">
      <c r="A2498" s="561" t="s">
        <v>3286</v>
      </c>
      <c r="B2498" s="749">
        <v>2023</v>
      </c>
      <c r="C2498" s="561" t="s">
        <v>721</v>
      </c>
      <c r="D2498" s="561" t="s">
        <v>3325</v>
      </c>
      <c r="E2498" s="561" t="s">
        <v>441</v>
      </c>
      <c r="F2498" s="735">
        <v>0</v>
      </c>
      <c r="G2498" s="749">
        <v>1</v>
      </c>
      <c r="H2498" s="749"/>
      <c r="I2498" s="735">
        <v>174571.03</v>
      </c>
      <c r="J2498" s="735">
        <v>-143854.29</v>
      </c>
      <c r="K2498" s="735">
        <v>30716.74</v>
      </c>
      <c r="L2498" s="750">
        <v>30716.74</v>
      </c>
    </row>
    <row r="2499" spans="1:12" ht="31.5" x14ac:dyDescent="0.25">
      <c r="A2499" s="561" t="s">
        <v>3286</v>
      </c>
      <c r="B2499" s="749">
        <v>2023</v>
      </c>
      <c r="C2499" s="561" t="s">
        <v>721</v>
      </c>
      <c r="D2499" s="561" t="s">
        <v>3600</v>
      </c>
      <c r="E2499" s="561" t="s">
        <v>3016</v>
      </c>
      <c r="F2499" s="735">
        <v>0</v>
      </c>
      <c r="G2499" s="749">
        <v>1</v>
      </c>
      <c r="H2499" s="749"/>
      <c r="I2499" s="735">
        <v>382585.77</v>
      </c>
      <c r="J2499" s="735">
        <v>-434716.42</v>
      </c>
      <c r="K2499" s="735">
        <v>-52130.65</v>
      </c>
      <c r="L2499" s="750">
        <v>-52130.65</v>
      </c>
    </row>
    <row r="2500" spans="1:12" ht="31.5" x14ac:dyDescent="0.25">
      <c r="A2500" s="561" t="s">
        <v>3286</v>
      </c>
      <c r="B2500" s="749">
        <v>2023</v>
      </c>
      <c r="C2500" s="561" t="s">
        <v>721</v>
      </c>
      <c r="D2500" s="561" t="s">
        <v>3601</v>
      </c>
      <c r="E2500" s="561" t="s">
        <v>3058</v>
      </c>
      <c r="F2500" s="735">
        <v>0</v>
      </c>
      <c r="G2500" s="749">
        <v>1</v>
      </c>
      <c r="H2500" s="749"/>
      <c r="I2500" s="735">
        <v>-8279.2999999999993</v>
      </c>
      <c r="J2500" s="735">
        <v>5691.99</v>
      </c>
      <c r="K2500" s="735">
        <v>-2587.31</v>
      </c>
      <c r="L2500" s="750">
        <v>-2587.31</v>
      </c>
    </row>
    <row r="2501" spans="1:12" ht="31.5" x14ac:dyDescent="0.25">
      <c r="A2501" s="561" t="s">
        <v>3286</v>
      </c>
      <c r="B2501" s="749">
        <v>2023</v>
      </c>
      <c r="C2501" s="561" t="s">
        <v>721</v>
      </c>
      <c r="D2501" s="561" t="s">
        <v>3602</v>
      </c>
      <c r="E2501" s="561" t="s">
        <v>3063</v>
      </c>
      <c r="F2501" s="735">
        <v>0</v>
      </c>
      <c r="G2501" s="749">
        <v>1</v>
      </c>
      <c r="H2501" s="749"/>
      <c r="I2501" s="735">
        <v>22185.37</v>
      </c>
      <c r="J2501" s="735">
        <v>-450.99</v>
      </c>
      <c r="K2501" s="735">
        <v>21734.38</v>
      </c>
      <c r="L2501" s="750">
        <v>21734.38</v>
      </c>
    </row>
    <row r="2502" spans="1:12" ht="31.5" x14ac:dyDescent="0.25">
      <c r="A2502" s="561" t="s">
        <v>3286</v>
      </c>
      <c r="B2502" s="749">
        <v>2023</v>
      </c>
      <c r="C2502" s="561" t="s">
        <v>721</v>
      </c>
      <c r="D2502" s="561" t="s">
        <v>3920</v>
      </c>
      <c r="E2502" s="561" t="s">
        <v>3425</v>
      </c>
      <c r="F2502" s="735">
        <v>0</v>
      </c>
      <c r="G2502" s="749">
        <v>1</v>
      </c>
      <c r="H2502" s="749"/>
      <c r="I2502" s="735">
        <v>-25023.97</v>
      </c>
      <c r="J2502" s="735">
        <v>-30641.35</v>
      </c>
      <c r="K2502" s="735">
        <v>-55665.32</v>
      </c>
      <c r="L2502" s="750">
        <v>-55665.32</v>
      </c>
    </row>
    <row r="2503" spans="1:12" ht="42" x14ac:dyDescent="0.25">
      <c r="A2503" s="561" t="s">
        <v>3286</v>
      </c>
      <c r="B2503" s="749">
        <v>2023</v>
      </c>
      <c r="C2503" s="561" t="s">
        <v>721</v>
      </c>
      <c r="D2503" s="561" t="s">
        <v>3921</v>
      </c>
      <c r="E2503" s="561" t="s">
        <v>737</v>
      </c>
      <c r="F2503" s="735">
        <v>-57932.160000000003</v>
      </c>
      <c r="G2503" s="749">
        <v>0</v>
      </c>
      <c r="H2503" s="749"/>
      <c r="I2503" s="733"/>
      <c r="J2503" s="733"/>
      <c r="K2503" s="735">
        <v>0</v>
      </c>
      <c r="L2503" s="750">
        <v>-57932.160000000003</v>
      </c>
    </row>
    <row r="2504" spans="1:12" x14ac:dyDescent="0.25">
      <c r="A2504" s="561" t="s">
        <v>3286</v>
      </c>
      <c r="B2504" s="749">
        <v>2023</v>
      </c>
      <c r="C2504" s="561" t="s">
        <v>738</v>
      </c>
      <c r="D2504" s="561" t="s">
        <v>3327</v>
      </c>
      <c r="E2504" s="561" t="s">
        <v>7</v>
      </c>
      <c r="F2504" s="735">
        <v>0</v>
      </c>
      <c r="G2504" s="749">
        <v>0</v>
      </c>
      <c r="H2504" s="749"/>
      <c r="I2504" s="733"/>
      <c r="J2504" s="733"/>
      <c r="K2504" s="735">
        <v>0</v>
      </c>
      <c r="L2504" s="750">
        <v>0</v>
      </c>
    </row>
    <row r="2505" spans="1:12" x14ac:dyDescent="0.25">
      <c r="A2505" s="561" t="s">
        <v>116</v>
      </c>
      <c r="B2505" s="749">
        <v>2023</v>
      </c>
      <c r="C2505" s="561" t="s">
        <v>647</v>
      </c>
      <c r="D2505" s="561" t="s">
        <v>2585</v>
      </c>
      <c r="E2505" s="561" t="s">
        <v>649</v>
      </c>
      <c r="F2505" s="735">
        <v>0</v>
      </c>
      <c r="G2505" s="749">
        <v>0</v>
      </c>
      <c r="H2505" s="749"/>
      <c r="I2505" s="733"/>
      <c r="J2505" s="733"/>
      <c r="K2505" s="735">
        <v>0</v>
      </c>
      <c r="L2505" s="750">
        <v>0</v>
      </c>
    </row>
    <row r="2506" spans="1:12" ht="21" x14ac:dyDescent="0.25">
      <c r="A2506" s="561" t="s">
        <v>116</v>
      </c>
      <c r="B2506" s="749">
        <v>2023</v>
      </c>
      <c r="C2506" s="561" t="s">
        <v>3691</v>
      </c>
      <c r="D2506" s="561" t="s">
        <v>3669</v>
      </c>
      <c r="E2506" s="561" t="s">
        <v>3675</v>
      </c>
      <c r="F2506" s="735">
        <v>0</v>
      </c>
      <c r="G2506" s="749">
        <v>0</v>
      </c>
      <c r="H2506" s="749"/>
      <c r="I2506" s="733"/>
      <c r="J2506" s="733"/>
      <c r="K2506" s="735">
        <v>0</v>
      </c>
      <c r="L2506" s="750">
        <v>0</v>
      </c>
    </row>
    <row r="2507" spans="1:12" x14ac:dyDescent="0.25">
      <c r="A2507" s="561" t="s">
        <v>116</v>
      </c>
      <c r="B2507" s="749">
        <v>2023</v>
      </c>
      <c r="C2507" s="561" t="s">
        <v>651</v>
      </c>
      <c r="D2507" s="561" t="s">
        <v>2586</v>
      </c>
      <c r="E2507" s="561" t="s">
        <v>653</v>
      </c>
      <c r="F2507" s="735">
        <v>0</v>
      </c>
      <c r="G2507" s="749">
        <v>0</v>
      </c>
      <c r="H2507" s="749"/>
      <c r="I2507" s="733"/>
      <c r="J2507" s="733"/>
      <c r="K2507" s="735">
        <v>0</v>
      </c>
      <c r="L2507" s="750">
        <v>0</v>
      </c>
    </row>
    <row r="2508" spans="1:12" ht="31.5" x14ac:dyDescent="0.25">
      <c r="A2508" s="561" t="s">
        <v>116</v>
      </c>
      <c r="B2508" s="749">
        <v>2023</v>
      </c>
      <c r="C2508" s="561" t="s">
        <v>654</v>
      </c>
      <c r="D2508" s="561" t="s">
        <v>2587</v>
      </c>
      <c r="E2508" s="561" t="s">
        <v>445</v>
      </c>
      <c r="F2508" s="735">
        <v>0</v>
      </c>
      <c r="G2508" s="749">
        <v>0</v>
      </c>
      <c r="H2508" s="749"/>
      <c r="I2508" s="733"/>
      <c r="J2508" s="733"/>
      <c r="K2508" s="735">
        <v>0</v>
      </c>
      <c r="L2508" s="750">
        <v>0</v>
      </c>
    </row>
    <row r="2509" spans="1:12" ht="21" x14ac:dyDescent="0.25">
      <c r="A2509" s="561" t="s">
        <v>116</v>
      </c>
      <c r="B2509" s="749">
        <v>2023</v>
      </c>
      <c r="C2509" s="561" t="s">
        <v>656</v>
      </c>
      <c r="D2509" s="561" t="s">
        <v>2588</v>
      </c>
      <c r="E2509" s="561" t="s">
        <v>658</v>
      </c>
      <c r="F2509" s="735">
        <v>0</v>
      </c>
      <c r="G2509" s="749">
        <v>0</v>
      </c>
      <c r="H2509" s="749"/>
      <c r="I2509" s="733"/>
      <c r="J2509" s="733"/>
      <c r="K2509" s="735">
        <v>0</v>
      </c>
      <c r="L2509" s="750">
        <v>0</v>
      </c>
    </row>
    <row r="2510" spans="1:12" ht="21" x14ac:dyDescent="0.25">
      <c r="A2510" s="561" t="s">
        <v>116</v>
      </c>
      <c r="B2510" s="749">
        <v>2023</v>
      </c>
      <c r="C2510" s="561" t="s">
        <v>659</v>
      </c>
      <c r="D2510" s="561" t="s">
        <v>2589</v>
      </c>
      <c r="E2510" s="561" t="s">
        <v>661</v>
      </c>
      <c r="F2510" s="735">
        <v>0</v>
      </c>
      <c r="G2510" s="749">
        <v>0</v>
      </c>
      <c r="H2510" s="749"/>
      <c r="I2510" s="733"/>
      <c r="J2510" s="733"/>
      <c r="K2510" s="735">
        <v>0</v>
      </c>
      <c r="L2510" s="750">
        <v>0</v>
      </c>
    </row>
    <row r="2511" spans="1:12" ht="21" x14ac:dyDescent="0.25">
      <c r="A2511" s="561" t="s">
        <v>116</v>
      </c>
      <c r="B2511" s="749">
        <v>2023</v>
      </c>
      <c r="C2511" s="561" t="s">
        <v>662</v>
      </c>
      <c r="D2511" s="561" t="s">
        <v>2590</v>
      </c>
      <c r="E2511" s="561" t="s">
        <v>664</v>
      </c>
      <c r="F2511" s="735">
        <v>0</v>
      </c>
      <c r="G2511" s="749">
        <v>0</v>
      </c>
      <c r="H2511" s="749"/>
      <c r="I2511" s="733"/>
      <c r="J2511" s="733"/>
      <c r="K2511" s="735">
        <v>0</v>
      </c>
      <c r="L2511" s="750">
        <v>0</v>
      </c>
    </row>
    <row r="2512" spans="1:12" ht="31.5" x14ac:dyDescent="0.25">
      <c r="A2512" s="561" t="s">
        <v>116</v>
      </c>
      <c r="B2512" s="749">
        <v>2023</v>
      </c>
      <c r="C2512" s="561" t="s">
        <v>665</v>
      </c>
      <c r="D2512" s="561" t="s">
        <v>2591</v>
      </c>
      <c r="E2512" s="561" t="s">
        <v>667</v>
      </c>
      <c r="F2512" s="735">
        <v>0</v>
      </c>
      <c r="G2512" s="749">
        <v>0</v>
      </c>
      <c r="H2512" s="749"/>
      <c r="I2512" s="733"/>
      <c r="J2512" s="733"/>
      <c r="K2512" s="735">
        <v>0</v>
      </c>
      <c r="L2512" s="750">
        <v>0</v>
      </c>
    </row>
    <row r="2513" spans="1:12" ht="21" x14ac:dyDescent="0.25">
      <c r="A2513" s="561" t="s">
        <v>116</v>
      </c>
      <c r="B2513" s="749">
        <v>2023</v>
      </c>
      <c r="C2513" s="561" t="s">
        <v>668</v>
      </c>
      <c r="D2513" s="561" t="s">
        <v>2592</v>
      </c>
      <c r="E2513" s="561" t="s">
        <v>12</v>
      </c>
      <c r="F2513" s="735">
        <v>0</v>
      </c>
      <c r="G2513" s="749">
        <v>0</v>
      </c>
      <c r="H2513" s="749"/>
      <c r="I2513" s="733"/>
      <c r="J2513" s="733"/>
      <c r="K2513" s="735">
        <v>0</v>
      </c>
      <c r="L2513" s="750">
        <v>0</v>
      </c>
    </row>
    <row r="2514" spans="1:12" ht="21" x14ac:dyDescent="0.25">
      <c r="A2514" s="561" t="s">
        <v>116</v>
      </c>
      <c r="B2514" s="749">
        <v>2023</v>
      </c>
      <c r="C2514" s="561" t="s">
        <v>670</v>
      </c>
      <c r="D2514" s="561" t="s">
        <v>2593</v>
      </c>
      <c r="E2514" s="561" t="s">
        <v>13</v>
      </c>
      <c r="F2514" s="735">
        <v>0</v>
      </c>
      <c r="G2514" s="749">
        <v>0</v>
      </c>
      <c r="H2514" s="749"/>
      <c r="I2514" s="733"/>
      <c r="J2514" s="733"/>
      <c r="K2514" s="735">
        <v>0</v>
      </c>
      <c r="L2514" s="750">
        <v>0</v>
      </c>
    </row>
    <row r="2515" spans="1:12" ht="21" x14ac:dyDescent="0.25">
      <c r="A2515" s="561" t="s">
        <v>116</v>
      </c>
      <c r="B2515" s="749">
        <v>2023</v>
      </c>
      <c r="C2515" s="561" t="s">
        <v>672</v>
      </c>
      <c r="D2515" s="561" t="s">
        <v>2594</v>
      </c>
      <c r="E2515" s="561" t="s">
        <v>15</v>
      </c>
      <c r="F2515" s="735">
        <v>0</v>
      </c>
      <c r="G2515" s="749">
        <v>0</v>
      </c>
      <c r="H2515" s="749"/>
      <c r="I2515" s="733"/>
      <c r="J2515" s="733"/>
      <c r="K2515" s="735">
        <v>0</v>
      </c>
      <c r="L2515" s="750">
        <v>0</v>
      </c>
    </row>
    <row r="2516" spans="1:12" x14ac:dyDescent="0.25">
      <c r="A2516" s="561" t="s">
        <v>116</v>
      </c>
      <c r="B2516" s="749">
        <v>2023</v>
      </c>
      <c r="C2516" s="561" t="s">
        <v>674</v>
      </c>
      <c r="D2516" s="561" t="s">
        <v>2595</v>
      </c>
      <c r="E2516" s="561" t="s">
        <v>676</v>
      </c>
      <c r="F2516" s="735">
        <v>0</v>
      </c>
      <c r="G2516" s="749">
        <v>0</v>
      </c>
      <c r="H2516" s="749"/>
      <c r="I2516" s="733"/>
      <c r="J2516" s="733"/>
      <c r="K2516" s="735">
        <v>0</v>
      </c>
      <c r="L2516" s="750">
        <v>0</v>
      </c>
    </row>
    <row r="2517" spans="1:12" x14ac:dyDescent="0.25">
      <c r="A2517" s="561" t="s">
        <v>116</v>
      </c>
      <c r="B2517" s="749">
        <v>2023</v>
      </c>
      <c r="C2517" s="561" t="s">
        <v>677</v>
      </c>
      <c r="D2517" s="561" t="s">
        <v>2596</v>
      </c>
      <c r="E2517" s="561" t="s">
        <v>23</v>
      </c>
      <c r="F2517" s="735">
        <v>0</v>
      </c>
      <c r="G2517" s="749">
        <v>1</v>
      </c>
      <c r="H2517" s="749"/>
      <c r="I2517" s="733"/>
      <c r="J2517" s="733"/>
      <c r="K2517" s="735">
        <v>0</v>
      </c>
      <c r="L2517" s="750">
        <v>0</v>
      </c>
    </row>
    <row r="2518" spans="1:12" ht="21" x14ac:dyDescent="0.25">
      <c r="A2518" s="561" t="s">
        <v>116</v>
      </c>
      <c r="B2518" s="749">
        <v>2023</v>
      </c>
      <c r="C2518" s="561" t="s">
        <v>679</v>
      </c>
      <c r="D2518" s="561" t="s">
        <v>2597</v>
      </c>
      <c r="E2518" s="561" t="s">
        <v>131</v>
      </c>
      <c r="F2518" s="735">
        <v>-55532.06</v>
      </c>
      <c r="G2518" s="749">
        <v>1</v>
      </c>
      <c r="H2518" s="749"/>
      <c r="I2518" s="735">
        <v>-53768.19</v>
      </c>
      <c r="J2518" s="735">
        <v>-1763.87</v>
      </c>
      <c r="K2518" s="735">
        <v>-55532.06</v>
      </c>
      <c r="L2518" s="750">
        <v>-55532.06</v>
      </c>
    </row>
    <row r="2519" spans="1:12" ht="31.5" x14ac:dyDescent="0.25">
      <c r="A2519" s="561" t="s">
        <v>116</v>
      </c>
      <c r="B2519" s="749">
        <v>2023</v>
      </c>
      <c r="C2519" s="561" t="s">
        <v>681</v>
      </c>
      <c r="D2519" s="561" t="s">
        <v>2598</v>
      </c>
      <c r="E2519" s="561" t="s">
        <v>683</v>
      </c>
      <c r="F2519" s="735">
        <v>-337.33</v>
      </c>
      <c r="G2519" s="749">
        <v>0</v>
      </c>
      <c r="H2519" s="749"/>
      <c r="I2519" s="733"/>
      <c r="J2519" s="733"/>
      <c r="K2519" s="735">
        <v>0</v>
      </c>
      <c r="L2519" s="750">
        <v>-337.33</v>
      </c>
    </row>
    <row r="2520" spans="1:12" ht="21" x14ac:dyDescent="0.25">
      <c r="A2520" s="561" t="s">
        <v>116</v>
      </c>
      <c r="B2520" s="749">
        <v>2023</v>
      </c>
      <c r="C2520" s="561" t="s">
        <v>681</v>
      </c>
      <c r="D2520" s="561" t="s">
        <v>2598</v>
      </c>
      <c r="E2520" s="561" t="s">
        <v>684</v>
      </c>
      <c r="F2520" s="735">
        <v>0</v>
      </c>
      <c r="G2520" s="749">
        <v>0</v>
      </c>
      <c r="H2520" s="749"/>
      <c r="I2520" s="733"/>
      <c r="J2520" s="733"/>
      <c r="K2520" s="735">
        <v>0</v>
      </c>
      <c r="L2520" s="751">
        <v>-337.32</v>
      </c>
    </row>
    <row r="2521" spans="1:12" x14ac:dyDescent="0.25">
      <c r="A2521" s="561" t="s">
        <v>116</v>
      </c>
      <c r="B2521" s="749">
        <v>2023</v>
      </c>
      <c r="C2521" s="561" t="s">
        <v>685</v>
      </c>
      <c r="D2521" s="561" t="s">
        <v>2599</v>
      </c>
      <c r="E2521" s="561" t="s">
        <v>687</v>
      </c>
      <c r="F2521" s="735">
        <v>0</v>
      </c>
      <c r="G2521" s="749">
        <v>0</v>
      </c>
      <c r="H2521" s="749"/>
      <c r="I2521" s="733"/>
      <c r="J2521" s="733"/>
      <c r="K2521" s="735">
        <v>0</v>
      </c>
      <c r="L2521" s="750">
        <v>0</v>
      </c>
    </row>
    <row r="2522" spans="1:12" x14ac:dyDescent="0.25">
      <c r="A2522" s="561" t="s">
        <v>116</v>
      </c>
      <c r="B2522" s="749">
        <v>2023</v>
      </c>
      <c r="C2522" s="561" t="s">
        <v>688</v>
      </c>
      <c r="D2522" s="561" t="s">
        <v>2600</v>
      </c>
      <c r="E2522" s="561" t="s">
        <v>50</v>
      </c>
      <c r="F2522" s="735">
        <v>22252.06</v>
      </c>
      <c r="G2522" s="749">
        <v>0</v>
      </c>
      <c r="H2522" s="749"/>
      <c r="I2522" s="733"/>
      <c r="J2522" s="733"/>
      <c r="K2522" s="735">
        <v>0</v>
      </c>
      <c r="L2522" s="750">
        <v>22252.06</v>
      </c>
    </row>
    <row r="2523" spans="1:12" x14ac:dyDescent="0.25">
      <c r="A2523" s="561" t="s">
        <v>116</v>
      </c>
      <c r="B2523" s="749">
        <v>2023</v>
      </c>
      <c r="C2523" s="561" t="s">
        <v>690</v>
      </c>
      <c r="D2523" s="561" t="s">
        <v>2601</v>
      </c>
      <c r="E2523" s="561" t="s">
        <v>692</v>
      </c>
      <c r="F2523" s="735">
        <v>0</v>
      </c>
      <c r="G2523" s="749">
        <v>0</v>
      </c>
      <c r="H2523" s="749"/>
      <c r="I2523" s="733"/>
      <c r="J2523" s="733"/>
      <c r="K2523" s="735">
        <v>0</v>
      </c>
      <c r="L2523" s="750">
        <v>0</v>
      </c>
    </row>
    <row r="2524" spans="1:12" ht="21" x14ac:dyDescent="0.25">
      <c r="A2524" s="561" t="s">
        <v>116</v>
      </c>
      <c r="B2524" s="749">
        <v>2023</v>
      </c>
      <c r="C2524" s="561" t="s">
        <v>693</v>
      </c>
      <c r="D2524" s="561" t="s">
        <v>2602</v>
      </c>
      <c r="E2524" s="561" t="s">
        <v>6</v>
      </c>
      <c r="F2524" s="735">
        <v>0</v>
      </c>
      <c r="G2524" s="749">
        <v>0</v>
      </c>
      <c r="H2524" s="749"/>
      <c r="I2524" s="733"/>
      <c r="J2524" s="733"/>
      <c r="K2524" s="735">
        <v>0</v>
      </c>
      <c r="L2524" s="750">
        <v>0</v>
      </c>
    </row>
    <row r="2525" spans="1:12" ht="21" x14ac:dyDescent="0.25">
      <c r="A2525" s="561" t="s">
        <v>116</v>
      </c>
      <c r="B2525" s="749">
        <v>2023</v>
      </c>
      <c r="C2525" s="561" t="s">
        <v>695</v>
      </c>
      <c r="D2525" s="561" t="s">
        <v>2603</v>
      </c>
      <c r="E2525" s="561" t="s">
        <v>697</v>
      </c>
      <c r="F2525" s="735">
        <v>0</v>
      </c>
      <c r="G2525" s="749">
        <v>0</v>
      </c>
      <c r="H2525" s="749"/>
      <c r="I2525" s="733"/>
      <c r="J2525" s="733"/>
      <c r="K2525" s="735">
        <v>0</v>
      </c>
      <c r="L2525" s="750">
        <v>0</v>
      </c>
    </row>
    <row r="2526" spans="1:12" x14ac:dyDescent="0.25">
      <c r="A2526" s="561" t="s">
        <v>116</v>
      </c>
      <c r="B2526" s="749">
        <v>2023</v>
      </c>
      <c r="C2526" s="561" t="s">
        <v>698</v>
      </c>
      <c r="D2526" s="561" t="s">
        <v>2604</v>
      </c>
      <c r="E2526" s="561" t="s">
        <v>700</v>
      </c>
      <c r="F2526" s="735">
        <v>0</v>
      </c>
      <c r="G2526" s="749">
        <v>0</v>
      </c>
      <c r="H2526" s="749"/>
      <c r="I2526" s="733"/>
      <c r="J2526" s="733"/>
      <c r="K2526" s="735">
        <v>0</v>
      </c>
      <c r="L2526" s="750">
        <v>0</v>
      </c>
    </row>
    <row r="2527" spans="1:12" ht="21" x14ac:dyDescent="0.25">
      <c r="A2527" s="561" t="s">
        <v>116</v>
      </c>
      <c r="B2527" s="749">
        <v>2023</v>
      </c>
      <c r="C2527" s="561" t="s">
        <v>701</v>
      </c>
      <c r="D2527" s="561" t="s">
        <v>2605</v>
      </c>
      <c r="E2527" s="561" t="s">
        <v>1</v>
      </c>
      <c r="F2527" s="735">
        <v>-21338.59</v>
      </c>
      <c r="G2527" s="749">
        <v>1</v>
      </c>
      <c r="H2527" s="749"/>
      <c r="I2527" s="735">
        <v>14290.77</v>
      </c>
      <c r="J2527" s="735">
        <v>-35629.360000000001</v>
      </c>
      <c r="K2527" s="735">
        <v>-21338.59</v>
      </c>
      <c r="L2527" s="750">
        <v>-21338.59</v>
      </c>
    </row>
    <row r="2528" spans="1:12" ht="21" x14ac:dyDescent="0.25">
      <c r="A2528" s="561" t="s">
        <v>116</v>
      </c>
      <c r="B2528" s="749">
        <v>2023</v>
      </c>
      <c r="C2528" s="561" t="s">
        <v>701</v>
      </c>
      <c r="D2528" s="561" t="s">
        <v>2605</v>
      </c>
      <c r="E2528" s="561" t="s">
        <v>703</v>
      </c>
      <c r="F2528" s="735">
        <v>0</v>
      </c>
      <c r="G2528" s="749">
        <v>0</v>
      </c>
      <c r="H2528" s="749"/>
      <c r="I2528" s="733"/>
      <c r="J2528" s="733"/>
      <c r="K2528" s="735">
        <v>0</v>
      </c>
      <c r="L2528" s="751">
        <v>0</v>
      </c>
    </row>
    <row r="2529" spans="1:12" ht="21" x14ac:dyDescent="0.25">
      <c r="A2529" s="561" t="s">
        <v>116</v>
      </c>
      <c r="B2529" s="749">
        <v>2023</v>
      </c>
      <c r="C2529" s="561" t="s">
        <v>701</v>
      </c>
      <c r="D2529" s="561" t="s">
        <v>2605</v>
      </c>
      <c r="E2529" s="561" t="s">
        <v>704</v>
      </c>
      <c r="F2529" s="735">
        <v>0</v>
      </c>
      <c r="G2529" s="749">
        <v>0</v>
      </c>
      <c r="H2529" s="749"/>
      <c r="I2529" s="733"/>
      <c r="J2529" s="733"/>
      <c r="K2529" s="735">
        <v>0</v>
      </c>
      <c r="L2529" s="751">
        <v>0</v>
      </c>
    </row>
    <row r="2530" spans="1:12" ht="21" x14ac:dyDescent="0.25">
      <c r="A2530" s="561" t="s">
        <v>116</v>
      </c>
      <c r="B2530" s="749">
        <v>2023</v>
      </c>
      <c r="C2530" s="561" t="s">
        <v>701</v>
      </c>
      <c r="D2530" s="561" t="s">
        <v>2605</v>
      </c>
      <c r="E2530" s="561" t="s">
        <v>705</v>
      </c>
      <c r="F2530" s="735">
        <v>0</v>
      </c>
      <c r="G2530" s="749">
        <v>0</v>
      </c>
      <c r="H2530" s="749"/>
      <c r="I2530" s="733"/>
      <c r="J2530" s="733"/>
      <c r="K2530" s="735">
        <v>0</v>
      </c>
      <c r="L2530" s="751">
        <v>-3477.97</v>
      </c>
    </row>
    <row r="2531" spans="1:12" ht="21" x14ac:dyDescent="0.25">
      <c r="A2531" s="561" t="s">
        <v>116</v>
      </c>
      <c r="B2531" s="749">
        <v>2023</v>
      </c>
      <c r="C2531" s="561" t="s">
        <v>701</v>
      </c>
      <c r="D2531" s="561" t="s">
        <v>2605</v>
      </c>
      <c r="E2531" s="561" t="s">
        <v>706</v>
      </c>
      <c r="F2531" s="735">
        <v>0</v>
      </c>
      <c r="G2531" s="749">
        <v>0</v>
      </c>
      <c r="H2531" s="749"/>
      <c r="I2531" s="733"/>
      <c r="J2531" s="733"/>
      <c r="K2531" s="735">
        <v>0</v>
      </c>
      <c r="L2531" s="751">
        <v>-62529.82</v>
      </c>
    </row>
    <row r="2532" spans="1:12" x14ac:dyDescent="0.25">
      <c r="A2532" s="561" t="s">
        <v>116</v>
      </c>
      <c r="B2532" s="749">
        <v>2023</v>
      </c>
      <c r="C2532" s="561" t="s">
        <v>707</v>
      </c>
      <c r="D2532" s="561" t="s">
        <v>2606</v>
      </c>
      <c r="E2532" s="561" t="s">
        <v>709</v>
      </c>
      <c r="F2532" s="735">
        <v>0</v>
      </c>
      <c r="G2532" s="749">
        <v>0</v>
      </c>
      <c r="H2532" s="749"/>
      <c r="I2532" s="733"/>
      <c r="J2532" s="733"/>
      <c r="K2532" s="735">
        <v>0</v>
      </c>
      <c r="L2532" s="750">
        <v>0</v>
      </c>
    </row>
    <row r="2533" spans="1:12" ht="21" x14ac:dyDescent="0.25">
      <c r="A2533" s="561" t="s">
        <v>116</v>
      </c>
      <c r="B2533" s="749">
        <v>2023</v>
      </c>
      <c r="C2533" s="561" t="s">
        <v>710</v>
      </c>
      <c r="D2533" s="561" t="s">
        <v>2607</v>
      </c>
      <c r="E2533" s="561" t="s">
        <v>2</v>
      </c>
      <c r="F2533" s="735">
        <v>193981.93</v>
      </c>
      <c r="G2533" s="749">
        <v>1</v>
      </c>
      <c r="H2533" s="749"/>
      <c r="I2533" s="735">
        <v>201668.71</v>
      </c>
      <c r="J2533" s="735">
        <v>-7686.78</v>
      </c>
      <c r="K2533" s="735">
        <v>193981.93</v>
      </c>
      <c r="L2533" s="750">
        <v>193981.93</v>
      </c>
    </row>
    <row r="2534" spans="1:12" ht="21" x14ac:dyDescent="0.25">
      <c r="A2534" s="561" t="s">
        <v>116</v>
      </c>
      <c r="B2534" s="749">
        <v>2023</v>
      </c>
      <c r="C2534" s="561" t="s">
        <v>712</v>
      </c>
      <c r="D2534" s="561" t="s">
        <v>2608</v>
      </c>
      <c r="E2534" s="561" t="s">
        <v>3</v>
      </c>
      <c r="F2534" s="735">
        <v>88202.12</v>
      </c>
      <c r="G2534" s="749">
        <v>1</v>
      </c>
      <c r="H2534" s="749"/>
      <c r="I2534" s="735">
        <v>85750.7</v>
      </c>
      <c r="J2534" s="735">
        <v>2451.42</v>
      </c>
      <c r="K2534" s="735">
        <v>88202.12</v>
      </c>
      <c r="L2534" s="750">
        <v>88202.12</v>
      </c>
    </row>
    <row r="2535" spans="1:12" ht="21" x14ac:dyDescent="0.25">
      <c r="A2535" s="561" t="s">
        <v>116</v>
      </c>
      <c r="B2535" s="749">
        <v>2023</v>
      </c>
      <c r="C2535" s="561" t="s">
        <v>714</v>
      </c>
      <c r="D2535" s="561" t="s">
        <v>2609</v>
      </c>
      <c r="E2535" s="561" t="s">
        <v>38</v>
      </c>
      <c r="F2535" s="735">
        <v>3710306.22</v>
      </c>
      <c r="G2535" s="749">
        <v>1</v>
      </c>
      <c r="H2535" s="749"/>
      <c r="I2535" s="735">
        <v>3455430.71</v>
      </c>
      <c r="J2535" s="735">
        <v>254875.51</v>
      </c>
      <c r="K2535" s="735">
        <v>3710306.22</v>
      </c>
      <c r="L2535" s="750">
        <v>3710306.22</v>
      </c>
    </row>
    <row r="2536" spans="1:12" x14ac:dyDescent="0.25">
      <c r="A2536" s="561" t="s">
        <v>116</v>
      </c>
      <c r="B2536" s="749">
        <v>2023</v>
      </c>
      <c r="C2536" s="561" t="s">
        <v>716</v>
      </c>
      <c r="D2536" s="561" t="s">
        <v>2610</v>
      </c>
      <c r="E2536" s="561" t="s">
        <v>66</v>
      </c>
      <c r="F2536" s="735">
        <v>-2570223.08</v>
      </c>
      <c r="G2536" s="749">
        <v>1</v>
      </c>
      <c r="H2536" s="749"/>
      <c r="I2536" s="735">
        <v>-2374018.5699999998</v>
      </c>
      <c r="J2536" s="735">
        <v>-196204.51</v>
      </c>
      <c r="K2536" s="735">
        <v>-2570223.08</v>
      </c>
      <c r="L2536" s="750">
        <v>-2570223.08</v>
      </c>
    </row>
    <row r="2537" spans="1:12" ht="21" x14ac:dyDescent="0.25">
      <c r="A2537" s="561" t="s">
        <v>116</v>
      </c>
      <c r="B2537" s="749">
        <v>2023</v>
      </c>
      <c r="C2537" s="561" t="s">
        <v>718</v>
      </c>
      <c r="D2537" s="561" t="s">
        <v>2611</v>
      </c>
      <c r="E2537" s="561" t="s">
        <v>720</v>
      </c>
      <c r="F2537" s="735">
        <v>0</v>
      </c>
      <c r="G2537" s="749">
        <v>0</v>
      </c>
      <c r="H2537" s="749"/>
      <c r="I2537" s="733"/>
      <c r="J2537" s="733"/>
      <c r="K2537" s="735">
        <v>0</v>
      </c>
      <c r="L2537" s="750">
        <v>0</v>
      </c>
    </row>
    <row r="2538" spans="1:12" ht="31.5" x14ac:dyDescent="0.25">
      <c r="A2538" s="561" t="s">
        <v>116</v>
      </c>
      <c r="B2538" s="749">
        <v>2023</v>
      </c>
      <c r="C2538" s="561" t="s">
        <v>721</v>
      </c>
      <c r="D2538" s="561" t="s">
        <v>2613</v>
      </c>
      <c r="E2538" s="561" t="s">
        <v>724</v>
      </c>
      <c r="F2538" s="735">
        <v>0</v>
      </c>
      <c r="G2538" s="749">
        <v>1</v>
      </c>
      <c r="H2538" s="749"/>
      <c r="I2538" s="733"/>
      <c r="J2538" s="733"/>
      <c r="K2538" s="735">
        <v>0</v>
      </c>
      <c r="L2538" s="750">
        <v>0</v>
      </c>
    </row>
    <row r="2539" spans="1:12" ht="31.5" x14ac:dyDescent="0.25">
      <c r="A2539" s="561" t="s">
        <v>116</v>
      </c>
      <c r="B2539" s="749">
        <v>2023</v>
      </c>
      <c r="C2539" s="561" t="s">
        <v>721</v>
      </c>
      <c r="D2539" s="561" t="s">
        <v>2614</v>
      </c>
      <c r="E2539" s="561" t="s">
        <v>55</v>
      </c>
      <c r="F2539" s="735">
        <v>0</v>
      </c>
      <c r="G2539" s="749">
        <v>1</v>
      </c>
      <c r="H2539" s="749"/>
      <c r="I2539" s="733"/>
      <c r="J2539" s="733"/>
      <c r="K2539" s="735">
        <v>0</v>
      </c>
      <c r="L2539" s="750">
        <v>0</v>
      </c>
    </row>
    <row r="2540" spans="1:12" ht="31.5" x14ac:dyDescent="0.25">
      <c r="A2540" s="561" t="s">
        <v>116</v>
      </c>
      <c r="B2540" s="749">
        <v>2023</v>
      </c>
      <c r="C2540" s="561" t="s">
        <v>721</v>
      </c>
      <c r="D2540" s="561" t="s">
        <v>2615</v>
      </c>
      <c r="E2540" s="561" t="s">
        <v>56</v>
      </c>
      <c r="F2540" s="735">
        <v>0</v>
      </c>
      <c r="G2540" s="749">
        <v>1</v>
      </c>
      <c r="H2540" s="749"/>
      <c r="I2540" s="733"/>
      <c r="J2540" s="733"/>
      <c r="K2540" s="735">
        <v>0</v>
      </c>
      <c r="L2540" s="750">
        <v>0</v>
      </c>
    </row>
    <row r="2541" spans="1:12" ht="31.5" x14ac:dyDescent="0.25">
      <c r="A2541" s="561" t="s">
        <v>116</v>
      </c>
      <c r="B2541" s="749">
        <v>2023</v>
      </c>
      <c r="C2541" s="561" t="s">
        <v>721</v>
      </c>
      <c r="D2541" s="561" t="s">
        <v>2616</v>
      </c>
      <c r="E2541" s="561" t="s">
        <v>728</v>
      </c>
      <c r="F2541" s="735">
        <v>0</v>
      </c>
      <c r="G2541" s="749">
        <v>1</v>
      </c>
      <c r="H2541" s="749"/>
      <c r="I2541" s="733"/>
      <c r="J2541" s="733"/>
      <c r="K2541" s="735">
        <v>0</v>
      </c>
      <c r="L2541" s="750">
        <v>0</v>
      </c>
    </row>
    <row r="2542" spans="1:12" ht="31.5" x14ac:dyDescent="0.25">
      <c r="A2542" s="561" t="s">
        <v>116</v>
      </c>
      <c r="B2542" s="749">
        <v>2023</v>
      </c>
      <c r="C2542" s="561" t="s">
        <v>721</v>
      </c>
      <c r="D2542" s="561" t="s">
        <v>2617</v>
      </c>
      <c r="E2542" s="561" t="s">
        <v>730</v>
      </c>
      <c r="F2542" s="735">
        <v>0</v>
      </c>
      <c r="G2542" s="749">
        <v>1</v>
      </c>
      <c r="H2542" s="749"/>
      <c r="I2542" s="733"/>
      <c r="J2542" s="733"/>
      <c r="K2542" s="735">
        <v>0</v>
      </c>
      <c r="L2542" s="750">
        <v>0</v>
      </c>
    </row>
    <row r="2543" spans="1:12" ht="31.5" x14ac:dyDescent="0.25">
      <c r="A2543" s="561" t="s">
        <v>116</v>
      </c>
      <c r="B2543" s="749">
        <v>2023</v>
      </c>
      <c r="C2543" s="561" t="s">
        <v>721</v>
      </c>
      <c r="D2543" s="561" t="s">
        <v>2618</v>
      </c>
      <c r="E2543" s="561" t="s">
        <v>142</v>
      </c>
      <c r="F2543" s="735">
        <v>0</v>
      </c>
      <c r="G2543" s="749">
        <v>1</v>
      </c>
      <c r="H2543" s="749"/>
      <c r="I2543" s="733"/>
      <c r="J2543" s="733"/>
      <c r="K2543" s="735">
        <v>0</v>
      </c>
      <c r="L2543" s="750">
        <v>0</v>
      </c>
    </row>
    <row r="2544" spans="1:12" ht="31.5" x14ac:dyDescent="0.25">
      <c r="A2544" s="561" t="s">
        <v>116</v>
      </c>
      <c r="B2544" s="749">
        <v>2023</v>
      </c>
      <c r="C2544" s="561" t="s">
        <v>721</v>
      </c>
      <c r="D2544" s="561" t="s">
        <v>2619</v>
      </c>
      <c r="E2544" s="561" t="s">
        <v>143</v>
      </c>
      <c r="F2544" s="735">
        <v>0</v>
      </c>
      <c r="G2544" s="749">
        <v>1</v>
      </c>
      <c r="H2544" s="749"/>
      <c r="I2544" s="733"/>
      <c r="J2544" s="733"/>
      <c r="K2544" s="735">
        <v>0</v>
      </c>
      <c r="L2544" s="750">
        <v>0</v>
      </c>
    </row>
    <row r="2545" spans="1:12" ht="31.5" x14ac:dyDescent="0.25">
      <c r="A2545" s="561" t="s">
        <v>116</v>
      </c>
      <c r="B2545" s="749">
        <v>2023</v>
      </c>
      <c r="C2545" s="561" t="s">
        <v>721</v>
      </c>
      <c r="D2545" s="561" t="s">
        <v>2620</v>
      </c>
      <c r="E2545" s="561" t="s">
        <v>182</v>
      </c>
      <c r="F2545" s="735">
        <v>0</v>
      </c>
      <c r="G2545" s="749">
        <v>1</v>
      </c>
      <c r="H2545" s="749"/>
      <c r="I2545" s="735">
        <v>-94631.9</v>
      </c>
      <c r="J2545" s="735">
        <v>-23775.279999999999</v>
      </c>
      <c r="K2545" s="735">
        <v>-118407.18</v>
      </c>
      <c r="L2545" s="750">
        <v>-118407.18</v>
      </c>
    </row>
    <row r="2546" spans="1:12" ht="31.5" x14ac:dyDescent="0.25">
      <c r="A2546" s="561" t="s">
        <v>116</v>
      </c>
      <c r="B2546" s="749">
        <v>2023</v>
      </c>
      <c r="C2546" s="561" t="s">
        <v>721</v>
      </c>
      <c r="D2546" s="561" t="s">
        <v>2621</v>
      </c>
      <c r="E2546" s="561" t="s">
        <v>394</v>
      </c>
      <c r="F2546" s="735">
        <v>0</v>
      </c>
      <c r="G2546" s="749">
        <v>1</v>
      </c>
      <c r="H2546" s="749"/>
      <c r="I2546" s="735">
        <v>54541.04</v>
      </c>
      <c r="J2546" s="735">
        <v>-30279.63</v>
      </c>
      <c r="K2546" s="735">
        <v>24261.41</v>
      </c>
      <c r="L2546" s="750">
        <v>24261.41</v>
      </c>
    </row>
    <row r="2547" spans="1:12" ht="31.5" x14ac:dyDescent="0.25">
      <c r="A2547" s="561" t="s">
        <v>116</v>
      </c>
      <c r="B2547" s="749">
        <v>2023</v>
      </c>
      <c r="C2547" s="561" t="s">
        <v>721</v>
      </c>
      <c r="D2547" s="561" t="s">
        <v>2622</v>
      </c>
      <c r="E2547" s="561" t="s">
        <v>423</v>
      </c>
      <c r="F2547" s="735">
        <v>0</v>
      </c>
      <c r="G2547" s="749">
        <v>1</v>
      </c>
      <c r="H2547" s="749"/>
      <c r="I2547" s="735">
        <v>111181.03</v>
      </c>
      <c r="J2547" s="735">
        <v>-148.88</v>
      </c>
      <c r="K2547" s="735">
        <v>111032.15</v>
      </c>
      <c r="L2547" s="750">
        <v>111032.15</v>
      </c>
    </row>
    <row r="2548" spans="1:12" ht="31.5" x14ac:dyDescent="0.25">
      <c r="A2548" s="561" t="s">
        <v>116</v>
      </c>
      <c r="B2548" s="749">
        <v>2023</v>
      </c>
      <c r="C2548" s="561" t="s">
        <v>721</v>
      </c>
      <c r="D2548" s="561" t="s">
        <v>3328</v>
      </c>
      <c r="E2548" s="561" t="s">
        <v>441</v>
      </c>
      <c r="F2548" s="735">
        <v>0</v>
      </c>
      <c r="G2548" s="749">
        <v>1</v>
      </c>
      <c r="H2548" s="749"/>
      <c r="I2548" s="733"/>
      <c r="J2548" s="733"/>
      <c r="K2548" s="735">
        <v>0</v>
      </c>
      <c r="L2548" s="750">
        <v>0</v>
      </c>
    </row>
    <row r="2549" spans="1:12" ht="31.5" x14ac:dyDescent="0.25">
      <c r="A2549" s="561" t="s">
        <v>116</v>
      </c>
      <c r="B2549" s="749">
        <v>2023</v>
      </c>
      <c r="C2549" s="561" t="s">
        <v>721</v>
      </c>
      <c r="D2549" s="561" t="s">
        <v>3603</v>
      </c>
      <c r="E2549" s="561" t="s">
        <v>3016</v>
      </c>
      <c r="F2549" s="735">
        <v>0</v>
      </c>
      <c r="G2549" s="749">
        <v>1</v>
      </c>
      <c r="H2549" s="749"/>
      <c r="I2549" s="733"/>
      <c r="J2549" s="733"/>
      <c r="K2549" s="735">
        <v>0</v>
      </c>
      <c r="L2549" s="750">
        <v>0</v>
      </c>
    </row>
    <row r="2550" spans="1:12" ht="31.5" x14ac:dyDescent="0.25">
      <c r="A2550" s="561" t="s">
        <v>116</v>
      </c>
      <c r="B2550" s="749">
        <v>2023</v>
      </c>
      <c r="C2550" s="561" t="s">
        <v>721</v>
      </c>
      <c r="D2550" s="561" t="s">
        <v>3604</v>
      </c>
      <c r="E2550" s="561" t="s">
        <v>3058</v>
      </c>
      <c r="F2550" s="735">
        <v>0</v>
      </c>
      <c r="G2550" s="749">
        <v>1</v>
      </c>
      <c r="H2550" s="749"/>
      <c r="I2550" s="733"/>
      <c r="J2550" s="733"/>
      <c r="K2550" s="735">
        <v>0</v>
      </c>
      <c r="L2550" s="750">
        <v>0</v>
      </c>
    </row>
    <row r="2551" spans="1:12" ht="31.5" x14ac:dyDescent="0.25">
      <c r="A2551" s="561" t="s">
        <v>116</v>
      </c>
      <c r="B2551" s="749">
        <v>2023</v>
      </c>
      <c r="C2551" s="561" t="s">
        <v>721</v>
      </c>
      <c r="D2551" s="561" t="s">
        <v>3605</v>
      </c>
      <c r="E2551" s="561" t="s">
        <v>3063</v>
      </c>
      <c r="F2551" s="735">
        <v>0</v>
      </c>
      <c r="G2551" s="749">
        <v>1</v>
      </c>
      <c r="H2551" s="749"/>
      <c r="I2551" s="733"/>
      <c r="J2551" s="733"/>
      <c r="K2551" s="735">
        <v>0</v>
      </c>
      <c r="L2551" s="750">
        <v>0</v>
      </c>
    </row>
    <row r="2552" spans="1:12" ht="31.5" x14ac:dyDescent="0.25">
      <c r="A2552" s="561" t="s">
        <v>116</v>
      </c>
      <c r="B2552" s="749">
        <v>2023</v>
      </c>
      <c r="C2552" s="561" t="s">
        <v>721</v>
      </c>
      <c r="D2552" s="561" t="s">
        <v>3922</v>
      </c>
      <c r="E2552" s="561" t="s">
        <v>3425</v>
      </c>
      <c r="F2552" s="735">
        <v>0</v>
      </c>
      <c r="G2552" s="749">
        <v>1</v>
      </c>
      <c r="H2552" s="749"/>
      <c r="I2552" s="733"/>
      <c r="J2552" s="733"/>
      <c r="K2552" s="735">
        <v>0</v>
      </c>
      <c r="L2552" s="750">
        <v>0</v>
      </c>
    </row>
    <row r="2553" spans="1:12" ht="42" x14ac:dyDescent="0.25">
      <c r="A2553" s="561" t="s">
        <v>116</v>
      </c>
      <c r="B2553" s="749">
        <v>2023</v>
      </c>
      <c r="C2553" s="561" t="s">
        <v>721</v>
      </c>
      <c r="D2553" s="561" t="s">
        <v>3923</v>
      </c>
      <c r="E2553" s="561" t="s">
        <v>737</v>
      </c>
      <c r="F2553" s="735">
        <v>16886.38</v>
      </c>
      <c r="G2553" s="749">
        <v>0</v>
      </c>
      <c r="H2553" s="749"/>
      <c r="I2553" s="733"/>
      <c r="J2553" s="733"/>
      <c r="K2553" s="735">
        <v>0</v>
      </c>
      <c r="L2553" s="750">
        <v>16886.38</v>
      </c>
    </row>
    <row r="2554" spans="1:12" x14ac:dyDescent="0.25">
      <c r="A2554" s="561" t="s">
        <v>116</v>
      </c>
      <c r="B2554" s="749">
        <v>2023</v>
      </c>
      <c r="C2554" s="561" t="s">
        <v>738</v>
      </c>
      <c r="D2554" s="561" t="s">
        <v>2624</v>
      </c>
      <c r="E2554" s="561" t="s">
        <v>7</v>
      </c>
      <c r="F2554" s="735">
        <v>-845228</v>
      </c>
      <c r="G2554" s="749">
        <v>0</v>
      </c>
      <c r="H2554" s="749"/>
      <c r="I2554" s="733"/>
      <c r="J2554" s="733"/>
      <c r="K2554" s="735">
        <v>0</v>
      </c>
      <c r="L2554" s="750">
        <v>-845228</v>
      </c>
    </row>
    <row r="2555" spans="1:12" x14ac:dyDescent="0.25">
      <c r="A2555" s="561" t="s">
        <v>117</v>
      </c>
      <c r="B2555" s="749">
        <v>2023</v>
      </c>
      <c r="C2555" s="561" t="s">
        <v>647</v>
      </c>
      <c r="D2555" s="561" t="s">
        <v>2625</v>
      </c>
      <c r="E2555" s="561" t="s">
        <v>649</v>
      </c>
      <c r="F2555" s="735">
        <v>-115161483.5</v>
      </c>
      <c r="G2555" s="749">
        <v>0</v>
      </c>
      <c r="H2555" s="749"/>
      <c r="I2555" s="733"/>
      <c r="J2555" s="733"/>
      <c r="K2555" s="735">
        <v>0</v>
      </c>
      <c r="L2555" s="750">
        <v>-115161483.5</v>
      </c>
    </row>
    <row r="2556" spans="1:12" ht="21" x14ac:dyDescent="0.25">
      <c r="A2556" s="561" t="s">
        <v>117</v>
      </c>
      <c r="B2556" s="749">
        <v>2023</v>
      </c>
      <c r="C2556" s="561" t="s">
        <v>3691</v>
      </c>
      <c r="D2556" s="561" t="s">
        <v>3670</v>
      </c>
      <c r="E2556" s="561" t="s">
        <v>3675</v>
      </c>
      <c r="F2556" s="735">
        <v>0</v>
      </c>
      <c r="G2556" s="749">
        <v>0</v>
      </c>
      <c r="H2556" s="749"/>
      <c r="I2556" s="733"/>
      <c r="J2556" s="733"/>
      <c r="K2556" s="735">
        <v>0</v>
      </c>
      <c r="L2556" s="750">
        <v>0</v>
      </c>
    </row>
    <row r="2557" spans="1:12" x14ac:dyDescent="0.25">
      <c r="A2557" s="561" t="s">
        <v>117</v>
      </c>
      <c r="B2557" s="749">
        <v>2023</v>
      </c>
      <c r="C2557" s="561" t="s">
        <v>651</v>
      </c>
      <c r="D2557" s="561" t="s">
        <v>2626</v>
      </c>
      <c r="E2557" s="561" t="s">
        <v>653</v>
      </c>
      <c r="F2557" s="735">
        <v>0</v>
      </c>
      <c r="G2557" s="749">
        <v>0</v>
      </c>
      <c r="H2557" s="749"/>
      <c r="I2557" s="733"/>
      <c r="J2557" s="733"/>
      <c r="K2557" s="735">
        <v>0</v>
      </c>
      <c r="L2557" s="750">
        <v>0</v>
      </c>
    </row>
    <row r="2558" spans="1:12" ht="31.5" x14ac:dyDescent="0.25">
      <c r="A2558" s="561" t="s">
        <v>117</v>
      </c>
      <c r="B2558" s="749">
        <v>2023</v>
      </c>
      <c r="C2558" s="561" t="s">
        <v>654</v>
      </c>
      <c r="D2558" s="561" t="s">
        <v>2627</v>
      </c>
      <c r="E2558" s="561" t="s">
        <v>445</v>
      </c>
      <c r="F2558" s="735">
        <v>-42158.55</v>
      </c>
      <c r="G2558" s="749">
        <v>0</v>
      </c>
      <c r="H2558" s="749"/>
      <c r="I2558" s="733"/>
      <c r="J2558" s="733"/>
      <c r="K2558" s="735">
        <v>0</v>
      </c>
      <c r="L2558" s="750">
        <v>-42158.55</v>
      </c>
    </row>
    <row r="2559" spans="1:12" ht="21" x14ac:dyDescent="0.25">
      <c r="A2559" s="561" t="s">
        <v>117</v>
      </c>
      <c r="B2559" s="749">
        <v>2023</v>
      </c>
      <c r="C2559" s="561" t="s">
        <v>656</v>
      </c>
      <c r="D2559" s="561" t="s">
        <v>2628</v>
      </c>
      <c r="E2559" s="561" t="s">
        <v>658</v>
      </c>
      <c r="F2559" s="735">
        <v>0</v>
      </c>
      <c r="G2559" s="749">
        <v>0</v>
      </c>
      <c r="H2559" s="749"/>
      <c r="I2559" s="733"/>
      <c r="J2559" s="733"/>
      <c r="K2559" s="735">
        <v>0</v>
      </c>
      <c r="L2559" s="750">
        <v>0</v>
      </c>
    </row>
    <row r="2560" spans="1:12" ht="21" x14ac:dyDescent="0.25">
      <c r="A2560" s="561" t="s">
        <v>117</v>
      </c>
      <c r="B2560" s="749">
        <v>2023</v>
      </c>
      <c r="C2560" s="561" t="s">
        <v>659</v>
      </c>
      <c r="D2560" s="561" t="s">
        <v>2629</v>
      </c>
      <c r="E2560" s="561" t="s">
        <v>661</v>
      </c>
      <c r="F2560" s="735">
        <v>0</v>
      </c>
      <c r="G2560" s="749">
        <v>0</v>
      </c>
      <c r="H2560" s="749"/>
      <c r="I2560" s="733"/>
      <c r="J2560" s="733"/>
      <c r="K2560" s="735">
        <v>0</v>
      </c>
      <c r="L2560" s="750">
        <v>0</v>
      </c>
    </row>
    <row r="2561" spans="1:12" ht="21" x14ac:dyDescent="0.25">
      <c r="A2561" s="561" t="s">
        <v>117</v>
      </c>
      <c r="B2561" s="749">
        <v>2023</v>
      </c>
      <c r="C2561" s="561" t="s">
        <v>662</v>
      </c>
      <c r="D2561" s="561" t="s">
        <v>2630</v>
      </c>
      <c r="E2561" s="561" t="s">
        <v>664</v>
      </c>
      <c r="F2561" s="735">
        <v>0</v>
      </c>
      <c r="G2561" s="749">
        <v>0</v>
      </c>
      <c r="H2561" s="749"/>
      <c r="I2561" s="733"/>
      <c r="J2561" s="733"/>
      <c r="K2561" s="735">
        <v>0</v>
      </c>
      <c r="L2561" s="750">
        <v>0</v>
      </c>
    </row>
    <row r="2562" spans="1:12" ht="31.5" x14ac:dyDescent="0.25">
      <c r="A2562" s="561" t="s">
        <v>117</v>
      </c>
      <c r="B2562" s="749">
        <v>2023</v>
      </c>
      <c r="C2562" s="561" t="s">
        <v>665</v>
      </c>
      <c r="D2562" s="561" t="s">
        <v>2631</v>
      </c>
      <c r="E2562" s="561" t="s">
        <v>667</v>
      </c>
      <c r="F2562" s="735">
        <v>-3046986.07</v>
      </c>
      <c r="G2562" s="749">
        <v>0</v>
      </c>
      <c r="H2562" s="749"/>
      <c r="I2562" s="733"/>
      <c r="J2562" s="733"/>
      <c r="K2562" s="735">
        <v>0</v>
      </c>
      <c r="L2562" s="750">
        <v>-3046986.07</v>
      </c>
    </row>
    <row r="2563" spans="1:12" ht="21" x14ac:dyDescent="0.25">
      <c r="A2563" s="561" t="s">
        <v>117</v>
      </c>
      <c r="B2563" s="749">
        <v>2023</v>
      </c>
      <c r="C2563" s="561" t="s">
        <v>668</v>
      </c>
      <c r="D2563" s="561" t="s">
        <v>2632</v>
      </c>
      <c r="E2563" s="561" t="s">
        <v>12</v>
      </c>
      <c r="F2563" s="735">
        <v>0</v>
      </c>
      <c r="G2563" s="749">
        <v>0</v>
      </c>
      <c r="H2563" s="749"/>
      <c r="I2563" s="733"/>
      <c r="J2563" s="733"/>
      <c r="K2563" s="735">
        <v>0</v>
      </c>
      <c r="L2563" s="750">
        <v>0</v>
      </c>
    </row>
    <row r="2564" spans="1:12" ht="21" x14ac:dyDescent="0.25">
      <c r="A2564" s="561" t="s">
        <v>117</v>
      </c>
      <c r="B2564" s="749">
        <v>2023</v>
      </c>
      <c r="C2564" s="561" t="s">
        <v>670</v>
      </c>
      <c r="D2564" s="561" t="s">
        <v>2633</v>
      </c>
      <c r="E2564" s="561" t="s">
        <v>13</v>
      </c>
      <c r="F2564" s="735">
        <v>0</v>
      </c>
      <c r="G2564" s="749">
        <v>0</v>
      </c>
      <c r="H2564" s="749"/>
      <c r="I2564" s="733"/>
      <c r="J2564" s="733"/>
      <c r="K2564" s="735">
        <v>0</v>
      </c>
      <c r="L2564" s="750">
        <v>0</v>
      </c>
    </row>
    <row r="2565" spans="1:12" ht="21" x14ac:dyDescent="0.25">
      <c r="A2565" s="561" t="s">
        <v>117</v>
      </c>
      <c r="B2565" s="749">
        <v>2023</v>
      </c>
      <c r="C2565" s="561" t="s">
        <v>672</v>
      </c>
      <c r="D2565" s="561" t="s">
        <v>2634</v>
      </c>
      <c r="E2565" s="561" t="s">
        <v>15</v>
      </c>
      <c r="F2565" s="735">
        <v>0</v>
      </c>
      <c r="G2565" s="749">
        <v>0</v>
      </c>
      <c r="H2565" s="749"/>
      <c r="I2565" s="733"/>
      <c r="J2565" s="733"/>
      <c r="K2565" s="735">
        <v>0</v>
      </c>
      <c r="L2565" s="750">
        <v>0</v>
      </c>
    </row>
    <row r="2566" spans="1:12" x14ac:dyDescent="0.25">
      <c r="A2566" s="561" t="s">
        <v>117</v>
      </c>
      <c r="B2566" s="749">
        <v>2023</v>
      </c>
      <c r="C2566" s="561" t="s">
        <v>674</v>
      </c>
      <c r="D2566" s="561" t="s">
        <v>2635</v>
      </c>
      <c r="E2566" s="561" t="s">
        <v>676</v>
      </c>
      <c r="F2566" s="735">
        <v>0</v>
      </c>
      <c r="G2566" s="749">
        <v>0</v>
      </c>
      <c r="H2566" s="749"/>
      <c r="I2566" s="733"/>
      <c r="J2566" s="733"/>
      <c r="K2566" s="735">
        <v>0</v>
      </c>
      <c r="L2566" s="750">
        <v>0</v>
      </c>
    </row>
    <row r="2567" spans="1:12" x14ac:dyDescent="0.25">
      <c r="A2567" s="561" t="s">
        <v>117</v>
      </c>
      <c r="B2567" s="749">
        <v>2023</v>
      </c>
      <c r="C2567" s="561" t="s">
        <v>677</v>
      </c>
      <c r="D2567" s="561" t="s">
        <v>2636</v>
      </c>
      <c r="E2567" s="561" t="s">
        <v>23</v>
      </c>
      <c r="F2567" s="735">
        <v>1690189.06</v>
      </c>
      <c r="G2567" s="749">
        <v>1</v>
      </c>
      <c r="H2567" s="749"/>
      <c r="I2567" s="735">
        <v>1654043.18</v>
      </c>
      <c r="J2567" s="735">
        <v>36145.879999999997</v>
      </c>
      <c r="K2567" s="735">
        <v>1690189.06</v>
      </c>
      <c r="L2567" s="750">
        <v>1690189.06</v>
      </c>
    </row>
    <row r="2568" spans="1:12" ht="21" x14ac:dyDescent="0.25">
      <c r="A2568" s="561" t="s">
        <v>117</v>
      </c>
      <c r="B2568" s="749">
        <v>2023</v>
      </c>
      <c r="C2568" s="561" t="s">
        <v>679</v>
      </c>
      <c r="D2568" s="561" t="s">
        <v>2637</v>
      </c>
      <c r="E2568" s="561" t="s">
        <v>131</v>
      </c>
      <c r="F2568" s="735">
        <v>-2621842.42</v>
      </c>
      <c r="G2568" s="749">
        <v>1</v>
      </c>
      <c r="H2568" s="749"/>
      <c r="I2568" s="735">
        <v>-2596467.87</v>
      </c>
      <c r="J2568" s="735">
        <v>-25374.55</v>
      </c>
      <c r="K2568" s="735">
        <v>-2621842.42</v>
      </c>
      <c r="L2568" s="750">
        <v>-2621842.42</v>
      </c>
    </row>
    <row r="2569" spans="1:12" ht="31.5" x14ac:dyDescent="0.25">
      <c r="A2569" s="561" t="s">
        <v>117</v>
      </c>
      <c r="B2569" s="749">
        <v>2023</v>
      </c>
      <c r="C2569" s="561" t="s">
        <v>681</v>
      </c>
      <c r="D2569" s="561" t="s">
        <v>2638</v>
      </c>
      <c r="E2569" s="561" t="s">
        <v>683</v>
      </c>
      <c r="F2569" s="735">
        <v>0</v>
      </c>
      <c r="G2569" s="749">
        <v>0</v>
      </c>
      <c r="H2569" s="749"/>
      <c r="I2569" s="733"/>
      <c r="J2569" s="733"/>
      <c r="K2569" s="735">
        <v>0</v>
      </c>
      <c r="L2569" s="750">
        <v>0</v>
      </c>
    </row>
    <row r="2570" spans="1:12" ht="21" x14ac:dyDescent="0.25">
      <c r="A2570" s="561" t="s">
        <v>117</v>
      </c>
      <c r="B2570" s="749">
        <v>2023</v>
      </c>
      <c r="C2570" s="561" t="s">
        <v>681</v>
      </c>
      <c r="D2570" s="561" t="s">
        <v>2638</v>
      </c>
      <c r="E2570" s="561" t="s">
        <v>684</v>
      </c>
      <c r="F2570" s="735">
        <v>0</v>
      </c>
      <c r="G2570" s="749">
        <v>0</v>
      </c>
      <c r="H2570" s="749"/>
      <c r="I2570" s="733"/>
      <c r="J2570" s="733"/>
      <c r="K2570" s="735">
        <v>0</v>
      </c>
      <c r="L2570" s="751">
        <v>0</v>
      </c>
    </row>
    <row r="2571" spans="1:12" x14ac:dyDescent="0.25">
      <c r="A2571" s="561" t="s">
        <v>117</v>
      </c>
      <c r="B2571" s="749">
        <v>2023</v>
      </c>
      <c r="C2571" s="561" t="s">
        <v>685</v>
      </c>
      <c r="D2571" s="561" t="s">
        <v>2639</v>
      </c>
      <c r="E2571" s="561" t="s">
        <v>687</v>
      </c>
      <c r="F2571" s="735">
        <v>0</v>
      </c>
      <c r="G2571" s="749">
        <v>0</v>
      </c>
      <c r="H2571" s="749"/>
      <c r="I2571" s="733"/>
      <c r="J2571" s="733"/>
      <c r="K2571" s="735">
        <v>0</v>
      </c>
      <c r="L2571" s="750">
        <v>0</v>
      </c>
    </row>
    <row r="2572" spans="1:12" x14ac:dyDescent="0.25">
      <c r="A2572" s="561" t="s">
        <v>117</v>
      </c>
      <c r="B2572" s="749">
        <v>2023</v>
      </c>
      <c r="C2572" s="561" t="s">
        <v>688</v>
      </c>
      <c r="D2572" s="561" t="s">
        <v>2640</v>
      </c>
      <c r="E2572" s="561" t="s">
        <v>50</v>
      </c>
      <c r="F2572" s="735">
        <v>0</v>
      </c>
      <c r="G2572" s="749">
        <v>0</v>
      </c>
      <c r="H2572" s="749"/>
      <c r="I2572" s="733"/>
      <c r="J2572" s="733"/>
      <c r="K2572" s="735">
        <v>0</v>
      </c>
      <c r="L2572" s="750">
        <v>0</v>
      </c>
    </row>
    <row r="2573" spans="1:12" x14ac:dyDescent="0.25">
      <c r="A2573" s="561" t="s">
        <v>117</v>
      </c>
      <c r="B2573" s="749">
        <v>2023</v>
      </c>
      <c r="C2573" s="561" t="s">
        <v>690</v>
      </c>
      <c r="D2573" s="561" t="s">
        <v>2641</v>
      </c>
      <c r="E2573" s="561" t="s">
        <v>692</v>
      </c>
      <c r="F2573" s="735">
        <v>0</v>
      </c>
      <c r="G2573" s="749">
        <v>0</v>
      </c>
      <c r="H2573" s="749"/>
      <c r="I2573" s="733"/>
      <c r="J2573" s="733"/>
      <c r="K2573" s="735">
        <v>0</v>
      </c>
      <c r="L2573" s="750">
        <v>0</v>
      </c>
    </row>
    <row r="2574" spans="1:12" ht="21" x14ac:dyDescent="0.25">
      <c r="A2574" s="561" t="s">
        <v>117</v>
      </c>
      <c r="B2574" s="749">
        <v>2023</v>
      </c>
      <c r="C2574" s="561" t="s">
        <v>693</v>
      </c>
      <c r="D2574" s="561" t="s">
        <v>2642</v>
      </c>
      <c r="E2574" s="561" t="s">
        <v>6</v>
      </c>
      <c r="F2574" s="735">
        <v>0</v>
      </c>
      <c r="G2574" s="749">
        <v>0</v>
      </c>
      <c r="H2574" s="749"/>
      <c r="I2574" s="733"/>
      <c r="J2574" s="733"/>
      <c r="K2574" s="735">
        <v>0</v>
      </c>
      <c r="L2574" s="750">
        <v>0</v>
      </c>
    </row>
    <row r="2575" spans="1:12" ht="21" x14ac:dyDescent="0.25">
      <c r="A2575" s="561" t="s">
        <v>117</v>
      </c>
      <c r="B2575" s="749">
        <v>2023</v>
      </c>
      <c r="C2575" s="561" t="s">
        <v>695</v>
      </c>
      <c r="D2575" s="561" t="s">
        <v>2643</v>
      </c>
      <c r="E2575" s="561" t="s">
        <v>697</v>
      </c>
      <c r="F2575" s="735">
        <v>-151852.53</v>
      </c>
      <c r="G2575" s="749">
        <v>0</v>
      </c>
      <c r="H2575" s="749"/>
      <c r="I2575" s="733"/>
      <c r="J2575" s="733"/>
      <c r="K2575" s="735">
        <v>0</v>
      </c>
      <c r="L2575" s="750">
        <v>-151852.53</v>
      </c>
    </row>
    <row r="2576" spans="1:12" x14ac:dyDescent="0.25">
      <c r="A2576" s="561" t="s">
        <v>117</v>
      </c>
      <c r="B2576" s="749">
        <v>2023</v>
      </c>
      <c r="C2576" s="561" t="s">
        <v>698</v>
      </c>
      <c r="D2576" s="561" t="s">
        <v>2644</v>
      </c>
      <c r="E2576" s="561" t="s">
        <v>700</v>
      </c>
      <c r="F2576" s="735">
        <v>0</v>
      </c>
      <c r="G2576" s="749">
        <v>0</v>
      </c>
      <c r="H2576" s="749"/>
      <c r="I2576" s="733"/>
      <c r="J2576" s="733"/>
      <c r="K2576" s="735">
        <v>0</v>
      </c>
      <c r="L2576" s="750">
        <v>0</v>
      </c>
    </row>
    <row r="2577" spans="1:12" ht="21" x14ac:dyDescent="0.25">
      <c r="A2577" s="561" t="s">
        <v>117</v>
      </c>
      <c r="B2577" s="749">
        <v>2023</v>
      </c>
      <c r="C2577" s="561" t="s">
        <v>701</v>
      </c>
      <c r="D2577" s="561" t="s">
        <v>2645</v>
      </c>
      <c r="E2577" s="561" t="s">
        <v>1</v>
      </c>
      <c r="F2577" s="735">
        <v>55862594.130000003</v>
      </c>
      <c r="G2577" s="749">
        <v>1</v>
      </c>
      <c r="H2577" s="749"/>
      <c r="I2577" s="735">
        <v>55065649.530000001</v>
      </c>
      <c r="J2577" s="735">
        <v>796944.6</v>
      </c>
      <c r="K2577" s="735">
        <v>55862594.130000003</v>
      </c>
      <c r="L2577" s="750">
        <v>55862594.130000003</v>
      </c>
    </row>
    <row r="2578" spans="1:12" ht="21" x14ac:dyDescent="0.25">
      <c r="A2578" s="561" t="s">
        <v>117</v>
      </c>
      <c r="B2578" s="749">
        <v>2023</v>
      </c>
      <c r="C2578" s="561" t="s">
        <v>701</v>
      </c>
      <c r="D2578" s="561" t="s">
        <v>2645</v>
      </c>
      <c r="E2578" s="561" t="s">
        <v>703</v>
      </c>
      <c r="F2578" s="735">
        <v>0</v>
      </c>
      <c r="G2578" s="749">
        <v>0</v>
      </c>
      <c r="H2578" s="749"/>
      <c r="I2578" s="733"/>
      <c r="J2578" s="733"/>
      <c r="K2578" s="735">
        <v>0</v>
      </c>
      <c r="L2578" s="751">
        <v>0</v>
      </c>
    </row>
    <row r="2579" spans="1:12" ht="21" x14ac:dyDescent="0.25">
      <c r="A2579" s="561" t="s">
        <v>117</v>
      </c>
      <c r="B2579" s="749">
        <v>2023</v>
      </c>
      <c r="C2579" s="561" t="s">
        <v>701</v>
      </c>
      <c r="D2579" s="561" t="s">
        <v>2645</v>
      </c>
      <c r="E2579" s="561" t="s">
        <v>704</v>
      </c>
      <c r="F2579" s="735">
        <v>0</v>
      </c>
      <c r="G2579" s="749">
        <v>0</v>
      </c>
      <c r="H2579" s="749"/>
      <c r="I2579" s="733"/>
      <c r="J2579" s="733"/>
      <c r="K2579" s="735">
        <v>0</v>
      </c>
      <c r="L2579" s="751">
        <v>0</v>
      </c>
    </row>
    <row r="2580" spans="1:12" ht="21" x14ac:dyDescent="0.25">
      <c r="A2580" s="561" t="s">
        <v>117</v>
      </c>
      <c r="B2580" s="749">
        <v>2023</v>
      </c>
      <c r="C2580" s="561" t="s">
        <v>701</v>
      </c>
      <c r="D2580" s="561" t="s">
        <v>2645</v>
      </c>
      <c r="E2580" s="561" t="s">
        <v>705</v>
      </c>
      <c r="F2580" s="735">
        <v>0</v>
      </c>
      <c r="G2580" s="749">
        <v>0</v>
      </c>
      <c r="H2580" s="749"/>
      <c r="I2580" s="733"/>
      <c r="J2580" s="733"/>
      <c r="K2580" s="735">
        <v>0</v>
      </c>
      <c r="L2580" s="751">
        <v>-14086.78</v>
      </c>
    </row>
    <row r="2581" spans="1:12" ht="21" x14ac:dyDescent="0.25">
      <c r="A2581" s="561" t="s">
        <v>117</v>
      </c>
      <c r="B2581" s="749">
        <v>2023</v>
      </c>
      <c r="C2581" s="561" t="s">
        <v>701</v>
      </c>
      <c r="D2581" s="561" t="s">
        <v>2645</v>
      </c>
      <c r="E2581" s="561" t="s">
        <v>706</v>
      </c>
      <c r="F2581" s="735">
        <v>0</v>
      </c>
      <c r="G2581" s="749">
        <v>0</v>
      </c>
      <c r="H2581" s="749"/>
      <c r="I2581" s="733"/>
      <c r="J2581" s="733"/>
      <c r="K2581" s="735">
        <v>0</v>
      </c>
      <c r="L2581" s="751">
        <v>-4685212.6500000004</v>
      </c>
    </row>
    <row r="2582" spans="1:12" x14ac:dyDescent="0.25">
      <c r="A2582" s="561" t="s">
        <v>117</v>
      </c>
      <c r="B2582" s="749">
        <v>2023</v>
      </c>
      <c r="C2582" s="561" t="s">
        <v>707</v>
      </c>
      <c r="D2582" s="561" t="s">
        <v>2646</v>
      </c>
      <c r="E2582" s="561" t="s">
        <v>709</v>
      </c>
      <c r="F2582" s="735">
        <v>0</v>
      </c>
      <c r="G2582" s="749">
        <v>0</v>
      </c>
      <c r="H2582" s="749"/>
      <c r="I2582" s="733"/>
      <c r="J2582" s="733"/>
      <c r="K2582" s="735">
        <v>0</v>
      </c>
      <c r="L2582" s="750">
        <v>0</v>
      </c>
    </row>
    <row r="2583" spans="1:12" ht="21" x14ac:dyDescent="0.25">
      <c r="A2583" s="561" t="s">
        <v>117</v>
      </c>
      <c r="B2583" s="749">
        <v>2023</v>
      </c>
      <c r="C2583" s="561" t="s">
        <v>710</v>
      </c>
      <c r="D2583" s="561" t="s">
        <v>2647</v>
      </c>
      <c r="E2583" s="561" t="s">
        <v>2</v>
      </c>
      <c r="F2583" s="735">
        <v>87498088.310000002</v>
      </c>
      <c r="G2583" s="749">
        <v>1</v>
      </c>
      <c r="H2583" s="749"/>
      <c r="I2583" s="735">
        <v>85951089.310000002</v>
      </c>
      <c r="J2583" s="735">
        <v>1546999</v>
      </c>
      <c r="K2583" s="735">
        <v>87498088.310000002</v>
      </c>
      <c r="L2583" s="750">
        <v>87498088.310000002</v>
      </c>
    </row>
    <row r="2584" spans="1:12" ht="21" x14ac:dyDescent="0.25">
      <c r="A2584" s="561" t="s">
        <v>117</v>
      </c>
      <c r="B2584" s="749">
        <v>2023</v>
      </c>
      <c r="C2584" s="561" t="s">
        <v>712</v>
      </c>
      <c r="D2584" s="561" t="s">
        <v>2648</v>
      </c>
      <c r="E2584" s="561" t="s">
        <v>3</v>
      </c>
      <c r="F2584" s="735">
        <v>18847895.670000002</v>
      </c>
      <c r="G2584" s="749">
        <v>1</v>
      </c>
      <c r="H2584" s="749"/>
      <c r="I2584" s="735">
        <v>18644854.190000001</v>
      </c>
      <c r="J2584" s="735">
        <v>203041.48</v>
      </c>
      <c r="K2584" s="735">
        <v>18847895.670000002</v>
      </c>
      <c r="L2584" s="750">
        <v>18847895.670000002</v>
      </c>
    </row>
    <row r="2585" spans="1:12" ht="21" x14ac:dyDescent="0.25">
      <c r="A2585" s="561" t="s">
        <v>117</v>
      </c>
      <c r="B2585" s="749">
        <v>2023</v>
      </c>
      <c r="C2585" s="561" t="s">
        <v>714</v>
      </c>
      <c r="D2585" s="561" t="s">
        <v>2649</v>
      </c>
      <c r="E2585" s="561" t="s">
        <v>38</v>
      </c>
      <c r="F2585" s="735">
        <v>24695994.93</v>
      </c>
      <c r="G2585" s="749">
        <v>1</v>
      </c>
      <c r="H2585" s="749"/>
      <c r="I2585" s="735">
        <v>24245182.890000001</v>
      </c>
      <c r="J2585" s="735">
        <v>450812.04</v>
      </c>
      <c r="K2585" s="735">
        <v>24695994.93</v>
      </c>
      <c r="L2585" s="750">
        <v>24695994.93</v>
      </c>
    </row>
    <row r="2586" spans="1:12" x14ac:dyDescent="0.25">
      <c r="A2586" s="561" t="s">
        <v>117</v>
      </c>
      <c r="B2586" s="749">
        <v>2023</v>
      </c>
      <c r="C2586" s="561" t="s">
        <v>716</v>
      </c>
      <c r="D2586" s="561" t="s">
        <v>2650</v>
      </c>
      <c r="E2586" s="561" t="s">
        <v>66</v>
      </c>
      <c r="F2586" s="735">
        <v>-20256821.68</v>
      </c>
      <c r="G2586" s="749">
        <v>1</v>
      </c>
      <c r="H2586" s="749"/>
      <c r="I2586" s="735">
        <v>-20004148.52</v>
      </c>
      <c r="J2586" s="735">
        <v>-252673.16</v>
      </c>
      <c r="K2586" s="735">
        <v>-20256821.68</v>
      </c>
      <c r="L2586" s="750">
        <v>-20256821.68</v>
      </c>
    </row>
    <row r="2587" spans="1:12" ht="21" x14ac:dyDescent="0.25">
      <c r="A2587" s="561" t="s">
        <v>117</v>
      </c>
      <c r="B2587" s="749">
        <v>2023</v>
      </c>
      <c r="C2587" s="561" t="s">
        <v>718</v>
      </c>
      <c r="D2587" s="561" t="s">
        <v>2651</v>
      </c>
      <c r="E2587" s="561" t="s">
        <v>720</v>
      </c>
      <c r="F2587" s="735">
        <v>-12023112.869999999</v>
      </c>
      <c r="G2587" s="749">
        <v>0</v>
      </c>
      <c r="H2587" s="749"/>
      <c r="I2587" s="733"/>
      <c r="J2587" s="733"/>
      <c r="K2587" s="735">
        <v>0</v>
      </c>
      <c r="L2587" s="751">
        <v>-1081632</v>
      </c>
    </row>
    <row r="2588" spans="1:12" ht="31.5" x14ac:dyDescent="0.25">
      <c r="A2588" s="561" t="s">
        <v>117</v>
      </c>
      <c r="B2588" s="749">
        <v>2023</v>
      </c>
      <c r="C2588" s="561" t="s">
        <v>721</v>
      </c>
      <c r="D2588" s="561" t="s">
        <v>2653</v>
      </c>
      <c r="E2588" s="561" t="s">
        <v>724</v>
      </c>
      <c r="F2588" s="735">
        <v>0</v>
      </c>
      <c r="G2588" s="749">
        <v>1</v>
      </c>
      <c r="H2588" s="749"/>
      <c r="I2588" s="733"/>
      <c r="J2588" s="733"/>
      <c r="K2588" s="735">
        <v>0</v>
      </c>
      <c r="L2588" s="750">
        <v>0</v>
      </c>
    </row>
    <row r="2589" spans="1:12" ht="31.5" x14ac:dyDescent="0.25">
      <c r="A2589" s="561" t="s">
        <v>117</v>
      </c>
      <c r="B2589" s="749">
        <v>2023</v>
      </c>
      <c r="C2589" s="561" t="s">
        <v>721</v>
      </c>
      <c r="D2589" s="561" t="s">
        <v>2654</v>
      </c>
      <c r="E2589" s="561" t="s">
        <v>55</v>
      </c>
      <c r="F2589" s="735">
        <v>0</v>
      </c>
      <c r="G2589" s="749">
        <v>1</v>
      </c>
      <c r="H2589" s="749"/>
      <c r="I2589" s="733"/>
      <c r="J2589" s="733"/>
      <c r="K2589" s="735">
        <v>0</v>
      </c>
      <c r="L2589" s="750">
        <v>0</v>
      </c>
    </row>
    <row r="2590" spans="1:12" ht="31.5" x14ac:dyDescent="0.25">
      <c r="A2590" s="561" t="s">
        <v>117</v>
      </c>
      <c r="B2590" s="749">
        <v>2023</v>
      </c>
      <c r="C2590" s="561" t="s">
        <v>721</v>
      </c>
      <c r="D2590" s="561" t="s">
        <v>2655</v>
      </c>
      <c r="E2590" s="561" t="s">
        <v>56</v>
      </c>
      <c r="F2590" s="735">
        <v>0</v>
      </c>
      <c r="G2590" s="749">
        <v>1</v>
      </c>
      <c r="H2590" s="749"/>
      <c r="I2590" s="733"/>
      <c r="J2590" s="733"/>
      <c r="K2590" s="735">
        <v>0</v>
      </c>
      <c r="L2590" s="750">
        <v>0</v>
      </c>
    </row>
    <row r="2591" spans="1:12" ht="31.5" x14ac:dyDescent="0.25">
      <c r="A2591" s="561" t="s">
        <v>117</v>
      </c>
      <c r="B2591" s="749">
        <v>2023</v>
      </c>
      <c r="C2591" s="561" t="s">
        <v>721</v>
      </c>
      <c r="D2591" s="561" t="s">
        <v>2656</v>
      </c>
      <c r="E2591" s="561" t="s">
        <v>728</v>
      </c>
      <c r="F2591" s="735">
        <v>0</v>
      </c>
      <c r="G2591" s="749">
        <v>1</v>
      </c>
      <c r="H2591" s="749"/>
      <c r="I2591" s="733"/>
      <c r="J2591" s="733"/>
      <c r="K2591" s="735">
        <v>0</v>
      </c>
      <c r="L2591" s="750">
        <v>0</v>
      </c>
    </row>
    <row r="2592" spans="1:12" ht="31.5" x14ac:dyDescent="0.25">
      <c r="A2592" s="561" t="s">
        <v>117</v>
      </c>
      <c r="B2592" s="749">
        <v>2023</v>
      </c>
      <c r="C2592" s="561" t="s">
        <v>721</v>
      </c>
      <c r="D2592" s="561" t="s">
        <v>2657</v>
      </c>
      <c r="E2592" s="561" t="s">
        <v>730</v>
      </c>
      <c r="F2592" s="735">
        <v>0</v>
      </c>
      <c r="G2592" s="749">
        <v>1</v>
      </c>
      <c r="H2592" s="749"/>
      <c r="I2592" s="733"/>
      <c r="J2592" s="733"/>
      <c r="K2592" s="735">
        <v>0</v>
      </c>
      <c r="L2592" s="750">
        <v>0</v>
      </c>
    </row>
    <row r="2593" spans="1:12" ht="31.5" x14ac:dyDescent="0.25">
      <c r="A2593" s="561" t="s">
        <v>117</v>
      </c>
      <c r="B2593" s="749">
        <v>2023</v>
      </c>
      <c r="C2593" s="561" t="s">
        <v>721</v>
      </c>
      <c r="D2593" s="561" t="s">
        <v>2658</v>
      </c>
      <c r="E2593" s="561" t="s">
        <v>142</v>
      </c>
      <c r="F2593" s="735">
        <v>0</v>
      </c>
      <c r="G2593" s="749">
        <v>1</v>
      </c>
      <c r="H2593" s="749"/>
      <c r="I2593" s="733"/>
      <c r="J2593" s="733"/>
      <c r="K2593" s="735">
        <v>0</v>
      </c>
      <c r="L2593" s="750">
        <v>0</v>
      </c>
    </row>
    <row r="2594" spans="1:12" ht="31.5" x14ac:dyDescent="0.25">
      <c r="A2594" s="561" t="s">
        <v>117</v>
      </c>
      <c r="B2594" s="749">
        <v>2023</v>
      </c>
      <c r="C2594" s="561" t="s">
        <v>721</v>
      </c>
      <c r="D2594" s="561" t="s">
        <v>2659</v>
      </c>
      <c r="E2594" s="561" t="s">
        <v>143</v>
      </c>
      <c r="F2594" s="735">
        <v>0</v>
      </c>
      <c r="G2594" s="749">
        <v>1</v>
      </c>
      <c r="H2594" s="749"/>
      <c r="I2594" s="733"/>
      <c r="J2594" s="733"/>
      <c r="K2594" s="735">
        <v>0</v>
      </c>
      <c r="L2594" s="750">
        <v>0</v>
      </c>
    </row>
    <row r="2595" spans="1:12" ht="31.5" x14ac:dyDescent="0.25">
      <c r="A2595" s="561" t="s">
        <v>117</v>
      </c>
      <c r="B2595" s="749">
        <v>2023</v>
      </c>
      <c r="C2595" s="561" t="s">
        <v>721</v>
      </c>
      <c r="D2595" s="561" t="s">
        <v>2660</v>
      </c>
      <c r="E2595" s="561" t="s">
        <v>182</v>
      </c>
      <c r="F2595" s="735">
        <v>0</v>
      </c>
      <c r="G2595" s="749">
        <v>1</v>
      </c>
      <c r="H2595" s="749"/>
      <c r="I2595" s="735">
        <v>0</v>
      </c>
      <c r="J2595" s="735">
        <v>0</v>
      </c>
      <c r="K2595" s="735">
        <v>0</v>
      </c>
      <c r="L2595" s="750">
        <v>0</v>
      </c>
    </row>
    <row r="2596" spans="1:12" ht="31.5" x14ac:dyDescent="0.25">
      <c r="A2596" s="561" t="s">
        <v>117</v>
      </c>
      <c r="B2596" s="749">
        <v>2023</v>
      </c>
      <c r="C2596" s="561" t="s">
        <v>721</v>
      </c>
      <c r="D2596" s="561" t="s">
        <v>2661</v>
      </c>
      <c r="E2596" s="561" t="s">
        <v>394</v>
      </c>
      <c r="F2596" s="735">
        <v>0</v>
      </c>
      <c r="G2596" s="749">
        <v>1</v>
      </c>
      <c r="H2596" s="749"/>
      <c r="I2596" s="735">
        <v>1312467.6299999999</v>
      </c>
      <c r="J2596" s="735">
        <v>-470836.9</v>
      </c>
      <c r="K2596" s="735">
        <v>841630.73</v>
      </c>
      <c r="L2596" s="750">
        <v>841630.73</v>
      </c>
    </row>
    <row r="2597" spans="1:12" ht="31.5" x14ac:dyDescent="0.25">
      <c r="A2597" s="561" t="s">
        <v>117</v>
      </c>
      <c r="B2597" s="749">
        <v>2023</v>
      </c>
      <c r="C2597" s="561" t="s">
        <v>721</v>
      </c>
      <c r="D2597" s="561" t="s">
        <v>2662</v>
      </c>
      <c r="E2597" s="561" t="s">
        <v>423</v>
      </c>
      <c r="F2597" s="735">
        <v>0</v>
      </c>
      <c r="G2597" s="749">
        <v>1</v>
      </c>
      <c r="H2597" s="749"/>
      <c r="I2597" s="735">
        <v>0</v>
      </c>
      <c r="J2597" s="735">
        <v>0</v>
      </c>
      <c r="K2597" s="735">
        <v>0</v>
      </c>
      <c r="L2597" s="750">
        <v>0</v>
      </c>
    </row>
    <row r="2598" spans="1:12" ht="31.5" x14ac:dyDescent="0.25">
      <c r="A2598" s="561" t="s">
        <v>117</v>
      </c>
      <c r="B2598" s="749">
        <v>2023</v>
      </c>
      <c r="C2598" s="561" t="s">
        <v>721</v>
      </c>
      <c r="D2598" s="561" t="s">
        <v>3329</v>
      </c>
      <c r="E2598" s="561" t="s">
        <v>441</v>
      </c>
      <c r="F2598" s="735">
        <v>0</v>
      </c>
      <c r="G2598" s="749">
        <v>1</v>
      </c>
      <c r="H2598" s="749"/>
      <c r="I2598" s="735">
        <v>-118113.86</v>
      </c>
      <c r="J2598" s="735">
        <v>-790097.74</v>
      </c>
      <c r="K2598" s="735">
        <v>-908211.6</v>
      </c>
      <c r="L2598" s="750">
        <v>-908211.6</v>
      </c>
    </row>
    <row r="2599" spans="1:12" ht="31.5" x14ac:dyDescent="0.25">
      <c r="A2599" s="561" t="s">
        <v>117</v>
      </c>
      <c r="B2599" s="749">
        <v>2023</v>
      </c>
      <c r="C2599" s="561" t="s">
        <v>721</v>
      </c>
      <c r="D2599" s="561" t="s">
        <v>3606</v>
      </c>
      <c r="E2599" s="561" t="s">
        <v>3016</v>
      </c>
      <c r="F2599" s="735">
        <v>0</v>
      </c>
      <c r="G2599" s="749">
        <v>1</v>
      </c>
      <c r="H2599" s="749"/>
      <c r="I2599" s="735">
        <v>-543382.56999999995</v>
      </c>
      <c r="J2599" s="735">
        <v>-91570.99</v>
      </c>
      <c r="K2599" s="735">
        <v>-634953.56000000006</v>
      </c>
      <c r="L2599" s="750">
        <v>-634953.56000000006</v>
      </c>
    </row>
    <row r="2600" spans="1:12" ht="31.5" x14ac:dyDescent="0.25">
      <c r="A2600" s="561" t="s">
        <v>117</v>
      </c>
      <c r="B2600" s="749">
        <v>2023</v>
      </c>
      <c r="C2600" s="561" t="s">
        <v>721</v>
      </c>
      <c r="D2600" s="561" t="s">
        <v>3607</v>
      </c>
      <c r="E2600" s="561" t="s">
        <v>3058</v>
      </c>
      <c r="F2600" s="735">
        <v>0</v>
      </c>
      <c r="G2600" s="749">
        <v>1</v>
      </c>
      <c r="H2600" s="749"/>
      <c r="I2600" s="735">
        <v>-664260.77</v>
      </c>
      <c r="J2600" s="735">
        <v>-553918.71999999997</v>
      </c>
      <c r="K2600" s="735">
        <v>-1218179.49</v>
      </c>
      <c r="L2600" s="750">
        <v>-1218179.49</v>
      </c>
    </row>
    <row r="2601" spans="1:12" ht="31.5" x14ac:dyDescent="0.25">
      <c r="A2601" s="561" t="s">
        <v>117</v>
      </c>
      <c r="B2601" s="749">
        <v>2023</v>
      </c>
      <c r="C2601" s="561" t="s">
        <v>721</v>
      </c>
      <c r="D2601" s="561" t="s">
        <v>3608</v>
      </c>
      <c r="E2601" s="561" t="s">
        <v>3063</v>
      </c>
      <c r="F2601" s="735">
        <v>0</v>
      </c>
      <c r="G2601" s="749">
        <v>1</v>
      </c>
      <c r="H2601" s="749"/>
      <c r="I2601" s="735">
        <v>-5079995.7300000004</v>
      </c>
      <c r="J2601" s="735">
        <v>102965.78</v>
      </c>
      <c r="K2601" s="735">
        <v>-4977029.95</v>
      </c>
      <c r="L2601" s="750">
        <v>-4977029.95</v>
      </c>
    </row>
    <row r="2602" spans="1:12" ht="31.5" x14ac:dyDescent="0.25">
      <c r="A2602" s="561" t="s">
        <v>117</v>
      </c>
      <c r="B2602" s="749">
        <v>2023</v>
      </c>
      <c r="C2602" s="561" t="s">
        <v>721</v>
      </c>
      <c r="D2602" s="561" t="s">
        <v>3924</v>
      </c>
      <c r="E2602" s="561" t="s">
        <v>3425</v>
      </c>
      <c r="F2602" s="735">
        <v>0</v>
      </c>
      <c r="G2602" s="749">
        <v>1</v>
      </c>
      <c r="H2602" s="749"/>
      <c r="I2602" s="735">
        <v>-2247388.5699999998</v>
      </c>
      <c r="J2602" s="735">
        <v>-220011.79</v>
      </c>
      <c r="K2602" s="735">
        <v>-2467400.36</v>
      </c>
      <c r="L2602" s="750">
        <v>-2467400.36</v>
      </c>
    </row>
    <row r="2603" spans="1:12" ht="42" x14ac:dyDescent="0.25">
      <c r="A2603" s="561" t="s">
        <v>117</v>
      </c>
      <c r="B2603" s="749">
        <v>2023</v>
      </c>
      <c r="C2603" s="561" t="s">
        <v>721</v>
      </c>
      <c r="D2603" s="561" t="s">
        <v>3925</v>
      </c>
      <c r="E2603" s="561" t="s">
        <v>737</v>
      </c>
      <c r="F2603" s="735">
        <v>-9364144.2300000004</v>
      </c>
      <c r="G2603" s="749">
        <v>0</v>
      </c>
      <c r="H2603" s="749"/>
      <c r="I2603" s="733"/>
      <c r="J2603" s="733"/>
      <c r="K2603" s="735">
        <v>0</v>
      </c>
      <c r="L2603" s="750">
        <v>-9364144.2300000004</v>
      </c>
    </row>
    <row r="2604" spans="1:12" x14ac:dyDescent="0.25">
      <c r="A2604" s="561" t="s">
        <v>117</v>
      </c>
      <c r="B2604" s="749">
        <v>2023</v>
      </c>
      <c r="C2604" s="561" t="s">
        <v>738</v>
      </c>
      <c r="D2604" s="561" t="s">
        <v>2664</v>
      </c>
      <c r="E2604" s="561" t="s">
        <v>7</v>
      </c>
      <c r="F2604" s="735">
        <v>0</v>
      </c>
      <c r="G2604" s="749">
        <v>0</v>
      </c>
      <c r="H2604" s="749"/>
      <c r="I2604" s="733"/>
      <c r="J2604" s="733"/>
      <c r="K2604" s="735">
        <v>0</v>
      </c>
      <c r="L2604" s="750">
        <v>0</v>
      </c>
    </row>
    <row r="2605" spans="1:12" x14ac:dyDescent="0.25">
      <c r="A2605" s="561" t="s">
        <v>118</v>
      </c>
      <c r="B2605" s="749">
        <v>2023</v>
      </c>
      <c r="C2605" s="561" t="s">
        <v>647</v>
      </c>
      <c r="D2605" s="561" t="s">
        <v>2665</v>
      </c>
      <c r="E2605" s="561" t="s">
        <v>649</v>
      </c>
      <c r="F2605" s="735">
        <v>-244907.92</v>
      </c>
      <c r="G2605" s="749">
        <v>0</v>
      </c>
      <c r="H2605" s="749"/>
      <c r="I2605" s="733"/>
      <c r="J2605" s="733"/>
      <c r="K2605" s="735">
        <v>0</v>
      </c>
      <c r="L2605" s="750">
        <v>-244907.92</v>
      </c>
    </row>
    <row r="2606" spans="1:12" ht="21" x14ac:dyDescent="0.25">
      <c r="A2606" s="561" t="s">
        <v>118</v>
      </c>
      <c r="B2606" s="749">
        <v>2023</v>
      </c>
      <c r="C2606" s="561" t="s">
        <v>3691</v>
      </c>
      <c r="D2606" s="561" t="s">
        <v>3671</v>
      </c>
      <c r="E2606" s="561" t="s">
        <v>3675</v>
      </c>
      <c r="F2606" s="735">
        <v>-1718.83</v>
      </c>
      <c r="G2606" s="749">
        <v>0</v>
      </c>
      <c r="H2606" s="749"/>
      <c r="I2606" s="733"/>
      <c r="J2606" s="733"/>
      <c r="K2606" s="735">
        <v>0</v>
      </c>
      <c r="L2606" s="750">
        <v>-1718.83</v>
      </c>
    </row>
    <row r="2607" spans="1:12" x14ac:dyDescent="0.25">
      <c r="A2607" s="561" t="s">
        <v>118</v>
      </c>
      <c r="B2607" s="749">
        <v>2023</v>
      </c>
      <c r="C2607" s="561" t="s">
        <v>651</v>
      </c>
      <c r="D2607" s="561" t="s">
        <v>2666</v>
      </c>
      <c r="E2607" s="561" t="s">
        <v>653</v>
      </c>
      <c r="F2607" s="735">
        <v>0</v>
      </c>
      <c r="G2607" s="749">
        <v>0</v>
      </c>
      <c r="H2607" s="749"/>
      <c r="I2607" s="733"/>
      <c r="J2607" s="733"/>
      <c r="K2607" s="735">
        <v>0</v>
      </c>
      <c r="L2607" s="750">
        <v>0</v>
      </c>
    </row>
    <row r="2608" spans="1:12" ht="31.5" x14ac:dyDescent="0.25">
      <c r="A2608" s="561" t="s">
        <v>118</v>
      </c>
      <c r="B2608" s="749">
        <v>2023</v>
      </c>
      <c r="C2608" s="561" t="s">
        <v>654</v>
      </c>
      <c r="D2608" s="561" t="s">
        <v>2667</v>
      </c>
      <c r="E2608" s="561" t="s">
        <v>445</v>
      </c>
      <c r="F2608" s="735">
        <v>0</v>
      </c>
      <c r="G2608" s="749">
        <v>0</v>
      </c>
      <c r="H2608" s="749"/>
      <c r="I2608" s="733"/>
      <c r="J2608" s="733"/>
      <c r="K2608" s="735">
        <v>0</v>
      </c>
      <c r="L2608" s="750">
        <v>0</v>
      </c>
    </row>
    <row r="2609" spans="1:12" ht="21" x14ac:dyDescent="0.25">
      <c r="A2609" s="561" t="s">
        <v>118</v>
      </c>
      <c r="B2609" s="749">
        <v>2023</v>
      </c>
      <c r="C2609" s="561" t="s">
        <v>656</v>
      </c>
      <c r="D2609" s="561" t="s">
        <v>2668</v>
      </c>
      <c r="E2609" s="561" t="s">
        <v>658</v>
      </c>
      <c r="F2609" s="735">
        <v>0</v>
      </c>
      <c r="G2609" s="749">
        <v>0</v>
      </c>
      <c r="H2609" s="749"/>
      <c r="I2609" s="733"/>
      <c r="J2609" s="733"/>
      <c r="K2609" s="735">
        <v>0</v>
      </c>
      <c r="L2609" s="750">
        <v>0</v>
      </c>
    </row>
    <row r="2610" spans="1:12" ht="21" x14ac:dyDescent="0.25">
      <c r="A2610" s="561" t="s">
        <v>118</v>
      </c>
      <c r="B2610" s="749">
        <v>2023</v>
      </c>
      <c r="C2610" s="561" t="s">
        <v>659</v>
      </c>
      <c r="D2610" s="561" t="s">
        <v>2669</v>
      </c>
      <c r="E2610" s="561" t="s">
        <v>661</v>
      </c>
      <c r="F2610" s="735">
        <v>0</v>
      </c>
      <c r="G2610" s="749">
        <v>0</v>
      </c>
      <c r="H2610" s="749"/>
      <c r="I2610" s="733"/>
      <c r="J2610" s="733"/>
      <c r="K2610" s="735">
        <v>0</v>
      </c>
      <c r="L2610" s="750">
        <v>0</v>
      </c>
    </row>
    <row r="2611" spans="1:12" ht="21" x14ac:dyDescent="0.25">
      <c r="A2611" s="561" t="s">
        <v>118</v>
      </c>
      <c r="B2611" s="749">
        <v>2023</v>
      </c>
      <c r="C2611" s="561" t="s">
        <v>662</v>
      </c>
      <c r="D2611" s="561" t="s">
        <v>2670</v>
      </c>
      <c r="E2611" s="561" t="s">
        <v>664</v>
      </c>
      <c r="F2611" s="735">
        <v>0</v>
      </c>
      <c r="G2611" s="749">
        <v>0</v>
      </c>
      <c r="H2611" s="749"/>
      <c r="I2611" s="733"/>
      <c r="J2611" s="733"/>
      <c r="K2611" s="735">
        <v>0</v>
      </c>
      <c r="L2611" s="750">
        <v>0</v>
      </c>
    </row>
    <row r="2612" spans="1:12" ht="31.5" x14ac:dyDescent="0.25">
      <c r="A2612" s="561" t="s">
        <v>118</v>
      </c>
      <c r="B2612" s="749">
        <v>2023</v>
      </c>
      <c r="C2612" s="561" t="s">
        <v>665</v>
      </c>
      <c r="D2612" s="561" t="s">
        <v>2671</v>
      </c>
      <c r="E2612" s="561" t="s">
        <v>667</v>
      </c>
      <c r="F2612" s="735">
        <v>0</v>
      </c>
      <c r="G2612" s="749">
        <v>0</v>
      </c>
      <c r="H2612" s="749"/>
      <c r="I2612" s="733"/>
      <c r="J2612" s="733"/>
      <c r="K2612" s="735">
        <v>0</v>
      </c>
      <c r="L2612" s="750">
        <v>0</v>
      </c>
    </row>
    <row r="2613" spans="1:12" ht="21" x14ac:dyDescent="0.25">
      <c r="A2613" s="561" t="s">
        <v>118</v>
      </c>
      <c r="B2613" s="749">
        <v>2023</v>
      </c>
      <c r="C2613" s="561" t="s">
        <v>668</v>
      </c>
      <c r="D2613" s="561" t="s">
        <v>2672</v>
      </c>
      <c r="E2613" s="561" t="s">
        <v>12</v>
      </c>
      <c r="F2613" s="735">
        <v>0</v>
      </c>
      <c r="G2613" s="749">
        <v>0</v>
      </c>
      <c r="H2613" s="749"/>
      <c r="I2613" s="733"/>
      <c r="J2613" s="733"/>
      <c r="K2613" s="735">
        <v>0</v>
      </c>
      <c r="L2613" s="750">
        <v>0</v>
      </c>
    </row>
    <row r="2614" spans="1:12" ht="21" x14ac:dyDescent="0.25">
      <c r="A2614" s="561" t="s">
        <v>118</v>
      </c>
      <c r="B2614" s="749">
        <v>2023</v>
      </c>
      <c r="C2614" s="561" t="s">
        <v>670</v>
      </c>
      <c r="D2614" s="561" t="s">
        <v>2673</v>
      </c>
      <c r="E2614" s="561" t="s">
        <v>13</v>
      </c>
      <c r="F2614" s="735">
        <v>0</v>
      </c>
      <c r="G2614" s="749">
        <v>0</v>
      </c>
      <c r="H2614" s="749"/>
      <c r="I2614" s="733"/>
      <c r="J2614" s="733"/>
      <c r="K2614" s="735">
        <v>0</v>
      </c>
      <c r="L2614" s="750">
        <v>0</v>
      </c>
    </row>
    <row r="2615" spans="1:12" ht="21" x14ac:dyDescent="0.25">
      <c r="A2615" s="561" t="s">
        <v>118</v>
      </c>
      <c r="B2615" s="749">
        <v>2023</v>
      </c>
      <c r="C2615" s="561" t="s">
        <v>672</v>
      </c>
      <c r="D2615" s="561" t="s">
        <v>2674</v>
      </c>
      <c r="E2615" s="561" t="s">
        <v>15</v>
      </c>
      <c r="F2615" s="735">
        <v>0</v>
      </c>
      <c r="G2615" s="749">
        <v>0</v>
      </c>
      <c r="H2615" s="749"/>
      <c r="I2615" s="733"/>
      <c r="J2615" s="733"/>
      <c r="K2615" s="735">
        <v>0</v>
      </c>
      <c r="L2615" s="750">
        <v>0</v>
      </c>
    </row>
    <row r="2616" spans="1:12" x14ac:dyDescent="0.25">
      <c r="A2616" s="561" t="s">
        <v>118</v>
      </c>
      <c r="B2616" s="749">
        <v>2023</v>
      </c>
      <c r="C2616" s="561" t="s">
        <v>674</v>
      </c>
      <c r="D2616" s="561" t="s">
        <v>2675</v>
      </c>
      <c r="E2616" s="561" t="s">
        <v>676</v>
      </c>
      <c r="F2616" s="735">
        <v>0</v>
      </c>
      <c r="G2616" s="749">
        <v>0</v>
      </c>
      <c r="H2616" s="749"/>
      <c r="I2616" s="733"/>
      <c r="J2616" s="733"/>
      <c r="K2616" s="735">
        <v>0</v>
      </c>
      <c r="L2616" s="750">
        <v>0</v>
      </c>
    </row>
    <row r="2617" spans="1:12" x14ac:dyDescent="0.25">
      <c r="A2617" s="561" t="s">
        <v>118</v>
      </c>
      <c r="B2617" s="749">
        <v>2023</v>
      </c>
      <c r="C2617" s="561" t="s">
        <v>677</v>
      </c>
      <c r="D2617" s="561" t="s">
        <v>2676</v>
      </c>
      <c r="E2617" s="561" t="s">
        <v>23</v>
      </c>
      <c r="F2617" s="735">
        <v>816984.45</v>
      </c>
      <c r="G2617" s="749">
        <v>1</v>
      </c>
      <c r="H2617" s="749"/>
      <c r="I2617" s="735">
        <v>801384</v>
      </c>
      <c r="J2617" s="735">
        <v>15600.45</v>
      </c>
      <c r="K2617" s="735">
        <v>816984.45</v>
      </c>
      <c r="L2617" s="750">
        <v>816984.45</v>
      </c>
    </row>
    <row r="2618" spans="1:12" ht="21" x14ac:dyDescent="0.25">
      <c r="A2618" s="561" t="s">
        <v>118</v>
      </c>
      <c r="B2618" s="749">
        <v>2023</v>
      </c>
      <c r="C2618" s="561" t="s">
        <v>679</v>
      </c>
      <c r="D2618" s="561" t="s">
        <v>2677</v>
      </c>
      <c r="E2618" s="561" t="s">
        <v>131</v>
      </c>
      <c r="F2618" s="735">
        <v>-51944.53</v>
      </c>
      <c r="G2618" s="749">
        <v>1</v>
      </c>
      <c r="H2618" s="749"/>
      <c r="I2618" s="735">
        <v>-51275.82</v>
      </c>
      <c r="J2618" s="735">
        <v>-668.71</v>
      </c>
      <c r="K2618" s="735">
        <v>-51944.53</v>
      </c>
      <c r="L2618" s="750">
        <v>-51944.53</v>
      </c>
    </row>
    <row r="2619" spans="1:12" ht="31.5" x14ac:dyDescent="0.25">
      <c r="A2619" s="561" t="s">
        <v>118</v>
      </c>
      <c r="B2619" s="749">
        <v>2023</v>
      </c>
      <c r="C2619" s="561" t="s">
        <v>681</v>
      </c>
      <c r="D2619" s="561" t="s">
        <v>2678</v>
      </c>
      <c r="E2619" s="561" t="s">
        <v>683</v>
      </c>
      <c r="F2619" s="735">
        <v>0</v>
      </c>
      <c r="G2619" s="749">
        <v>0</v>
      </c>
      <c r="H2619" s="749"/>
      <c r="I2619" s="733"/>
      <c r="J2619" s="733"/>
      <c r="K2619" s="735">
        <v>0</v>
      </c>
      <c r="L2619" s="750">
        <v>0</v>
      </c>
    </row>
    <row r="2620" spans="1:12" ht="21" x14ac:dyDescent="0.25">
      <c r="A2620" s="561" t="s">
        <v>118</v>
      </c>
      <c r="B2620" s="749">
        <v>2023</v>
      </c>
      <c r="C2620" s="561" t="s">
        <v>681</v>
      </c>
      <c r="D2620" s="561" t="s">
        <v>2678</v>
      </c>
      <c r="E2620" s="561" t="s">
        <v>684</v>
      </c>
      <c r="F2620" s="735">
        <v>0</v>
      </c>
      <c r="G2620" s="749">
        <v>0</v>
      </c>
      <c r="H2620" s="749"/>
      <c r="I2620" s="733"/>
      <c r="J2620" s="733"/>
      <c r="K2620" s="735">
        <v>0</v>
      </c>
      <c r="L2620" s="751">
        <v>0</v>
      </c>
    </row>
    <row r="2621" spans="1:12" x14ac:dyDescent="0.25">
      <c r="A2621" s="561" t="s">
        <v>118</v>
      </c>
      <c r="B2621" s="749">
        <v>2023</v>
      </c>
      <c r="C2621" s="561" t="s">
        <v>685</v>
      </c>
      <c r="D2621" s="561" t="s">
        <v>2679</v>
      </c>
      <c r="E2621" s="561" t="s">
        <v>687</v>
      </c>
      <c r="F2621" s="735">
        <v>0</v>
      </c>
      <c r="G2621" s="749">
        <v>0</v>
      </c>
      <c r="H2621" s="749"/>
      <c r="I2621" s="733"/>
      <c r="J2621" s="733"/>
      <c r="K2621" s="735">
        <v>0</v>
      </c>
      <c r="L2621" s="750">
        <v>0</v>
      </c>
    </row>
    <row r="2622" spans="1:12" x14ac:dyDescent="0.25">
      <c r="A2622" s="561" t="s">
        <v>118</v>
      </c>
      <c r="B2622" s="749">
        <v>2023</v>
      </c>
      <c r="C2622" s="561" t="s">
        <v>688</v>
      </c>
      <c r="D2622" s="561" t="s">
        <v>2680</v>
      </c>
      <c r="E2622" s="561" t="s">
        <v>50</v>
      </c>
      <c r="F2622" s="735">
        <v>0</v>
      </c>
      <c r="G2622" s="749">
        <v>0</v>
      </c>
      <c r="H2622" s="749"/>
      <c r="I2622" s="733"/>
      <c r="J2622" s="733"/>
      <c r="K2622" s="735">
        <v>0</v>
      </c>
      <c r="L2622" s="750">
        <v>0</v>
      </c>
    </row>
    <row r="2623" spans="1:12" x14ac:dyDescent="0.25">
      <c r="A2623" s="561" t="s">
        <v>118</v>
      </c>
      <c r="B2623" s="749">
        <v>2023</v>
      </c>
      <c r="C2623" s="561" t="s">
        <v>690</v>
      </c>
      <c r="D2623" s="561" t="s">
        <v>2681</v>
      </c>
      <c r="E2623" s="561" t="s">
        <v>692</v>
      </c>
      <c r="F2623" s="735">
        <v>0</v>
      </c>
      <c r="G2623" s="749">
        <v>0</v>
      </c>
      <c r="H2623" s="749"/>
      <c r="I2623" s="733"/>
      <c r="J2623" s="733"/>
      <c r="K2623" s="735">
        <v>0</v>
      </c>
      <c r="L2623" s="750">
        <v>0</v>
      </c>
    </row>
    <row r="2624" spans="1:12" ht="21" x14ac:dyDescent="0.25">
      <c r="A2624" s="561" t="s">
        <v>118</v>
      </c>
      <c r="B2624" s="749">
        <v>2023</v>
      </c>
      <c r="C2624" s="561" t="s">
        <v>693</v>
      </c>
      <c r="D2624" s="561" t="s">
        <v>2682</v>
      </c>
      <c r="E2624" s="561" t="s">
        <v>6</v>
      </c>
      <c r="F2624" s="735">
        <v>0</v>
      </c>
      <c r="G2624" s="749">
        <v>0</v>
      </c>
      <c r="H2624" s="749"/>
      <c r="I2624" s="733"/>
      <c r="J2624" s="733"/>
      <c r="K2624" s="735">
        <v>0</v>
      </c>
      <c r="L2624" s="750">
        <v>0</v>
      </c>
    </row>
    <row r="2625" spans="1:12" ht="21" x14ac:dyDescent="0.25">
      <c r="A2625" s="561" t="s">
        <v>118</v>
      </c>
      <c r="B2625" s="749">
        <v>2023</v>
      </c>
      <c r="C2625" s="561" t="s">
        <v>695</v>
      </c>
      <c r="D2625" s="561" t="s">
        <v>2683</v>
      </c>
      <c r="E2625" s="561" t="s">
        <v>697</v>
      </c>
      <c r="F2625" s="735">
        <v>0</v>
      </c>
      <c r="G2625" s="749">
        <v>0</v>
      </c>
      <c r="H2625" s="749"/>
      <c r="I2625" s="733"/>
      <c r="J2625" s="733"/>
      <c r="K2625" s="735">
        <v>0</v>
      </c>
      <c r="L2625" s="750">
        <v>0</v>
      </c>
    </row>
    <row r="2626" spans="1:12" x14ac:dyDescent="0.25">
      <c r="A2626" s="561" t="s">
        <v>118</v>
      </c>
      <c r="B2626" s="749">
        <v>2023</v>
      </c>
      <c r="C2626" s="561" t="s">
        <v>698</v>
      </c>
      <c r="D2626" s="561" t="s">
        <v>2684</v>
      </c>
      <c r="E2626" s="561" t="s">
        <v>700</v>
      </c>
      <c r="F2626" s="735">
        <v>0</v>
      </c>
      <c r="G2626" s="749">
        <v>0</v>
      </c>
      <c r="H2626" s="749"/>
      <c r="I2626" s="733"/>
      <c r="J2626" s="733"/>
      <c r="K2626" s="735">
        <v>0</v>
      </c>
      <c r="L2626" s="750">
        <v>0</v>
      </c>
    </row>
    <row r="2627" spans="1:12" ht="21" x14ac:dyDescent="0.25">
      <c r="A2627" s="561" t="s">
        <v>118</v>
      </c>
      <c r="B2627" s="749">
        <v>2023</v>
      </c>
      <c r="C2627" s="561" t="s">
        <v>701</v>
      </c>
      <c r="D2627" s="561" t="s">
        <v>2685</v>
      </c>
      <c r="E2627" s="561" t="s">
        <v>1</v>
      </c>
      <c r="F2627" s="735">
        <v>420385.2</v>
      </c>
      <c r="G2627" s="749">
        <v>1</v>
      </c>
      <c r="H2627" s="749"/>
      <c r="I2627" s="735">
        <v>413992.49</v>
      </c>
      <c r="J2627" s="735">
        <v>6392.71</v>
      </c>
      <c r="K2627" s="735">
        <v>420385.2</v>
      </c>
      <c r="L2627" s="750">
        <v>420385.2</v>
      </c>
    </row>
    <row r="2628" spans="1:12" ht="21" x14ac:dyDescent="0.25">
      <c r="A2628" s="561" t="s">
        <v>118</v>
      </c>
      <c r="B2628" s="749">
        <v>2023</v>
      </c>
      <c r="C2628" s="561" t="s">
        <v>701</v>
      </c>
      <c r="D2628" s="561" t="s">
        <v>2685</v>
      </c>
      <c r="E2628" s="561" t="s">
        <v>703</v>
      </c>
      <c r="F2628" s="735">
        <v>0</v>
      </c>
      <c r="G2628" s="749">
        <v>0</v>
      </c>
      <c r="H2628" s="749"/>
      <c r="I2628" s="733"/>
      <c r="J2628" s="733"/>
      <c r="K2628" s="735">
        <v>0</v>
      </c>
      <c r="L2628" s="751">
        <v>0</v>
      </c>
    </row>
    <row r="2629" spans="1:12" ht="21" x14ac:dyDescent="0.25">
      <c r="A2629" s="561" t="s">
        <v>118</v>
      </c>
      <c r="B2629" s="749">
        <v>2023</v>
      </c>
      <c r="C2629" s="561" t="s">
        <v>701</v>
      </c>
      <c r="D2629" s="561" t="s">
        <v>2685</v>
      </c>
      <c r="E2629" s="561" t="s">
        <v>704</v>
      </c>
      <c r="F2629" s="735">
        <v>0</v>
      </c>
      <c r="G2629" s="749">
        <v>0</v>
      </c>
      <c r="H2629" s="749"/>
      <c r="I2629" s="733"/>
      <c r="J2629" s="733"/>
      <c r="K2629" s="735">
        <v>0</v>
      </c>
      <c r="L2629" s="751">
        <v>0</v>
      </c>
    </row>
    <row r="2630" spans="1:12" ht="21" x14ac:dyDescent="0.25">
      <c r="A2630" s="561" t="s">
        <v>118</v>
      </c>
      <c r="B2630" s="749">
        <v>2023</v>
      </c>
      <c r="C2630" s="561" t="s">
        <v>701</v>
      </c>
      <c r="D2630" s="561" t="s">
        <v>2685</v>
      </c>
      <c r="E2630" s="561" t="s">
        <v>705</v>
      </c>
      <c r="F2630" s="735">
        <v>0</v>
      </c>
      <c r="G2630" s="749">
        <v>0</v>
      </c>
      <c r="H2630" s="749"/>
      <c r="I2630" s="733"/>
      <c r="J2630" s="733"/>
      <c r="K2630" s="735">
        <v>0</v>
      </c>
      <c r="L2630" s="751">
        <v>-758.44</v>
      </c>
    </row>
    <row r="2631" spans="1:12" ht="21" x14ac:dyDescent="0.25">
      <c r="A2631" s="561" t="s">
        <v>118</v>
      </c>
      <c r="B2631" s="749">
        <v>2023</v>
      </c>
      <c r="C2631" s="561" t="s">
        <v>701</v>
      </c>
      <c r="D2631" s="561" t="s">
        <v>2685</v>
      </c>
      <c r="E2631" s="561" t="s">
        <v>706</v>
      </c>
      <c r="F2631" s="735">
        <v>0</v>
      </c>
      <c r="G2631" s="749">
        <v>0</v>
      </c>
      <c r="H2631" s="749"/>
      <c r="I2631" s="733"/>
      <c r="J2631" s="733"/>
      <c r="K2631" s="735">
        <v>0</v>
      </c>
      <c r="L2631" s="751">
        <v>-36674.93</v>
      </c>
    </row>
    <row r="2632" spans="1:12" x14ac:dyDescent="0.25">
      <c r="A2632" s="561" t="s">
        <v>118</v>
      </c>
      <c r="B2632" s="749">
        <v>2023</v>
      </c>
      <c r="C2632" s="561" t="s">
        <v>707</v>
      </c>
      <c r="D2632" s="561" t="s">
        <v>2686</v>
      </c>
      <c r="E2632" s="561" t="s">
        <v>709</v>
      </c>
      <c r="F2632" s="735">
        <v>0</v>
      </c>
      <c r="G2632" s="749">
        <v>0</v>
      </c>
      <c r="H2632" s="749"/>
      <c r="I2632" s="733"/>
      <c r="J2632" s="733"/>
      <c r="K2632" s="735">
        <v>0</v>
      </c>
      <c r="L2632" s="750">
        <v>0</v>
      </c>
    </row>
    <row r="2633" spans="1:12" ht="21" x14ac:dyDescent="0.25">
      <c r="A2633" s="561" t="s">
        <v>118</v>
      </c>
      <c r="B2633" s="749">
        <v>2023</v>
      </c>
      <c r="C2633" s="561" t="s">
        <v>710</v>
      </c>
      <c r="D2633" s="561" t="s">
        <v>2687</v>
      </c>
      <c r="E2633" s="561" t="s">
        <v>2</v>
      </c>
      <c r="F2633" s="735">
        <v>210337.13</v>
      </c>
      <c r="G2633" s="749">
        <v>1</v>
      </c>
      <c r="H2633" s="749"/>
      <c r="I2633" s="735">
        <v>206155.87</v>
      </c>
      <c r="J2633" s="735">
        <v>4181.26</v>
      </c>
      <c r="K2633" s="735">
        <v>210337.13</v>
      </c>
      <c r="L2633" s="750">
        <v>210337.13</v>
      </c>
    </row>
    <row r="2634" spans="1:12" ht="21" x14ac:dyDescent="0.25">
      <c r="A2634" s="561" t="s">
        <v>118</v>
      </c>
      <c r="B2634" s="749">
        <v>2023</v>
      </c>
      <c r="C2634" s="561" t="s">
        <v>712</v>
      </c>
      <c r="D2634" s="561" t="s">
        <v>2688</v>
      </c>
      <c r="E2634" s="561" t="s">
        <v>3</v>
      </c>
      <c r="F2634" s="735">
        <v>106296.44</v>
      </c>
      <c r="G2634" s="749">
        <v>1</v>
      </c>
      <c r="H2634" s="749"/>
      <c r="I2634" s="735">
        <v>104535.3</v>
      </c>
      <c r="J2634" s="735">
        <v>1761.14</v>
      </c>
      <c r="K2634" s="735">
        <v>106296.44</v>
      </c>
      <c r="L2634" s="750">
        <v>106296.44</v>
      </c>
    </row>
    <row r="2635" spans="1:12" ht="21" x14ac:dyDescent="0.25">
      <c r="A2635" s="561" t="s">
        <v>118</v>
      </c>
      <c r="B2635" s="749">
        <v>2023</v>
      </c>
      <c r="C2635" s="561" t="s">
        <v>714</v>
      </c>
      <c r="D2635" s="561" t="s">
        <v>2689</v>
      </c>
      <c r="E2635" s="561" t="s">
        <v>38</v>
      </c>
      <c r="F2635" s="735">
        <v>-88325.82</v>
      </c>
      <c r="G2635" s="749">
        <v>1</v>
      </c>
      <c r="H2635" s="749"/>
      <c r="I2635" s="735">
        <v>-86550.65</v>
      </c>
      <c r="J2635" s="735">
        <v>-1775.17</v>
      </c>
      <c r="K2635" s="735">
        <v>-88325.82</v>
      </c>
      <c r="L2635" s="750">
        <v>-88325.82</v>
      </c>
    </row>
    <row r="2636" spans="1:12" x14ac:dyDescent="0.25">
      <c r="A2636" s="561" t="s">
        <v>118</v>
      </c>
      <c r="B2636" s="749">
        <v>2023</v>
      </c>
      <c r="C2636" s="561" t="s">
        <v>716</v>
      </c>
      <c r="D2636" s="561" t="s">
        <v>2690</v>
      </c>
      <c r="E2636" s="561" t="s">
        <v>66</v>
      </c>
      <c r="F2636" s="735">
        <v>-84762.12</v>
      </c>
      <c r="G2636" s="749">
        <v>1</v>
      </c>
      <c r="H2636" s="749"/>
      <c r="I2636" s="735">
        <v>-83209.789999999994</v>
      </c>
      <c r="J2636" s="735">
        <v>-1552.33</v>
      </c>
      <c r="K2636" s="735">
        <v>-84762.12</v>
      </c>
      <c r="L2636" s="750">
        <v>-84762.12</v>
      </c>
    </row>
    <row r="2637" spans="1:12" ht="21" x14ac:dyDescent="0.25">
      <c r="A2637" s="561" t="s">
        <v>118</v>
      </c>
      <c r="B2637" s="749">
        <v>2023</v>
      </c>
      <c r="C2637" s="561" t="s">
        <v>718</v>
      </c>
      <c r="D2637" s="561" t="s">
        <v>2691</v>
      </c>
      <c r="E2637" s="561" t="s">
        <v>720</v>
      </c>
      <c r="F2637" s="735">
        <v>0</v>
      </c>
      <c r="G2637" s="749">
        <v>0</v>
      </c>
      <c r="H2637" s="749"/>
      <c r="I2637" s="733"/>
      <c r="J2637" s="733"/>
      <c r="K2637" s="735">
        <v>0</v>
      </c>
      <c r="L2637" s="750">
        <v>0</v>
      </c>
    </row>
    <row r="2638" spans="1:12" ht="31.5" x14ac:dyDescent="0.25">
      <c r="A2638" s="561" t="s">
        <v>118</v>
      </c>
      <c r="B2638" s="749">
        <v>2023</v>
      </c>
      <c r="C2638" s="561" t="s">
        <v>721</v>
      </c>
      <c r="D2638" s="561" t="s">
        <v>2693</v>
      </c>
      <c r="E2638" s="561" t="s">
        <v>724</v>
      </c>
      <c r="F2638" s="735">
        <v>0</v>
      </c>
      <c r="G2638" s="749">
        <v>1</v>
      </c>
      <c r="H2638" s="749"/>
      <c r="I2638" s="733"/>
      <c r="J2638" s="733"/>
      <c r="K2638" s="735">
        <v>0</v>
      </c>
      <c r="L2638" s="750">
        <v>0</v>
      </c>
    </row>
    <row r="2639" spans="1:12" ht="31.5" x14ac:dyDescent="0.25">
      <c r="A2639" s="561" t="s">
        <v>118</v>
      </c>
      <c r="B2639" s="749">
        <v>2023</v>
      </c>
      <c r="C2639" s="561" t="s">
        <v>721</v>
      </c>
      <c r="D2639" s="561" t="s">
        <v>2694</v>
      </c>
      <c r="E2639" s="561" t="s">
        <v>55</v>
      </c>
      <c r="F2639" s="735">
        <v>0</v>
      </c>
      <c r="G2639" s="749">
        <v>1</v>
      </c>
      <c r="H2639" s="749"/>
      <c r="I2639" s="735">
        <v>21.29</v>
      </c>
      <c r="J2639" s="733"/>
      <c r="K2639" s="735">
        <v>21.29</v>
      </c>
      <c r="L2639" s="750">
        <v>21.29</v>
      </c>
    </row>
    <row r="2640" spans="1:12" ht="31.5" x14ac:dyDescent="0.25">
      <c r="A2640" s="561" t="s">
        <v>118</v>
      </c>
      <c r="B2640" s="749">
        <v>2023</v>
      </c>
      <c r="C2640" s="561" t="s">
        <v>721</v>
      </c>
      <c r="D2640" s="561" t="s">
        <v>2695</v>
      </c>
      <c r="E2640" s="561" t="s">
        <v>56</v>
      </c>
      <c r="F2640" s="735">
        <v>0</v>
      </c>
      <c r="G2640" s="749">
        <v>1</v>
      </c>
      <c r="H2640" s="749"/>
      <c r="I2640" s="733"/>
      <c r="J2640" s="733"/>
      <c r="K2640" s="735">
        <v>0</v>
      </c>
      <c r="L2640" s="750">
        <v>0</v>
      </c>
    </row>
    <row r="2641" spans="1:12" ht="31.5" x14ac:dyDescent="0.25">
      <c r="A2641" s="561" t="s">
        <v>118</v>
      </c>
      <c r="B2641" s="749">
        <v>2023</v>
      </c>
      <c r="C2641" s="561" t="s">
        <v>721</v>
      </c>
      <c r="D2641" s="561" t="s">
        <v>2696</v>
      </c>
      <c r="E2641" s="561" t="s">
        <v>728</v>
      </c>
      <c r="F2641" s="735">
        <v>0</v>
      </c>
      <c r="G2641" s="749">
        <v>1</v>
      </c>
      <c r="H2641" s="749"/>
      <c r="I2641" s="733"/>
      <c r="J2641" s="733"/>
      <c r="K2641" s="735">
        <v>0</v>
      </c>
      <c r="L2641" s="750">
        <v>0</v>
      </c>
    </row>
    <row r="2642" spans="1:12" ht="31.5" x14ac:dyDescent="0.25">
      <c r="A2642" s="561" t="s">
        <v>118</v>
      </c>
      <c r="B2642" s="749">
        <v>2023</v>
      </c>
      <c r="C2642" s="561" t="s">
        <v>721</v>
      </c>
      <c r="D2642" s="561" t="s">
        <v>2697</v>
      </c>
      <c r="E2642" s="561" t="s">
        <v>730</v>
      </c>
      <c r="F2642" s="735">
        <v>0</v>
      </c>
      <c r="G2642" s="749">
        <v>1</v>
      </c>
      <c r="H2642" s="749"/>
      <c r="I2642" s="733"/>
      <c r="J2642" s="733"/>
      <c r="K2642" s="735">
        <v>0</v>
      </c>
      <c r="L2642" s="750">
        <v>0</v>
      </c>
    </row>
    <row r="2643" spans="1:12" ht="31.5" x14ac:dyDescent="0.25">
      <c r="A2643" s="561" t="s">
        <v>118</v>
      </c>
      <c r="B2643" s="749">
        <v>2023</v>
      </c>
      <c r="C2643" s="561" t="s">
        <v>721</v>
      </c>
      <c r="D2643" s="561" t="s">
        <v>2698</v>
      </c>
      <c r="E2643" s="561" t="s">
        <v>142</v>
      </c>
      <c r="F2643" s="735">
        <v>0</v>
      </c>
      <c r="G2643" s="749">
        <v>1</v>
      </c>
      <c r="H2643" s="749"/>
      <c r="I2643" s="733"/>
      <c r="J2643" s="733"/>
      <c r="K2643" s="735">
        <v>0</v>
      </c>
      <c r="L2643" s="750">
        <v>0</v>
      </c>
    </row>
    <row r="2644" spans="1:12" ht="31.5" x14ac:dyDescent="0.25">
      <c r="A2644" s="561" t="s">
        <v>118</v>
      </c>
      <c r="B2644" s="749">
        <v>2023</v>
      </c>
      <c r="C2644" s="561" t="s">
        <v>721</v>
      </c>
      <c r="D2644" s="561" t="s">
        <v>2699</v>
      </c>
      <c r="E2644" s="561" t="s">
        <v>143</v>
      </c>
      <c r="F2644" s="735">
        <v>0</v>
      </c>
      <c r="G2644" s="749">
        <v>1</v>
      </c>
      <c r="H2644" s="749"/>
      <c r="I2644" s="733"/>
      <c r="J2644" s="733"/>
      <c r="K2644" s="735">
        <v>0</v>
      </c>
      <c r="L2644" s="750">
        <v>0</v>
      </c>
    </row>
    <row r="2645" spans="1:12" ht="31.5" x14ac:dyDescent="0.25">
      <c r="A2645" s="561" t="s">
        <v>118</v>
      </c>
      <c r="B2645" s="749">
        <v>2023</v>
      </c>
      <c r="C2645" s="561" t="s">
        <v>721</v>
      </c>
      <c r="D2645" s="561" t="s">
        <v>2700</v>
      </c>
      <c r="E2645" s="561" t="s">
        <v>182</v>
      </c>
      <c r="F2645" s="735">
        <v>0</v>
      </c>
      <c r="G2645" s="749">
        <v>1</v>
      </c>
      <c r="H2645" s="749"/>
      <c r="I2645" s="733"/>
      <c r="J2645" s="733"/>
      <c r="K2645" s="735">
        <v>0</v>
      </c>
      <c r="L2645" s="750">
        <v>0</v>
      </c>
    </row>
    <row r="2646" spans="1:12" ht="31.5" x14ac:dyDescent="0.25">
      <c r="A2646" s="561" t="s">
        <v>118</v>
      </c>
      <c r="B2646" s="749">
        <v>2023</v>
      </c>
      <c r="C2646" s="561" t="s">
        <v>721</v>
      </c>
      <c r="D2646" s="561" t="s">
        <v>2701</v>
      </c>
      <c r="E2646" s="561" t="s">
        <v>394</v>
      </c>
      <c r="F2646" s="735">
        <v>0</v>
      </c>
      <c r="G2646" s="749">
        <v>1</v>
      </c>
      <c r="H2646" s="749"/>
      <c r="I2646" s="733"/>
      <c r="J2646" s="733"/>
      <c r="K2646" s="735">
        <v>0</v>
      </c>
      <c r="L2646" s="750">
        <v>0</v>
      </c>
    </row>
    <row r="2647" spans="1:12" ht="31.5" x14ac:dyDescent="0.25">
      <c r="A2647" s="561" t="s">
        <v>118</v>
      </c>
      <c r="B2647" s="749">
        <v>2023</v>
      </c>
      <c r="C2647" s="561" t="s">
        <v>721</v>
      </c>
      <c r="D2647" s="561" t="s">
        <v>2702</v>
      </c>
      <c r="E2647" s="561" t="s">
        <v>423</v>
      </c>
      <c r="F2647" s="735">
        <v>0</v>
      </c>
      <c r="G2647" s="749">
        <v>1</v>
      </c>
      <c r="H2647" s="749"/>
      <c r="I2647" s="733"/>
      <c r="J2647" s="733"/>
      <c r="K2647" s="735">
        <v>0</v>
      </c>
      <c r="L2647" s="750">
        <v>0</v>
      </c>
    </row>
    <row r="2648" spans="1:12" ht="31.5" x14ac:dyDescent="0.25">
      <c r="A2648" s="561" t="s">
        <v>118</v>
      </c>
      <c r="B2648" s="749">
        <v>2023</v>
      </c>
      <c r="C2648" s="561" t="s">
        <v>721</v>
      </c>
      <c r="D2648" s="561" t="s">
        <v>3330</v>
      </c>
      <c r="E2648" s="561" t="s">
        <v>441</v>
      </c>
      <c r="F2648" s="735">
        <v>0</v>
      </c>
      <c r="G2648" s="749">
        <v>1</v>
      </c>
      <c r="H2648" s="749"/>
      <c r="I2648" s="733"/>
      <c r="J2648" s="735">
        <v>7.63</v>
      </c>
      <c r="K2648" s="735">
        <v>7.63</v>
      </c>
      <c r="L2648" s="750">
        <v>7.63</v>
      </c>
    </row>
    <row r="2649" spans="1:12" ht="31.5" x14ac:dyDescent="0.25">
      <c r="A2649" s="561" t="s">
        <v>118</v>
      </c>
      <c r="B2649" s="749">
        <v>2023</v>
      </c>
      <c r="C2649" s="561" t="s">
        <v>721</v>
      </c>
      <c r="D2649" s="561" t="s">
        <v>3609</v>
      </c>
      <c r="E2649" s="561" t="s">
        <v>3016</v>
      </c>
      <c r="F2649" s="735">
        <v>0</v>
      </c>
      <c r="G2649" s="749">
        <v>1</v>
      </c>
      <c r="H2649" s="749"/>
      <c r="I2649" s="735">
        <v>-9175.43</v>
      </c>
      <c r="J2649" s="735">
        <v>-156.51</v>
      </c>
      <c r="K2649" s="735">
        <v>-9331.94</v>
      </c>
      <c r="L2649" s="750">
        <v>-9331.94</v>
      </c>
    </row>
    <row r="2650" spans="1:12" ht="31.5" x14ac:dyDescent="0.25">
      <c r="A2650" s="561" t="s">
        <v>118</v>
      </c>
      <c r="B2650" s="749">
        <v>2023</v>
      </c>
      <c r="C2650" s="561" t="s">
        <v>721</v>
      </c>
      <c r="D2650" s="561" t="s">
        <v>3610</v>
      </c>
      <c r="E2650" s="561" t="s">
        <v>3058</v>
      </c>
      <c r="F2650" s="735">
        <v>0</v>
      </c>
      <c r="G2650" s="749">
        <v>1</v>
      </c>
      <c r="H2650" s="749"/>
      <c r="I2650" s="735">
        <v>-5341</v>
      </c>
      <c r="J2650" s="735">
        <v>-231.39</v>
      </c>
      <c r="K2650" s="735">
        <v>-5572.39</v>
      </c>
      <c r="L2650" s="750">
        <v>-5572.39</v>
      </c>
    </row>
    <row r="2651" spans="1:12" ht="31.5" x14ac:dyDescent="0.25">
      <c r="A2651" s="561" t="s">
        <v>118</v>
      </c>
      <c r="B2651" s="749">
        <v>2023</v>
      </c>
      <c r="C2651" s="561" t="s">
        <v>721</v>
      </c>
      <c r="D2651" s="561" t="s">
        <v>3611</v>
      </c>
      <c r="E2651" s="561" t="s">
        <v>3063</v>
      </c>
      <c r="F2651" s="735">
        <v>0</v>
      </c>
      <c r="G2651" s="749">
        <v>1</v>
      </c>
      <c r="H2651" s="749"/>
      <c r="I2651" s="735">
        <v>-49890.06</v>
      </c>
      <c r="J2651" s="735">
        <v>5970.1</v>
      </c>
      <c r="K2651" s="735">
        <v>-43919.96</v>
      </c>
      <c r="L2651" s="750">
        <v>-43919.96</v>
      </c>
    </row>
    <row r="2652" spans="1:12" ht="31.5" x14ac:dyDescent="0.25">
      <c r="A2652" s="561" t="s">
        <v>118</v>
      </c>
      <c r="B2652" s="749">
        <v>2023</v>
      </c>
      <c r="C2652" s="561" t="s">
        <v>721</v>
      </c>
      <c r="D2652" s="561" t="s">
        <v>3926</v>
      </c>
      <c r="E2652" s="561" t="s">
        <v>3425</v>
      </c>
      <c r="F2652" s="735">
        <v>0</v>
      </c>
      <c r="G2652" s="749">
        <v>1</v>
      </c>
      <c r="H2652" s="749"/>
      <c r="I2652" s="735">
        <v>214371.42</v>
      </c>
      <c r="J2652" s="735">
        <v>14279.41</v>
      </c>
      <c r="K2652" s="735">
        <v>228650.83</v>
      </c>
      <c r="L2652" s="750">
        <v>228650.83</v>
      </c>
    </row>
    <row r="2653" spans="1:12" ht="42" x14ac:dyDescent="0.25">
      <c r="A2653" s="561" t="s">
        <v>118</v>
      </c>
      <c r="B2653" s="749">
        <v>2023</v>
      </c>
      <c r="C2653" s="561" t="s">
        <v>721</v>
      </c>
      <c r="D2653" s="561" t="s">
        <v>3927</v>
      </c>
      <c r="E2653" s="561" t="s">
        <v>737</v>
      </c>
      <c r="F2653" s="735">
        <v>169855.46</v>
      </c>
      <c r="G2653" s="749">
        <v>0</v>
      </c>
      <c r="H2653" s="749"/>
      <c r="I2653" s="733"/>
      <c r="J2653" s="733"/>
      <c r="K2653" s="735">
        <v>0</v>
      </c>
      <c r="L2653" s="750">
        <v>169855.46</v>
      </c>
    </row>
    <row r="2654" spans="1:12" x14ac:dyDescent="0.25">
      <c r="A2654" s="561" t="s">
        <v>118</v>
      </c>
      <c r="B2654" s="749">
        <v>2023</v>
      </c>
      <c r="C2654" s="561" t="s">
        <v>738</v>
      </c>
      <c r="D2654" s="561" t="s">
        <v>2704</v>
      </c>
      <c r="E2654" s="561" t="s">
        <v>7</v>
      </c>
      <c r="F2654" s="735">
        <v>0</v>
      </c>
      <c r="G2654" s="749">
        <v>0</v>
      </c>
      <c r="H2654" s="749"/>
      <c r="I2654" s="733"/>
      <c r="J2654" s="733"/>
      <c r="K2654" s="735">
        <v>0</v>
      </c>
      <c r="L2654" s="750">
        <v>0</v>
      </c>
    </row>
    <row r="2655" spans="1:12" x14ac:dyDescent="0.25">
      <c r="A2655" s="561" t="s">
        <v>201</v>
      </c>
      <c r="B2655" s="749">
        <v>2023</v>
      </c>
      <c r="C2655" s="561" t="s">
        <v>647</v>
      </c>
      <c r="D2655" s="561" t="s">
        <v>2745</v>
      </c>
      <c r="E2655" s="561" t="s">
        <v>649</v>
      </c>
      <c r="F2655" s="735">
        <v>-1043793.15</v>
      </c>
      <c r="G2655" s="749">
        <v>0</v>
      </c>
      <c r="H2655" s="749"/>
      <c r="I2655" s="733"/>
      <c r="J2655" s="733"/>
      <c r="K2655" s="735">
        <v>0</v>
      </c>
      <c r="L2655" s="750">
        <v>-1043793.15</v>
      </c>
    </row>
    <row r="2656" spans="1:12" ht="21" x14ac:dyDescent="0.25">
      <c r="A2656" s="561" t="s">
        <v>201</v>
      </c>
      <c r="B2656" s="749">
        <v>2023</v>
      </c>
      <c r="C2656" s="561" t="s">
        <v>3691</v>
      </c>
      <c r="D2656" s="561" t="s">
        <v>3672</v>
      </c>
      <c r="E2656" s="561" t="s">
        <v>3675</v>
      </c>
      <c r="F2656" s="735">
        <v>0</v>
      </c>
      <c r="G2656" s="749">
        <v>0</v>
      </c>
      <c r="H2656" s="749"/>
      <c r="I2656" s="733"/>
      <c r="J2656" s="733"/>
      <c r="K2656" s="735">
        <v>0</v>
      </c>
      <c r="L2656" s="750">
        <v>0</v>
      </c>
    </row>
    <row r="2657" spans="1:12" x14ac:dyDescent="0.25">
      <c r="A2657" s="561" t="s">
        <v>201</v>
      </c>
      <c r="B2657" s="749">
        <v>2023</v>
      </c>
      <c r="C2657" s="561" t="s">
        <v>651</v>
      </c>
      <c r="D2657" s="561" t="s">
        <v>2746</v>
      </c>
      <c r="E2657" s="561" t="s">
        <v>653</v>
      </c>
      <c r="F2657" s="735">
        <v>0</v>
      </c>
      <c r="G2657" s="749">
        <v>0</v>
      </c>
      <c r="H2657" s="749"/>
      <c r="I2657" s="733"/>
      <c r="J2657" s="733"/>
      <c r="K2657" s="735">
        <v>0</v>
      </c>
      <c r="L2657" s="750">
        <v>0</v>
      </c>
    </row>
    <row r="2658" spans="1:12" ht="31.5" x14ac:dyDescent="0.25">
      <c r="A2658" s="561" t="s">
        <v>201</v>
      </c>
      <c r="B2658" s="749">
        <v>2023</v>
      </c>
      <c r="C2658" s="561" t="s">
        <v>654</v>
      </c>
      <c r="D2658" s="561" t="s">
        <v>2747</v>
      </c>
      <c r="E2658" s="561" t="s">
        <v>445</v>
      </c>
      <c r="F2658" s="735">
        <v>0</v>
      </c>
      <c r="G2658" s="749">
        <v>0</v>
      </c>
      <c r="H2658" s="749"/>
      <c r="I2658" s="733"/>
      <c r="J2658" s="733"/>
      <c r="K2658" s="735">
        <v>0</v>
      </c>
      <c r="L2658" s="750">
        <v>0</v>
      </c>
    </row>
    <row r="2659" spans="1:12" ht="21" x14ac:dyDescent="0.25">
      <c r="A2659" s="561" t="s">
        <v>201</v>
      </c>
      <c r="B2659" s="749">
        <v>2023</v>
      </c>
      <c r="C2659" s="561" t="s">
        <v>656</v>
      </c>
      <c r="D2659" s="561" t="s">
        <v>2748</v>
      </c>
      <c r="E2659" s="561" t="s">
        <v>658</v>
      </c>
      <c r="F2659" s="735">
        <v>0</v>
      </c>
      <c r="G2659" s="749">
        <v>0</v>
      </c>
      <c r="H2659" s="749"/>
      <c r="I2659" s="733"/>
      <c r="J2659" s="733"/>
      <c r="K2659" s="735">
        <v>0</v>
      </c>
      <c r="L2659" s="750">
        <v>0</v>
      </c>
    </row>
    <row r="2660" spans="1:12" ht="21" x14ac:dyDescent="0.25">
      <c r="A2660" s="561" t="s">
        <v>201</v>
      </c>
      <c r="B2660" s="749">
        <v>2023</v>
      </c>
      <c r="C2660" s="561" t="s">
        <v>659</v>
      </c>
      <c r="D2660" s="561" t="s">
        <v>2749</v>
      </c>
      <c r="E2660" s="561" t="s">
        <v>661</v>
      </c>
      <c r="F2660" s="735">
        <v>0</v>
      </c>
      <c r="G2660" s="749">
        <v>0</v>
      </c>
      <c r="H2660" s="749"/>
      <c r="I2660" s="733"/>
      <c r="J2660" s="733"/>
      <c r="K2660" s="735">
        <v>0</v>
      </c>
      <c r="L2660" s="750">
        <v>0</v>
      </c>
    </row>
    <row r="2661" spans="1:12" ht="21" x14ac:dyDescent="0.25">
      <c r="A2661" s="561" t="s">
        <v>201</v>
      </c>
      <c r="B2661" s="749">
        <v>2023</v>
      </c>
      <c r="C2661" s="561" t="s">
        <v>662</v>
      </c>
      <c r="D2661" s="561" t="s">
        <v>2750</v>
      </c>
      <c r="E2661" s="561" t="s">
        <v>664</v>
      </c>
      <c r="F2661" s="735">
        <v>0</v>
      </c>
      <c r="G2661" s="749">
        <v>0</v>
      </c>
      <c r="H2661" s="749"/>
      <c r="I2661" s="733"/>
      <c r="J2661" s="733"/>
      <c r="K2661" s="735">
        <v>0</v>
      </c>
      <c r="L2661" s="750">
        <v>0</v>
      </c>
    </row>
    <row r="2662" spans="1:12" ht="31.5" x14ac:dyDescent="0.25">
      <c r="A2662" s="561" t="s">
        <v>201</v>
      </c>
      <c r="B2662" s="749">
        <v>2023</v>
      </c>
      <c r="C2662" s="561" t="s">
        <v>665</v>
      </c>
      <c r="D2662" s="561" t="s">
        <v>2751</v>
      </c>
      <c r="E2662" s="561" t="s">
        <v>667</v>
      </c>
      <c r="F2662" s="735">
        <v>0</v>
      </c>
      <c r="G2662" s="749">
        <v>0</v>
      </c>
      <c r="H2662" s="749"/>
      <c r="I2662" s="733"/>
      <c r="J2662" s="733"/>
      <c r="K2662" s="735">
        <v>0</v>
      </c>
      <c r="L2662" s="750">
        <v>0</v>
      </c>
    </row>
    <row r="2663" spans="1:12" ht="21" x14ac:dyDescent="0.25">
      <c r="A2663" s="561" t="s">
        <v>201</v>
      </c>
      <c r="B2663" s="749">
        <v>2023</v>
      </c>
      <c r="C2663" s="561" t="s">
        <v>668</v>
      </c>
      <c r="D2663" s="561" t="s">
        <v>2752</v>
      </c>
      <c r="E2663" s="561" t="s">
        <v>12</v>
      </c>
      <c r="F2663" s="735">
        <v>0</v>
      </c>
      <c r="G2663" s="749">
        <v>0</v>
      </c>
      <c r="H2663" s="749"/>
      <c r="I2663" s="733"/>
      <c r="J2663" s="733"/>
      <c r="K2663" s="735">
        <v>0</v>
      </c>
      <c r="L2663" s="750">
        <v>0</v>
      </c>
    </row>
    <row r="2664" spans="1:12" ht="21" x14ac:dyDescent="0.25">
      <c r="A2664" s="561" t="s">
        <v>201</v>
      </c>
      <c r="B2664" s="749">
        <v>2023</v>
      </c>
      <c r="C2664" s="561" t="s">
        <v>670</v>
      </c>
      <c r="D2664" s="561" t="s">
        <v>2753</v>
      </c>
      <c r="E2664" s="561" t="s">
        <v>13</v>
      </c>
      <c r="F2664" s="735">
        <v>0</v>
      </c>
      <c r="G2664" s="749">
        <v>0</v>
      </c>
      <c r="H2664" s="749"/>
      <c r="I2664" s="733"/>
      <c r="J2664" s="733"/>
      <c r="K2664" s="735">
        <v>0</v>
      </c>
      <c r="L2664" s="750">
        <v>0</v>
      </c>
    </row>
    <row r="2665" spans="1:12" ht="21" x14ac:dyDescent="0.25">
      <c r="A2665" s="561" t="s">
        <v>201</v>
      </c>
      <c r="B2665" s="749">
        <v>2023</v>
      </c>
      <c r="C2665" s="561" t="s">
        <v>672</v>
      </c>
      <c r="D2665" s="561" t="s">
        <v>2754</v>
      </c>
      <c r="E2665" s="561" t="s">
        <v>15</v>
      </c>
      <c r="F2665" s="735">
        <v>0</v>
      </c>
      <c r="G2665" s="749">
        <v>0</v>
      </c>
      <c r="H2665" s="749"/>
      <c r="I2665" s="733"/>
      <c r="J2665" s="733"/>
      <c r="K2665" s="735">
        <v>0</v>
      </c>
      <c r="L2665" s="750">
        <v>0</v>
      </c>
    </row>
    <row r="2666" spans="1:12" x14ac:dyDescent="0.25">
      <c r="A2666" s="561" t="s">
        <v>201</v>
      </c>
      <c r="B2666" s="749">
        <v>2023</v>
      </c>
      <c r="C2666" s="561" t="s">
        <v>674</v>
      </c>
      <c r="D2666" s="561" t="s">
        <v>2755</v>
      </c>
      <c r="E2666" s="561" t="s">
        <v>676</v>
      </c>
      <c r="F2666" s="735">
        <v>0</v>
      </c>
      <c r="G2666" s="749">
        <v>0</v>
      </c>
      <c r="H2666" s="749"/>
      <c r="I2666" s="733"/>
      <c r="J2666" s="733"/>
      <c r="K2666" s="735">
        <v>0</v>
      </c>
      <c r="L2666" s="750">
        <v>0</v>
      </c>
    </row>
    <row r="2667" spans="1:12" x14ac:dyDescent="0.25">
      <c r="A2667" s="561" t="s">
        <v>201</v>
      </c>
      <c r="B2667" s="749">
        <v>2023</v>
      </c>
      <c r="C2667" s="561" t="s">
        <v>677</v>
      </c>
      <c r="D2667" s="561" t="s">
        <v>2756</v>
      </c>
      <c r="E2667" s="561" t="s">
        <v>23</v>
      </c>
      <c r="F2667" s="735">
        <v>0</v>
      </c>
      <c r="G2667" s="749">
        <v>1</v>
      </c>
      <c r="H2667" s="749"/>
      <c r="I2667" s="733"/>
      <c r="J2667" s="733"/>
      <c r="K2667" s="735">
        <v>0</v>
      </c>
      <c r="L2667" s="750">
        <v>0</v>
      </c>
    </row>
    <row r="2668" spans="1:12" ht="21" x14ac:dyDescent="0.25">
      <c r="A2668" s="561" t="s">
        <v>201</v>
      </c>
      <c r="B2668" s="749">
        <v>2023</v>
      </c>
      <c r="C2668" s="561" t="s">
        <v>679</v>
      </c>
      <c r="D2668" s="561" t="s">
        <v>2757</v>
      </c>
      <c r="E2668" s="561" t="s">
        <v>131</v>
      </c>
      <c r="F2668" s="735">
        <v>-84507.54</v>
      </c>
      <c r="G2668" s="749">
        <v>1</v>
      </c>
      <c r="H2668" s="749"/>
      <c r="I2668" s="735">
        <v>-83235.56</v>
      </c>
      <c r="J2668" s="735">
        <v>-1271.98</v>
      </c>
      <c r="K2668" s="735">
        <v>-84507.54</v>
      </c>
      <c r="L2668" s="750">
        <v>-84507.54</v>
      </c>
    </row>
    <row r="2669" spans="1:12" ht="31.5" x14ac:dyDescent="0.25">
      <c r="A2669" s="561" t="s">
        <v>201</v>
      </c>
      <c r="B2669" s="749">
        <v>2023</v>
      </c>
      <c r="C2669" s="561" t="s">
        <v>681</v>
      </c>
      <c r="D2669" s="561" t="s">
        <v>2758</v>
      </c>
      <c r="E2669" s="561" t="s">
        <v>683</v>
      </c>
      <c r="F2669" s="735">
        <v>0</v>
      </c>
      <c r="G2669" s="749">
        <v>0</v>
      </c>
      <c r="H2669" s="749"/>
      <c r="I2669" s="733"/>
      <c r="J2669" s="733"/>
      <c r="K2669" s="735">
        <v>0</v>
      </c>
      <c r="L2669" s="750">
        <v>0</v>
      </c>
    </row>
    <row r="2670" spans="1:12" ht="21" x14ac:dyDescent="0.25">
      <c r="A2670" s="561" t="s">
        <v>201</v>
      </c>
      <c r="B2670" s="749">
        <v>2023</v>
      </c>
      <c r="C2670" s="561" t="s">
        <v>681</v>
      </c>
      <c r="D2670" s="561" t="s">
        <v>2758</v>
      </c>
      <c r="E2670" s="561" t="s">
        <v>684</v>
      </c>
      <c r="F2670" s="735">
        <v>0</v>
      </c>
      <c r="G2670" s="749">
        <v>0</v>
      </c>
      <c r="H2670" s="749"/>
      <c r="I2670" s="733"/>
      <c r="J2670" s="733"/>
      <c r="K2670" s="735">
        <v>0</v>
      </c>
      <c r="L2670" s="751">
        <v>0</v>
      </c>
    </row>
    <row r="2671" spans="1:12" x14ac:dyDescent="0.25">
      <c r="A2671" s="561" t="s">
        <v>201</v>
      </c>
      <c r="B2671" s="749">
        <v>2023</v>
      </c>
      <c r="C2671" s="561" t="s">
        <v>685</v>
      </c>
      <c r="D2671" s="561" t="s">
        <v>2759</v>
      </c>
      <c r="E2671" s="561" t="s">
        <v>687</v>
      </c>
      <c r="F2671" s="735">
        <v>191506.93</v>
      </c>
      <c r="G2671" s="749">
        <v>0</v>
      </c>
      <c r="H2671" s="749"/>
      <c r="I2671" s="733"/>
      <c r="J2671" s="733"/>
      <c r="K2671" s="735">
        <v>0</v>
      </c>
      <c r="L2671" s="750">
        <v>191506.93</v>
      </c>
    </row>
    <row r="2672" spans="1:12" x14ac:dyDescent="0.25">
      <c r="A2672" s="561" t="s">
        <v>201</v>
      </c>
      <c r="B2672" s="749">
        <v>2023</v>
      </c>
      <c r="C2672" s="561" t="s">
        <v>688</v>
      </c>
      <c r="D2672" s="561" t="s">
        <v>2760</v>
      </c>
      <c r="E2672" s="561" t="s">
        <v>50</v>
      </c>
      <c r="F2672" s="735">
        <v>0</v>
      </c>
      <c r="G2672" s="749">
        <v>0</v>
      </c>
      <c r="H2672" s="749"/>
      <c r="I2672" s="733"/>
      <c r="J2672" s="733"/>
      <c r="K2672" s="735">
        <v>0</v>
      </c>
      <c r="L2672" s="750">
        <v>0</v>
      </c>
    </row>
    <row r="2673" spans="1:12" x14ac:dyDescent="0.25">
      <c r="A2673" s="561" t="s">
        <v>201</v>
      </c>
      <c r="B2673" s="749">
        <v>2023</v>
      </c>
      <c r="C2673" s="561" t="s">
        <v>690</v>
      </c>
      <c r="D2673" s="561" t="s">
        <v>2761</v>
      </c>
      <c r="E2673" s="561" t="s">
        <v>692</v>
      </c>
      <c r="F2673" s="735">
        <v>0</v>
      </c>
      <c r="G2673" s="749">
        <v>0</v>
      </c>
      <c r="H2673" s="749"/>
      <c r="I2673" s="733"/>
      <c r="J2673" s="733"/>
      <c r="K2673" s="735">
        <v>0</v>
      </c>
      <c r="L2673" s="750">
        <v>0</v>
      </c>
    </row>
    <row r="2674" spans="1:12" ht="21" x14ac:dyDescent="0.25">
      <c r="A2674" s="561" t="s">
        <v>201</v>
      </c>
      <c r="B2674" s="749">
        <v>2023</v>
      </c>
      <c r="C2674" s="561" t="s">
        <v>693</v>
      </c>
      <c r="D2674" s="561" t="s">
        <v>2762</v>
      </c>
      <c r="E2674" s="561" t="s">
        <v>6</v>
      </c>
      <c r="F2674" s="735">
        <v>0</v>
      </c>
      <c r="G2674" s="749">
        <v>0</v>
      </c>
      <c r="H2674" s="749"/>
      <c r="I2674" s="733"/>
      <c r="J2674" s="733"/>
      <c r="K2674" s="735">
        <v>0</v>
      </c>
      <c r="L2674" s="750">
        <v>0</v>
      </c>
    </row>
    <row r="2675" spans="1:12" ht="21" x14ac:dyDescent="0.25">
      <c r="A2675" s="561" t="s">
        <v>201</v>
      </c>
      <c r="B2675" s="749">
        <v>2023</v>
      </c>
      <c r="C2675" s="561" t="s">
        <v>695</v>
      </c>
      <c r="D2675" s="561" t="s">
        <v>2763</v>
      </c>
      <c r="E2675" s="561" t="s">
        <v>697</v>
      </c>
      <c r="F2675" s="735">
        <v>0</v>
      </c>
      <c r="G2675" s="749">
        <v>0</v>
      </c>
      <c r="H2675" s="749"/>
      <c r="I2675" s="733"/>
      <c r="J2675" s="733"/>
      <c r="K2675" s="735">
        <v>0</v>
      </c>
      <c r="L2675" s="750">
        <v>0</v>
      </c>
    </row>
    <row r="2676" spans="1:12" x14ac:dyDescent="0.25">
      <c r="A2676" s="561" t="s">
        <v>201</v>
      </c>
      <c r="B2676" s="749">
        <v>2023</v>
      </c>
      <c r="C2676" s="561" t="s">
        <v>698</v>
      </c>
      <c r="D2676" s="561" t="s">
        <v>2764</v>
      </c>
      <c r="E2676" s="561" t="s">
        <v>700</v>
      </c>
      <c r="F2676" s="735">
        <v>0</v>
      </c>
      <c r="G2676" s="749">
        <v>0</v>
      </c>
      <c r="H2676" s="749"/>
      <c r="I2676" s="733"/>
      <c r="J2676" s="733"/>
      <c r="K2676" s="735">
        <v>0</v>
      </c>
      <c r="L2676" s="750">
        <v>0</v>
      </c>
    </row>
    <row r="2677" spans="1:12" ht="21" x14ac:dyDescent="0.25">
      <c r="A2677" s="561" t="s">
        <v>201</v>
      </c>
      <c r="B2677" s="749">
        <v>2023</v>
      </c>
      <c r="C2677" s="561" t="s">
        <v>701</v>
      </c>
      <c r="D2677" s="561" t="s">
        <v>2765</v>
      </c>
      <c r="E2677" s="561" t="s">
        <v>1</v>
      </c>
      <c r="F2677" s="735">
        <v>946056.44</v>
      </c>
      <c r="G2677" s="749">
        <v>1</v>
      </c>
      <c r="H2677" s="749"/>
      <c r="I2677" s="735">
        <v>933576.99</v>
      </c>
      <c r="J2677" s="735">
        <v>12479.45</v>
      </c>
      <c r="K2677" s="735">
        <v>946056.44</v>
      </c>
      <c r="L2677" s="750">
        <v>946056.44</v>
      </c>
    </row>
    <row r="2678" spans="1:12" ht="21" x14ac:dyDescent="0.25">
      <c r="A2678" s="561" t="s">
        <v>201</v>
      </c>
      <c r="B2678" s="749">
        <v>2023</v>
      </c>
      <c r="C2678" s="561" t="s">
        <v>701</v>
      </c>
      <c r="D2678" s="561" t="s">
        <v>2765</v>
      </c>
      <c r="E2678" s="561" t="s">
        <v>703</v>
      </c>
      <c r="F2678" s="735">
        <v>0</v>
      </c>
      <c r="G2678" s="749">
        <v>0</v>
      </c>
      <c r="H2678" s="749"/>
      <c r="I2678" s="733"/>
      <c r="J2678" s="733"/>
      <c r="K2678" s="735">
        <v>0</v>
      </c>
      <c r="L2678" s="751">
        <v>0</v>
      </c>
    </row>
    <row r="2679" spans="1:12" ht="21" x14ac:dyDescent="0.25">
      <c r="A2679" s="561" t="s">
        <v>201</v>
      </c>
      <c r="B2679" s="749">
        <v>2023</v>
      </c>
      <c r="C2679" s="561" t="s">
        <v>701</v>
      </c>
      <c r="D2679" s="561" t="s">
        <v>2765</v>
      </c>
      <c r="E2679" s="561" t="s">
        <v>704</v>
      </c>
      <c r="F2679" s="735">
        <v>0</v>
      </c>
      <c r="G2679" s="749">
        <v>0</v>
      </c>
      <c r="H2679" s="749"/>
      <c r="I2679" s="733"/>
      <c r="J2679" s="733"/>
      <c r="K2679" s="735">
        <v>0</v>
      </c>
      <c r="L2679" s="751">
        <v>0</v>
      </c>
    </row>
    <row r="2680" spans="1:12" ht="21" x14ac:dyDescent="0.25">
      <c r="A2680" s="561" t="s">
        <v>201</v>
      </c>
      <c r="B2680" s="749">
        <v>2023</v>
      </c>
      <c r="C2680" s="561" t="s">
        <v>701</v>
      </c>
      <c r="D2680" s="561" t="s">
        <v>2765</v>
      </c>
      <c r="E2680" s="561" t="s">
        <v>705</v>
      </c>
      <c r="F2680" s="735">
        <v>0</v>
      </c>
      <c r="G2680" s="749">
        <v>0</v>
      </c>
      <c r="H2680" s="749"/>
      <c r="I2680" s="733"/>
      <c r="J2680" s="733"/>
      <c r="K2680" s="735">
        <v>0</v>
      </c>
      <c r="L2680" s="751">
        <v>-1844.05</v>
      </c>
    </row>
    <row r="2681" spans="1:12" ht="21" x14ac:dyDescent="0.25">
      <c r="A2681" s="561" t="s">
        <v>201</v>
      </c>
      <c r="B2681" s="749">
        <v>2023</v>
      </c>
      <c r="C2681" s="561" t="s">
        <v>701</v>
      </c>
      <c r="D2681" s="561" t="s">
        <v>2765</v>
      </c>
      <c r="E2681" s="561" t="s">
        <v>706</v>
      </c>
      <c r="F2681" s="735">
        <v>0</v>
      </c>
      <c r="G2681" s="749">
        <v>0</v>
      </c>
      <c r="H2681" s="749"/>
      <c r="I2681" s="733"/>
      <c r="J2681" s="733"/>
      <c r="K2681" s="735">
        <v>0</v>
      </c>
      <c r="L2681" s="751">
        <v>-79575.14</v>
      </c>
    </row>
    <row r="2682" spans="1:12" x14ac:dyDescent="0.25">
      <c r="A2682" s="561" t="s">
        <v>201</v>
      </c>
      <c r="B2682" s="749">
        <v>2023</v>
      </c>
      <c r="C2682" s="561" t="s">
        <v>707</v>
      </c>
      <c r="D2682" s="561" t="s">
        <v>2766</v>
      </c>
      <c r="E2682" s="561" t="s">
        <v>709</v>
      </c>
      <c r="F2682" s="735">
        <v>0</v>
      </c>
      <c r="G2682" s="749">
        <v>0</v>
      </c>
      <c r="H2682" s="749"/>
      <c r="I2682" s="733"/>
      <c r="J2682" s="733"/>
      <c r="K2682" s="735">
        <v>0</v>
      </c>
      <c r="L2682" s="750">
        <v>0</v>
      </c>
    </row>
    <row r="2683" spans="1:12" ht="21" x14ac:dyDescent="0.25">
      <c r="A2683" s="561" t="s">
        <v>201</v>
      </c>
      <c r="B2683" s="749">
        <v>2023</v>
      </c>
      <c r="C2683" s="561" t="s">
        <v>710</v>
      </c>
      <c r="D2683" s="561" t="s">
        <v>2767</v>
      </c>
      <c r="E2683" s="561" t="s">
        <v>2</v>
      </c>
      <c r="F2683" s="735">
        <v>509085.72</v>
      </c>
      <c r="G2683" s="749">
        <v>1</v>
      </c>
      <c r="H2683" s="749"/>
      <c r="I2683" s="735">
        <v>499985.72</v>
      </c>
      <c r="J2683" s="735">
        <v>9100</v>
      </c>
      <c r="K2683" s="735">
        <v>509085.72</v>
      </c>
      <c r="L2683" s="750">
        <v>509085.72</v>
      </c>
    </row>
    <row r="2684" spans="1:12" ht="21" x14ac:dyDescent="0.25">
      <c r="A2684" s="561" t="s">
        <v>201</v>
      </c>
      <c r="B2684" s="749">
        <v>2023</v>
      </c>
      <c r="C2684" s="561" t="s">
        <v>712</v>
      </c>
      <c r="D2684" s="561" t="s">
        <v>2768</v>
      </c>
      <c r="E2684" s="561" t="s">
        <v>3</v>
      </c>
      <c r="F2684" s="735">
        <v>227404.49</v>
      </c>
      <c r="G2684" s="749">
        <v>1</v>
      </c>
      <c r="H2684" s="749"/>
      <c r="I2684" s="735">
        <v>222321.86</v>
      </c>
      <c r="J2684" s="735">
        <v>5082.63</v>
      </c>
      <c r="K2684" s="735">
        <v>227404.49</v>
      </c>
      <c r="L2684" s="750">
        <v>227404.49</v>
      </c>
    </row>
    <row r="2685" spans="1:12" ht="21" x14ac:dyDescent="0.25">
      <c r="A2685" s="561" t="s">
        <v>201</v>
      </c>
      <c r="B2685" s="749">
        <v>2023</v>
      </c>
      <c r="C2685" s="561" t="s">
        <v>714</v>
      </c>
      <c r="D2685" s="561" t="s">
        <v>2769</v>
      </c>
      <c r="E2685" s="561" t="s">
        <v>38</v>
      </c>
      <c r="F2685" s="735">
        <v>-291888.46000000002</v>
      </c>
      <c r="G2685" s="749">
        <v>1</v>
      </c>
      <c r="H2685" s="749"/>
      <c r="I2685" s="735">
        <v>-280892.74</v>
      </c>
      <c r="J2685" s="735">
        <v>-10995.72</v>
      </c>
      <c r="K2685" s="735">
        <v>-291888.46000000002</v>
      </c>
      <c r="L2685" s="750">
        <v>-291888.46000000002</v>
      </c>
    </row>
    <row r="2686" spans="1:12" x14ac:dyDescent="0.25">
      <c r="A2686" s="561" t="s">
        <v>201</v>
      </c>
      <c r="B2686" s="749">
        <v>2023</v>
      </c>
      <c r="C2686" s="561" t="s">
        <v>716</v>
      </c>
      <c r="D2686" s="561" t="s">
        <v>2770</v>
      </c>
      <c r="E2686" s="561" t="s">
        <v>66</v>
      </c>
      <c r="F2686" s="735">
        <v>-423979.08</v>
      </c>
      <c r="G2686" s="749">
        <v>1</v>
      </c>
      <c r="H2686" s="749"/>
      <c r="I2686" s="735">
        <v>-413977.4</v>
      </c>
      <c r="J2686" s="735">
        <v>-10001.68</v>
      </c>
      <c r="K2686" s="735">
        <v>-423979.08</v>
      </c>
      <c r="L2686" s="750">
        <v>-423979.08</v>
      </c>
    </row>
    <row r="2687" spans="1:12" ht="21" x14ac:dyDescent="0.25">
      <c r="A2687" s="561" t="s">
        <v>201</v>
      </c>
      <c r="B2687" s="749">
        <v>2023</v>
      </c>
      <c r="C2687" s="561" t="s">
        <v>718</v>
      </c>
      <c r="D2687" s="561" t="s">
        <v>2771</v>
      </c>
      <c r="E2687" s="561" t="s">
        <v>720</v>
      </c>
      <c r="F2687" s="735">
        <v>-312352</v>
      </c>
      <c r="G2687" s="749">
        <v>0</v>
      </c>
      <c r="H2687" s="749"/>
      <c r="I2687" s="733"/>
      <c r="J2687" s="733"/>
      <c r="K2687" s="735">
        <v>0</v>
      </c>
      <c r="L2687" s="750">
        <v>-312352</v>
      </c>
    </row>
    <row r="2688" spans="1:12" ht="31.5" x14ac:dyDescent="0.25">
      <c r="A2688" s="561" t="s">
        <v>201</v>
      </c>
      <c r="B2688" s="749">
        <v>2023</v>
      </c>
      <c r="C2688" s="561" t="s">
        <v>721</v>
      </c>
      <c r="D2688" s="561" t="s">
        <v>2773</v>
      </c>
      <c r="E2688" s="561" t="s">
        <v>724</v>
      </c>
      <c r="F2688" s="735">
        <v>0</v>
      </c>
      <c r="G2688" s="749">
        <v>1</v>
      </c>
      <c r="H2688" s="749"/>
      <c r="I2688" s="733"/>
      <c r="J2688" s="733"/>
      <c r="K2688" s="735">
        <v>0</v>
      </c>
      <c r="L2688" s="750">
        <v>0</v>
      </c>
    </row>
    <row r="2689" spans="1:12" ht="31.5" x14ac:dyDescent="0.25">
      <c r="A2689" s="561" t="s">
        <v>201</v>
      </c>
      <c r="B2689" s="749">
        <v>2023</v>
      </c>
      <c r="C2689" s="561" t="s">
        <v>721</v>
      </c>
      <c r="D2689" s="561" t="s">
        <v>2774</v>
      </c>
      <c r="E2689" s="561" t="s">
        <v>55</v>
      </c>
      <c r="F2689" s="735">
        <v>0</v>
      </c>
      <c r="G2689" s="749">
        <v>1</v>
      </c>
      <c r="H2689" s="749"/>
      <c r="I2689" s="733"/>
      <c r="J2689" s="733"/>
      <c r="K2689" s="735">
        <v>0</v>
      </c>
      <c r="L2689" s="750">
        <v>0</v>
      </c>
    </row>
    <row r="2690" spans="1:12" ht="31.5" x14ac:dyDescent="0.25">
      <c r="A2690" s="561" t="s">
        <v>201</v>
      </c>
      <c r="B2690" s="749">
        <v>2023</v>
      </c>
      <c r="C2690" s="561" t="s">
        <v>721</v>
      </c>
      <c r="D2690" s="561" t="s">
        <v>2775</v>
      </c>
      <c r="E2690" s="561" t="s">
        <v>56</v>
      </c>
      <c r="F2690" s="735">
        <v>0</v>
      </c>
      <c r="G2690" s="749">
        <v>1</v>
      </c>
      <c r="H2690" s="749"/>
      <c r="I2690" s="733"/>
      <c r="J2690" s="733"/>
      <c r="K2690" s="735">
        <v>0</v>
      </c>
      <c r="L2690" s="750">
        <v>0</v>
      </c>
    </row>
    <row r="2691" spans="1:12" ht="31.5" x14ac:dyDescent="0.25">
      <c r="A2691" s="561" t="s">
        <v>201</v>
      </c>
      <c r="B2691" s="749">
        <v>2023</v>
      </c>
      <c r="C2691" s="561" t="s">
        <v>721</v>
      </c>
      <c r="D2691" s="561" t="s">
        <v>2776</v>
      </c>
      <c r="E2691" s="561" t="s">
        <v>728</v>
      </c>
      <c r="F2691" s="735">
        <v>0</v>
      </c>
      <c r="G2691" s="749">
        <v>1</v>
      </c>
      <c r="H2691" s="749"/>
      <c r="I2691" s="733"/>
      <c r="J2691" s="733"/>
      <c r="K2691" s="735">
        <v>0</v>
      </c>
      <c r="L2691" s="750">
        <v>0</v>
      </c>
    </row>
    <row r="2692" spans="1:12" ht="31.5" x14ac:dyDescent="0.25">
      <c r="A2692" s="561" t="s">
        <v>201</v>
      </c>
      <c r="B2692" s="749">
        <v>2023</v>
      </c>
      <c r="C2692" s="561" t="s">
        <v>721</v>
      </c>
      <c r="D2692" s="561" t="s">
        <v>2777</v>
      </c>
      <c r="E2692" s="561" t="s">
        <v>730</v>
      </c>
      <c r="F2692" s="735">
        <v>0</v>
      </c>
      <c r="G2692" s="749">
        <v>1</v>
      </c>
      <c r="H2692" s="749"/>
      <c r="I2692" s="733"/>
      <c r="J2692" s="733"/>
      <c r="K2692" s="735">
        <v>0</v>
      </c>
      <c r="L2692" s="750">
        <v>0</v>
      </c>
    </row>
    <row r="2693" spans="1:12" ht="31.5" x14ac:dyDescent="0.25">
      <c r="A2693" s="561" t="s">
        <v>201</v>
      </c>
      <c r="B2693" s="749">
        <v>2023</v>
      </c>
      <c r="C2693" s="561" t="s">
        <v>721</v>
      </c>
      <c r="D2693" s="561" t="s">
        <v>2778</v>
      </c>
      <c r="E2693" s="561" t="s">
        <v>142</v>
      </c>
      <c r="F2693" s="735">
        <v>0</v>
      </c>
      <c r="G2693" s="749">
        <v>1</v>
      </c>
      <c r="H2693" s="749"/>
      <c r="I2693" s="733"/>
      <c r="J2693" s="733"/>
      <c r="K2693" s="735">
        <v>0</v>
      </c>
      <c r="L2693" s="750">
        <v>0</v>
      </c>
    </row>
    <row r="2694" spans="1:12" ht="31.5" x14ac:dyDescent="0.25">
      <c r="A2694" s="561" t="s">
        <v>201</v>
      </c>
      <c r="B2694" s="749">
        <v>2023</v>
      </c>
      <c r="C2694" s="561" t="s">
        <v>721</v>
      </c>
      <c r="D2694" s="561" t="s">
        <v>2779</v>
      </c>
      <c r="E2694" s="561" t="s">
        <v>143</v>
      </c>
      <c r="F2694" s="735">
        <v>0</v>
      </c>
      <c r="G2694" s="749">
        <v>1</v>
      </c>
      <c r="H2694" s="749"/>
      <c r="I2694" s="733"/>
      <c r="J2694" s="733"/>
      <c r="K2694" s="735">
        <v>0</v>
      </c>
      <c r="L2694" s="750">
        <v>0</v>
      </c>
    </row>
    <row r="2695" spans="1:12" ht="31.5" x14ac:dyDescent="0.25">
      <c r="A2695" s="561" t="s">
        <v>201</v>
      </c>
      <c r="B2695" s="749">
        <v>2023</v>
      </c>
      <c r="C2695" s="561" t="s">
        <v>721</v>
      </c>
      <c r="D2695" s="561" t="s">
        <v>2780</v>
      </c>
      <c r="E2695" s="561" t="s">
        <v>182</v>
      </c>
      <c r="F2695" s="735">
        <v>0</v>
      </c>
      <c r="G2695" s="749">
        <v>1</v>
      </c>
      <c r="H2695" s="749"/>
      <c r="I2695" s="733"/>
      <c r="J2695" s="733"/>
      <c r="K2695" s="735">
        <v>0</v>
      </c>
      <c r="L2695" s="750">
        <v>0</v>
      </c>
    </row>
    <row r="2696" spans="1:12" ht="31.5" x14ac:dyDescent="0.25">
      <c r="A2696" s="561" t="s">
        <v>201</v>
      </c>
      <c r="B2696" s="749">
        <v>2023</v>
      </c>
      <c r="C2696" s="561" t="s">
        <v>721</v>
      </c>
      <c r="D2696" s="561" t="s">
        <v>2781</v>
      </c>
      <c r="E2696" s="561" t="s">
        <v>394</v>
      </c>
      <c r="F2696" s="735">
        <v>0</v>
      </c>
      <c r="G2696" s="749">
        <v>1</v>
      </c>
      <c r="H2696" s="749"/>
      <c r="I2696" s="733"/>
      <c r="J2696" s="733"/>
      <c r="K2696" s="735">
        <v>0</v>
      </c>
      <c r="L2696" s="750">
        <v>0</v>
      </c>
    </row>
    <row r="2697" spans="1:12" ht="31.5" x14ac:dyDescent="0.25">
      <c r="A2697" s="561" t="s">
        <v>201</v>
      </c>
      <c r="B2697" s="749">
        <v>2023</v>
      </c>
      <c r="C2697" s="561" t="s">
        <v>721</v>
      </c>
      <c r="D2697" s="561" t="s">
        <v>2782</v>
      </c>
      <c r="E2697" s="561" t="s">
        <v>423</v>
      </c>
      <c r="F2697" s="735">
        <v>0</v>
      </c>
      <c r="G2697" s="749">
        <v>1</v>
      </c>
      <c r="H2697" s="749"/>
      <c r="I2697" s="733"/>
      <c r="J2697" s="733"/>
      <c r="K2697" s="735">
        <v>0</v>
      </c>
      <c r="L2697" s="750">
        <v>0</v>
      </c>
    </row>
    <row r="2698" spans="1:12" ht="31.5" x14ac:dyDescent="0.25">
      <c r="A2698" s="561" t="s">
        <v>201</v>
      </c>
      <c r="B2698" s="749">
        <v>2023</v>
      </c>
      <c r="C2698" s="561" t="s">
        <v>721</v>
      </c>
      <c r="D2698" s="561" t="s">
        <v>3332</v>
      </c>
      <c r="E2698" s="561" t="s">
        <v>441</v>
      </c>
      <c r="F2698" s="735">
        <v>0</v>
      </c>
      <c r="G2698" s="749">
        <v>1</v>
      </c>
      <c r="H2698" s="749"/>
      <c r="I2698" s="735">
        <v>49997.4</v>
      </c>
      <c r="J2698" s="735">
        <v>-4538.46</v>
      </c>
      <c r="K2698" s="735">
        <v>45458.94</v>
      </c>
      <c r="L2698" s="750">
        <v>45458.94</v>
      </c>
    </row>
    <row r="2699" spans="1:12" ht="31.5" x14ac:dyDescent="0.25">
      <c r="A2699" s="561" t="s">
        <v>201</v>
      </c>
      <c r="B2699" s="749">
        <v>2023</v>
      </c>
      <c r="C2699" s="561" t="s">
        <v>721</v>
      </c>
      <c r="D2699" s="561" t="s">
        <v>3612</v>
      </c>
      <c r="E2699" s="561" t="s">
        <v>3016</v>
      </c>
      <c r="F2699" s="735">
        <v>0</v>
      </c>
      <c r="G2699" s="749">
        <v>1</v>
      </c>
      <c r="H2699" s="749"/>
      <c r="I2699" s="735">
        <v>22222.29</v>
      </c>
      <c r="J2699" s="735">
        <v>587.04999999999995</v>
      </c>
      <c r="K2699" s="735">
        <v>22809.34</v>
      </c>
      <c r="L2699" s="750">
        <v>22809.34</v>
      </c>
    </row>
    <row r="2700" spans="1:12" ht="31.5" x14ac:dyDescent="0.25">
      <c r="A2700" s="561" t="s">
        <v>201</v>
      </c>
      <c r="B2700" s="749">
        <v>2023</v>
      </c>
      <c r="C2700" s="561" t="s">
        <v>721</v>
      </c>
      <c r="D2700" s="561" t="s">
        <v>3613</v>
      </c>
      <c r="E2700" s="561" t="s">
        <v>3058</v>
      </c>
      <c r="F2700" s="735">
        <v>0</v>
      </c>
      <c r="G2700" s="749">
        <v>1</v>
      </c>
      <c r="H2700" s="749"/>
      <c r="I2700" s="733"/>
      <c r="J2700" s="735">
        <v>-13597.72</v>
      </c>
      <c r="K2700" s="735">
        <v>-13597.72</v>
      </c>
      <c r="L2700" s="750">
        <v>-13597.72</v>
      </c>
    </row>
    <row r="2701" spans="1:12" ht="31.5" x14ac:dyDescent="0.25">
      <c r="A2701" s="561" t="s">
        <v>201</v>
      </c>
      <c r="B2701" s="749">
        <v>2023</v>
      </c>
      <c r="C2701" s="561" t="s">
        <v>721</v>
      </c>
      <c r="D2701" s="561" t="s">
        <v>3614</v>
      </c>
      <c r="E2701" s="561" t="s">
        <v>3063</v>
      </c>
      <c r="F2701" s="735">
        <v>0</v>
      </c>
      <c r="G2701" s="749">
        <v>1</v>
      </c>
      <c r="H2701" s="749"/>
      <c r="I2701" s="735">
        <v>9361.5</v>
      </c>
      <c r="J2701" s="735">
        <v>199.37</v>
      </c>
      <c r="K2701" s="735">
        <v>9560.8700000000008</v>
      </c>
      <c r="L2701" s="750">
        <v>9560.8700000000008</v>
      </c>
    </row>
    <row r="2702" spans="1:12" ht="31.5" x14ac:dyDescent="0.25">
      <c r="A2702" s="561" t="s">
        <v>201</v>
      </c>
      <c r="B2702" s="749">
        <v>2023</v>
      </c>
      <c r="C2702" s="561" t="s">
        <v>721</v>
      </c>
      <c r="D2702" s="561" t="s">
        <v>3928</v>
      </c>
      <c r="E2702" s="561" t="s">
        <v>3425</v>
      </c>
      <c r="F2702" s="735">
        <v>0</v>
      </c>
      <c r="G2702" s="749">
        <v>1</v>
      </c>
      <c r="H2702" s="749"/>
      <c r="I2702" s="735">
        <v>-122741.49</v>
      </c>
      <c r="J2702" s="735">
        <v>-6440.65</v>
      </c>
      <c r="K2702" s="735">
        <v>-129182.14</v>
      </c>
      <c r="L2702" s="750">
        <v>-129182.14</v>
      </c>
    </row>
    <row r="2703" spans="1:12" ht="42" x14ac:dyDescent="0.25">
      <c r="A2703" s="561" t="s">
        <v>201</v>
      </c>
      <c r="B2703" s="749">
        <v>2023</v>
      </c>
      <c r="C2703" s="561" t="s">
        <v>721</v>
      </c>
      <c r="D2703" s="561" t="s">
        <v>3929</v>
      </c>
      <c r="E2703" s="561" t="s">
        <v>737</v>
      </c>
      <c r="F2703" s="735">
        <v>-64950.71</v>
      </c>
      <c r="G2703" s="749">
        <v>0</v>
      </c>
      <c r="H2703" s="749"/>
      <c r="I2703" s="733"/>
      <c r="J2703" s="733"/>
      <c r="K2703" s="735">
        <v>0</v>
      </c>
      <c r="L2703" s="750">
        <v>-64950.71</v>
      </c>
    </row>
    <row r="2704" spans="1:12" x14ac:dyDescent="0.25">
      <c r="A2704" s="561" t="s">
        <v>201</v>
      </c>
      <c r="B2704" s="749">
        <v>2023</v>
      </c>
      <c r="C2704" s="561" t="s">
        <v>738</v>
      </c>
      <c r="D2704" s="561" t="s">
        <v>2784</v>
      </c>
      <c r="E2704" s="561" t="s">
        <v>7</v>
      </c>
      <c r="F2704" s="735">
        <v>0</v>
      </c>
      <c r="G2704" s="749">
        <v>0</v>
      </c>
      <c r="H2704" s="749"/>
      <c r="I2704" s="733"/>
      <c r="J2704" s="733"/>
      <c r="K2704" s="735">
        <v>0</v>
      </c>
      <c r="L2704" s="750">
        <v>0</v>
      </c>
    </row>
    <row r="2705" spans="1:12" x14ac:dyDescent="0.25">
      <c r="A2705" s="561" t="s">
        <v>120</v>
      </c>
      <c r="B2705" s="749">
        <v>2023</v>
      </c>
      <c r="C2705" s="561" t="s">
        <v>647</v>
      </c>
      <c r="D2705" s="561" t="s">
        <v>2785</v>
      </c>
      <c r="E2705" s="561" t="s">
        <v>649</v>
      </c>
      <c r="F2705" s="735">
        <v>10972.54</v>
      </c>
      <c r="G2705" s="749">
        <v>0</v>
      </c>
      <c r="H2705" s="749"/>
      <c r="I2705" s="733"/>
      <c r="J2705" s="733"/>
      <c r="K2705" s="735">
        <v>0</v>
      </c>
      <c r="L2705" s="750">
        <v>10972.54</v>
      </c>
    </row>
    <row r="2706" spans="1:12" ht="21" x14ac:dyDescent="0.25">
      <c r="A2706" s="561" t="s">
        <v>120</v>
      </c>
      <c r="B2706" s="749">
        <v>2023</v>
      </c>
      <c r="C2706" s="561" t="s">
        <v>3691</v>
      </c>
      <c r="D2706" s="561" t="s">
        <v>3673</v>
      </c>
      <c r="E2706" s="561" t="s">
        <v>3675</v>
      </c>
      <c r="F2706" s="735">
        <v>0</v>
      </c>
      <c r="G2706" s="749">
        <v>0</v>
      </c>
      <c r="H2706" s="749"/>
      <c r="I2706" s="733"/>
      <c r="J2706" s="733"/>
      <c r="K2706" s="735">
        <v>0</v>
      </c>
      <c r="L2706" s="750">
        <v>0</v>
      </c>
    </row>
    <row r="2707" spans="1:12" x14ac:dyDescent="0.25">
      <c r="A2707" s="561" t="s">
        <v>120</v>
      </c>
      <c r="B2707" s="749">
        <v>2023</v>
      </c>
      <c r="C2707" s="561" t="s">
        <v>651</v>
      </c>
      <c r="D2707" s="561" t="s">
        <v>2786</v>
      </c>
      <c r="E2707" s="561" t="s">
        <v>653</v>
      </c>
      <c r="F2707" s="735">
        <v>0</v>
      </c>
      <c r="G2707" s="749">
        <v>0</v>
      </c>
      <c r="H2707" s="749"/>
      <c r="I2707" s="733"/>
      <c r="J2707" s="733"/>
      <c r="K2707" s="735">
        <v>0</v>
      </c>
      <c r="L2707" s="750">
        <v>0</v>
      </c>
    </row>
    <row r="2708" spans="1:12" ht="31.5" x14ac:dyDescent="0.25">
      <c r="A2708" s="561" t="s">
        <v>120</v>
      </c>
      <c r="B2708" s="749">
        <v>2023</v>
      </c>
      <c r="C2708" s="561" t="s">
        <v>654</v>
      </c>
      <c r="D2708" s="561" t="s">
        <v>2787</v>
      </c>
      <c r="E2708" s="561" t="s">
        <v>445</v>
      </c>
      <c r="F2708" s="735">
        <v>0</v>
      </c>
      <c r="G2708" s="749">
        <v>0</v>
      </c>
      <c r="H2708" s="749"/>
      <c r="I2708" s="733"/>
      <c r="J2708" s="733"/>
      <c r="K2708" s="735">
        <v>0</v>
      </c>
      <c r="L2708" s="750">
        <v>0</v>
      </c>
    </row>
    <row r="2709" spans="1:12" ht="21" x14ac:dyDescent="0.25">
      <c r="A2709" s="561" t="s">
        <v>120</v>
      </c>
      <c r="B2709" s="749">
        <v>2023</v>
      </c>
      <c r="C2709" s="561" t="s">
        <v>656</v>
      </c>
      <c r="D2709" s="561" t="s">
        <v>2788</v>
      </c>
      <c r="E2709" s="561" t="s">
        <v>658</v>
      </c>
      <c r="F2709" s="735">
        <v>0</v>
      </c>
      <c r="G2709" s="749">
        <v>0</v>
      </c>
      <c r="H2709" s="749"/>
      <c r="I2709" s="733"/>
      <c r="J2709" s="733"/>
      <c r="K2709" s="735">
        <v>0</v>
      </c>
      <c r="L2709" s="750">
        <v>0</v>
      </c>
    </row>
    <row r="2710" spans="1:12" ht="21" x14ac:dyDescent="0.25">
      <c r="A2710" s="561" t="s">
        <v>120</v>
      </c>
      <c r="B2710" s="749">
        <v>2023</v>
      </c>
      <c r="C2710" s="561" t="s">
        <v>659</v>
      </c>
      <c r="D2710" s="561" t="s">
        <v>2789</v>
      </c>
      <c r="E2710" s="561" t="s">
        <v>661</v>
      </c>
      <c r="F2710" s="735">
        <v>0</v>
      </c>
      <c r="G2710" s="749">
        <v>0</v>
      </c>
      <c r="H2710" s="749"/>
      <c r="I2710" s="733"/>
      <c r="J2710" s="733"/>
      <c r="K2710" s="735">
        <v>0</v>
      </c>
      <c r="L2710" s="750">
        <v>0</v>
      </c>
    </row>
    <row r="2711" spans="1:12" ht="21" x14ac:dyDescent="0.25">
      <c r="A2711" s="561" t="s">
        <v>120</v>
      </c>
      <c r="B2711" s="749">
        <v>2023</v>
      </c>
      <c r="C2711" s="561" t="s">
        <v>662</v>
      </c>
      <c r="D2711" s="561" t="s">
        <v>2790</v>
      </c>
      <c r="E2711" s="561" t="s">
        <v>664</v>
      </c>
      <c r="F2711" s="735">
        <v>0</v>
      </c>
      <c r="G2711" s="749">
        <v>0</v>
      </c>
      <c r="H2711" s="749"/>
      <c r="I2711" s="733"/>
      <c r="J2711" s="733"/>
      <c r="K2711" s="735">
        <v>0</v>
      </c>
      <c r="L2711" s="750">
        <v>0</v>
      </c>
    </row>
    <row r="2712" spans="1:12" ht="31.5" x14ac:dyDescent="0.25">
      <c r="A2712" s="561" t="s">
        <v>120</v>
      </c>
      <c r="B2712" s="749">
        <v>2023</v>
      </c>
      <c r="C2712" s="561" t="s">
        <v>665</v>
      </c>
      <c r="D2712" s="561" t="s">
        <v>2791</v>
      </c>
      <c r="E2712" s="561" t="s">
        <v>667</v>
      </c>
      <c r="F2712" s="735">
        <v>0</v>
      </c>
      <c r="G2712" s="749">
        <v>0</v>
      </c>
      <c r="H2712" s="749"/>
      <c r="I2712" s="733"/>
      <c r="J2712" s="733"/>
      <c r="K2712" s="735">
        <v>0</v>
      </c>
      <c r="L2712" s="750">
        <v>0</v>
      </c>
    </row>
    <row r="2713" spans="1:12" ht="21" x14ac:dyDescent="0.25">
      <c r="A2713" s="561" t="s">
        <v>120</v>
      </c>
      <c r="B2713" s="749">
        <v>2023</v>
      </c>
      <c r="C2713" s="561" t="s">
        <v>668</v>
      </c>
      <c r="D2713" s="561" t="s">
        <v>2792</v>
      </c>
      <c r="E2713" s="561" t="s">
        <v>12</v>
      </c>
      <c r="F2713" s="735">
        <v>0</v>
      </c>
      <c r="G2713" s="749">
        <v>0</v>
      </c>
      <c r="H2713" s="749"/>
      <c r="I2713" s="733"/>
      <c r="J2713" s="733"/>
      <c r="K2713" s="735">
        <v>0</v>
      </c>
      <c r="L2713" s="750">
        <v>0</v>
      </c>
    </row>
    <row r="2714" spans="1:12" ht="21" x14ac:dyDescent="0.25">
      <c r="A2714" s="561" t="s">
        <v>120</v>
      </c>
      <c r="B2714" s="749">
        <v>2023</v>
      </c>
      <c r="C2714" s="561" t="s">
        <v>670</v>
      </c>
      <c r="D2714" s="561" t="s">
        <v>2793</v>
      </c>
      <c r="E2714" s="561" t="s">
        <v>13</v>
      </c>
      <c r="F2714" s="735">
        <v>0</v>
      </c>
      <c r="G2714" s="749">
        <v>0</v>
      </c>
      <c r="H2714" s="749"/>
      <c r="I2714" s="733"/>
      <c r="J2714" s="733"/>
      <c r="K2714" s="735">
        <v>0</v>
      </c>
      <c r="L2714" s="750">
        <v>0</v>
      </c>
    </row>
    <row r="2715" spans="1:12" ht="21" x14ac:dyDescent="0.25">
      <c r="A2715" s="561" t="s">
        <v>120</v>
      </c>
      <c r="B2715" s="749">
        <v>2023</v>
      </c>
      <c r="C2715" s="561" t="s">
        <v>672</v>
      </c>
      <c r="D2715" s="561" t="s">
        <v>2794</v>
      </c>
      <c r="E2715" s="561" t="s">
        <v>15</v>
      </c>
      <c r="F2715" s="735">
        <v>0</v>
      </c>
      <c r="G2715" s="749">
        <v>0</v>
      </c>
      <c r="H2715" s="749"/>
      <c r="I2715" s="733"/>
      <c r="J2715" s="733"/>
      <c r="K2715" s="735">
        <v>0</v>
      </c>
      <c r="L2715" s="750">
        <v>0</v>
      </c>
    </row>
    <row r="2716" spans="1:12" x14ac:dyDescent="0.25">
      <c r="A2716" s="561" t="s">
        <v>120</v>
      </c>
      <c r="B2716" s="749">
        <v>2023</v>
      </c>
      <c r="C2716" s="561" t="s">
        <v>674</v>
      </c>
      <c r="D2716" s="561" t="s">
        <v>2795</v>
      </c>
      <c r="E2716" s="561" t="s">
        <v>676</v>
      </c>
      <c r="F2716" s="735">
        <v>0</v>
      </c>
      <c r="G2716" s="749">
        <v>0</v>
      </c>
      <c r="H2716" s="749"/>
      <c r="I2716" s="733"/>
      <c r="J2716" s="733"/>
      <c r="K2716" s="735">
        <v>0</v>
      </c>
      <c r="L2716" s="750">
        <v>0</v>
      </c>
    </row>
    <row r="2717" spans="1:12" x14ac:dyDescent="0.25">
      <c r="A2717" s="561" t="s">
        <v>120</v>
      </c>
      <c r="B2717" s="749">
        <v>2023</v>
      </c>
      <c r="C2717" s="561" t="s">
        <v>677</v>
      </c>
      <c r="D2717" s="561" t="s">
        <v>2796</v>
      </c>
      <c r="E2717" s="561" t="s">
        <v>23</v>
      </c>
      <c r="F2717" s="735">
        <v>191298.73</v>
      </c>
      <c r="G2717" s="749">
        <v>1</v>
      </c>
      <c r="H2717" s="749"/>
      <c r="I2717" s="735">
        <v>185795.89</v>
      </c>
      <c r="J2717" s="735">
        <v>5502.84</v>
      </c>
      <c r="K2717" s="735">
        <v>191298.73</v>
      </c>
      <c r="L2717" s="750">
        <v>191298.73</v>
      </c>
    </row>
    <row r="2718" spans="1:12" ht="21" x14ac:dyDescent="0.25">
      <c r="A2718" s="561" t="s">
        <v>120</v>
      </c>
      <c r="B2718" s="749">
        <v>2023</v>
      </c>
      <c r="C2718" s="561" t="s">
        <v>679</v>
      </c>
      <c r="D2718" s="561" t="s">
        <v>2797</v>
      </c>
      <c r="E2718" s="561" t="s">
        <v>131</v>
      </c>
      <c r="F2718" s="735">
        <v>-13610.39</v>
      </c>
      <c r="G2718" s="749">
        <v>1</v>
      </c>
      <c r="H2718" s="749"/>
      <c r="I2718" s="735">
        <v>-13438.79</v>
      </c>
      <c r="J2718" s="735">
        <v>-171.6</v>
      </c>
      <c r="K2718" s="735">
        <v>-13610.39</v>
      </c>
      <c r="L2718" s="750">
        <v>-13610.39</v>
      </c>
    </row>
    <row r="2719" spans="1:12" ht="31.5" x14ac:dyDescent="0.25">
      <c r="A2719" s="561" t="s">
        <v>120</v>
      </c>
      <c r="B2719" s="749">
        <v>2023</v>
      </c>
      <c r="C2719" s="561" t="s">
        <v>681</v>
      </c>
      <c r="D2719" s="561" t="s">
        <v>2798</v>
      </c>
      <c r="E2719" s="561" t="s">
        <v>683</v>
      </c>
      <c r="F2719" s="735">
        <v>0</v>
      </c>
      <c r="G2719" s="749">
        <v>0</v>
      </c>
      <c r="H2719" s="749"/>
      <c r="I2719" s="733"/>
      <c r="J2719" s="733"/>
      <c r="K2719" s="735">
        <v>0</v>
      </c>
      <c r="L2719" s="750">
        <v>0</v>
      </c>
    </row>
    <row r="2720" spans="1:12" ht="21" x14ac:dyDescent="0.25">
      <c r="A2720" s="561" t="s">
        <v>120</v>
      </c>
      <c r="B2720" s="749">
        <v>2023</v>
      </c>
      <c r="C2720" s="561" t="s">
        <v>681</v>
      </c>
      <c r="D2720" s="561" t="s">
        <v>2798</v>
      </c>
      <c r="E2720" s="561" t="s">
        <v>684</v>
      </c>
      <c r="F2720" s="735">
        <v>0</v>
      </c>
      <c r="G2720" s="749">
        <v>0</v>
      </c>
      <c r="H2720" s="749"/>
      <c r="I2720" s="733"/>
      <c r="J2720" s="733"/>
      <c r="K2720" s="735">
        <v>0</v>
      </c>
      <c r="L2720" s="751">
        <v>0</v>
      </c>
    </row>
    <row r="2721" spans="1:12" x14ac:dyDescent="0.25">
      <c r="A2721" s="561" t="s">
        <v>120</v>
      </c>
      <c r="B2721" s="749">
        <v>2023</v>
      </c>
      <c r="C2721" s="561" t="s">
        <v>685</v>
      </c>
      <c r="D2721" s="561" t="s">
        <v>2799</v>
      </c>
      <c r="E2721" s="561" t="s">
        <v>687</v>
      </c>
      <c r="F2721" s="735">
        <v>0</v>
      </c>
      <c r="G2721" s="749">
        <v>0</v>
      </c>
      <c r="H2721" s="749"/>
      <c r="I2721" s="733"/>
      <c r="J2721" s="733"/>
      <c r="K2721" s="735">
        <v>0</v>
      </c>
      <c r="L2721" s="750">
        <v>0</v>
      </c>
    </row>
    <row r="2722" spans="1:12" x14ac:dyDescent="0.25">
      <c r="A2722" s="561" t="s">
        <v>120</v>
      </c>
      <c r="B2722" s="749">
        <v>2023</v>
      </c>
      <c r="C2722" s="561" t="s">
        <v>688</v>
      </c>
      <c r="D2722" s="561" t="s">
        <v>2800</v>
      </c>
      <c r="E2722" s="561" t="s">
        <v>50</v>
      </c>
      <c r="F2722" s="735">
        <v>0</v>
      </c>
      <c r="G2722" s="749">
        <v>0</v>
      </c>
      <c r="H2722" s="749"/>
      <c r="I2722" s="733"/>
      <c r="J2722" s="733"/>
      <c r="K2722" s="735">
        <v>0</v>
      </c>
      <c r="L2722" s="750">
        <v>0</v>
      </c>
    </row>
    <row r="2723" spans="1:12" x14ac:dyDescent="0.25">
      <c r="A2723" s="561" t="s">
        <v>120</v>
      </c>
      <c r="B2723" s="749">
        <v>2023</v>
      </c>
      <c r="C2723" s="561" t="s">
        <v>690</v>
      </c>
      <c r="D2723" s="561" t="s">
        <v>2801</v>
      </c>
      <c r="E2723" s="561" t="s">
        <v>692</v>
      </c>
      <c r="F2723" s="735">
        <v>0</v>
      </c>
      <c r="G2723" s="749">
        <v>0</v>
      </c>
      <c r="H2723" s="749"/>
      <c r="I2723" s="733"/>
      <c r="J2723" s="733"/>
      <c r="K2723" s="735">
        <v>0</v>
      </c>
      <c r="L2723" s="750">
        <v>0</v>
      </c>
    </row>
    <row r="2724" spans="1:12" ht="21" x14ac:dyDescent="0.25">
      <c r="A2724" s="561" t="s">
        <v>120</v>
      </c>
      <c r="B2724" s="749">
        <v>2023</v>
      </c>
      <c r="C2724" s="561" t="s">
        <v>693</v>
      </c>
      <c r="D2724" s="561" t="s">
        <v>2802</v>
      </c>
      <c r="E2724" s="561" t="s">
        <v>6</v>
      </c>
      <c r="F2724" s="735">
        <v>0</v>
      </c>
      <c r="G2724" s="749">
        <v>0</v>
      </c>
      <c r="H2724" s="749"/>
      <c r="I2724" s="733"/>
      <c r="J2724" s="733"/>
      <c r="K2724" s="735">
        <v>0</v>
      </c>
      <c r="L2724" s="750">
        <v>0</v>
      </c>
    </row>
    <row r="2725" spans="1:12" ht="21" x14ac:dyDescent="0.25">
      <c r="A2725" s="561" t="s">
        <v>120</v>
      </c>
      <c r="B2725" s="749">
        <v>2023</v>
      </c>
      <c r="C2725" s="561" t="s">
        <v>695</v>
      </c>
      <c r="D2725" s="561" t="s">
        <v>2803</v>
      </c>
      <c r="E2725" s="561" t="s">
        <v>697</v>
      </c>
      <c r="F2725" s="735">
        <v>0</v>
      </c>
      <c r="G2725" s="749">
        <v>0</v>
      </c>
      <c r="H2725" s="749"/>
      <c r="I2725" s="733"/>
      <c r="J2725" s="733"/>
      <c r="K2725" s="735">
        <v>0</v>
      </c>
      <c r="L2725" s="750">
        <v>0</v>
      </c>
    </row>
    <row r="2726" spans="1:12" x14ac:dyDescent="0.25">
      <c r="A2726" s="561" t="s">
        <v>120</v>
      </c>
      <c r="B2726" s="749">
        <v>2023</v>
      </c>
      <c r="C2726" s="561" t="s">
        <v>698</v>
      </c>
      <c r="D2726" s="561" t="s">
        <v>2804</v>
      </c>
      <c r="E2726" s="561" t="s">
        <v>700</v>
      </c>
      <c r="F2726" s="735">
        <v>0</v>
      </c>
      <c r="G2726" s="749">
        <v>0</v>
      </c>
      <c r="H2726" s="749"/>
      <c r="I2726" s="733"/>
      <c r="J2726" s="733"/>
      <c r="K2726" s="735">
        <v>0</v>
      </c>
      <c r="L2726" s="750">
        <v>0</v>
      </c>
    </row>
    <row r="2727" spans="1:12" ht="21" x14ac:dyDescent="0.25">
      <c r="A2727" s="561" t="s">
        <v>120</v>
      </c>
      <c r="B2727" s="749">
        <v>2023</v>
      </c>
      <c r="C2727" s="561" t="s">
        <v>701</v>
      </c>
      <c r="D2727" s="561" t="s">
        <v>2805</v>
      </c>
      <c r="E2727" s="561" t="s">
        <v>1</v>
      </c>
      <c r="F2727" s="735">
        <v>300565.43</v>
      </c>
      <c r="G2727" s="749">
        <v>1</v>
      </c>
      <c r="H2727" s="749"/>
      <c r="I2727" s="735">
        <v>296115.02</v>
      </c>
      <c r="J2727" s="735">
        <v>4450.41</v>
      </c>
      <c r="K2727" s="735">
        <v>300565.43</v>
      </c>
      <c r="L2727" s="750">
        <v>300565.43</v>
      </c>
    </row>
    <row r="2728" spans="1:12" ht="21" x14ac:dyDescent="0.25">
      <c r="A2728" s="561" t="s">
        <v>120</v>
      </c>
      <c r="B2728" s="749">
        <v>2023</v>
      </c>
      <c r="C2728" s="561" t="s">
        <v>701</v>
      </c>
      <c r="D2728" s="561" t="s">
        <v>2805</v>
      </c>
      <c r="E2728" s="561" t="s">
        <v>703</v>
      </c>
      <c r="F2728" s="735">
        <v>0</v>
      </c>
      <c r="G2728" s="749">
        <v>0</v>
      </c>
      <c r="H2728" s="749"/>
      <c r="I2728" s="733"/>
      <c r="J2728" s="733"/>
      <c r="K2728" s="735">
        <v>0</v>
      </c>
      <c r="L2728" s="751">
        <v>0</v>
      </c>
    </row>
    <row r="2729" spans="1:12" ht="21" x14ac:dyDescent="0.25">
      <c r="A2729" s="561" t="s">
        <v>120</v>
      </c>
      <c r="B2729" s="749">
        <v>2023</v>
      </c>
      <c r="C2729" s="561" t="s">
        <v>701</v>
      </c>
      <c r="D2729" s="561" t="s">
        <v>2805</v>
      </c>
      <c r="E2729" s="561" t="s">
        <v>704</v>
      </c>
      <c r="F2729" s="735">
        <v>0</v>
      </c>
      <c r="G2729" s="749">
        <v>0</v>
      </c>
      <c r="H2729" s="749"/>
      <c r="I2729" s="733"/>
      <c r="J2729" s="733"/>
      <c r="K2729" s="735">
        <v>0</v>
      </c>
      <c r="L2729" s="751">
        <v>0</v>
      </c>
    </row>
    <row r="2730" spans="1:12" ht="21" x14ac:dyDescent="0.25">
      <c r="A2730" s="561" t="s">
        <v>120</v>
      </c>
      <c r="B2730" s="749">
        <v>2023</v>
      </c>
      <c r="C2730" s="561" t="s">
        <v>701</v>
      </c>
      <c r="D2730" s="561" t="s">
        <v>2805</v>
      </c>
      <c r="E2730" s="561" t="s">
        <v>705</v>
      </c>
      <c r="F2730" s="735">
        <v>0</v>
      </c>
      <c r="G2730" s="749">
        <v>0</v>
      </c>
      <c r="H2730" s="749"/>
      <c r="I2730" s="733"/>
      <c r="J2730" s="733"/>
      <c r="K2730" s="735">
        <v>0</v>
      </c>
      <c r="L2730" s="751">
        <v>-110.11</v>
      </c>
    </row>
    <row r="2731" spans="1:12" ht="21" x14ac:dyDescent="0.25">
      <c r="A2731" s="561" t="s">
        <v>120</v>
      </c>
      <c r="B2731" s="749">
        <v>2023</v>
      </c>
      <c r="C2731" s="561" t="s">
        <v>701</v>
      </c>
      <c r="D2731" s="561" t="s">
        <v>2805</v>
      </c>
      <c r="E2731" s="561" t="s">
        <v>706</v>
      </c>
      <c r="F2731" s="735">
        <v>0</v>
      </c>
      <c r="G2731" s="749">
        <v>0</v>
      </c>
      <c r="H2731" s="749"/>
      <c r="I2731" s="733"/>
      <c r="J2731" s="733"/>
      <c r="K2731" s="735">
        <v>0</v>
      </c>
      <c r="L2731" s="751">
        <v>-8023.14</v>
      </c>
    </row>
    <row r="2732" spans="1:12" x14ac:dyDescent="0.25">
      <c r="A2732" s="561" t="s">
        <v>120</v>
      </c>
      <c r="B2732" s="749">
        <v>2023</v>
      </c>
      <c r="C2732" s="561" t="s">
        <v>707</v>
      </c>
      <c r="D2732" s="561" t="s">
        <v>2806</v>
      </c>
      <c r="E2732" s="561" t="s">
        <v>709</v>
      </c>
      <c r="F2732" s="735">
        <v>0</v>
      </c>
      <c r="G2732" s="749">
        <v>0</v>
      </c>
      <c r="H2732" s="749"/>
      <c r="I2732" s="733"/>
      <c r="J2732" s="733"/>
      <c r="K2732" s="735">
        <v>0</v>
      </c>
      <c r="L2732" s="750">
        <v>0</v>
      </c>
    </row>
    <row r="2733" spans="1:12" ht="21" x14ac:dyDescent="0.25">
      <c r="A2733" s="561" t="s">
        <v>120</v>
      </c>
      <c r="B2733" s="749">
        <v>2023</v>
      </c>
      <c r="C2733" s="561" t="s">
        <v>710</v>
      </c>
      <c r="D2733" s="561" t="s">
        <v>2807</v>
      </c>
      <c r="E2733" s="561" t="s">
        <v>2</v>
      </c>
      <c r="F2733" s="735">
        <v>105935.97</v>
      </c>
      <c r="G2733" s="749">
        <v>1</v>
      </c>
      <c r="H2733" s="749"/>
      <c r="I2733" s="735">
        <v>103768.35</v>
      </c>
      <c r="J2733" s="735">
        <v>2167.62</v>
      </c>
      <c r="K2733" s="735">
        <v>105935.97</v>
      </c>
      <c r="L2733" s="750">
        <v>105935.97</v>
      </c>
    </row>
    <row r="2734" spans="1:12" ht="21" x14ac:dyDescent="0.25">
      <c r="A2734" s="561" t="s">
        <v>120</v>
      </c>
      <c r="B2734" s="749">
        <v>2023</v>
      </c>
      <c r="C2734" s="561" t="s">
        <v>712</v>
      </c>
      <c r="D2734" s="561" t="s">
        <v>2808</v>
      </c>
      <c r="E2734" s="561" t="s">
        <v>3</v>
      </c>
      <c r="F2734" s="735">
        <v>58693.57</v>
      </c>
      <c r="G2734" s="749">
        <v>1</v>
      </c>
      <c r="H2734" s="749"/>
      <c r="I2734" s="735">
        <v>56974.06</v>
      </c>
      <c r="J2734" s="735">
        <v>1719.51</v>
      </c>
      <c r="K2734" s="735">
        <v>58693.57</v>
      </c>
      <c r="L2734" s="750">
        <v>58693.57</v>
      </c>
    </row>
    <row r="2735" spans="1:12" ht="21" x14ac:dyDescent="0.25">
      <c r="A2735" s="561" t="s">
        <v>120</v>
      </c>
      <c r="B2735" s="749">
        <v>2023</v>
      </c>
      <c r="C2735" s="561" t="s">
        <v>714</v>
      </c>
      <c r="D2735" s="561" t="s">
        <v>2809</v>
      </c>
      <c r="E2735" s="561" t="s">
        <v>38</v>
      </c>
      <c r="F2735" s="735">
        <v>53556.14</v>
      </c>
      <c r="G2735" s="749">
        <v>1</v>
      </c>
      <c r="H2735" s="749"/>
      <c r="I2735" s="735">
        <v>51118.32</v>
      </c>
      <c r="J2735" s="735">
        <v>2437.8200000000002</v>
      </c>
      <c r="K2735" s="735">
        <v>53556.14</v>
      </c>
      <c r="L2735" s="750">
        <v>53556.14</v>
      </c>
    </row>
    <row r="2736" spans="1:12" x14ac:dyDescent="0.25">
      <c r="A2736" s="561" t="s">
        <v>120</v>
      </c>
      <c r="B2736" s="749">
        <v>2023</v>
      </c>
      <c r="C2736" s="561" t="s">
        <v>716</v>
      </c>
      <c r="D2736" s="561" t="s">
        <v>2810</v>
      </c>
      <c r="E2736" s="561" t="s">
        <v>66</v>
      </c>
      <c r="F2736" s="735">
        <v>12067.45</v>
      </c>
      <c r="G2736" s="749">
        <v>1</v>
      </c>
      <c r="H2736" s="749"/>
      <c r="I2736" s="735">
        <v>13265.29</v>
      </c>
      <c r="J2736" s="735">
        <v>-1197.8399999999999</v>
      </c>
      <c r="K2736" s="735">
        <v>12067.45</v>
      </c>
      <c r="L2736" s="750">
        <v>12067.45</v>
      </c>
    </row>
    <row r="2737" spans="1:12" ht="21" x14ac:dyDescent="0.25">
      <c r="A2737" s="561" t="s">
        <v>120</v>
      </c>
      <c r="B2737" s="749">
        <v>2023</v>
      </c>
      <c r="C2737" s="561" t="s">
        <v>718</v>
      </c>
      <c r="D2737" s="561" t="s">
        <v>2811</v>
      </c>
      <c r="E2737" s="561" t="s">
        <v>720</v>
      </c>
      <c r="F2737" s="735">
        <v>-38820.300000000003</v>
      </c>
      <c r="G2737" s="749">
        <v>0</v>
      </c>
      <c r="H2737" s="749"/>
      <c r="I2737" s="733"/>
      <c r="J2737" s="733"/>
      <c r="K2737" s="735">
        <v>0</v>
      </c>
      <c r="L2737" s="750">
        <v>-38820.300000000003</v>
      </c>
    </row>
    <row r="2738" spans="1:12" ht="31.5" x14ac:dyDescent="0.25">
      <c r="A2738" s="561" t="s">
        <v>120</v>
      </c>
      <c r="B2738" s="749">
        <v>2023</v>
      </c>
      <c r="C2738" s="561" t="s">
        <v>721</v>
      </c>
      <c r="D2738" s="561" t="s">
        <v>2813</v>
      </c>
      <c r="E2738" s="561" t="s">
        <v>724</v>
      </c>
      <c r="F2738" s="735">
        <v>0</v>
      </c>
      <c r="G2738" s="749">
        <v>1</v>
      </c>
      <c r="H2738" s="749"/>
      <c r="I2738" s="733"/>
      <c r="J2738" s="733"/>
      <c r="K2738" s="735">
        <v>0</v>
      </c>
      <c r="L2738" s="750">
        <v>0</v>
      </c>
    </row>
    <row r="2739" spans="1:12" ht="31.5" x14ac:dyDescent="0.25">
      <c r="A2739" s="561" t="s">
        <v>120</v>
      </c>
      <c r="B2739" s="749">
        <v>2023</v>
      </c>
      <c r="C2739" s="561" t="s">
        <v>721</v>
      </c>
      <c r="D2739" s="561" t="s">
        <v>2814</v>
      </c>
      <c r="E2739" s="561" t="s">
        <v>55</v>
      </c>
      <c r="F2739" s="735">
        <v>0</v>
      </c>
      <c r="G2739" s="749">
        <v>1</v>
      </c>
      <c r="H2739" s="749"/>
      <c r="I2739" s="733"/>
      <c r="J2739" s="733"/>
      <c r="K2739" s="735">
        <v>0</v>
      </c>
      <c r="L2739" s="750">
        <v>0</v>
      </c>
    </row>
    <row r="2740" spans="1:12" ht="31.5" x14ac:dyDescent="0.25">
      <c r="A2740" s="561" t="s">
        <v>120</v>
      </c>
      <c r="B2740" s="749">
        <v>2023</v>
      </c>
      <c r="C2740" s="561" t="s">
        <v>721</v>
      </c>
      <c r="D2740" s="561" t="s">
        <v>2815</v>
      </c>
      <c r="E2740" s="561" t="s">
        <v>56</v>
      </c>
      <c r="F2740" s="735">
        <v>0</v>
      </c>
      <c r="G2740" s="749">
        <v>1</v>
      </c>
      <c r="H2740" s="749"/>
      <c r="I2740" s="733"/>
      <c r="J2740" s="733"/>
      <c r="K2740" s="735">
        <v>0</v>
      </c>
      <c r="L2740" s="750">
        <v>0</v>
      </c>
    </row>
    <row r="2741" spans="1:12" ht="31.5" x14ac:dyDescent="0.25">
      <c r="A2741" s="561" t="s">
        <v>120</v>
      </c>
      <c r="B2741" s="749">
        <v>2023</v>
      </c>
      <c r="C2741" s="561" t="s">
        <v>721</v>
      </c>
      <c r="D2741" s="561" t="s">
        <v>2816</v>
      </c>
      <c r="E2741" s="561" t="s">
        <v>728</v>
      </c>
      <c r="F2741" s="735">
        <v>0</v>
      </c>
      <c r="G2741" s="749">
        <v>1</v>
      </c>
      <c r="H2741" s="749"/>
      <c r="I2741" s="733"/>
      <c r="J2741" s="733"/>
      <c r="K2741" s="735">
        <v>0</v>
      </c>
      <c r="L2741" s="750">
        <v>0</v>
      </c>
    </row>
    <row r="2742" spans="1:12" ht="31.5" x14ac:dyDescent="0.25">
      <c r="A2742" s="561" t="s">
        <v>120</v>
      </c>
      <c r="B2742" s="749">
        <v>2023</v>
      </c>
      <c r="C2742" s="561" t="s">
        <v>721</v>
      </c>
      <c r="D2742" s="561" t="s">
        <v>2817</v>
      </c>
      <c r="E2742" s="561" t="s">
        <v>730</v>
      </c>
      <c r="F2742" s="735">
        <v>0</v>
      </c>
      <c r="G2742" s="749">
        <v>1</v>
      </c>
      <c r="H2742" s="749"/>
      <c r="I2742" s="733"/>
      <c r="J2742" s="733"/>
      <c r="K2742" s="735">
        <v>0</v>
      </c>
      <c r="L2742" s="750">
        <v>0</v>
      </c>
    </row>
    <row r="2743" spans="1:12" ht="31.5" x14ac:dyDescent="0.25">
      <c r="A2743" s="561" t="s">
        <v>120</v>
      </c>
      <c r="B2743" s="749">
        <v>2023</v>
      </c>
      <c r="C2743" s="561" t="s">
        <v>721</v>
      </c>
      <c r="D2743" s="561" t="s">
        <v>2818</v>
      </c>
      <c r="E2743" s="561" t="s">
        <v>142</v>
      </c>
      <c r="F2743" s="735">
        <v>0</v>
      </c>
      <c r="G2743" s="749">
        <v>1</v>
      </c>
      <c r="H2743" s="749"/>
      <c r="I2743" s="733"/>
      <c r="J2743" s="733"/>
      <c r="K2743" s="735">
        <v>0</v>
      </c>
      <c r="L2743" s="750">
        <v>0</v>
      </c>
    </row>
    <row r="2744" spans="1:12" ht="31.5" x14ac:dyDescent="0.25">
      <c r="A2744" s="561" t="s">
        <v>120</v>
      </c>
      <c r="B2744" s="749">
        <v>2023</v>
      </c>
      <c r="C2744" s="561" t="s">
        <v>721</v>
      </c>
      <c r="D2744" s="561" t="s">
        <v>2819</v>
      </c>
      <c r="E2744" s="561" t="s">
        <v>143</v>
      </c>
      <c r="F2744" s="735">
        <v>0</v>
      </c>
      <c r="G2744" s="749">
        <v>1</v>
      </c>
      <c r="H2744" s="749"/>
      <c r="I2744" s="733"/>
      <c r="J2744" s="733"/>
      <c r="K2744" s="735">
        <v>0</v>
      </c>
      <c r="L2744" s="750">
        <v>0</v>
      </c>
    </row>
    <row r="2745" spans="1:12" ht="31.5" x14ac:dyDescent="0.25">
      <c r="A2745" s="561" t="s">
        <v>120</v>
      </c>
      <c r="B2745" s="749">
        <v>2023</v>
      </c>
      <c r="C2745" s="561" t="s">
        <v>721</v>
      </c>
      <c r="D2745" s="561" t="s">
        <v>2820</v>
      </c>
      <c r="E2745" s="561" t="s">
        <v>182</v>
      </c>
      <c r="F2745" s="735">
        <v>0</v>
      </c>
      <c r="G2745" s="749">
        <v>1</v>
      </c>
      <c r="H2745" s="749"/>
      <c r="I2745" s="733"/>
      <c r="J2745" s="733"/>
      <c r="K2745" s="735">
        <v>0</v>
      </c>
      <c r="L2745" s="750">
        <v>0</v>
      </c>
    </row>
    <row r="2746" spans="1:12" ht="31.5" x14ac:dyDescent="0.25">
      <c r="A2746" s="561" t="s">
        <v>120</v>
      </c>
      <c r="B2746" s="749">
        <v>2023</v>
      </c>
      <c r="C2746" s="561" t="s">
        <v>721</v>
      </c>
      <c r="D2746" s="561" t="s">
        <v>2821</v>
      </c>
      <c r="E2746" s="561" t="s">
        <v>394</v>
      </c>
      <c r="F2746" s="735">
        <v>0</v>
      </c>
      <c r="G2746" s="749">
        <v>1</v>
      </c>
      <c r="H2746" s="749"/>
      <c r="I2746" s="733"/>
      <c r="J2746" s="733"/>
      <c r="K2746" s="735">
        <v>0</v>
      </c>
      <c r="L2746" s="750">
        <v>0</v>
      </c>
    </row>
    <row r="2747" spans="1:12" ht="31.5" x14ac:dyDescent="0.25">
      <c r="A2747" s="561" t="s">
        <v>120</v>
      </c>
      <c r="B2747" s="749">
        <v>2023</v>
      </c>
      <c r="C2747" s="561" t="s">
        <v>721</v>
      </c>
      <c r="D2747" s="561" t="s">
        <v>2822</v>
      </c>
      <c r="E2747" s="561" t="s">
        <v>423</v>
      </c>
      <c r="F2747" s="735">
        <v>0</v>
      </c>
      <c r="G2747" s="749">
        <v>1</v>
      </c>
      <c r="H2747" s="749"/>
      <c r="I2747" s="733"/>
      <c r="J2747" s="733"/>
      <c r="K2747" s="735">
        <v>0</v>
      </c>
      <c r="L2747" s="750">
        <v>0</v>
      </c>
    </row>
    <row r="2748" spans="1:12" ht="31.5" x14ac:dyDescent="0.25">
      <c r="A2748" s="561" t="s">
        <v>120</v>
      </c>
      <c r="B2748" s="749">
        <v>2023</v>
      </c>
      <c r="C2748" s="561" t="s">
        <v>721</v>
      </c>
      <c r="D2748" s="561" t="s">
        <v>3333</v>
      </c>
      <c r="E2748" s="561" t="s">
        <v>441</v>
      </c>
      <c r="F2748" s="735">
        <v>0</v>
      </c>
      <c r="G2748" s="749">
        <v>1</v>
      </c>
      <c r="H2748" s="749"/>
      <c r="I2748" s="733"/>
      <c r="J2748" s="733"/>
      <c r="K2748" s="735">
        <v>0</v>
      </c>
      <c r="L2748" s="750">
        <v>0</v>
      </c>
    </row>
    <row r="2749" spans="1:12" ht="31.5" x14ac:dyDescent="0.25">
      <c r="A2749" s="561" t="s">
        <v>120</v>
      </c>
      <c r="B2749" s="749">
        <v>2023</v>
      </c>
      <c r="C2749" s="561" t="s">
        <v>721</v>
      </c>
      <c r="D2749" s="561" t="s">
        <v>3615</v>
      </c>
      <c r="E2749" s="561" t="s">
        <v>3016</v>
      </c>
      <c r="F2749" s="735">
        <v>0</v>
      </c>
      <c r="G2749" s="749">
        <v>1</v>
      </c>
      <c r="H2749" s="749"/>
      <c r="I2749" s="733"/>
      <c r="J2749" s="733"/>
      <c r="K2749" s="735">
        <v>0</v>
      </c>
      <c r="L2749" s="750">
        <v>0</v>
      </c>
    </row>
    <row r="2750" spans="1:12" ht="31.5" x14ac:dyDescent="0.25">
      <c r="A2750" s="561" t="s">
        <v>120</v>
      </c>
      <c r="B2750" s="749">
        <v>2023</v>
      </c>
      <c r="C2750" s="561" t="s">
        <v>721</v>
      </c>
      <c r="D2750" s="561" t="s">
        <v>3616</v>
      </c>
      <c r="E2750" s="561" t="s">
        <v>3058</v>
      </c>
      <c r="F2750" s="735">
        <v>0</v>
      </c>
      <c r="G2750" s="749">
        <v>1</v>
      </c>
      <c r="H2750" s="749"/>
      <c r="I2750" s="733"/>
      <c r="J2750" s="733"/>
      <c r="K2750" s="735">
        <v>0</v>
      </c>
      <c r="L2750" s="750">
        <v>0</v>
      </c>
    </row>
    <row r="2751" spans="1:12" ht="31.5" x14ac:dyDescent="0.25">
      <c r="A2751" s="561" t="s">
        <v>120</v>
      </c>
      <c r="B2751" s="749">
        <v>2023</v>
      </c>
      <c r="C2751" s="561" t="s">
        <v>721</v>
      </c>
      <c r="D2751" s="561" t="s">
        <v>3617</v>
      </c>
      <c r="E2751" s="561" t="s">
        <v>3063</v>
      </c>
      <c r="F2751" s="735">
        <v>0</v>
      </c>
      <c r="G2751" s="749">
        <v>1</v>
      </c>
      <c r="H2751" s="749"/>
      <c r="I2751" s="735">
        <v>21445.64</v>
      </c>
      <c r="J2751" s="735">
        <v>2676.6</v>
      </c>
      <c r="K2751" s="735">
        <v>24122.240000000002</v>
      </c>
      <c r="L2751" s="750">
        <v>24122.240000000002</v>
      </c>
    </row>
    <row r="2752" spans="1:12" ht="31.5" x14ac:dyDescent="0.25">
      <c r="A2752" s="561" t="s">
        <v>120</v>
      </c>
      <c r="B2752" s="749">
        <v>2023</v>
      </c>
      <c r="C2752" s="561" t="s">
        <v>721</v>
      </c>
      <c r="D2752" s="561" t="s">
        <v>3930</v>
      </c>
      <c r="E2752" s="561" t="s">
        <v>3425</v>
      </c>
      <c r="F2752" s="735">
        <v>0</v>
      </c>
      <c r="G2752" s="749">
        <v>1</v>
      </c>
      <c r="H2752" s="749"/>
      <c r="I2752" s="735">
        <v>60827.93</v>
      </c>
      <c r="J2752" s="735">
        <v>2430.0300000000002</v>
      </c>
      <c r="K2752" s="735">
        <v>63257.96</v>
      </c>
      <c r="L2752" s="750">
        <v>63257.96</v>
      </c>
    </row>
    <row r="2753" spans="1:12" ht="42" x14ac:dyDescent="0.25">
      <c r="A2753" s="561" t="s">
        <v>120</v>
      </c>
      <c r="B2753" s="749">
        <v>2023</v>
      </c>
      <c r="C2753" s="561" t="s">
        <v>721</v>
      </c>
      <c r="D2753" s="561" t="s">
        <v>3931</v>
      </c>
      <c r="E2753" s="561" t="s">
        <v>737</v>
      </c>
      <c r="F2753" s="735">
        <v>87380.2</v>
      </c>
      <c r="G2753" s="749">
        <v>0</v>
      </c>
      <c r="H2753" s="749"/>
      <c r="I2753" s="733"/>
      <c r="J2753" s="733"/>
      <c r="K2753" s="735">
        <v>0</v>
      </c>
      <c r="L2753" s="750">
        <v>87380.2</v>
      </c>
    </row>
    <row r="2754" spans="1:12" x14ac:dyDescent="0.25">
      <c r="A2754" s="561" t="s">
        <v>120</v>
      </c>
      <c r="B2754" s="749">
        <v>2023</v>
      </c>
      <c r="C2754" s="561" t="s">
        <v>738</v>
      </c>
      <c r="D2754" s="561" t="s">
        <v>2824</v>
      </c>
      <c r="E2754" s="561" t="s">
        <v>7</v>
      </c>
      <c r="F2754" s="735">
        <v>0</v>
      </c>
      <c r="G2754" s="749">
        <v>0</v>
      </c>
      <c r="H2754" s="749"/>
      <c r="I2754" s="733"/>
      <c r="J2754" s="733"/>
      <c r="K2754" s="735">
        <v>0</v>
      </c>
      <c r="L2754" s="750">
        <v>0</v>
      </c>
    </row>
    <row r="2755" spans="1:12" x14ac:dyDescent="0.25">
      <c r="A2755" s="561" t="s">
        <v>121</v>
      </c>
      <c r="B2755" s="749">
        <v>2023</v>
      </c>
      <c r="C2755" s="561" t="s">
        <v>647</v>
      </c>
      <c r="D2755" s="561" t="s">
        <v>2825</v>
      </c>
      <c r="E2755" s="561" t="s">
        <v>649</v>
      </c>
      <c r="F2755" s="735">
        <v>-357269.79</v>
      </c>
      <c r="G2755" s="749">
        <v>0</v>
      </c>
      <c r="H2755" s="749"/>
      <c r="I2755" s="733"/>
      <c r="J2755" s="733"/>
      <c r="K2755" s="735">
        <v>0</v>
      </c>
      <c r="L2755" s="750">
        <v>-357269.79</v>
      </c>
    </row>
    <row r="2756" spans="1:12" ht="21" x14ac:dyDescent="0.25">
      <c r="A2756" s="561" t="s">
        <v>121</v>
      </c>
      <c r="B2756" s="749">
        <v>2023</v>
      </c>
      <c r="C2756" s="561" t="s">
        <v>3691</v>
      </c>
      <c r="D2756" s="561" t="s">
        <v>3674</v>
      </c>
      <c r="E2756" s="561" t="s">
        <v>3675</v>
      </c>
      <c r="F2756" s="735">
        <v>0</v>
      </c>
      <c r="G2756" s="749">
        <v>0</v>
      </c>
      <c r="H2756" s="749"/>
      <c r="I2756" s="733"/>
      <c r="J2756" s="733"/>
      <c r="K2756" s="735">
        <v>0</v>
      </c>
      <c r="L2756" s="750">
        <v>0</v>
      </c>
    </row>
    <row r="2757" spans="1:12" x14ac:dyDescent="0.25">
      <c r="A2757" s="561" t="s">
        <v>121</v>
      </c>
      <c r="B2757" s="749">
        <v>2023</v>
      </c>
      <c r="C2757" s="561" t="s">
        <v>651</v>
      </c>
      <c r="D2757" s="561" t="s">
        <v>2826</v>
      </c>
      <c r="E2757" s="561" t="s">
        <v>653</v>
      </c>
      <c r="F2757" s="735">
        <v>85772.86</v>
      </c>
      <c r="G2757" s="749">
        <v>0</v>
      </c>
      <c r="H2757" s="749"/>
      <c r="I2757" s="733"/>
      <c r="J2757" s="733"/>
      <c r="K2757" s="735">
        <v>0</v>
      </c>
      <c r="L2757" s="750">
        <v>85772.86</v>
      </c>
    </row>
    <row r="2758" spans="1:12" ht="31.5" x14ac:dyDescent="0.25">
      <c r="A2758" s="561" t="s">
        <v>121</v>
      </c>
      <c r="B2758" s="749">
        <v>2023</v>
      </c>
      <c r="C2758" s="561" t="s">
        <v>654</v>
      </c>
      <c r="D2758" s="561" t="s">
        <v>2827</v>
      </c>
      <c r="E2758" s="561" t="s">
        <v>445</v>
      </c>
      <c r="F2758" s="735">
        <v>0</v>
      </c>
      <c r="G2758" s="749">
        <v>0</v>
      </c>
      <c r="H2758" s="749"/>
      <c r="I2758" s="733"/>
      <c r="J2758" s="733"/>
      <c r="K2758" s="735">
        <v>0</v>
      </c>
      <c r="L2758" s="750">
        <v>0</v>
      </c>
    </row>
    <row r="2759" spans="1:12" ht="21" x14ac:dyDescent="0.25">
      <c r="A2759" s="561" t="s">
        <v>121</v>
      </c>
      <c r="B2759" s="749">
        <v>2023</v>
      </c>
      <c r="C2759" s="561" t="s">
        <v>656</v>
      </c>
      <c r="D2759" s="561" t="s">
        <v>2828</v>
      </c>
      <c r="E2759" s="561" t="s">
        <v>658</v>
      </c>
      <c r="F2759" s="735">
        <v>0</v>
      </c>
      <c r="G2759" s="749">
        <v>0</v>
      </c>
      <c r="H2759" s="749"/>
      <c r="I2759" s="733"/>
      <c r="J2759" s="733"/>
      <c r="K2759" s="735">
        <v>0</v>
      </c>
      <c r="L2759" s="750">
        <v>0</v>
      </c>
    </row>
    <row r="2760" spans="1:12" ht="21" x14ac:dyDescent="0.25">
      <c r="A2760" s="561" t="s">
        <v>121</v>
      </c>
      <c r="B2760" s="749">
        <v>2023</v>
      </c>
      <c r="C2760" s="561" t="s">
        <v>659</v>
      </c>
      <c r="D2760" s="561" t="s">
        <v>2829</v>
      </c>
      <c r="E2760" s="561" t="s">
        <v>661</v>
      </c>
      <c r="F2760" s="735">
        <v>0</v>
      </c>
      <c r="G2760" s="749">
        <v>0</v>
      </c>
      <c r="H2760" s="749"/>
      <c r="I2760" s="733"/>
      <c r="J2760" s="733"/>
      <c r="K2760" s="735">
        <v>0</v>
      </c>
      <c r="L2760" s="750">
        <v>0</v>
      </c>
    </row>
    <row r="2761" spans="1:12" ht="21" x14ac:dyDescent="0.25">
      <c r="A2761" s="561" t="s">
        <v>121</v>
      </c>
      <c r="B2761" s="749">
        <v>2023</v>
      </c>
      <c r="C2761" s="561" t="s">
        <v>662</v>
      </c>
      <c r="D2761" s="561" t="s">
        <v>2830</v>
      </c>
      <c r="E2761" s="561" t="s">
        <v>664</v>
      </c>
      <c r="F2761" s="735">
        <v>0</v>
      </c>
      <c r="G2761" s="749">
        <v>0</v>
      </c>
      <c r="H2761" s="749"/>
      <c r="I2761" s="733"/>
      <c r="J2761" s="733"/>
      <c r="K2761" s="735">
        <v>0</v>
      </c>
      <c r="L2761" s="750">
        <v>0</v>
      </c>
    </row>
    <row r="2762" spans="1:12" ht="31.5" x14ac:dyDescent="0.25">
      <c r="A2762" s="561" t="s">
        <v>121</v>
      </c>
      <c r="B2762" s="749">
        <v>2023</v>
      </c>
      <c r="C2762" s="561" t="s">
        <v>665</v>
      </c>
      <c r="D2762" s="561" t="s">
        <v>2831</v>
      </c>
      <c r="E2762" s="561" t="s">
        <v>667</v>
      </c>
      <c r="F2762" s="735">
        <v>0</v>
      </c>
      <c r="G2762" s="749">
        <v>0</v>
      </c>
      <c r="H2762" s="749"/>
      <c r="I2762" s="733"/>
      <c r="J2762" s="733"/>
      <c r="K2762" s="735">
        <v>0</v>
      </c>
      <c r="L2762" s="750">
        <v>0</v>
      </c>
    </row>
    <row r="2763" spans="1:12" ht="21" x14ac:dyDescent="0.25">
      <c r="A2763" s="561" t="s">
        <v>121</v>
      </c>
      <c r="B2763" s="749">
        <v>2023</v>
      </c>
      <c r="C2763" s="561" t="s">
        <v>668</v>
      </c>
      <c r="D2763" s="561" t="s">
        <v>2832</v>
      </c>
      <c r="E2763" s="561" t="s">
        <v>12</v>
      </c>
      <c r="F2763" s="735">
        <v>0</v>
      </c>
      <c r="G2763" s="749">
        <v>0</v>
      </c>
      <c r="H2763" s="749"/>
      <c r="I2763" s="733"/>
      <c r="J2763" s="733"/>
      <c r="K2763" s="735">
        <v>0</v>
      </c>
      <c r="L2763" s="750">
        <v>0</v>
      </c>
    </row>
    <row r="2764" spans="1:12" ht="21" x14ac:dyDescent="0.25">
      <c r="A2764" s="561" t="s">
        <v>121</v>
      </c>
      <c r="B2764" s="749">
        <v>2023</v>
      </c>
      <c r="C2764" s="561" t="s">
        <v>670</v>
      </c>
      <c r="D2764" s="561" t="s">
        <v>2833</v>
      </c>
      <c r="E2764" s="561" t="s">
        <v>13</v>
      </c>
      <c r="F2764" s="735">
        <v>0</v>
      </c>
      <c r="G2764" s="749">
        <v>0</v>
      </c>
      <c r="H2764" s="749"/>
      <c r="I2764" s="733"/>
      <c r="J2764" s="733"/>
      <c r="K2764" s="735">
        <v>0</v>
      </c>
      <c r="L2764" s="750">
        <v>0</v>
      </c>
    </row>
    <row r="2765" spans="1:12" ht="21" x14ac:dyDescent="0.25">
      <c r="A2765" s="561" t="s">
        <v>121</v>
      </c>
      <c r="B2765" s="749">
        <v>2023</v>
      </c>
      <c r="C2765" s="561" t="s">
        <v>672</v>
      </c>
      <c r="D2765" s="561" t="s">
        <v>2834</v>
      </c>
      <c r="E2765" s="561" t="s">
        <v>15</v>
      </c>
      <c r="F2765" s="735">
        <v>0</v>
      </c>
      <c r="G2765" s="749">
        <v>0</v>
      </c>
      <c r="H2765" s="749"/>
      <c r="I2765" s="733"/>
      <c r="J2765" s="733"/>
      <c r="K2765" s="735">
        <v>0</v>
      </c>
      <c r="L2765" s="750">
        <v>0</v>
      </c>
    </row>
    <row r="2766" spans="1:12" x14ac:dyDescent="0.25">
      <c r="A2766" s="561" t="s">
        <v>121</v>
      </c>
      <c r="B2766" s="749">
        <v>2023</v>
      </c>
      <c r="C2766" s="561" t="s">
        <v>674</v>
      </c>
      <c r="D2766" s="561" t="s">
        <v>2835</v>
      </c>
      <c r="E2766" s="561" t="s">
        <v>676</v>
      </c>
      <c r="F2766" s="735">
        <v>25012.87</v>
      </c>
      <c r="G2766" s="749">
        <v>0</v>
      </c>
      <c r="H2766" s="749"/>
      <c r="I2766" s="733"/>
      <c r="J2766" s="733"/>
      <c r="K2766" s="735">
        <v>0</v>
      </c>
      <c r="L2766" s="750">
        <v>25012.87</v>
      </c>
    </row>
    <row r="2767" spans="1:12" x14ac:dyDescent="0.25">
      <c r="A2767" s="561" t="s">
        <v>121</v>
      </c>
      <c r="B2767" s="749">
        <v>2023</v>
      </c>
      <c r="C2767" s="561" t="s">
        <v>677</v>
      </c>
      <c r="D2767" s="561" t="s">
        <v>2836</v>
      </c>
      <c r="E2767" s="561" t="s">
        <v>23</v>
      </c>
      <c r="F2767" s="735">
        <v>1594052.08</v>
      </c>
      <c r="G2767" s="749">
        <v>1</v>
      </c>
      <c r="H2767" s="749"/>
      <c r="I2767" s="735">
        <v>1560117.68</v>
      </c>
      <c r="J2767" s="735">
        <v>33934.400000000001</v>
      </c>
      <c r="K2767" s="735">
        <v>1594052.08</v>
      </c>
      <c r="L2767" s="750">
        <v>1594052.08</v>
      </c>
    </row>
    <row r="2768" spans="1:12" ht="21" x14ac:dyDescent="0.25">
      <c r="A2768" s="561" t="s">
        <v>121</v>
      </c>
      <c r="B2768" s="749">
        <v>2023</v>
      </c>
      <c r="C2768" s="561" t="s">
        <v>679</v>
      </c>
      <c r="D2768" s="561" t="s">
        <v>2837</v>
      </c>
      <c r="E2768" s="561" t="s">
        <v>131</v>
      </c>
      <c r="F2768" s="735">
        <v>-76928.05</v>
      </c>
      <c r="G2768" s="749">
        <v>1</v>
      </c>
      <c r="H2768" s="749"/>
      <c r="I2768" s="735">
        <v>-76245.63</v>
      </c>
      <c r="J2768" s="735">
        <v>-682.42</v>
      </c>
      <c r="K2768" s="735">
        <v>-76928.05</v>
      </c>
      <c r="L2768" s="750">
        <v>-76928.05</v>
      </c>
    </row>
    <row r="2769" spans="1:12" ht="31.5" x14ac:dyDescent="0.25">
      <c r="A2769" s="561" t="s">
        <v>121</v>
      </c>
      <c r="B2769" s="749">
        <v>2023</v>
      </c>
      <c r="C2769" s="561" t="s">
        <v>681</v>
      </c>
      <c r="D2769" s="561" t="s">
        <v>2838</v>
      </c>
      <c r="E2769" s="561" t="s">
        <v>683</v>
      </c>
      <c r="F2769" s="735">
        <v>0</v>
      </c>
      <c r="G2769" s="749">
        <v>0</v>
      </c>
      <c r="H2769" s="749"/>
      <c r="I2769" s="733"/>
      <c r="J2769" s="733"/>
      <c r="K2769" s="735">
        <v>0</v>
      </c>
      <c r="L2769" s="750">
        <v>0</v>
      </c>
    </row>
    <row r="2770" spans="1:12" ht="21" x14ac:dyDescent="0.25">
      <c r="A2770" s="561" t="s">
        <v>121</v>
      </c>
      <c r="B2770" s="749">
        <v>2023</v>
      </c>
      <c r="C2770" s="561" t="s">
        <v>681</v>
      </c>
      <c r="D2770" s="561" t="s">
        <v>2838</v>
      </c>
      <c r="E2770" s="561" t="s">
        <v>684</v>
      </c>
      <c r="F2770" s="735">
        <v>0</v>
      </c>
      <c r="G2770" s="749">
        <v>0</v>
      </c>
      <c r="H2770" s="749"/>
      <c r="I2770" s="733"/>
      <c r="J2770" s="733"/>
      <c r="K2770" s="735">
        <v>0</v>
      </c>
      <c r="L2770" s="751">
        <v>0</v>
      </c>
    </row>
    <row r="2771" spans="1:12" x14ac:dyDescent="0.25">
      <c r="A2771" s="561" t="s">
        <v>121</v>
      </c>
      <c r="B2771" s="749">
        <v>2023</v>
      </c>
      <c r="C2771" s="561" t="s">
        <v>685</v>
      </c>
      <c r="D2771" s="561" t="s">
        <v>2839</v>
      </c>
      <c r="E2771" s="561" t="s">
        <v>687</v>
      </c>
      <c r="F2771" s="735">
        <v>0</v>
      </c>
      <c r="G2771" s="749">
        <v>0</v>
      </c>
      <c r="H2771" s="749"/>
      <c r="I2771" s="733"/>
      <c r="J2771" s="733"/>
      <c r="K2771" s="735">
        <v>0</v>
      </c>
      <c r="L2771" s="750">
        <v>0</v>
      </c>
    </row>
    <row r="2772" spans="1:12" x14ac:dyDescent="0.25">
      <c r="A2772" s="561" t="s">
        <v>121</v>
      </c>
      <c r="B2772" s="749">
        <v>2023</v>
      </c>
      <c r="C2772" s="561" t="s">
        <v>688</v>
      </c>
      <c r="D2772" s="561" t="s">
        <v>2840</v>
      </c>
      <c r="E2772" s="561" t="s">
        <v>50</v>
      </c>
      <c r="F2772" s="735">
        <v>0</v>
      </c>
      <c r="G2772" s="749">
        <v>0</v>
      </c>
      <c r="H2772" s="749"/>
      <c r="I2772" s="733"/>
      <c r="J2772" s="733"/>
      <c r="K2772" s="735">
        <v>0</v>
      </c>
      <c r="L2772" s="750">
        <v>0</v>
      </c>
    </row>
    <row r="2773" spans="1:12" x14ac:dyDescent="0.25">
      <c r="A2773" s="561" t="s">
        <v>121</v>
      </c>
      <c r="B2773" s="749">
        <v>2023</v>
      </c>
      <c r="C2773" s="561" t="s">
        <v>690</v>
      </c>
      <c r="D2773" s="561" t="s">
        <v>2841</v>
      </c>
      <c r="E2773" s="561" t="s">
        <v>692</v>
      </c>
      <c r="F2773" s="735">
        <v>0</v>
      </c>
      <c r="G2773" s="749">
        <v>0</v>
      </c>
      <c r="H2773" s="749"/>
      <c r="I2773" s="733"/>
      <c r="J2773" s="733"/>
      <c r="K2773" s="735">
        <v>0</v>
      </c>
      <c r="L2773" s="750">
        <v>0</v>
      </c>
    </row>
    <row r="2774" spans="1:12" ht="21" x14ac:dyDescent="0.25">
      <c r="A2774" s="561" t="s">
        <v>121</v>
      </c>
      <c r="B2774" s="749">
        <v>2023</v>
      </c>
      <c r="C2774" s="561" t="s">
        <v>693</v>
      </c>
      <c r="D2774" s="561" t="s">
        <v>2842</v>
      </c>
      <c r="E2774" s="561" t="s">
        <v>6</v>
      </c>
      <c r="F2774" s="735">
        <v>0</v>
      </c>
      <c r="G2774" s="749">
        <v>0</v>
      </c>
      <c r="H2774" s="749"/>
      <c r="I2774" s="733"/>
      <c r="J2774" s="733"/>
      <c r="K2774" s="735">
        <v>0</v>
      </c>
      <c r="L2774" s="750">
        <v>0</v>
      </c>
    </row>
    <row r="2775" spans="1:12" ht="21" x14ac:dyDescent="0.25">
      <c r="A2775" s="561" t="s">
        <v>121</v>
      </c>
      <c r="B2775" s="749">
        <v>2023</v>
      </c>
      <c r="C2775" s="561" t="s">
        <v>695</v>
      </c>
      <c r="D2775" s="561" t="s">
        <v>2843</v>
      </c>
      <c r="E2775" s="561" t="s">
        <v>697</v>
      </c>
      <c r="F2775" s="735">
        <v>0</v>
      </c>
      <c r="G2775" s="749">
        <v>0</v>
      </c>
      <c r="H2775" s="749"/>
      <c r="I2775" s="733"/>
      <c r="J2775" s="733"/>
      <c r="K2775" s="735">
        <v>0</v>
      </c>
      <c r="L2775" s="750">
        <v>0</v>
      </c>
    </row>
    <row r="2776" spans="1:12" x14ac:dyDescent="0.25">
      <c r="A2776" s="561" t="s">
        <v>121</v>
      </c>
      <c r="B2776" s="749">
        <v>2023</v>
      </c>
      <c r="C2776" s="561" t="s">
        <v>698</v>
      </c>
      <c r="D2776" s="561" t="s">
        <v>2844</v>
      </c>
      <c r="E2776" s="561" t="s">
        <v>700</v>
      </c>
      <c r="F2776" s="735">
        <v>0</v>
      </c>
      <c r="G2776" s="749">
        <v>0</v>
      </c>
      <c r="H2776" s="749"/>
      <c r="I2776" s="733"/>
      <c r="J2776" s="733"/>
      <c r="K2776" s="735">
        <v>0</v>
      </c>
      <c r="L2776" s="750">
        <v>0</v>
      </c>
    </row>
    <row r="2777" spans="1:12" ht="21" x14ac:dyDescent="0.25">
      <c r="A2777" s="561" t="s">
        <v>121</v>
      </c>
      <c r="B2777" s="749">
        <v>2023</v>
      </c>
      <c r="C2777" s="561" t="s">
        <v>701</v>
      </c>
      <c r="D2777" s="561" t="s">
        <v>2845</v>
      </c>
      <c r="E2777" s="561" t="s">
        <v>1</v>
      </c>
      <c r="F2777" s="735">
        <v>1285563.72</v>
      </c>
      <c r="G2777" s="749">
        <v>1</v>
      </c>
      <c r="H2777" s="749"/>
      <c r="I2777" s="735">
        <v>1264527.27</v>
      </c>
      <c r="J2777" s="735">
        <v>21036.45</v>
      </c>
      <c r="K2777" s="735">
        <v>1285563.72</v>
      </c>
      <c r="L2777" s="750">
        <v>1285563.72</v>
      </c>
    </row>
    <row r="2778" spans="1:12" ht="21" x14ac:dyDescent="0.25">
      <c r="A2778" s="561" t="s">
        <v>121</v>
      </c>
      <c r="B2778" s="749">
        <v>2023</v>
      </c>
      <c r="C2778" s="561" t="s">
        <v>701</v>
      </c>
      <c r="D2778" s="561" t="s">
        <v>2845</v>
      </c>
      <c r="E2778" s="561" t="s">
        <v>703</v>
      </c>
      <c r="F2778" s="735">
        <v>0</v>
      </c>
      <c r="G2778" s="749">
        <v>0</v>
      </c>
      <c r="H2778" s="749"/>
      <c r="I2778" s="733"/>
      <c r="J2778" s="733"/>
      <c r="K2778" s="735">
        <v>0</v>
      </c>
      <c r="L2778" s="751">
        <v>0</v>
      </c>
    </row>
    <row r="2779" spans="1:12" ht="21" x14ac:dyDescent="0.25">
      <c r="A2779" s="561" t="s">
        <v>121</v>
      </c>
      <c r="B2779" s="749">
        <v>2023</v>
      </c>
      <c r="C2779" s="561" t="s">
        <v>701</v>
      </c>
      <c r="D2779" s="561" t="s">
        <v>2845</v>
      </c>
      <c r="E2779" s="561" t="s">
        <v>704</v>
      </c>
      <c r="F2779" s="735">
        <v>0</v>
      </c>
      <c r="G2779" s="749">
        <v>0</v>
      </c>
      <c r="H2779" s="749"/>
      <c r="I2779" s="733"/>
      <c r="J2779" s="733"/>
      <c r="K2779" s="735">
        <v>0</v>
      </c>
      <c r="L2779" s="751">
        <v>-60.5</v>
      </c>
    </row>
    <row r="2780" spans="1:12" ht="21" x14ac:dyDescent="0.25">
      <c r="A2780" s="561" t="s">
        <v>121</v>
      </c>
      <c r="B2780" s="749">
        <v>2023</v>
      </c>
      <c r="C2780" s="561" t="s">
        <v>701</v>
      </c>
      <c r="D2780" s="561" t="s">
        <v>2845</v>
      </c>
      <c r="E2780" s="561" t="s">
        <v>705</v>
      </c>
      <c r="F2780" s="735">
        <v>0</v>
      </c>
      <c r="G2780" s="749">
        <v>0</v>
      </c>
      <c r="H2780" s="749"/>
      <c r="I2780" s="733"/>
      <c r="J2780" s="733"/>
      <c r="K2780" s="735">
        <v>0</v>
      </c>
      <c r="L2780" s="751">
        <v>-1797.23</v>
      </c>
    </row>
    <row r="2781" spans="1:12" ht="21" x14ac:dyDescent="0.25">
      <c r="A2781" s="561" t="s">
        <v>121</v>
      </c>
      <c r="B2781" s="749">
        <v>2023</v>
      </c>
      <c r="C2781" s="561" t="s">
        <v>701</v>
      </c>
      <c r="D2781" s="561" t="s">
        <v>2845</v>
      </c>
      <c r="E2781" s="561" t="s">
        <v>706</v>
      </c>
      <c r="F2781" s="735">
        <v>0</v>
      </c>
      <c r="G2781" s="749">
        <v>0</v>
      </c>
      <c r="H2781" s="749"/>
      <c r="I2781" s="733"/>
      <c r="J2781" s="733"/>
      <c r="K2781" s="735">
        <v>0</v>
      </c>
      <c r="L2781" s="751">
        <v>-75394.94</v>
      </c>
    </row>
    <row r="2782" spans="1:12" x14ac:dyDescent="0.25">
      <c r="A2782" s="561" t="s">
        <v>121</v>
      </c>
      <c r="B2782" s="749">
        <v>2023</v>
      </c>
      <c r="C2782" s="561" t="s">
        <v>707</v>
      </c>
      <c r="D2782" s="561" t="s">
        <v>2846</v>
      </c>
      <c r="E2782" s="561" t="s">
        <v>709</v>
      </c>
      <c r="F2782" s="735">
        <v>0</v>
      </c>
      <c r="G2782" s="749">
        <v>0</v>
      </c>
      <c r="H2782" s="749"/>
      <c r="I2782" s="733"/>
      <c r="J2782" s="733"/>
      <c r="K2782" s="735">
        <v>0</v>
      </c>
      <c r="L2782" s="750">
        <v>0</v>
      </c>
    </row>
    <row r="2783" spans="1:12" ht="21" x14ac:dyDescent="0.25">
      <c r="A2783" s="561" t="s">
        <v>121</v>
      </c>
      <c r="B2783" s="749">
        <v>2023</v>
      </c>
      <c r="C2783" s="561" t="s">
        <v>710</v>
      </c>
      <c r="D2783" s="561" t="s">
        <v>2847</v>
      </c>
      <c r="E2783" s="561" t="s">
        <v>2</v>
      </c>
      <c r="F2783" s="735">
        <v>1007916.15</v>
      </c>
      <c r="G2783" s="749">
        <v>1</v>
      </c>
      <c r="H2783" s="749"/>
      <c r="I2783" s="735">
        <v>992574.22</v>
      </c>
      <c r="J2783" s="735">
        <v>15341.93</v>
      </c>
      <c r="K2783" s="735">
        <v>1007916.15</v>
      </c>
      <c r="L2783" s="750">
        <v>1007916.15</v>
      </c>
    </row>
    <row r="2784" spans="1:12" ht="21" x14ac:dyDescent="0.25">
      <c r="A2784" s="561" t="s">
        <v>121</v>
      </c>
      <c r="B2784" s="749">
        <v>2023</v>
      </c>
      <c r="C2784" s="561" t="s">
        <v>712</v>
      </c>
      <c r="D2784" s="561" t="s">
        <v>2848</v>
      </c>
      <c r="E2784" s="561" t="s">
        <v>3</v>
      </c>
      <c r="F2784" s="735">
        <v>315956.49</v>
      </c>
      <c r="G2784" s="749">
        <v>1</v>
      </c>
      <c r="H2784" s="749"/>
      <c r="I2784" s="735">
        <v>310282.71999999997</v>
      </c>
      <c r="J2784" s="735">
        <v>5673.77</v>
      </c>
      <c r="K2784" s="735">
        <v>315956.49</v>
      </c>
      <c r="L2784" s="750">
        <v>315956.49</v>
      </c>
    </row>
    <row r="2785" spans="1:12" ht="21" x14ac:dyDescent="0.25">
      <c r="A2785" s="561" t="s">
        <v>121</v>
      </c>
      <c r="B2785" s="749">
        <v>2023</v>
      </c>
      <c r="C2785" s="561" t="s">
        <v>714</v>
      </c>
      <c r="D2785" s="561" t="s">
        <v>2849</v>
      </c>
      <c r="E2785" s="561" t="s">
        <v>38</v>
      </c>
      <c r="F2785" s="735">
        <v>2289319.09</v>
      </c>
      <c r="G2785" s="749">
        <v>1</v>
      </c>
      <c r="H2785" s="749"/>
      <c r="I2785" s="735">
        <v>2273039.3599999999</v>
      </c>
      <c r="J2785" s="735">
        <v>16279.73</v>
      </c>
      <c r="K2785" s="735">
        <v>2289319.09</v>
      </c>
      <c r="L2785" s="750">
        <v>2289319.09</v>
      </c>
    </row>
    <row r="2786" spans="1:12" x14ac:dyDescent="0.25">
      <c r="A2786" s="561" t="s">
        <v>121</v>
      </c>
      <c r="B2786" s="749">
        <v>2023</v>
      </c>
      <c r="C2786" s="561" t="s">
        <v>716</v>
      </c>
      <c r="D2786" s="561" t="s">
        <v>2850</v>
      </c>
      <c r="E2786" s="561" t="s">
        <v>66</v>
      </c>
      <c r="F2786" s="735">
        <v>-5926.41</v>
      </c>
      <c r="G2786" s="749">
        <v>1</v>
      </c>
      <c r="H2786" s="749"/>
      <c r="I2786" s="735">
        <v>-11047.51</v>
      </c>
      <c r="J2786" s="735">
        <v>5121.1000000000004</v>
      </c>
      <c r="K2786" s="735">
        <v>-5926.41</v>
      </c>
      <c r="L2786" s="750">
        <v>-5926.41</v>
      </c>
    </row>
    <row r="2787" spans="1:12" ht="21" x14ac:dyDescent="0.25">
      <c r="A2787" s="561" t="s">
        <v>121</v>
      </c>
      <c r="B2787" s="749">
        <v>2023</v>
      </c>
      <c r="C2787" s="561" t="s">
        <v>718</v>
      </c>
      <c r="D2787" s="561" t="s">
        <v>2851</v>
      </c>
      <c r="E2787" s="561" t="s">
        <v>720</v>
      </c>
      <c r="F2787" s="735">
        <v>-325255.99</v>
      </c>
      <c r="G2787" s="749">
        <v>0</v>
      </c>
      <c r="H2787" s="749"/>
      <c r="I2787" s="733"/>
      <c r="J2787" s="733"/>
      <c r="K2787" s="735">
        <v>0</v>
      </c>
      <c r="L2787" s="750">
        <v>-325255.99</v>
      </c>
    </row>
    <row r="2788" spans="1:12" ht="31.5" x14ac:dyDescent="0.25">
      <c r="A2788" s="561" t="s">
        <v>121</v>
      </c>
      <c r="B2788" s="749">
        <v>2023</v>
      </c>
      <c r="C2788" s="561" t="s">
        <v>721</v>
      </c>
      <c r="D2788" s="561" t="s">
        <v>2853</v>
      </c>
      <c r="E2788" s="561" t="s">
        <v>724</v>
      </c>
      <c r="F2788" s="735">
        <v>0</v>
      </c>
      <c r="G2788" s="749">
        <v>1</v>
      </c>
      <c r="H2788" s="749"/>
      <c r="I2788" s="733"/>
      <c r="J2788" s="733"/>
      <c r="K2788" s="735">
        <v>0</v>
      </c>
      <c r="L2788" s="750">
        <v>0</v>
      </c>
    </row>
    <row r="2789" spans="1:12" ht="31.5" x14ac:dyDescent="0.25">
      <c r="A2789" s="561" t="s">
        <v>121</v>
      </c>
      <c r="B2789" s="749">
        <v>2023</v>
      </c>
      <c r="C2789" s="561" t="s">
        <v>721</v>
      </c>
      <c r="D2789" s="561" t="s">
        <v>2854</v>
      </c>
      <c r="E2789" s="561" t="s">
        <v>55</v>
      </c>
      <c r="F2789" s="735">
        <v>0</v>
      </c>
      <c r="G2789" s="749">
        <v>1</v>
      </c>
      <c r="H2789" s="749"/>
      <c r="I2789" s="733"/>
      <c r="J2789" s="733"/>
      <c r="K2789" s="735">
        <v>0</v>
      </c>
      <c r="L2789" s="750">
        <v>0</v>
      </c>
    </row>
    <row r="2790" spans="1:12" ht="31.5" x14ac:dyDescent="0.25">
      <c r="A2790" s="561" t="s">
        <v>121</v>
      </c>
      <c r="B2790" s="749">
        <v>2023</v>
      </c>
      <c r="C2790" s="561" t="s">
        <v>721</v>
      </c>
      <c r="D2790" s="561" t="s">
        <v>2855</v>
      </c>
      <c r="E2790" s="561" t="s">
        <v>56</v>
      </c>
      <c r="F2790" s="735">
        <v>0</v>
      </c>
      <c r="G2790" s="749">
        <v>1</v>
      </c>
      <c r="H2790" s="749"/>
      <c r="I2790" s="733"/>
      <c r="J2790" s="733"/>
      <c r="K2790" s="735">
        <v>0</v>
      </c>
      <c r="L2790" s="750">
        <v>0</v>
      </c>
    </row>
    <row r="2791" spans="1:12" ht="31.5" x14ac:dyDescent="0.25">
      <c r="A2791" s="561" t="s">
        <v>121</v>
      </c>
      <c r="B2791" s="749">
        <v>2023</v>
      </c>
      <c r="C2791" s="561" t="s">
        <v>721</v>
      </c>
      <c r="D2791" s="561" t="s">
        <v>2856</v>
      </c>
      <c r="E2791" s="561" t="s">
        <v>728</v>
      </c>
      <c r="F2791" s="735">
        <v>0</v>
      </c>
      <c r="G2791" s="749">
        <v>1</v>
      </c>
      <c r="H2791" s="749"/>
      <c r="I2791" s="733"/>
      <c r="J2791" s="733"/>
      <c r="K2791" s="735">
        <v>0</v>
      </c>
      <c r="L2791" s="750">
        <v>0</v>
      </c>
    </row>
    <row r="2792" spans="1:12" ht="31.5" x14ac:dyDescent="0.25">
      <c r="A2792" s="561" t="s">
        <v>121</v>
      </c>
      <c r="B2792" s="749">
        <v>2023</v>
      </c>
      <c r="C2792" s="561" t="s">
        <v>721</v>
      </c>
      <c r="D2792" s="561" t="s">
        <v>2857</v>
      </c>
      <c r="E2792" s="561" t="s">
        <v>730</v>
      </c>
      <c r="F2792" s="735">
        <v>0</v>
      </c>
      <c r="G2792" s="749">
        <v>1</v>
      </c>
      <c r="H2792" s="749"/>
      <c r="I2792" s="733"/>
      <c r="J2792" s="733"/>
      <c r="K2792" s="735">
        <v>0</v>
      </c>
      <c r="L2792" s="750">
        <v>0</v>
      </c>
    </row>
    <row r="2793" spans="1:12" ht="31.5" x14ac:dyDescent="0.25">
      <c r="A2793" s="561" t="s">
        <v>121</v>
      </c>
      <c r="B2793" s="749">
        <v>2023</v>
      </c>
      <c r="C2793" s="561" t="s">
        <v>721</v>
      </c>
      <c r="D2793" s="561" t="s">
        <v>2858</v>
      </c>
      <c r="E2793" s="561" t="s">
        <v>142</v>
      </c>
      <c r="F2793" s="735">
        <v>0</v>
      </c>
      <c r="G2793" s="749">
        <v>1</v>
      </c>
      <c r="H2793" s="749"/>
      <c r="I2793" s="733"/>
      <c r="J2793" s="733"/>
      <c r="K2793" s="735">
        <v>0</v>
      </c>
      <c r="L2793" s="750">
        <v>0</v>
      </c>
    </row>
    <row r="2794" spans="1:12" ht="31.5" x14ac:dyDescent="0.25">
      <c r="A2794" s="561" t="s">
        <v>121</v>
      </c>
      <c r="B2794" s="749">
        <v>2023</v>
      </c>
      <c r="C2794" s="561" t="s">
        <v>721</v>
      </c>
      <c r="D2794" s="561" t="s">
        <v>2859</v>
      </c>
      <c r="E2794" s="561" t="s">
        <v>143</v>
      </c>
      <c r="F2794" s="735">
        <v>0</v>
      </c>
      <c r="G2794" s="749">
        <v>1</v>
      </c>
      <c r="H2794" s="749"/>
      <c r="I2794" s="733"/>
      <c r="J2794" s="733"/>
      <c r="K2794" s="735">
        <v>0</v>
      </c>
      <c r="L2794" s="750">
        <v>0</v>
      </c>
    </row>
    <row r="2795" spans="1:12" ht="31.5" x14ac:dyDescent="0.25">
      <c r="A2795" s="561" t="s">
        <v>121</v>
      </c>
      <c r="B2795" s="749">
        <v>2023</v>
      </c>
      <c r="C2795" s="561" t="s">
        <v>721</v>
      </c>
      <c r="D2795" s="561" t="s">
        <v>2860</v>
      </c>
      <c r="E2795" s="561" t="s">
        <v>182</v>
      </c>
      <c r="F2795" s="735">
        <v>0</v>
      </c>
      <c r="G2795" s="749">
        <v>1</v>
      </c>
      <c r="H2795" s="749"/>
      <c r="I2795" s="733"/>
      <c r="J2795" s="733"/>
      <c r="K2795" s="735">
        <v>0</v>
      </c>
      <c r="L2795" s="750">
        <v>0</v>
      </c>
    </row>
    <row r="2796" spans="1:12" ht="31.5" x14ac:dyDescent="0.25">
      <c r="A2796" s="561" t="s">
        <v>121</v>
      </c>
      <c r="B2796" s="749">
        <v>2023</v>
      </c>
      <c r="C2796" s="561" t="s">
        <v>721</v>
      </c>
      <c r="D2796" s="561" t="s">
        <v>2861</v>
      </c>
      <c r="E2796" s="561" t="s">
        <v>394</v>
      </c>
      <c r="F2796" s="735">
        <v>0</v>
      </c>
      <c r="G2796" s="749">
        <v>1</v>
      </c>
      <c r="H2796" s="749"/>
      <c r="I2796" s="733"/>
      <c r="J2796" s="733"/>
      <c r="K2796" s="735">
        <v>0</v>
      </c>
      <c r="L2796" s="750">
        <v>0</v>
      </c>
    </row>
    <row r="2797" spans="1:12" ht="31.5" x14ac:dyDescent="0.25">
      <c r="A2797" s="561" t="s">
        <v>121</v>
      </c>
      <c r="B2797" s="749">
        <v>2023</v>
      </c>
      <c r="C2797" s="561" t="s">
        <v>721</v>
      </c>
      <c r="D2797" s="561" t="s">
        <v>2862</v>
      </c>
      <c r="E2797" s="561" t="s">
        <v>423</v>
      </c>
      <c r="F2797" s="735">
        <v>0</v>
      </c>
      <c r="G2797" s="749">
        <v>1</v>
      </c>
      <c r="H2797" s="749"/>
      <c r="I2797" s="733"/>
      <c r="J2797" s="735">
        <v>488.77</v>
      </c>
      <c r="K2797" s="735">
        <v>488.77</v>
      </c>
      <c r="L2797" s="750">
        <v>488.77</v>
      </c>
    </row>
    <row r="2798" spans="1:12" ht="31.5" x14ac:dyDescent="0.25">
      <c r="A2798" s="561" t="s">
        <v>121</v>
      </c>
      <c r="B2798" s="749">
        <v>2023</v>
      </c>
      <c r="C2798" s="561" t="s">
        <v>721</v>
      </c>
      <c r="D2798" s="561" t="s">
        <v>3334</v>
      </c>
      <c r="E2798" s="561" t="s">
        <v>441</v>
      </c>
      <c r="F2798" s="735">
        <v>0</v>
      </c>
      <c r="G2798" s="749">
        <v>1</v>
      </c>
      <c r="H2798" s="749"/>
      <c r="I2798" s="735">
        <v>-99695.91</v>
      </c>
      <c r="J2798" s="735">
        <v>132099.34</v>
      </c>
      <c r="K2798" s="735">
        <v>32403.43</v>
      </c>
      <c r="L2798" s="750">
        <v>32403.43</v>
      </c>
    </row>
    <row r="2799" spans="1:12" ht="31.5" x14ac:dyDescent="0.25">
      <c r="A2799" s="561" t="s">
        <v>121</v>
      </c>
      <c r="B2799" s="749">
        <v>2023</v>
      </c>
      <c r="C2799" s="561" t="s">
        <v>721</v>
      </c>
      <c r="D2799" s="561" t="s">
        <v>3618</v>
      </c>
      <c r="E2799" s="561" t="s">
        <v>3016</v>
      </c>
      <c r="F2799" s="735">
        <v>0</v>
      </c>
      <c r="G2799" s="749">
        <v>1</v>
      </c>
      <c r="H2799" s="749"/>
      <c r="I2799" s="735">
        <v>-283052.58</v>
      </c>
      <c r="J2799" s="735">
        <v>251639.54</v>
      </c>
      <c r="K2799" s="735">
        <v>-31413.040000000001</v>
      </c>
      <c r="L2799" s="750">
        <v>-31413.040000000001</v>
      </c>
    </row>
    <row r="2800" spans="1:12" ht="31.5" x14ac:dyDescent="0.25">
      <c r="A2800" s="561" t="s">
        <v>121</v>
      </c>
      <c r="B2800" s="749">
        <v>2023</v>
      </c>
      <c r="C2800" s="561" t="s">
        <v>721</v>
      </c>
      <c r="D2800" s="561" t="s">
        <v>3619</v>
      </c>
      <c r="E2800" s="561" t="s">
        <v>3058</v>
      </c>
      <c r="F2800" s="735">
        <v>0</v>
      </c>
      <c r="G2800" s="749">
        <v>1</v>
      </c>
      <c r="H2800" s="749"/>
      <c r="I2800" s="735">
        <v>-70103.14</v>
      </c>
      <c r="J2800" s="735">
        <v>77246.460000000006</v>
      </c>
      <c r="K2800" s="735">
        <v>7143.3200000000097</v>
      </c>
      <c r="L2800" s="750">
        <v>7143.3200000000097</v>
      </c>
    </row>
    <row r="2801" spans="1:12" ht="31.5" x14ac:dyDescent="0.25">
      <c r="A2801" s="561" t="s">
        <v>121</v>
      </c>
      <c r="B2801" s="749">
        <v>2023</v>
      </c>
      <c r="C2801" s="561" t="s">
        <v>721</v>
      </c>
      <c r="D2801" s="561" t="s">
        <v>3620</v>
      </c>
      <c r="E2801" s="561" t="s">
        <v>3063</v>
      </c>
      <c r="F2801" s="735">
        <v>0</v>
      </c>
      <c r="G2801" s="749">
        <v>1</v>
      </c>
      <c r="H2801" s="749"/>
      <c r="I2801" s="735">
        <v>-81150.98</v>
      </c>
      <c r="J2801" s="735">
        <v>130641.55</v>
      </c>
      <c r="K2801" s="735">
        <v>49490.57</v>
      </c>
      <c r="L2801" s="750">
        <v>49490.57</v>
      </c>
    </row>
    <row r="2802" spans="1:12" ht="31.5" x14ac:dyDescent="0.25">
      <c r="A2802" s="561" t="s">
        <v>121</v>
      </c>
      <c r="B2802" s="749">
        <v>2023</v>
      </c>
      <c r="C2802" s="561" t="s">
        <v>721</v>
      </c>
      <c r="D2802" s="561" t="s">
        <v>3932</v>
      </c>
      <c r="E2802" s="561" t="s">
        <v>3425</v>
      </c>
      <c r="F2802" s="735">
        <v>0</v>
      </c>
      <c r="G2802" s="749">
        <v>1</v>
      </c>
      <c r="H2802" s="749"/>
      <c r="I2802" s="735">
        <v>46705.95</v>
      </c>
      <c r="J2802" s="735">
        <v>-40256.300000000003</v>
      </c>
      <c r="K2802" s="735">
        <v>6449.6499999999896</v>
      </c>
      <c r="L2802" s="750">
        <v>6449.6499999999896</v>
      </c>
    </row>
    <row r="2803" spans="1:12" ht="42" x14ac:dyDescent="0.25">
      <c r="A2803" s="561" t="s">
        <v>121</v>
      </c>
      <c r="B2803" s="749">
        <v>2023</v>
      </c>
      <c r="C2803" s="561" t="s">
        <v>721</v>
      </c>
      <c r="D2803" s="561" t="s">
        <v>3933</v>
      </c>
      <c r="E2803" s="561" t="s">
        <v>737</v>
      </c>
      <c r="F2803" s="735">
        <v>64562.7</v>
      </c>
      <c r="G2803" s="749">
        <v>0</v>
      </c>
      <c r="H2803" s="749"/>
      <c r="I2803" s="733"/>
      <c r="J2803" s="733"/>
      <c r="K2803" s="735">
        <v>0</v>
      </c>
      <c r="L2803" s="750">
        <v>64562.7</v>
      </c>
    </row>
    <row r="2804" spans="1:12" x14ac:dyDescent="0.25">
      <c r="A2804" s="561" t="s">
        <v>121</v>
      </c>
      <c r="B2804" s="749">
        <v>2023</v>
      </c>
      <c r="C2804" s="561" t="s">
        <v>738</v>
      </c>
      <c r="D2804" s="561" t="s">
        <v>2864</v>
      </c>
      <c r="E2804" s="561" t="s">
        <v>7</v>
      </c>
      <c r="F2804" s="735">
        <v>-1428789.86</v>
      </c>
      <c r="G2804" s="749">
        <v>0</v>
      </c>
      <c r="H2804" s="749"/>
      <c r="I2804" s="733"/>
      <c r="J2804" s="733"/>
      <c r="K2804" s="735">
        <v>0</v>
      </c>
      <c r="L2804" s="750">
        <v>-1428789.86</v>
      </c>
    </row>
  </sheetData>
  <sheetProtection algorithmName="SHA-512" hashValue="Mw0NqcP3zJnad9l5/9Y0M9xxs6T9NHn6v8tmQ28gu2LhkJECz0vMsd8mkWXIEhW3InBcYsgdyYDQsx4Nj5kkSA==" saltValue="KFXcCrIHJ2K1p7chG0ItfA==" spinCount="100000" sheet="1" objects="1" scenarios="1"/>
  <autoFilter ref="A4:L2804" xr:uid="{A39710AC-69C1-45FF-8528-FFFBE55FFAB0}"/>
  <phoneticPr fontId="118" type="noConversion"/>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A1:J62"/>
  <sheetViews>
    <sheetView zoomScaleNormal="100" workbookViewId="0">
      <selection activeCell="E27" sqref="E27"/>
    </sheetView>
  </sheetViews>
  <sheetFormatPr defaultRowHeight="12.5" x14ac:dyDescent="0.25"/>
  <cols>
    <col min="1" max="1" width="69.26953125" customWidth="1"/>
    <col min="3" max="8" width="20.26953125" customWidth="1"/>
    <col min="9" max="11" width="21" customWidth="1"/>
  </cols>
  <sheetData>
    <row r="1" spans="1:10" ht="34.5" customHeight="1" x14ac:dyDescent="0.25">
      <c r="C1" s="1264" t="s">
        <v>132</v>
      </c>
      <c r="D1" s="1264" t="s">
        <v>133</v>
      </c>
      <c r="E1" s="1264" t="s">
        <v>137</v>
      </c>
      <c r="F1" s="1264" t="s">
        <v>134</v>
      </c>
      <c r="G1" s="1264" t="s">
        <v>136</v>
      </c>
      <c r="H1" s="1264" t="s">
        <v>18</v>
      </c>
      <c r="I1" s="1264" t="s">
        <v>138</v>
      </c>
      <c r="J1" s="1264" t="s">
        <v>135</v>
      </c>
    </row>
    <row r="2" spans="1:10" ht="34.5" customHeight="1" x14ac:dyDescent="0.25">
      <c r="C2" s="1265"/>
      <c r="D2" s="1265"/>
      <c r="E2" s="1265"/>
      <c r="F2" s="1264"/>
      <c r="G2" s="1264"/>
      <c r="H2" s="1264"/>
      <c r="I2" s="1264"/>
      <c r="J2" s="1264"/>
    </row>
    <row r="3" spans="1:10" ht="34.5" customHeight="1" x14ac:dyDescent="0.25">
      <c r="C3" s="1265"/>
      <c r="D3" s="1265"/>
      <c r="E3" s="1265"/>
      <c r="F3" s="1264"/>
      <c r="G3" s="1264"/>
      <c r="H3" s="1264" t="s">
        <v>11</v>
      </c>
      <c r="I3" s="1264"/>
      <c r="J3" s="1264"/>
    </row>
    <row r="4" spans="1:10" ht="15" customHeight="1" x14ac:dyDescent="0.3">
      <c r="A4" s="98" t="s">
        <v>28</v>
      </c>
      <c r="B4" s="99">
        <v>1508</v>
      </c>
      <c r="C4" s="52" t="e">
        <f>VLOOKUP(A4, '2b. Continuity Schedule'!$C$20:$BW$108, MATCH('2b. Continuity Schedule'!BO$20, '2b. Continuity Schedule'!C$20:BW$20,0),FALSE)</f>
        <v>#N/A</v>
      </c>
      <c r="D4" s="52" t="e">
        <f>VLOOKUP(A4, '2b. Continuity Schedule'!$C$20:$BW$108, MATCH('2b. Continuity Schedule'!BP$20, '2b. Continuity Schedule'!C$20:BW$20,0),FALSE)</f>
        <v>#N/A</v>
      </c>
      <c r="E4" s="52" t="e">
        <f>SUM(C4:D4)</f>
        <v>#N/A</v>
      </c>
      <c r="F4" s="52" t="e">
        <f>VLOOKUP(A4, '2b. Continuity Schedule'!$C$20:$BW$108, MATCH('2b. Continuity Schedule'!BQ$20, '2b. Continuity Schedule'!C$20:BW$20,0),FALSE)</f>
        <v>#N/A</v>
      </c>
      <c r="G4" s="52" t="e">
        <f>VLOOKUP(A4, '2b. Continuity Schedule'!$C$20:$BW$108, MATCH('2b. Continuity Schedule'!BR$20, '2b. Continuity Schedule'!C$20:BW$20,0),FALSE)</f>
        <v>#N/A</v>
      </c>
      <c r="H4" s="52" t="e">
        <f>SUM(E4:G4)</f>
        <v>#N/A</v>
      </c>
      <c r="I4" s="52" t="e">
        <f>VLOOKUP(A4, '2b. Continuity Schedule'!$C$20:$BW$108, MATCH('2b. Continuity Schedule'!BV$20, '2b. Continuity Schedule'!C$20:BW$20,0),FALSE)</f>
        <v>#N/A</v>
      </c>
      <c r="J4" s="52" t="e">
        <f>VLOOKUP(A4, '2b. Continuity Schedule'!$C$20:$BW$108, MATCH('2b. Continuity Schedule'!BW$20, '2b. Continuity Schedule'!C$20:BW$20,0),FALSE)</f>
        <v>#N/A</v>
      </c>
    </row>
    <row r="5" spans="1:10" ht="14" x14ac:dyDescent="0.3">
      <c r="A5" s="98" t="s">
        <v>29</v>
      </c>
      <c r="B5" s="99">
        <v>1508</v>
      </c>
      <c r="C5" s="52" t="e">
        <f>VLOOKUP(A5, '2b. Continuity Schedule'!$C$20:$BW$108, MATCH('2b. Continuity Schedule'!BO$20, '2b. Continuity Schedule'!C$20:BW$20,0),FALSE)</f>
        <v>#N/A</v>
      </c>
      <c r="D5" s="52" t="e">
        <f>VLOOKUP(A5, '2b. Continuity Schedule'!$C$20:$BW$108, MATCH('2b. Continuity Schedule'!BP$20, '2b. Continuity Schedule'!C$20:BW$20,0),FALSE)</f>
        <v>#N/A</v>
      </c>
      <c r="E5" s="52" t="e">
        <f t="shared" ref="E5:E44" si="0">SUM(C5:D5)</f>
        <v>#N/A</v>
      </c>
      <c r="F5" s="52" t="e">
        <f>VLOOKUP(A5, '2b. Continuity Schedule'!$C$20:$BW$108, MATCH('2b. Continuity Schedule'!BQ$20, '2b. Continuity Schedule'!C$20:BW$20,0),FALSE)</f>
        <v>#N/A</v>
      </c>
      <c r="G5" s="52" t="e">
        <f>VLOOKUP(A5, '2b. Continuity Schedule'!$C$20:$BW$108, MATCH('2b. Continuity Schedule'!BR$20, '2b. Continuity Schedule'!C$20:BW$20,0),FALSE)</f>
        <v>#N/A</v>
      </c>
      <c r="H5" s="52" t="e">
        <f t="shared" ref="H5:H44" si="1">SUM(E5:G5)</f>
        <v>#N/A</v>
      </c>
      <c r="I5" s="52" t="e">
        <f>VLOOKUP(A5, '2b. Continuity Schedule'!$C$20:$BW$108, MATCH('2b. Continuity Schedule'!BV$20, '2b. Continuity Schedule'!C$20:BW$20,0),FALSE)</f>
        <v>#N/A</v>
      </c>
      <c r="J5" s="52" t="e">
        <f>VLOOKUP(A5, '2b. Continuity Schedule'!$C$20:$BW$108, MATCH('2b. Continuity Schedule'!BW$20, '2b. Continuity Schedule'!C$20:BW$20,0),FALSE)</f>
        <v>#N/A</v>
      </c>
    </row>
    <row r="6" spans="1:10" ht="30.5" x14ac:dyDescent="0.3">
      <c r="A6" s="100" t="s">
        <v>34</v>
      </c>
      <c r="B6" s="99">
        <v>1508</v>
      </c>
      <c r="C6" s="52" t="e">
        <f>VLOOKUP(A6, '2b. Continuity Schedule'!$C$20:$BW$108, MATCH('2b. Continuity Schedule'!BO$20, '2b. Continuity Schedule'!C$20:BW$20,0),FALSE)</f>
        <v>#N/A</v>
      </c>
      <c r="D6" s="52" t="e">
        <f>VLOOKUP(A6, '2b. Continuity Schedule'!$C$20:$BW$108, MATCH('2b. Continuity Schedule'!BP$20, '2b. Continuity Schedule'!C$20:BW$20,0),FALSE)</f>
        <v>#N/A</v>
      </c>
      <c r="E6" s="52" t="e">
        <f t="shared" si="0"/>
        <v>#N/A</v>
      </c>
      <c r="F6" s="52" t="e">
        <f>VLOOKUP(A6, '2b. Continuity Schedule'!$C$20:$BW$108, MATCH('2b. Continuity Schedule'!BQ$20, '2b. Continuity Schedule'!C$20:BW$20,0),FALSE)</f>
        <v>#N/A</v>
      </c>
      <c r="G6" s="52" t="e">
        <f>VLOOKUP(A6, '2b. Continuity Schedule'!$C$20:$BW$108, MATCH('2b. Continuity Schedule'!BR$20, '2b. Continuity Schedule'!C$20:BW$20,0),FALSE)</f>
        <v>#N/A</v>
      </c>
      <c r="H6" s="52" t="e">
        <f t="shared" si="1"/>
        <v>#N/A</v>
      </c>
      <c r="I6" s="52" t="e">
        <f>VLOOKUP(A6, '2b. Continuity Schedule'!$C$20:$BW$108, MATCH('2b. Continuity Schedule'!BV$20, '2b. Continuity Schedule'!C$20:BW$20,0),FALSE)</f>
        <v>#N/A</v>
      </c>
      <c r="J6" s="52" t="e">
        <f>VLOOKUP(A6, '2b. Continuity Schedule'!$C$20:$BW$108, MATCH('2b. Continuity Schedule'!BW$20, '2b. Continuity Schedule'!C$20:BW$20,0),FALSE)</f>
        <v>#N/A</v>
      </c>
    </row>
    <row r="7" spans="1:10" ht="28" x14ac:dyDescent="0.3">
      <c r="A7" s="100" t="s">
        <v>32</v>
      </c>
      <c r="B7" s="99">
        <v>1508</v>
      </c>
      <c r="C7" s="52" t="e">
        <f>VLOOKUP(A7, '2b. Continuity Schedule'!$C$20:$BW$108, MATCH('2b. Continuity Schedule'!BO$20, '2b. Continuity Schedule'!C$20:BW$20,0),FALSE)</f>
        <v>#N/A</v>
      </c>
      <c r="D7" s="52" t="e">
        <f>VLOOKUP(A7, '2b. Continuity Schedule'!$C$20:$BW$108, MATCH('2b. Continuity Schedule'!BP$20, '2b. Continuity Schedule'!C$20:BW$20,0),FALSE)</f>
        <v>#N/A</v>
      </c>
      <c r="E7" s="52" t="e">
        <f t="shared" si="0"/>
        <v>#N/A</v>
      </c>
      <c r="F7" s="52" t="e">
        <f>VLOOKUP(A7, '2b. Continuity Schedule'!$C$20:$BW$108, MATCH('2b. Continuity Schedule'!BQ$20, '2b. Continuity Schedule'!C$20:BW$20,0),FALSE)</f>
        <v>#N/A</v>
      </c>
      <c r="G7" s="52" t="e">
        <f>VLOOKUP(A7, '2b. Continuity Schedule'!$C$20:$BW$108, MATCH('2b. Continuity Schedule'!BR$20, '2b. Continuity Schedule'!C$20:BW$20,0),FALSE)</f>
        <v>#N/A</v>
      </c>
      <c r="H7" s="52" t="e">
        <f t="shared" si="1"/>
        <v>#N/A</v>
      </c>
      <c r="I7" s="52" t="e">
        <f>VLOOKUP(A7, '2b. Continuity Schedule'!$C$20:$BW$108, MATCH('2b. Continuity Schedule'!BV$20, '2b. Continuity Schedule'!C$20:BW$20,0),FALSE)</f>
        <v>#N/A</v>
      </c>
      <c r="J7" s="52" t="e">
        <f>VLOOKUP(A7, '2b. Continuity Schedule'!$C$20:$BW$108, MATCH('2b. Continuity Schedule'!BW$20, '2b. Continuity Schedule'!C$20:BW$20,0),FALSE)</f>
        <v>#N/A</v>
      </c>
    </row>
    <row r="8" spans="1:10" ht="16.5" x14ac:dyDescent="0.3">
      <c r="A8" s="98" t="s">
        <v>33</v>
      </c>
      <c r="B8" s="99">
        <v>1508</v>
      </c>
      <c r="C8" s="52" t="e">
        <f>VLOOKUP(A8, '2b. Continuity Schedule'!$C$20:$BW$108, MATCH('2b. Continuity Schedule'!BO$20, '2b. Continuity Schedule'!C$20:BW$20,0),FALSE)</f>
        <v>#N/A</v>
      </c>
      <c r="D8" s="52" t="e">
        <f>VLOOKUP(A8, '2b. Continuity Schedule'!$C$20:$BW$108, MATCH('2b. Continuity Schedule'!BP$20, '2b. Continuity Schedule'!C$20:BW$20,0),FALSE)</f>
        <v>#N/A</v>
      </c>
      <c r="E8" s="52" t="e">
        <f t="shared" si="0"/>
        <v>#N/A</v>
      </c>
      <c r="F8" s="52" t="e">
        <f>VLOOKUP(A8, '2b. Continuity Schedule'!$C$20:$BW$108, MATCH('2b. Continuity Schedule'!BQ$20, '2b. Continuity Schedule'!C$20:BW$20,0),FALSE)</f>
        <v>#N/A</v>
      </c>
      <c r="G8" s="52" t="e">
        <f>VLOOKUP(A8, '2b. Continuity Schedule'!$C$20:$BW$108, MATCH('2b. Continuity Schedule'!BR$20, '2b. Continuity Schedule'!C$20:BW$20,0),FALSE)</f>
        <v>#N/A</v>
      </c>
      <c r="H8" s="52" t="e">
        <f t="shared" si="1"/>
        <v>#N/A</v>
      </c>
      <c r="I8" s="52" t="e">
        <f>VLOOKUP(A8, '2b. Continuity Schedule'!$C$20:$BW$108, MATCH('2b. Continuity Schedule'!BV$20, '2b. Continuity Schedule'!C$20:BW$20,0),FALSE)</f>
        <v>#N/A</v>
      </c>
      <c r="J8" s="52" t="e">
        <f>VLOOKUP(A8, '2b. Continuity Schedule'!$C$20:$BW$108, MATCH('2b. Continuity Schedule'!BW$20, '2b. Continuity Schedule'!C$20:BW$20,0),FALSE)</f>
        <v>#N/A</v>
      </c>
    </row>
    <row r="9" spans="1:10" ht="14" x14ac:dyDescent="0.3">
      <c r="A9" s="98" t="s">
        <v>4</v>
      </c>
      <c r="B9" s="99">
        <v>1518</v>
      </c>
      <c r="C9" s="52" t="e">
        <f>VLOOKUP(A9, '2b. Continuity Schedule'!$C$20:$BW$108, MATCH('2b. Continuity Schedule'!BO$20, '2b. Continuity Schedule'!C$20:BW$20,0),FALSE)</f>
        <v>#N/A</v>
      </c>
      <c r="D9" s="52" t="e">
        <f>VLOOKUP(A9, '2b. Continuity Schedule'!$C$20:$BW$108, MATCH('2b. Continuity Schedule'!BP$20, '2b. Continuity Schedule'!C$20:BW$20,0),FALSE)</f>
        <v>#N/A</v>
      </c>
      <c r="E9" s="52" t="e">
        <f t="shared" si="0"/>
        <v>#N/A</v>
      </c>
      <c r="F9" s="52" t="e">
        <f>VLOOKUP(A9, '2b. Continuity Schedule'!$C$20:$BW$108, MATCH('2b. Continuity Schedule'!BQ$20, '2b. Continuity Schedule'!C$20:BW$20,0),FALSE)</f>
        <v>#N/A</v>
      </c>
      <c r="G9" s="52" t="e">
        <f>VLOOKUP(A9, '2b. Continuity Schedule'!$C$20:$BW$108, MATCH('2b. Continuity Schedule'!BR$20, '2b. Continuity Schedule'!C$20:BW$20,0),FALSE)</f>
        <v>#N/A</v>
      </c>
      <c r="H9" s="52" t="e">
        <f t="shared" si="1"/>
        <v>#N/A</v>
      </c>
      <c r="I9" s="52" t="e">
        <f>VLOOKUP(A9, '2b. Continuity Schedule'!$C$20:$BW$108, MATCH('2b. Continuity Schedule'!BV$20, '2b. Continuity Schedule'!C$20:BW$20,0),FALSE)</f>
        <v>#N/A</v>
      </c>
      <c r="J9" s="52" t="e">
        <f>VLOOKUP(A9, '2b. Continuity Schedule'!$C$20:$BW$108, MATCH('2b. Continuity Schedule'!BW$20, '2b. Continuity Schedule'!C$20:BW$20,0),FALSE)</f>
        <v>#N/A</v>
      </c>
    </row>
    <row r="10" spans="1:10" ht="14" x14ac:dyDescent="0.3">
      <c r="A10" s="98" t="s">
        <v>9</v>
      </c>
      <c r="B10" s="99">
        <v>1525</v>
      </c>
      <c r="C10" s="52">
        <f>VLOOKUP(A10, '2b. Continuity Schedule'!$C$20:$BW$108, MATCH('2b. Continuity Schedule'!BO$20, '2b. Continuity Schedule'!C$20:BW$20,0),FALSE)</f>
        <v>0</v>
      </c>
      <c r="D10" s="52">
        <f>VLOOKUP(A10, '2b. Continuity Schedule'!$C$20:$BW$108, MATCH('2b. Continuity Schedule'!BP$20, '2b. Continuity Schedule'!C$20:BW$20,0),FALSE)</f>
        <v>0</v>
      </c>
      <c r="E10" s="52">
        <f t="shared" si="0"/>
        <v>0</v>
      </c>
      <c r="F10" s="52">
        <f>VLOOKUP(A10, '2b. Continuity Schedule'!$C$20:$BW$108, MATCH('2b. Continuity Schedule'!BQ$20, '2b. Continuity Schedule'!C$20:BW$20,0),FALSE)</f>
        <v>0</v>
      </c>
      <c r="G10" s="52">
        <f>VLOOKUP(A10, '2b. Continuity Schedule'!$C$20:$BW$108, MATCH('2b. Continuity Schedule'!BR$20, '2b. Continuity Schedule'!C$20:BW$20,0),FALSE)</f>
        <v>0</v>
      </c>
      <c r="H10" s="52">
        <f t="shared" si="1"/>
        <v>0</v>
      </c>
      <c r="I10" s="52">
        <f>VLOOKUP(A10, '2b. Continuity Schedule'!$C$20:$BW$108, MATCH('2b. Continuity Schedule'!BV$20, '2b. Continuity Schedule'!C$20:BW$20,0),FALSE)</f>
        <v>0</v>
      </c>
      <c r="J10" s="52">
        <f>VLOOKUP(A10, '2b. Continuity Schedule'!$C$20:$BW$108, MATCH('2b. Continuity Schedule'!BW$20, '2b. Continuity Schedule'!C$20:BW$20,0),FALSE)</f>
        <v>0</v>
      </c>
    </row>
    <row r="11" spans="1:10" ht="14" x14ac:dyDescent="0.3">
      <c r="A11" s="98" t="s">
        <v>25</v>
      </c>
      <c r="B11" s="99">
        <v>1531</v>
      </c>
      <c r="C11" s="52">
        <f>VLOOKUP(A11, '2b. Continuity Schedule'!$C$20:$BW$108, MATCH('2b. Continuity Schedule'!BO$20, '2b. Continuity Schedule'!C$20:BW$20,0),FALSE)</f>
        <v>0</v>
      </c>
      <c r="D11" s="52">
        <f>VLOOKUP(A11, '2b. Continuity Schedule'!$C$20:$BW$108, MATCH('2b. Continuity Schedule'!BP$20, '2b. Continuity Schedule'!C$20:BW$20,0),FALSE)</f>
        <v>0</v>
      </c>
      <c r="E11" s="52">
        <f t="shared" si="0"/>
        <v>0</v>
      </c>
      <c r="F11" s="52">
        <f>VLOOKUP(A11, '2b. Continuity Schedule'!$C$20:$BW$108, MATCH('2b. Continuity Schedule'!BQ$20, '2b. Continuity Schedule'!C$20:BW$20,0),FALSE)</f>
        <v>0</v>
      </c>
      <c r="G11" s="52">
        <f>VLOOKUP(A11, '2b. Continuity Schedule'!$C$20:$BW$108, MATCH('2b. Continuity Schedule'!BR$20, '2b. Continuity Schedule'!C$20:BW$20,0),FALSE)</f>
        <v>0</v>
      </c>
      <c r="H11" s="52">
        <f t="shared" si="1"/>
        <v>0</v>
      </c>
      <c r="I11" s="52">
        <f>VLOOKUP(A11, '2b. Continuity Schedule'!$C$20:$BW$108, MATCH('2b. Continuity Schedule'!BV$20, '2b. Continuity Schedule'!C$20:BW$20,0),FALSE)</f>
        <v>0</v>
      </c>
      <c r="J11" s="52">
        <f>VLOOKUP(A11, '2b. Continuity Schedule'!$C$20:$BW$108, MATCH('2b. Continuity Schedule'!BW$20, '2b. Continuity Schedule'!C$20:BW$20,0),FALSE)</f>
        <v>0</v>
      </c>
    </row>
    <row r="12" spans="1:10" ht="14" x14ac:dyDescent="0.3">
      <c r="A12" s="98" t="s">
        <v>26</v>
      </c>
      <c r="B12" s="99">
        <v>1532</v>
      </c>
      <c r="C12" s="52">
        <f>VLOOKUP(A12, '2b. Continuity Schedule'!$C$20:$BW$108, MATCH('2b. Continuity Schedule'!BO$20, '2b. Continuity Schedule'!C$20:BW$20,0),FALSE)</f>
        <v>0</v>
      </c>
      <c r="D12" s="52">
        <f>VLOOKUP(A12, '2b. Continuity Schedule'!$C$20:$BW$108, MATCH('2b. Continuity Schedule'!BP$20, '2b. Continuity Schedule'!C$20:BW$20,0),FALSE)</f>
        <v>0</v>
      </c>
      <c r="E12" s="52">
        <f t="shared" si="0"/>
        <v>0</v>
      </c>
      <c r="F12" s="52">
        <f>VLOOKUP(A12, '2b. Continuity Schedule'!$C$20:$BW$108, MATCH('2b. Continuity Schedule'!BQ$20, '2b. Continuity Schedule'!C$20:BW$20,0),FALSE)</f>
        <v>0</v>
      </c>
      <c r="G12" s="52">
        <f>VLOOKUP(A12, '2b. Continuity Schedule'!$C$20:$BW$108, MATCH('2b. Continuity Schedule'!BR$20, '2b. Continuity Schedule'!C$20:BW$20,0),FALSE)</f>
        <v>0</v>
      </c>
      <c r="H12" s="52">
        <f t="shared" si="1"/>
        <v>0</v>
      </c>
      <c r="I12" s="52">
        <f>VLOOKUP(A12, '2b. Continuity Schedule'!$C$20:$BW$108, MATCH('2b. Continuity Schedule'!BV$20, '2b. Continuity Schedule'!C$20:BW$20,0),FALSE)</f>
        <v>0</v>
      </c>
      <c r="J12" s="52">
        <f>VLOOKUP(A12, '2b. Continuity Schedule'!$C$20:$BW$108, MATCH('2b. Continuity Schedule'!BW$20, '2b. Continuity Schedule'!C$20:BW$20,0),FALSE)</f>
        <v>0</v>
      </c>
    </row>
    <row r="13" spans="1:10" ht="14" x14ac:dyDescent="0.3">
      <c r="A13" s="101" t="s">
        <v>17</v>
      </c>
      <c r="B13" s="99">
        <v>1533</v>
      </c>
      <c r="C13" s="52">
        <f>VLOOKUP(A13, '2b. Continuity Schedule'!$C$20:$BW$108, MATCH('2b. Continuity Schedule'!BO$20, '2b. Continuity Schedule'!C$20:BW$20,0),FALSE)</f>
        <v>0</v>
      </c>
      <c r="D13" s="52">
        <f>VLOOKUP(A13, '2b. Continuity Schedule'!$C$20:$BW$108, MATCH('2b. Continuity Schedule'!BP$20, '2b. Continuity Schedule'!C$20:BW$20,0),FALSE)</f>
        <v>0</v>
      </c>
      <c r="E13" s="52">
        <f t="shared" si="0"/>
        <v>0</v>
      </c>
      <c r="F13" s="52">
        <f>VLOOKUP(A13, '2b. Continuity Schedule'!$C$20:$BW$108, MATCH('2b. Continuity Schedule'!BQ$20, '2b. Continuity Schedule'!C$20:BW$20,0),FALSE)</f>
        <v>0</v>
      </c>
      <c r="G13" s="52">
        <f>VLOOKUP(A13, '2b. Continuity Schedule'!$C$20:$BW$108, MATCH('2b. Continuity Schedule'!BR$20, '2b. Continuity Schedule'!C$20:BW$20,0),FALSE)</f>
        <v>0</v>
      </c>
      <c r="H13" s="52">
        <f t="shared" si="1"/>
        <v>0</v>
      </c>
      <c r="I13" s="52">
        <f>VLOOKUP(A13, '2b. Continuity Schedule'!$C$20:$BW$108, MATCH('2b. Continuity Schedule'!BV$20, '2b. Continuity Schedule'!C$20:BW$20,0),FALSE)</f>
        <v>-3046986.07</v>
      </c>
      <c r="J13" s="52">
        <f>VLOOKUP(A13, '2b. Continuity Schedule'!$C$20:$BW$108, MATCH('2b. Continuity Schedule'!BW$20, '2b. Continuity Schedule'!C$20:BW$20,0),FALSE)</f>
        <v>-3046986.07</v>
      </c>
    </row>
    <row r="14" spans="1:10" ht="14" x14ac:dyDescent="0.3">
      <c r="A14" s="98" t="s">
        <v>12</v>
      </c>
      <c r="B14" s="99">
        <v>1534</v>
      </c>
      <c r="C14" s="52">
        <f>VLOOKUP(A14, '2b. Continuity Schedule'!$C$20:$BW$108, MATCH('2b. Continuity Schedule'!BO$20, '2b. Continuity Schedule'!C$20:BW$20,0),FALSE)</f>
        <v>0</v>
      </c>
      <c r="D14" s="52">
        <f>VLOOKUP(A14, '2b. Continuity Schedule'!$C$20:$BW$108, MATCH('2b. Continuity Schedule'!BP$20, '2b. Continuity Schedule'!C$20:BW$20,0),FALSE)</f>
        <v>0</v>
      </c>
      <c r="E14" s="52">
        <f t="shared" si="0"/>
        <v>0</v>
      </c>
      <c r="F14" s="52">
        <f>VLOOKUP(A14, '2b. Continuity Schedule'!$C$20:$BW$108, MATCH('2b. Continuity Schedule'!BQ$20, '2b. Continuity Schedule'!C$20:BW$20,0),FALSE)</f>
        <v>0</v>
      </c>
      <c r="G14" s="52">
        <f>VLOOKUP(A14, '2b. Continuity Schedule'!$C$20:$BW$108, MATCH('2b. Continuity Schedule'!BR$20, '2b. Continuity Schedule'!C$20:BW$20,0),FALSE)</f>
        <v>0</v>
      </c>
      <c r="H14" s="52">
        <f t="shared" si="1"/>
        <v>0</v>
      </c>
      <c r="I14" s="52">
        <f>VLOOKUP(A14, '2b. Continuity Schedule'!$C$20:$BW$108, MATCH('2b. Continuity Schedule'!BV$20, '2b. Continuity Schedule'!C$20:BW$20,0),FALSE)</f>
        <v>0</v>
      </c>
      <c r="J14" s="52">
        <f>VLOOKUP(A14, '2b. Continuity Schedule'!$C$20:$BW$108, MATCH('2b. Continuity Schedule'!BW$20, '2b. Continuity Schedule'!C$20:BW$20,0),FALSE)</f>
        <v>0</v>
      </c>
    </row>
    <row r="15" spans="1:10" ht="14" x14ac:dyDescent="0.3">
      <c r="A15" s="98" t="s">
        <v>13</v>
      </c>
      <c r="B15" s="99">
        <v>1535</v>
      </c>
      <c r="C15" s="52">
        <f>VLOOKUP(A15, '2b. Continuity Schedule'!$C$20:$BW$108, MATCH('2b. Continuity Schedule'!BO$20, '2b. Continuity Schedule'!C$20:BW$20,0),FALSE)</f>
        <v>0</v>
      </c>
      <c r="D15" s="52">
        <f>VLOOKUP(A15, '2b. Continuity Schedule'!$C$20:$BW$108, MATCH('2b. Continuity Schedule'!BP$20, '2b. Continuity Schedule'!C$20:BW$20,0),FALSE)</f>
        <v>0</v>
      </c>
      <c r="E15" s="52">
        <f t="shared" si="0"/>
        <v>0</v>
      </c>
      <c r="F15" s="52">
        <f>VLOOKUP(A15, '2b. Continuity Schedule'!$C$20:$BW$108, MATCH('2b. Continuity Schedule'!BQ$20, '2b. Continuity Schedule'!C$20:BW$20,0),FALSE)</f>
        <v>0</v>
      </c>
      <c r="G15" s="52">
        <f>VLOOKUP(A15, '2b. Continuity Schedule'!$C$20:$BW$108, MATCH('2b. Continuity Schedule'!BR$20, '2b. Continuity Schedule'!C$20:BW$20,0),FALSE)</f>
        <v>0</v>
      </c>
      <c r="H15" s="52">
        <f t="shared" si="1"/>
        <v>0</v>
      </c>
      <c r="I15" s="52">
        <f>VLOOKUP(A15, '2b. Continuity Schedule'!$C$20:$BW$108, MATCH('2b. Continuity Schedule'!BV$20, '2b. Continuity Schedule'!C$20:BW$20,0),FALSE)</f>
        <v>0</v>
      </c>
      <c r="J15" s="52">
        <f>VLOOKUP(A15, '2b. Continuity Schedule'!$C$20:$BW$108, MATCH('2b. Continuity Schedule'!BW$20, '2b. Continuity Schedule'!C$20:BW$20,0),FALSE)</f>
        <v>0</v>
      </c>
    </row>
    <row r="16" spans="1:10" ht="14" x14ac:dyDescent="0.3">
      <c r="A16" s="98" t="s">
        <v>15</v>
      </c>
      <c r="B16" s="99">
        <v>1536</v>
      </c>
      <c r="C16" s="52">
        <f>VLOOKUP(A16, '2b. Continuity Schedule'!$C$20:$BW$108, MATCH('2b. Continuity Schedule'!BO$20, '2b. Continuity Schedule'!C$20:BW$20,0),FALSE)</f>
        <v>0</v>
      </c>
      <c r="D16" s="52">
        <f>VLOOKUP(A16, '2b. Continuity Schedule'!$C$20:$BW$108, MATCH('2b. Continuity Schedule'!BP$20, '2b. Continuity Schedule'!C$20:BW$20,0),FALSE)</f>
        <v>0</v>
      </c>
      <c r="E16" s="52">
        <f t="shared" si="0"/>
        <v>0</v>
      </c>
      <c r="F16" s="52">
        <f>VLOOKUP(A16, '2b. Continuity Schedule'!$C$20:$BW$108, MATCH('2b. Continuity Schedule'!BQ$20, '2b. Continuity Schedule'!C$20:BW$20,0),FALSE)</f>
        <v>0</v>
      </c>
      <c r="G16" s="52">
        <f>VLOOKUP(A16, '2b. Continuity Schedule'!$C$20:$BW$108, MATCH('2b. Continuity Schedule'!BR$20, '2b. Continuity Schedule'!C$20:BW$20,0),FALSE)</f>
        <v>0</v>
      </c>
      <c r="H16" s="52">
        <f t="shared" si="1"/>
        <v>0</v>
      </c>
      <c r="I16" s="52">
        <f>VLOOKUP(A16, '2b. Continuity Schedule'!$C$20:$BW$108, MATCH('2b. Continuity Schedule'!BV$20, '2b. Continuity Schedule'!C$20:BW$20,0),FALSE)</f>
        <v>0</v>
      </c>
      <c r="J16" s="52">
        <f>VLOOKUP(A16, '2b. Continuity Schedule'!$C$20:$BW$108, MATCH('2b. Continuity Schedule'!BW$20, '2b. Continuity Schedule'!C$20:BW$20,0),FALSE)</f>
        <v>0</v>
      </c>
    </row>
    <row r="17" spans="1:10" ht="14" x14ac:dyDescent="0.3">
      <c r="A17" s="98" t="s">
        <v>5</v>
      </c>
      <c r="B17" s="99">
        <v>1548</v>
      </c>
      <c r="C17" s="52" t="e">
        <f>VLOOKUP(A17, '2b. Continuity Schedule'!$C$20:$BW$108, MATCH('2b. Continuity Schedule'!BO$20, '2b. Continuity Schedule'!C$20:BW$20,0),FALSE)</f>
        <v>#N/A</v>
      </c>
      <c r="D17" s="52" t="e">
        <f>VLOOKUP(A17, '2b. Continuity Schedule'!$C$20:$BW$108, MATCH('2b. Continuity Schedule'!BP$20, '2b. Continuity Schedule'!C$20:BW$20,0),FALSE)</f>
        <v>#N/A</v>
      </c>
      <c r="E17" s="52" t="e">
        <f t="shared" si="0"/>
        <v>#N/A</v>
      </c>
      <c r="F17" s="52" t="e">
        <f>VLOOKUP(A17, '2b. Continuity Schedule'!$C$20:$BW$108, MATCH('2b. Continuity Schedule'!BQ$20, '2b. Continuity Schedule'!C$20:BW$20,0),FALSE)</f>
        <v>#N/A</v>
      </c>
      <c r="G17" s="52" t="e">
        <f>VLOOKUP(A17, '2b. Continuity Schedule'!$C$20:$BW$108, MATCH('2b. Continuity Schedule'!BR$20, '2b. Continuity Schedule'!C$20:BW$20,0),FALSE)</f>
        <v>#N/A</v>
      </c>
      <c r="H17" s="52" t="e">
        <f t="shared" si="1"/>
        <v>#N/A</v>
      </c>
      <c r="I17" s="52" t="e">
        <f>VLOOKUP(A17, '2b. Continuity Schedule'!$C$20:$BW$108, MATCH('2b. Continuity Schedule'!BV$20, '2b. Continuity Schedule'!C$20:BW$20,0),FALSE)</f>
        <v>#N/A</v>
      </c>
      <c r="J17" s="52" t="e">
        <f>VLOOKUP(A17, '2b. Continuity Schedule'!$C$20:$BW$108, MATCH('2b. Continuity Schedule'!BW$20, '2b. Continuity Schedule'!C$20:BW$20,0),FALSE)</f>
        <v>#N/A</v>
      </c>
    </row>
    <row r="18" spans="1:10" ht="14" x14ac:dyDescent="0.3">
      <c r="A18" s="98" t="s">
        <v>23</v>
      </c>
      <c r="B18" s="99">
        <v>1550</v>
      </c>
      <c r="C18" s="52">
        <f>VLOOKUP(A18, '2b. Continuity Schedule'!$C$20:$BW$108, MATCH('2b. Continuity Schedule'!BO$20, '2b. Continuity Schedule'!C$20:BW$20,0),FALSE)</f>
        <v>0</v>
      </c>
      <c r="D18" s="52">
        <f>VLOOKUP(A18, '2b. Continuity Schedule'!$C$20:$BW$108, MATCH('2b. Continuity Schedule'!BP$20, '2b. Continuity Schedule'!C$20:BW$20,0),FALSE)</f>
        <v>0</v>
      </c>
      <c r="E18" s="52">
        <f t="shared" si="0"/>
        <v>0</v>
      </c>
      <c r="F18" s="52">
        <f>VLOOKUP(A18, '2b. Continuity Schedule'!$C$20:$BW$108, MATCH('2b. Continuity Schedule'!BQ$20, '2b. Continuity Schedule'!C$20:BW$20,0),FALSE)</f>
        <v>0</v>
      </c>
      <c r="G18" s="52">
        <f>VLOOKUP(A18, '2b. Continuity Schedule'!$C$20:$BW$108, MATCH('2b. Continuity Schedule'!BR$20, '2b. Continuity Schedule'!C$20:BW$20,0),FALSE)</f>
        <v>0</v>
      </c>
      <c r="H18" s="52">
        <f t="shared" si="1"/>
        <v>0</v>
      </c>
      <c r="I18" s="52">
        <f>VLOOKUP(A18, '2b. Continuity Schedule'!$C$20:$BW$108, MATCH('2b. Continuity Schedule'!BV$20, '2b. Continuity Schedule'!C$20:BW$20,0),FALSE)</f>
        <v>0</v>
      </c>
      <c r="J18" s="52">
        <f>VLOOKUP(A18, '2b. Continuity Schedule'!$C$20:$BW$108, MATCH('2b. Continuity Schedule'!BW$20, '2b. Continuity Schedule'!C$20:BW$20,0),FALSE)</f>
        <v>0</v>
      </c>
    </row>
    <row r="19" spans="1:10" ht="14" x14ac:dyDescent="0.3">
      <c r="A19" s="98" t="s">
        <v>131</v>
      </c>
      <c r="B19" s="99">
        <v>1551</v>
      </c>
      <c r="C19" s="52">
        <f>VLOOKUP(A19, '2b. Continuity Schedule'!$C$20:$BW$108, MATCH('2b. Continuity Schedule'!BO$20, '2b. Continuity Schedule'!C$20:BW$20,0),FALSE)</f>
        <v>0</v>
      </c>
      <c r="D19" s="52">
        <f>VLOOKUP(A19, '2b. Continuity Schedule'!$C$20:$BW$108, MATCH('2b. Continuity Schedule'!BP$20, '2b. Continuity Schedule'!C$20:BW$20,0),FALSE)</f>
        <v>0</v>
      </c>
      <c r="E19" s="52">
        <f t="shared" si="0"/>
        <v>0</v>
      </c>
      <c r="F19" s="52">
        <f>VLOOKUP(A19, '2b. Continuity Schedule'!$C$20:$BW$108, MATCH('2b. Continuity Schedule'!BQ$20, '2b. Continuity Schedule'!C$20:BW$20,0),FALSE)</f>
        <v>0</v>
      </c>
      <c r="G19" s="52">
        <f>VLOOKUP(A19, '2b. Continuity Schedule'!$C$20:$BW$108, MATCH('2b. Continuity Schedule'!BR$20, '2b. Continuity Schedule'!C$20:BW$20,0),FALSE)</f>
        <v>0</v>
      </c>
      <c r="H19" s="52">
        <f t="shared" si="1"/>
        <v>0</v>
      </c>
      <c r="I19" s="52">
        <f>VLOOKUP(A19, '2b. Continuity Schedule'!$C$20:$BW$108, MATCH('2b. Continuity Schedule'!BV$20, '2b. Continuity Schedule'!C$20:BW$20,0),FALSE)</f>
        <v>0</v>
      </c>
      <c r="J19" s="52">
        <f>VLOOKUP(A19, '2b. Continuity Schedule'!$C$20:$BW$108, MATCH('2b. Continuity Schedule'!BW$20, '2b. Continuity Schedule'!C$20:BW$20,0),FALSE)</f>
        <v>0</v>
      </c>
    </row>
    <row r="20" spans="1:10" ht="16.5" x14ac:dyDescent="0.3">
      <c r="A20" s="98" t="s">
        <v>70</v>
      </c>
      <c r="B20" s="99">
        <v>1555</v>
      </c>
      <c r="C20" s="52" t="e">
        <f>VLOOKUP(A20, '2b. Continuity Schedule'!$C$20:$BW$108, MATCH('2b. Continuity Schedule'!BO$20, '2b. Continuity Schedule'!C$20:BW$20,0),FALSE)</f>
        <v>#N/A</v>
      </c>
      <c r="D20" s="52" t="e">
        <f>VLOOKUP(A20, '2b. Continuity Schedule'!$C$20:$BW$108, MATCH('2b. Continuity Schedule'!BP$20, '2b. Continuity Schedule'!C$20:BW$20,0),FALSE)</f>
        <v>#N/A</v>
      </c>
      <c r="E20" s="52" t="e">
        <f t="shared" si="0"/>
        <v>#N/A</v>
      </c>
      <c r="F20" s="52" t="e">
        <f>VLOOKUP(A20, '2b. Continuity Schedule'!$C$20:$BW$108, MATCH('2b. Continuity Schedule'!BQ$20, '2b. Continuity Schedule'!C$20:BW$20,0),FALSE)</f>
        <v>#N/A</v>
      </c>
      <c r="G20" s="52" t="e">
        <f>VLOOKUP(A20, '2b. Continuity Schedule'!$C$20:$BW$108, MATCH('2b. Continuity Schedule'!BR$20, '2b. Continuity Schedule'!C$20:BW$20,0),FALSE)</f>
        <v>#N/A</v>
      </c>
      <c r="H20" s="52" t="e">
        <f t="shared" si="1"/>
        <v>#N/A</v>
      </c>
      <c r="I20" s="52" t="e">
        <f>VLOOKUP(A20, '2b. Continuity Schedule'!$C$20:$BW$108, MATCH('2b. Continuity Schedule'!BV$20, '2b. Continuity Schedule'!C$20:BW$20,0),FALSE)</f>
        <v>#N/A</v>
      </c>
      <c r="J20" s="52" t="e">
        <f>VLOOKUP(A20, '2b. Continuity Schedule'!$C$20:$BW$108, MATCH('2b. Continuity Schedule'!BW$20, '2b. Continuity Schedule'!C$20:BW$20,0),FALSE)</f>
        <v>#N/A</v>
      </c>
    </row>
    <row r="21" spans="1:10" ht="16.5" x14ac:dyDescent="0.3">
      <c r="A21" s="98" t="s">
        <v>71</v>
      </c>
      <c r="B21" s="99">
        <v>1555</v>
      </c>
      <c r="C21" s="52" t="e">
        <f>VLOOKUP(A21, '2b. Continuity Schedule'!$C$20:$BW$108, MATCH('2b. Continuity Schedule'!BO$20, '2b. Continuity Schedule'!C$20:BW$20,0),FALSE)</f>
        <v>#N/A</v>
      </c>
      <c r="D21" s="52" t="e">
        <f>VLOOKUP(A21, '2b. Continuity Schedule'!$C$20:$BW$108, MATCH('2b. Continuity Schedule'!BP$20, '2b. Continuity Schedule'!C$20:BW$20,0),FALSE)</f>
        <v>#N/A</v>
      </c>
      <c r="E21" s="52" t="e">
        <f t="shared" si="0"/>
        <v>#N/A</v>
      </c>
      <c r="F21" s="52" t="e">
        <f>VLOOKUP(A21, '2b. Continuity Schedule'!$C$20:$BW$108, MATCH('2b. Continuity Schedule'!BQ$20, '2b. Continuity Schedule'!C$20:BW$20,0),FALSE)</f>
        <v>#N/A</v>
      </c>
      <c r="G21" s="52" t="e">
        <f>VLOOKUP(A21, '2b. Continuity Schedule'!$C$20:$BW$108, MATCH('2b. Continuity Schedule'!BR$20, '2b. Continuity Schedule'!C$20:BW$20,0),FALSE)</f>
        <v>#N/A</v>
      </c>
      <c r="H21" s="52" t="e">
        <f t="shared" si="1"/>
        <v>#N/A</v>
      </c>
      <c r="I21" s="52" t="e">
        <f>VLOOKUP(A21, '2b. Continuity Schedule'!$C$20:$BW$108, MATCH('2b. Continuity Schedule'!BV$20, '2b. Continuity Schedule'!C$20:BW$20,0),FALSE)</f>
        <v>#N/A</v>
      </c>
      <c r="J21" s="52" t="e">
        <f>VLOOKUP(A21, '2b. Continuity Schedule'!$C$20:$BW$108, MATCH('2b. Continuity Schedule'!BW$20, '2b. Continuity Schedule'!C$20:BW$20,0),FALSE)</f>
        <v>#N/A</v>
      </c>
    </row>
    <row r="22" spans="1:10" ht="16.5" x14ac:dyDescent="0.3">
      <c r="A22" s="98" t="s">
        <v>72</v>
      </c>
      <c r="B22" s="99">
        <v>1555</v>
      </c>
      <c r="C22" s="52" t="e">
        <f>VLOOKUP(A22, '2b. Continuity Schedule'!$C$20:$BW$108, MATCH('2b. Continuity Schedule'!BO$20, '2b. Continuity Schedule'!C$20:BW$20,0),FALSE)</f>
        <v>#N/A</v>
      </c>
      <c r="D22" s="52" t="e">
        <f>VLOOKUP(A22, '2b. Continuity Schedule'!$C$20:$BW$108, MATCH('2b. Continuity Schedule'!BP$20, '2b. Continuity Schedule'!C$20:BW$20,0),FALSE)</f>
        <v>#N/A</v>
      </c>
      <c r="E22" s="52" t="e">
        <f t="shared" si="0"/>
        <v>#N/A</v>
      </c>
      <c r="F22" s="52" t="e">
        <f>VLOOKUP(A22, '2b. Continuity Schedule'!$C$20:$BW$108, MATCH('2b. Continuity Schedule'!BQ$20, '2b. Continuity Schedule'!C$20:BW$20,0),FALSE)</f>
        <v>#N/A</v>
      </c>
      <c r="G22" s="52" t="e">
        <f>VLOOKUP(A22, '2b. Continuity Schedule'!$C$20:$BW$108, MATCH('2b. Continuity Schedule'!BR$20, '2b. Continuity Schedule'!C$20:BW$20,0),FALSE)</f>
        <v>#N/A</v>
      </c>
      <c r="H22" s="52" t="e">
        <f t="shared" si="1"/>
        <v>#N/A</v>
      </c>
      <c r="I22" s="52" t="e">
        <f>VLOOKUP(A22, '2b. Continuity Schedule'!$C$20:$BW$108, MATCH('2b. Continuity Schedule'!BV$20, '2b. Continuity Schedule'!C$20:BW$20,0),FALSE)</f>
        <v>#N/A</v>
      </c>
      <c r="J22" s="52" t="e">
        <f>VLOOKUP(A22, '2b. Continuity Schedule'!$C$20:$BW$108, MATCH('2b. Continuity Schedule'!BW$20, '2b. Continuity Schedule'!C$20:BW$20,0),FALSE)</f>
        <v>#N/A</v>
      </c>
    </row>
    <row r="23" spans="1:10" ht="16.5" x14ac:dyDescent="0.3">
      <c r="A23" s="98" t="s">
        <v>73</v>
      </c>
      <c r="B23" s="99">
        <v>1556</v>
      </c>
      <c r="C23" s="52" t="e">
        <f>VLOOKUP(A23, '2b. Continuity Schedule'!$C$20:$BW$108, MATCH('2b. Continuity Schedule'!BO$20, '2b. Continuity Schedule'!C$20:BW$20,0),FALSE)</f>
        <v>#N/A</v>
      </c>
      <c r="D23" s="52" t="e">
        <f>VLOOKUP(A23, '2b. Continuity Schedule'!$C$20:$BW$108, MATCH('2b. Continuity Schedule'!BP$20, '2b. Continuity Schedule'!C$20:BW$20,0),FALSE)</f>
        <v>#N/A</v>
      </c>
      <c r="E23" s="52" t="e">
        <f t="shared" si="0"/>
        <v>#N/A</v>
      </c>
      <c r="F23" s="52" t="e">
        <f>VLOOKUP(A23, '2b. Continuity Schedule'!$C$20:$BW$108, MATCH('2b. Continuity Schedule'!BQ$20, '2b. Continuity Schedule'!C$20:BW$20,0),FALSE)</f>
        <v>#N/A</v>
      </c>
      <c r="G23" s="52" t="e">
        <f>VLOOKUP(A23, '2b. Continuity Schedule'!$C$20:$BW$108, MATCH('2b. Continuity Schedule'!BR$20, '2b. Continuity Schedule'!C$20:BW$20,0),FALSE)</f>
        <v>#N/A</v>
      </c>
      <c r="H23" s="52" t="e">
        <f t="shared" si="1"/>
        <v>#N/A</v>
      </c>
      <c r="I23" s="52" t="e">
        <f>VLOOKUP(A23, '2b. Continuity Schedule'!$C$20:$BW$108, MATCH('2b. Continuity Schedule'!BV$20, '2b. Continuity Schedule'!C$20:BW$20,0),FALSE)</f>
        <v>#N/A</v>
      </c>
      <c r="J23" s="52" t="e">
        <f>VLOOKUP(A23, '2b. Continuity Schedule'!$C$20:$BW$108, MATCH('2b. Continuity Schedule'!BW$20, '2b. Continuity Schedule'!C$20:BW$20,0),FALSE)</f>
        <v>#N/A</v>
      </c>
    </row>
    <row r="24" spans="1:10" ht="14" x14ac:dyDescent="0.3">
      <c r="A24" s="98" t="s">
        <v>8</v>
      </c>
      <c r="B24" s="99">
        <v>1562</v>
      </c>
      <c r="C24" s="52" t="e">
        <f>VLOOKUP(A24, '2b. Continuity Schedule'!$C$20:$BW$108, MATCH('2b. Continuity Schedule'!BO$20, '2b. Continuity Schedule'!C$20:BW$20,0),FALSE)</f>
        <v>#N/A</v>
      </c>
      <c r="D24" s="52" t="e">
        <f>VLOOKUP(A24, '2b. Continuity Schedule'!$C$20:$BW$108, MATCH('2b. Continuity Schedule'!BP$20, '2b. Continuity Schedule'!C$20:BW$20,0),FALSE)</f>
        <v>#N/A</v>
      </c>
      <c r="E24" s="52" t="e">
        <f t="shared" si="0"/>
        <v>#N/A</v>
      </c>
      <c r="F24" s="52" t="e">
        <f>VLOOKUP(A24, '2b. Continuity Schedule'!$C$20:$BW$108, MATCH('2b. Continuity Schedule'!BQ$20, '2b. Continuity Schedule'!C$20:BW$20,0),FALSE)</f>
        <v>#N/A</v>
      </c>
      <c r="G24" s="52" t="e">
        <f>VLOOKUP(A24, '2b. Continuity Schedule'!$C$20:$BW$108, MATCH('2b. Continuity Schedule'!BR$20, '2b. Continuity Schedule'!C$20:BW$20,0),FALSE)</f>
        <v>#N/A</v>
      </c>
      <c r="H24" s="52" t="e">
        <f t="shared" si="1"/>
        <v>#N/A</v>
      </c>
      <c r="I24" s="52" t="e">
        <f>VLOOKUP(A24, '2b. Continuity Schedule'!$C$20:$BW$108, MATCH('2b. Continuity Schedule'!BV$20, '2b. Continuity Schedule'!C$20:BW$20,0),FALSE)</f>
        <v>#N/A</v>
      </c>
      <c r="J24" s="52" t="e">
        <f>VLOOKUP(A24, '2b. Continuity Schedule'!$C$20:$BW$108, MATCH('2b. Continuity Schedule'!BW$20, '2b. Continuity Schedule'!C$20:BW$20,0),FALSE)</f>
        <v>#N/A</v>
      </c>
    </row>
    <row r="25" spans="1:10" ht="14" x14ac:dyDescent="0.3">
      <c r="A25" s="98" t="s">
        <v>27</v>
      </c>
      <c r="B25" s="99">
        <v>1567</v>
      </c>
      <c r="C25" s="52" t="e">
        <f>VLOOKUP(A25, '2b. Continuity Schedule'!$C$20:$BW$108, MATCH('2b. Continuity Schedule'!BO$20, '2b. Continuity Schedule'!C$20:BW$20,0),FALSE)</f>
        <v>#N/A</v>
      </c>
      <c r="D25" s="52" t="e">
        <f>VLOOKUP(A25, '2b. Continuity Schedule'!$C$20:$BW$108, MATCH('2b. Continuity Schedule'!BP$20, '2b. Continuity Schedule'!C$20:BW$20,0),FALSE)</f>
        <v>#N/A</v>
      </c>
      <c r="E25" s="52" t="e">
        <f t="shared" si="0"/>
        <v>#N/A</v>
      </c>
      <c r="F25" s="52" t="e">
        <f>VLOOKUP(A25, '2b. Continuity Schedule'!$C$20:$BW$108, MATCH('2b. Continuity Schedule'!BQ$20, '2b. Continuity Schedule'!C$20:BW$20,0),FALSE)</f>
        <v>#N/A</v>
      </c>
      <c r="G25" s="52" t="e">
        <f>VLOOKUP(A25, '2b. Continuity Schedule'!$C$20:$BW$108, MATCH('2b. Continuity Schedule'!BR$20, '2b. Continuity Schedule'!C$20:BW$20,0),FALSE)</f>
        <v>#N/A</v>
      </c>
      <c r="H25" s="52" t="e">
        <f t="shared" si="1"/>
        <v>#N/A</v>
      </c>
      <c r="I25" s="52" t="e">
        <f>VLOOKUP(A25, '2b. Continuity Schedule'!$C$20:$BW$108, MATCH('2b. Continuity Schedule'!BV$20, '2b. Continuity Schedule'!C$20:BW$20,0),FALSE)</f>
        <v>#N/A</v>
      </c>
      <c r="J25" s="52" t="e">
        <f>VLOOKUP(A25, '2b. Continuity Schedule'!$C$20:$BW$108, MATCH('2b. Continuity Schedule'!BW$20, '2b. Continuity Schedule'!C$20:BW$20,0),FALSE)</f>
        <v>#N/A</v>
      </c>
    </row>
    <row r="26" spans="1:10" ht="14" x14ac:dyDescent="0.3">
      <c r="A26" s="98" t="s">
        <v>50</v>
      </c>
      <c r="B26" s="99">
        <v>1568</v>
      </c>
      <c r="C26" s="52" t="e">
        <f>VLOOKUP(A26, '2b. Continuity Schedule'!$C$20:$BW$108, MATCH('2b. Continuity Schedule'!BO$20, '2b. Continuity Schedule'!C$20:BW$20,0),FALSE)</f>
        <v>#N/A</v>
      </c>
      <c r="D26" s="52" t="e">
        <f>VLOOKUP(A26, '2b. Continuity Schedule'!$C$20:$BW$108, MATCH('2b. Continuity Schedule'!BP$20, '2b. Continuity Schedule'!C$20:BW$20,0),FALSE)</f>
        <v>#N/A</v>
      </c>
      <c r="E26" s="52" t="e">
        <f t="shared" si="0"/>
        <v>#N/A</v>
      </c>
      <c r="F26" s="52" t="e">
        <f>VLOOKUP(A26, '2b. Continuity Schedule'!$C$20:$BW$108, MATCH('2b. Continuity Schedule'!BQ$20, '2b. Continuity Schedule'!C$20:BW$20,0),FALSE)</f>
        <v>#N/A</v>
      </c>
      <c r="G26" s="52" t="e">
        <f>VLOOKUP(A26, '2b. Continuity Schedule'!$C$20:$BW$108, MATCH('2b. Continuity Schedule'!BR$20, '2b. Continuity Schedule'!C$20:BW$20,0),FALSE)</f>
        <v>#N/A</v>
      </c>
      <c r="H26" s="52" t="e">
        <f t="shared" si="1"/>
        <v>#N/A</v>
      </c>
      <c r="I26" s="52" t="e">
        <f>VLOOKUP(A26, '2b. Continuity Schedule'!$C$20:$BW$108, MATCH('2b. Continuity Schedule'!BV$20, '2b. Continuity Schedule'!C$20:BW$20,0),FALSE)</f>
        <v>#N/A</v>
      </c>
      <c r="J26" s="52" t="e">
        <f>VLOOKUP(A26, '2b. Continuity Schedule'!$C$20:$BW$108, MATCH('2b. Continuity Schedule'!BW$20, '2b. Continuity Schedule'!C$20:BW$20,0),FALSE)</f>
        <v>#N/A</v>
      </c>
    </row>
    <row r="27" spans="1:10" ht="14" x14ac:dyDescent="0.3">
      <c r="A27" s="98" t="s">
        <v>10</v>
      </c>
      <c r="B27" s="99">
        <v>1572</v>
      </c>
      <c r="C27" s="52">
        <f>VLOOKUP(A27, '2b. Continuity Schedule'!$C$20:$BW$108, MATCH('2b. Continuity Schedule'!BO$20, '2b. Continuity Schedule'!C$20:BW$20,0),FALSE)</f>
        <v>0</v>
      </c>
      <c r="D27" s="52">
        <f>VLOOKUP(A27, '2b. Continuity Schedule'!$C$20:$BW$108, MATCH('2b. Continuity Schedule'!BP$20, '2b. Continuity Schedule'!C$20:BW$20,0),FALSE)</f>
        <v>0</v>
      </c>
      <c r="E27" s="52">
        <f t="shared" si="0"/>
        <v>0</v>
      </c>
      <c r="F27" s="52">
        <f>VLOOKUP(A27, '2b. Continuity Schedule'!$C$20:$BW$108, MATCH('2b. Continuity Schedule'!BQ$20, '2b. Continuity Schedule'!C$20:BW$20,0),FALSE)</f>
        <v>0</v>
      </c>
      <c r="G27" s="52">
        <f>VLOOKUP(A27, '2b. Continuity Schedule'!$C$20:$BW$108, MATCH('2b. Continuity Schedule'!BR$20, '2b. Continuity Schedule'!C$20:BW$20,0),FALSE)</f>
        <v>0</v>
      </c>
      <c r="H27" s="52">
        <f t="shared" si="1"/>
        <v>0</v>
      </c>
      <c r="I27" s="52">
        <f>VLOOKUP(A27, '2b. Continuity Schedule'!$C$20:$BW$108, MATCH('2b. Continuity Schedule'!BV$20, '2b. Continuity Schedule'!C$20:BW$20,0),FALSE)</f>
        <v>0</v>
      </c>
      <c r="J27" s="52">
        <f>VLOOKUP(A27, '2b. Continuity Schedule'!$C$20:$BW$108, MATCH('2b. Continuity Schedule'!BW$20, '2b. Continuity Schedule'!C$20:BW$20,0),FALSE)</f>
        <v>0</v>
      </c>
    </row>
    <row r="28" spans="1:10" ht="14" x14ac:dyDescent="0.3">
      <c r="A28" s="98" t="s">
        <v>6</v>
      </c>
      <c r="B28" s="99">
        <v>1574</v>
      </c>
      <c r="C28" s="52">
        <f>VLOOKUP(A28, '2b. Continuity Schedule'!$C$20:$BW$108, MATCH('2b. Continuity Schedule'!BO$20, '2b. Continuity Schedule'!C$20:BW$20,0),FALSE)</f>
        <v>0</v>
      </c>
      <c r="D28" s="52">
        <f>VLOOKUP(A28, '2b. Continuity Schedule'!$C$20:$BW$108, MATCH('2b. Continuity Schedule'!BP$20, '2b. Continuity Schedule'!C$20:BW$20,0),FALSE)</f>
        <v>0</v>
      </c>
      <c r="E28" s="52">
        <f t="shared" si="0"/>
        <v>0</v>
      </c>
      <c r="F28" s="52">
        <f>VLOOKUP(A28, '2b. Continuity Schedule'!$C$20:$BW$108, MATCH('2b. Continuity Schedule'!BQ$20, '2b. Continuity Schedule'!C$20:BW$20,0),FALSE)</f>
        <v>0</v>
      </c>
      <c r="G28" s="52">
        <f>VLOOKUP(A28, '2b. Continuity Schedule'!$C$20:$BW$108, MATCH('2b. Continuity Schedule'!BR$20, '2b. Continuity Schedule'!C$20:BW$20,0),FALSE)</f>
        <v>0</v>
      </c>
      <c r="H28" s="52">
        <f t="shared" si="1"/>
        <v>0</v>
      </c>
      <c r="I28" s="52">
        <f>VLOOKUP(A28, '2b. Continuity Schedule'!$C$20:$BW$108, MATCH('2b. Continuity Schedule'!BV$20, '2b. Continuity Schedule'!C$20:BW$20,0),FALSE)</f>
        <v>0</v>
      </c>
      <c r="J28" s="52">
        <f>VLOOKUP(A28, '2b. Continuity Schedule'!$C$20:$BW$108, MATCH('2b. Continuity Schedule'!BW$20, '2b. Continuity Schedule'!C$20:BW$20,0),FALSE)</f>
        <v>0</v>
      </c>
    </row>
    <row r="29" spans="1:10" ht="16.5" x14ac:dyDescent="0.25">
      <c r="A29" s="102" t="s">
        <v>122</v>
      </c>
      <c r="B29" s="103">
        <v>1575</v>
      </c>
      <c r="C29" s="52" t="e">
        <f>VLOOKUP(A29, '2b. Continuity Schedule'!$C$20:$BW$108, MATCH('2b. Continuity Schedule'!BO$20, '2b. Continuity Schedule'!C$20:BW$20,0),FALSE)</f>
        <v>#N/A</v>
      </c>
      <c r="D29" s="52" t="e">
        <f>VLOOKUP(A29, '2b. Continuity Schedule'!$C$20:$BW$108, MATCH('2b. Continuity Schedule'!BP$20, '2b. Continuity Schedule'!C$20:BW$20,0),FALSE)</f>
        <v>#N/A</v>
      </c>
      <c r="E29" s="52" t="e">
        <f t="shared" si="0"/>
        <v>#N/A</v>
      </c>
      <c r="F29" s="52" t="e">
        <f>VLOOKUP(A29, '2b. Continuity Schedule'!$C$20:$BW$108, MATCH('2b. Continuity Schedule'!BQ$20, '2b. Continuity Schedule'!C$20:BW$20,0),FALSE)</f>
        <v>#N/A</v>
      </c>
      <c r="G29" s="52" t="e">
        <f>VLOOKUP(A29, '2b. Continuity Schedule'!$C$20:$BW$108, MATCH('2b. Continuity Schedule'!BR$20, '2b. Continuity Schedule'!C$20:BW$20,0),FALSE)</f>
        <v>#N/A</v>
      </c>
      <c r="H29" s="52" t="e">
        <f t="shared" si="1"/>
        <v>#N/A</v>
      </c>
      <c r="I29" s="52" t="e">
        <f>VLOOKUP(A29, '2b. Continuity Schedule'!$C$20:$BW$108, MATCH('2b. Continuity Schedule'!BV$20, '2b. Continuity Schedule'!C$20:BW$20,0),FALSE)</f>
        <v>#N/A</v>
      </c>
      <c r="J29" s="52" t="e">
        <f>VLOOKUP(A29, '2b. Continuity Schedule'!$C$20:$BW$108, MATCH('2b. Continuity Schedule'!BW$20, '2b. Continuity Schedule'!C$20:BW$20,0),FALSE)</f>
        <v>#N/A</v>
      </c>
    </row>
    <row r="30" spans="1:10" ht="16.5" x14ac:dyDescent="0.25">
      <c r="A30" s="102" t="s">
        <v>123</v>
      </c>
      <c r="B30" s="103">
        <v>1576</v>
      </c>
      <c r="C30" s="52" t="e">
        <f>VLOOKUP(A30, '2b. Continuity Schedule'!$C$20:$BW$108, MATCH('2b. Continuity Schedule'!BO$20, '2b. Continuity Schedule'!C$20:BW$20,0),FALSE)</f>
        <v>#N/A</v>
      </c>
      <c r="D30" s="52" t="e">
        <f>VLOOKUP(A30, '2b. Continuity Schedule'!$C$20:$BW$108, MATCH('2b. Continuity Schedule'!BP$20, '2b. Continuity Schedule'!C$20:BW$20,0),FALSE)</f>
        <v>#N/A</v>
      </c>
      <c r="E30" s="52" t="e">
        <f t="shared" si="0"/>
        <v>#N/A</v>
      </c>
      <c r="F30" s="52" t="e">
        <f>VLOOKUP(A30, '2b. Continuity Schedule'!$C$20:$BW$108, MATCH('2b. Continuity Schedule'!BQ$20, '2b. Continuity Schedule'!C$20:BW$20,0),FALSE)</f>
        <v>#N/A</v>
      </c>
      <c r="G30" s="52" t="e">
        <f>VLOOKUP(A30, '2b. Continuity Schedule'!$C$20:$BW$108, MATCH('2b. Continuity Schedule'!BR$20, '2b. Continuity Schedule'!C$20:BW$20,0),FALSE)</f>
        <v>#N/A</v>
      </c>
      <c r="H30" s="52" t="e">
        <f t="shared" si="1"/>
        <v>#N/A</v>
      </c>
      <c r="I30" s="52" t="e">
        <f>VLOOKUP(A30, '2b. Continuity Schedule'!$C$20:$BW$108, MATCH('2b. Continuity Schedule'!BV$20, '2b. Continuity Schedule'!C$20:BW$20,0),FALSE)</f>
        <v>#N/A</v>
      </c>
      <c r="J30" s="52" t="e">
        <f>VLOOKUP(A30, '2b. Continuity Schedule'!$C$20:$BW$108, MATCH('2b. Continuity Schedule'!BW$20, '2b. Continuity Schedule'!C$20:BW$20,0),FALSE)</f>
        <v>#N/A</v>
      </c>
    </row>
    <row r="31" spans="1:10" ht="14" x14ac:dyDescent="0.3">
      <c r="A31" s="101" t="s">
        <v>1</v>
      </c>
      <c r="B31" s="99">
        <v>1580</v>
      </c>
      <c r="C31" s="52" t="e">
        <f>VLOOKUP(A31, '2b. Continuity Schedule'!$C$20:$BW$108, MATCH('2b. Continuity Schedule'!BO$20, '2b. Continuity Schedule'!C$20:BW$20,0),FALSE)</f>
        <v>#N/A</v>
      </c>
      <c r="D31" s="52" t="e">
        <f>VLOOKUP(A31, '2b. Continuity Schedule'!$C$20:$BW$108, MATCH('2b. Continuity Schedule'!BP$20, '2b. Continuity Schedule'!C$20:BW$20,0),FALSE)</f>
        <v>#N/A</v>
      </c>
      <c r="E31" s="52" t="e">
        <f t="shared" si="0"/>
        <v>#N/A</v>
      </c>
      <c r="F31" s="52" t="e">
        <f>VLOOKUP(A31, '2b. Continuity Schedule'!$C$20:$BW$108, MATCH('2b. Continuity Schedule'!BQ$20, '2b. Continuity Schedule'!C$20:BW$20,0),FALSE)</f>
        <v>#N/A</v>
      </c>
      <c r="G31" s="52" t="e">
        <f>VLOOKUP(A31, '2b. Continuity Schedule'!$C$20:$BW$108, MATCH('2b. Continuity Schedule'!BR$20, '2b. Continuity Schedule'!C$20:BW$20,0),FALSE)</f>
        <v>#N/A</v>
      </c>
      <c r="H31" s="52" t="e">
        <f t="shared" si="1"/>
        <v>#N/A</v>
      </c>
      <c r="I31" s="52" t="e">
        <f>VLOOKUP(A31, '2b. Continuity Schedule'!$C$20:$BW$108, MATCH('2b. Continuity Schedule'!BV$20, '2b. Continuity Schedule'!C$20:BW$20,0),FALSE)</f>
        <v>#N/A</v>
      </c>
      <c r="J31" s="52" t="e">
        <f>VLOOKUP(A31, '2b. Continuity Schedule'!$C$20:$BW$108, MATCH('2b. Continuity Schedule'!BW$20, '2b. Continuity Schedule'!C$20:BW$20,0),FALSE)</f>
        <v>#N/A</v>
      </c>
    </row>
    <row r="32" spans="1:10" ht="14" x14ac:dyDescent="0.3">
      <c r="A32" s="101" t="s">
        <v>24</v>
      </c>
      <c r="B32" s="99">
        <v>1582</v>
      </c>
      <c r="C32" s="52">
        <f>VLOOKUP(A32, '2b. Continuity Schedule'!$C$20:$BW$108, MATCH('2b. Continuity Schedule'!BO$20, '2b. Continuity Schedule'!C$20:BW$20,0),FALSE)</f>
        <v>0</v>
      </c>
      <c r="D32" s="52">
        <f>VLOOKUP(A32, '2b. Continuity Schedule'!$C$20:$BW$108, MATCH('2b. Continuity Schedule'!BP$20, '2b. Continuity Schedule'!C$20:BW$20,0),FALSE)</f>
        <v>0</v>
      </c>
      <c r="E32" s="52">
        <f t="shared" si="0"/>
        <v>0</v>
      </c>
      <c r="F32" s="52">
        <f>VLOOKUP(A32, '2b. Continuity Schedule'!$C$20:$BW$108, MATCH('2b. Continuity Schedule'!BQ$20, '2b. Continuity Schedule'!C$20:BW$20,0),FALSE)</f>
        <v>0</v>
      </c>
      <c r="G32" s="52">
        <f>VLOOKUP(A32, '2b. Continuity Schedule'!$C$20:$BW$108, MATCH('2b. Continuity Schedule'!BR$20, '2b. Continuity Schedule'!C$20:BW$20,0),FALSE)</f>
        <v>0</v>
      </c>
      <c r="H32" s="52">
        <f t="shared" si="1"/>
        <v>0</v>
      </c>
      <c r="I32" s="52">
        <f>VLOOKUP(A32, '2b. Continuity Schedule'!$C$20:$BW$108, MATCH('2b. Continuity Schedule'!BV$20, '2b. Continuity Schedule'!C$20:BW$20,0),FALSE)</f>
        <v>0</v>
      </c>
      <c r="J32" s="52">
        <f>VLOOKUP(A32, '2b. Continuity Schedule'!$C$20:$BW$108, MATCH('2b. Continuity Schedule'!BW$20, '2b. Continuity Schedule'!C$20:BW$20,0),FALSE)</f>
        <v>0</v>
      </c>
    </row>
    <row r="33" spans="1:10" ht="14" x14ac:dyDescent="0.3">
      <c r="A33" s="101" t="s">
        <v>2</v>
      </c>
      <c r="B33" s="99">
        <v>1584</v>
      </c>
      <c r="C33" s="52">
        <f>VLOOKUP(A33, '2b. Continuity Schedule'!$C$20:$BW$108, MATCH('2b. Continuity Schedule'!BO$20, '2b. Continuity Schedule'!C$20:BW$20,0),FALSE)</f>
        <v>0</v>
      </c>
      <c r="D33" s="52">
        <f>VLOOKUP(A33, '2b. Continuity Schedule'!$C$20:$BW$108, MATCH('2b. Continuity Schedule'!BP$20, '2b. Continuity Schedule'!C$20:BW$20,0),FALSE)</f>
        <v>0</v>
      </c>
      <c r="E33" s="52">
        <f t="shared" si="0"/>
        <v>0</v>
      </c>
      <c r="F33" s="52">
        <f>VLOOKUP(A33, '2b. Continuity Schedule'!$C$20:$BW$108, MATCH('2b. Continuity Schedule'!BQ$20, '2b. Continuity Schedule'!C$20:BW$20,0),FALSE)</f>
        <v>0</v>
      </c>
      <c r="G33" s="52">
        <f>VLOOKUP(A33, '2b. Continuity Schedule'!$C$20:$BW$108, MATCH('2b. Continuity Schedule'!BR$20, '2b. Continuity Schedule'!C$20:BW$20,0),FALSE)</f>
        <v>0</v>
      </c>
      <c r="H33" s="52">
        <f t="shared" si="1"/>
        <v>0</v>
      </c>
      <c r="I33" s="52">
        <f>VLOOKUP(A33, '2b. Continuity Schedule'!$C$20:$BW$108, MATCH('2b. Continuity Schedule'!BV$20, '2b. Continuity Schedule'!C$20:BW$20,0),FALSE)</f>
        <v>0</v>
      </c>
      <c r="J33" s="52">
        <f>VLOOKUP(A33, '2b. Continuity Schedule'!$C$20:$BW$108, MATCH('2b. Continuity Schedule'!BW$20, '2b. Continuity Schedule'!C$20:BW$20,0),FALSE)</f>
        <v>0</v>
      </c>
    </row>
    <row r="34" spans="1:10" ht="14" x14ac:dyDescent="0.3">
      <c r="A34" s="101" t="s">
        <v>3</v>
      </c>
      <c r="B34" s="99">
        <v>1586</v>
      </c>
      <c r="C34" s="52">
        <f>VLOOKUP(A34, '2b. Continuity Schedule'!$C$20:$BW$108, MATCH('2b. Continuity Schedule'!BO$20, '2b. Continuity Schedule'!C$20:BW$20,0),FALSE)</f>
        <v>0</v>
      </c>
      <c r="D34" s="52">
        <f>VLOOKUP(A34, '2b. Continuity Schedule'!$C$20:$BW$108, MATCH('2b. Continuity Schedule'!BP$20, '2b. Continuity Schedule'!C$20:BW$20,0),FALSE)</f>
        <v>0</v>
      </c>
      <c r="E34" s="52">
        <f t="shared" si="0"/>
        <v>0</v>
      </c>
      <c r="F34" s="52">
        <f>VLOOKUP(A34, '2b. Continuity Schedule'!$C$20:$BW$108, MATCH('2b. Continuity Schedule'!BQ$20, '2b. Continuity Schedule'!C$20:BW$20,0),FALSE)</f>
        <v>0</v>
      </c>
      <c r="G34" s="52">
        <f>VLOOKUP(A34, '2b. Continuity Schedule'!$C$20:$BW$108, MATCH('2b. Continuity Schedule'!BR$20, '2b. Continuity Schedule'!C$20:BW$20,0),FALSE)</f>
        <v>0</v>
      </c>
      <c r="H34" s="52">
        <f t="shared" si="1"/>
        <v>0</v>
      </c>
      <c r="I34" s="52">
        <f>VLOOKUP(A34, '2b. Continuity Schedule'!$C$20:$BW$108, MATCH('2b. Continuity Schedule'!BV$20, '2b. Continuity Schedule'!C$20:BW$20,0),FALSE)</f>
        <v>0</v>
      </c>
      <c r="J34" s="52">
        <f>VLOOKUP(A34, '2b. Continuity Schedule'!$C$20:$BW$108, MATCH('2b. Continuity Schedule'!BW$20, '2b. Continuity Schedule'!C$20:BW$20,0),FALSE)</f>
        <v>0</v>
      </c>
    </row>
    <row r="35" spans="1:10" ht="14" x14ac:dyDescent="0.3">
      <c r="A35" s="101" t="s">
        <v>38</v>
      </c>
      <c r="B35" s="99">
        <v>1588</v>
      </c>
      <c r="C35" s="52" t="e">
        <f>VLOOKUP(A35, '2b. Continuity Schedule'!$C$20:$BW$108, MATCH('2b. Continuity Schedule'!BO$20, '2b. Continuity Schedule'!C$20:BW$20,0),FALSE)</f>
        <v>#N/A</v>
      </c>
      <c r="D35" s="52" t="e">
        <f>VLOOKUP(A35, '2b. Continuity Schedule'!$C$20:$BW$108, MATCH('2b. Continuity Schedule'!BP$20, '2b. Continuity Schedule'!C$20:BW$20,0),FALSE)</f>
        <v>#N/A</v>
      </c>
      <c r="E35" s="52" t="e">
        <f t="shared" si="0"/>
        <v>#N/A</v>
      </c>
      <c r="F35" s="52" t="e">
        <f>VLOOKUP(A35, '2b. Continuity Schedule'!$C$20:$BW$108, MATCH('2b. Continuity Schedule'!BQ$20, '2b. Continuity Schedule'!C$20:BW$20,0),FALSE)</f>
        <v>#N/A</v>
      </c>
      <c r="G35" s="52" t="e">
        <f>VLOOKUP(A35, '2b. Continuity Schedule'!$C$20:$BW$108, MATCH('2b. Continuity Schedule'!BR$20, '2b. Continuity Schedule'!C$20:BW$20,0),FALSE)</f>
        <v>#N/A</v>
      </c>
      <c r="H35" s="52" t="e">
        <f t="shared" si="1"/>
        <v>#N/A</v>
      </c>
      <c r="I35" s="52" t="e">
        <f>VLOOKUP(A35, '2b. Continuity Schedule'!$C$20:$BW$108, MATCH('2b. Continuity Schedule'!BV$20, '2b. Continuity Schedule'!C$20:BW$20,0),FALSE)</f>
        <v>#N/A</v>
      </c>
      <c r="J35" s="52" t="e">
        <f>VLOOKUP(A35, '2b. Continuity Schedule'!$C$20:$BW$108, MATCH('2b. Continuity Schedule'!BW$20, '2b. Continuity Schedule'!C$20:BW$20,0),FALSE)</f>
        <v>#N/A</v>
      </c>
    </row>
    <row r="36" spans="1:10" ht="14" x14ac:dyDescent="0.3">
      <c r="A36" s="101" t="s">
        <v>66</v>
      </c>
      <c r="B36" s="99">
        <v>1589</v>
      </c>
      <c r="C36" s="52" t="e">
        <f>VLOOKUP(A36, '2b. Continuity Schedule'!$C$20:$BW$108, MATCH('2b. Continuity Schedule'!BO$20, '2b. Continuity Schedule'!C$20:BW$20,0),FALSE)</f>
        <v>#N/A</v>
      </c>
      <c r="D36" s="52" t="e">
        <f>VLOOKUP(A36, '2b. Continuity Schedule'!$C$20:$BW$108, MATCH('2b. Continuity Schedule'!BP$20, '2b. Continuity Schedule'!C$20:BW$20,0),FALSE)</f>
        <v>#N/A</v>
      </c>
      <c r="E36" s="52" t="e">
        <f t="shared" si="0"/>
        <v>#N/A</v>
      </c>
      <c r="F36" s="52" t="e">
        <f>VLOOKUP(A36, '2b. Continuity Schedule'!$C$20:$BW$108, MATCH('2b. Continuity Schedule'!BQ$20, '2b. Continuity Schedule'!C$20:BW$20,0),FALSE)</f>
        <v>#N/A</v>
      </c>
      <c r="G36" s="52" t="e">
        <f>VLOOKUP(A36, '2b. Continuity Schedule'!$C$20:$BW$108, MATCH('2b. Continuity Schedule'!BR$20, '2b. Continuity Schedule'!C$20:BW$20,0),FALSE)</f>
        <v>#N/A</v>
      </c>
      <c r="H36" s="52" t="e">
        <f t="shared" si="1"/>
        <v>#N/A</v>
      </c>
      <c r="I36" s="52" t="e">
        <f>VLOOKUP(A36, '2b. Continuity Schedule'!$C$20:$BW$108, MATCH('2b. Continuity Schedule'!BV$20, '2b. Continuity Schedule'!C$20:BW$20,0),FALSE)</f>
        <v>#N/A</v>
      </c>
      <c r="J36" s="52" t="e">
        <f>VLOOKUP(A36, '2b. Continuity Schedule'!$C$20:$BW$108, MATCH('2b. Continuity Schedule'!BW$20, '2b. Continuity Schedule'!C$20:BW$20,0),FALSE)</f>
        <v>#N/A</v>
      </c>
    </row>
    <row r="37" spans="1:10" ht="28" x14ac:dyDescent="0.25">
      <c r="A37" s="102" t="s">
        <v>31</v>
      </c>
      <c r="B37" s="103">
        <v>1592</v>
      </c>
      <c r="C37" s="52">
        <f>VLOOKUP(A37, '2b. Continuity Schedule'!$C$20:$BW$108, MATCH('2b. Continuity Schedule'!BO$20, '2b. Continuity Schedule'!C$20:BW$20,0),FALSE)</f>
        <v>0</v>
      </c>
      <c r="D37" s="52">
        <f>VLOOKUP(A37, '2b. Continuity Schedule'!$C$20:$BW$108, MATCH('2b. Continuity Schedule'!BP$20, '2b. Continuity Schedule'!C$20:BW$20,0),FALSE)</f>
        <v>0</v>
      </c>
      <c r="E37" s="52">
        <f t="shared" si="0"/>
        <v>0</v>
      </c>
      <c r="F37" s="52">
        <f>VLOOKUP(A37, '2b. Continuity Schedule'!$C$20:$BW$108, MATCH('2b. Continuity Schedule'!BQ$20, '2b. Continuity Schedule'!C$20:BW$20,0),FALSE)</f>
        <v>0</v>
      </c>
      <c r="G37" s="52">
        <f>VLOOKUP(A37, '2b. Continuity Schedule'!$C$20:$BW$108, MATCH('2b. Continuity Schedule'!BR$20, '2b. Continuity Schedule'!C$20:BW$20,0),FALSE)</f>
        <v>0</v>
      </c>
      <c r="H37" s="52">
        <f t="shared" si="1"/>
        <v>0</v>
      </c>
      <c r="I37" s="52">
        <f>VLOOKUP(A37, '2b. Continuity Schedule'!$C$20:$BW$108, MATCH('2b. Continuity Schedule'!BV$20, '2b. Continuity Schedule'!C$20:BW$20,0),FALSE)</f>
        <v>-1081632</v>
      </c>
      <c r="J37" s="52">
        <f>VLOOKUP(A37, '2b. Continuity Schedule'!$C$20:$BW$108, MATCH('2b. Continuity Schedule'!BW$20, '2b. Continuity Schedule'!C$20:BW$20,0),FALSE)</f>
        <v>-1081632</v>
      </c>
    </row>
    <row r="38" spans="1:10" ht="28" x14ac:dyDescent="0.25">
      <c r="A38" s="102" t="s">
        <v>30</v>
      </c>
      <c r="B38" s="103">
        <v>1592</v>
      </c>
      <c r="C38" s="52" t="e">
        <f>VLOOKUP(A38, '2b. Continuity Schedule'!$C$20:$BW$108, MATCH('2b. Continuity Schedule'!BO$20, '2b. Continuity Schedule'!C$20:BW$20,0),FALSE)</f>
        <v>#N/A</v>
      </c>
      <c r="D38" s="52" t="e">
        <f>VLOOKUP(A38, '2b. Continuity Schedule'!$C$20:$BW$108, MATCH('2b. Continuity Schedule'!BP$20, '2b. Continuity Schedule'!C$20:BW$20,0),FALSE)</f>
        <v>#N/A</v>
      </c>
      <c r="E38" s="52" t="e">
        <f t="shared" si="0"/>
        <v>#N/A</v>
      </c>
      <c r="F38" s="52" t="e">
        <f>VLOOKUP(A38, '2b. Continuity Schedule'!$C$20:$BW$108, MATCH('2b. Continuity Schedule'!BQ$20, '2b. Continuity Schedule'!C$20:BW$20,0),FALSE)</f>
        <v>#N/A</v>
      </c>
      <c r="G38" s="52" t="e">
        <f>VLOOKUP(A38, '2b. Continuity Schedule'!$C$20:$BW$108, MATCH('2b. Continuity Schedule'!BR$20, '2b. Continuity Schedule'!C$20:BW$20,0),FALSE)</f>
        <v>#N/A</v>
      </c>
      <c r="H38" s="52" t="e">
        <f t="shared" si="1"/>
        <v>#N/A</v>
      </c>
      <c r="I38" s="52" t="e">
        <f>VLOOKUP(A38, '2b. Continuity Schedule'!$C$20:$BW$108, MATCH('2b. Continuity Schedule'!BV$20, '2b. Continuity Schedule'!C$20:BW$20,0),FALSE)</f>
        <v>#N/A</v>
      </c>
      <c r="J38" s="52" t="e">
        <f>VLOOKUP(A38, '2b. Continuity Schedule'!$C$20:$BW$108, MATCH('2b. Continuity Schedule'!BW$20, '2b. Continuity Schedule'!C$20:BW$20,0),FALSE)</f>
        <v>#N/A</v>
      </c>
    </row>
    <row r="39" spans="1:10" ht="16.5" x14ac:dyDescent="0.3">
      <c r="A39" s="104" t="s">
        <v>35</v>
      </c>
      <c r="B39" s="99">
        <v>1595</v>
      </c>
      <c r="C39" s="52" t="e">
        <f>VLOOKUP(A39, '2b. Continuity Schedule'!$C$20:$BW$108, MATCH('2b. Continuity Schedule'!BO$20, '2b. Continuity Schedule'!C$20:BW$20,0),FALSE)</f>
        <v>#N/A</v>
      </c>
      <c r="D39" s="52" t="e">
        <f>VLOOKUP(A39, '2b. Continuity Schedule'!$C$20:$BW$108, MATCH('2b. Continuity Schedule'!BP$20, '2b. Continuity Schedule'!C$20:BW$20,0),FALSE)</f>
        <v>#N/A</v>
      </c>
      <c r="E39" s="52" t="e">
        <f t="shared" si="0"/>
        <v>#N/A</v>
      </c>
      <c r="F39" s="52" t="e">
        <f>VLOOKUP(A39, '2b. Continuity Schedule'!$C$20:$BW$108, MATCH('2b. Continuity Schedule'!BQ$20, '2b. Continuity Schedule'!C$20:BW$20,0),FALSE)</f>
        <v>#N/A</v>
      </c>
      <c r="G39" s="52" t="e">
        <f>VLOOKUP(A39, '2b. Continuity Schedule'!$C$20:$BW$108, MATCH('2b. Continuity Schedule'!BR$20, '2b. Continuity Schedule'!C$20:BW$20,0),FALSE)</f>
        <v>#N/A</v>
      </c>
      <c r="H39" s="52" t="e">
        <f t="shared" si="1"/>
        <v>#N/A</v>
      </c>
      <c r="I39" s="52" t="e">
        <f>VLOOKUP(A39, '2b. Continuity Schedule'!$C$20:$BW$108, MATCH('2b. Continuity Schedule'!BV$20, '2b. Continuity Schedule'!C$20:BW$20,0),FALSE)</f>
        <v>#N/A</v>
      </c>
      <c r="J39" s="52" t="e">
        <f>VLOOKUP(A39, '2b. Continuity Schedule'!$C$20:$BW$108, MATCH('2b. Continuity Schedule'!BW$20, '2b. Continuity Schedule'!C$20:BW$20,0),FALSE)</f>
        <v>#N/A</v>
      </c>
    </row>
    <row r="40" spans="1:10" ht="16.5" x14ac:dyDescent="0.3">
      <c r="A40" s="104" t="s">
        <v>36</v>
      </c>
      <c r="B40" s="99">
        <v>1595</v>
      </c>
      <c r="C40" s="52">
        <f>VLOOKUP(A40, '2b. Continuity Schedule'!$C$20:$BW$108, MATCH('2b. Continuity Schedule'!BO$20, '2b. Continuity Schedule'!C$20:BW$20,0),FALSE)</f>
        <v>0</v>
      </c>
      <c r="D40" s="52">
        <f>VLOOKUP(A40, '2b. Continuity Schedule'!$C$20:$BW$108, MATCH('2b. Continuity Schedule'!BP$20, '2b. Continuity Schedule'!C$20:BW$20,0),FALSE)</f>
        <v>0</v>
      </c>
      <c r="E40" s="52">
        <f t="shared" si="0"/>
        <v>0</v>
      </c>
      <c r="F40" s="52">
        <f>VLOOKUP(A40, '2b. Continuity Schedule'!$C$20:$BW$108, MATCH('2b. Continuity Schedule'!BQ$20, '2b. Continuity Schedule'!C$20:BW$20,0),FALSE)</f>
        <v>0</v>
      </c>
      <c r="G40" s="52">
        <f>VLOOKUP(A40, '2b. Continuity Schedule'!$C$20:$BW$108, MATCH('2b. Continuity Schedule'!BR$20, '2b. Continuity Schedule'!C$20:BW$20,0),FALSE)</f>
        <v>0</v>
      </c>
      <c r="H40" s="52">
        <f t="shared" si="1"/>
        <v>0</v>
      </c>
      <c r="I40" s="52">
        <f>VLOOKUP(A40, '2b. Continuity Schedule'!$C$20:$BW$108, MATCH('2b. Continuity Schedule'!BV$20, '2b. Continuity Schedule'!C$20:BW$20,0),FALSE)</f>
        <v>0</v>
      </c>
      <c r="J40" s="52">
        <f>VLOOKUP(A40, '2b. Continuity Schedule'!$C$20:$BW$108, MATCH('2b. Continuity Schedule'!BW$20, '2b. Continuity Schedule'!C$20:BW$20,0),FALSE)</f>
        <v>0</v>
      </c>
    </row>
    <row r="41" spans="1:10" ht="16.5" x14ac:dyDescent="0.3">
      <c r="A41" s="104" t="s">
        <v>37</v>
      </c>
      <c r="B41" s="99">
        <v>1595</v>
      </c>
      <c r="C41" s="52">
        <f>VLOOKUP(A41, '2b. Continuity Schedule'!$C$20:$BW$108, MATCH('2b. Continuity Schedule'!BO$20, '2b. Continuity Schedule'!C$20:BW$20,0),FALSE)</f>
        <v>0</v>
      </c>
      <c r="D41" s="52">
        <f>VLOOKUP(A41, '2b. Continuity Schedule'!$C$20:$BW$108, MATCH('2b. Continuity Schedule'!BP$20, '2b. Continuity Schedule'!C$20:BW$20,0),FALSE)</f>
        <v>0</v>
      </c>
      <c r="E41" s="52">
        <f t="shared" si="0"/>
        <v>0</v>
      </c>
      <c r="F41" s="52">
        <f>VLOOKUP(A41, '2b. Continuity Schedule'!$C$20:$BW$108, MATCH('2b. Continuity Schedule'!BQ$20, '2b. Continuity Schedule'!C$20:BW$20,0),FALSE)</f>
        <v>0</v>
      </c>
      <c r="G41" s="52">
        <f>VLOOKUP(A41, '2b. Continuity Schedule'!$C$20:$BW$108, MATCH('2b. Continuity Schedule'!BR$20, '2b. Continuity Schedule'!C$20:BW$20,0),FALSE)</f>
        <v>0</v>
      </c>
      <c r="H41" s="52">
        <f t="shared" si="1"/>
        <v>0</v>
      </c>
      <c r="I41" s="52">
        <f>VLOOKUP(A41, '2b. Continuity Schedule'!$C$20:$BW$108, MATCH('2b. Continuity Schedule'!BV$20, '2b. Continuity Schedule'!C$20:BW$20,0),FALSE)</f>
        <v>0</v>
      </c>
      <c r="J41" s="52">
        <f>VLOOKUP(A41, '2b. Continuity Schedule'!$C$20:$BW$108, MATCH('2b. Continuity Schedule'!BW$20, '2b. Continuity Schedule'!C$20:BW$20,0),FALSE)</f>
        <v>0</v>
      </c>
    </row>
    <row r="42" spans="1:10" ht="16.5" x14ac:dyDescent="0.3">
      <c r="A42" s="104" t="s">
        <v>69</v>
      </c>
      <c r="B42" s="99">
        <v>1595</v>
      </c>
      <c r="C42" s="52">
        <f>VLOOKUP(A42, '2b. Continuity Schedule'!$C$20:$BW$108, MATCH('2b. Continuity Schedule'!BO$20, '2b. Continuity Schedule'!C$20:BW$20,0),FALSE)</f>
        <v>0</v>
      </c>
      <c r="D42" s="52">
        <f>VLOOKUP(A42, '2b. Continuity Schedule'!$C$20:$BW$108, MATCH('2b. Continuity Schedule'!BP$20, '2b. Continuity Schedule'!C$20:BW$20,0),FALSE)</f>
        <v>0</v>
      </c>
      <c r="E42" s="52">
        <f t="shared" si="0"/>
        <v>0</v>
      </c>
      <c r="F42" s="52">
        <f>VLOOKUP(A42, '2b. Continuity Schedule'!$C$20:$BW$108, MATCH('2b. Continuity Schedule'!BQ$20, '2b. Continuity Schedule'!C$20:BW$20,0),FALSE)</f>
        <v>0</v>
      </c>
      <c r="G42" s="52">
        <f>VLOOKUP(A42, '2b. Continuity Schedule'!$C$20:$BW$108, MATCH('2b. Continuity Schedule'!BR$20, '2b. Continuity Schedule'!C$20:BW$20,0),FALSE)</f>
        <v>0</v>
      </c>
      <c r="H42" s="52">
        <f t="shared" si="1"/>
        <v>0</v>
      </c>
      <c r="I42" s="52">
        <f>VLOOKUP(A42, '2b. Continuity Schedule'!$C$20:$BW$108, MATCH('2b. Continuity Schedule'!BV$20, '2b. Continuity Schedule'!C$20:BW$20,0),FALSE)</f>
        <v>0</v>
      </c>
      <c r="J42" s="52">
        <f>VLOOKUP(A42, '2b. Continuity Schedule'!$C$20:$BW$108, MATCH('2b. Continuity Schedule'!BW$20, '2b. Continuity Schedule'!C$20:BW$20,0),FALSE)</f>
        <v>0</v>
      </c>
    </row>
    <row r="43" spans="1:10" ht="16.5" x14ac:dyDescent="0.3">
      <c r="A43" s="104" t="s">
        <v>130</v>
      </c>
      <c r="B43" s="99">
        <v>1595</v>
      </c>
      <c r="C43" s="52">
        <f>VLOOKUP(A43, '2b. Continuity Schedule'!$C$20:$BW$108, MATCH('2b. Continuity Schedule'!BO$20, '2b. Continuity Schedule'!C$20:BW$20,0),FALSE)</f>
        <v>0</v>
      </c>
      <c r="D43" s="52">
        <f>VLOOKUP(A43, '2b. Continuity Schedule'!$C$20:$BW$108, MATCH('2b. Continuity Schedule'!BP$20, '2b. Continuity Schedule'!C$20:BW$20,0),FALSE)</f>
        <v>0</v>
      </c>
      <c r="E43" s="52">
        <f t="shared" si="0"/>
        <v>0</v>
      </c>
      <c r="F43" s="52">
        <f>VLOOKUP(A43, '2b. Continuity Schedule'!$C$20:$BW$108, MATCH('2b. Continuity Schedule'!BQ$20, '2b. Continuity Schedule'!C$20:BW$20,0),FALSE)</f>
        <v>0</v>
      </c>
      <c r="G43" s="52">
        <f>VLOOKUP(A43, '2b. Continuity Schedule'!$C$20:$BW$108, MATCH('2b. Continuity Schedule'!BR$20, '2b. Continuity Schedule'!C$20:BW$20,0),FALSE)</f>
        <v>0</v>
      </c>
      <c r="H43" s="52">
        <f t="shared" si="1"/>
        <v>0</v>
      </c>
      <c r="I43" s="52">
        <f>VLOOKUP(A43, '2b. Continuity Schedule'!$C$20:$BW$108, MATCH('2b. Continuity Schedule'!BV$20, '2b. Continuity Schedule'!C$20:BW$20,0),FALSE)</f>
        <v>0</v>
      </c>
      <c r="J43" s="52">
        <f>VLOOKUP(A43, '2b. Continuity Schedule'!$C$20:$BW$108, MATCH('2b. Continuity Schedule'!BW$20, '2b. Continuity Schedule'!C$20:BW$20,0),FALSE)</f>
        <v>0</v>
      </c>
    </row>
    <row r="44" spans="1:10" ht="14" x14ac:dyDescent="0.3">
      <c r="A44" s="98" t="s">
        <v>7</v>
      </c>
      <c r="B44" s="99">
        <v>2425</v>
      </c>
      <c r="C44" s="52">
        <f>VLOOKUP(A44, '2b. Continuity Schedule'!$C$20:$BW$108, MATCH('2b. Continuity Schedule'!BO$20, '2b. Continuity Schedule'!C$20:BW$20,0),FALSE)</f>
        <v>0</v>
      </c>
      <c r="D44" s="52">
        <f>VLOOKUP(A44, '2b. Continuity Schedule'!$C$20:$BW$108, MATCH('2b. Continuity Schedule'!BP$20, '2b. Continuity Schedule'!C$20:BW$20,0),FALSE)</f>
        <v>0</v>
      </c>
      <c r="E44" s="52">
        <f t="shared" si="0"/>
        <v>0</v>
      </c>
      <c r="F44" s="52">
        <f>VLOOKUP(A44, '2b. Continuity Schedule'!$C$20:$BW$108, MATCH('2b. Continuity Schedule'!BQ$20, '2b. Continuity Schedule'!C$20:BW$20,0),FALSE)</f>
        <v>0</v>
      </c>
      <c r="G44" s="52">
        <f>VLOOKUP(A44, '2b. Continuity Schedule'!$C$20:$BW$108, MATCH('2b. Continuity Schedule'!BR$20, '2b. Continuity Schedule'!C$20:BW$20,0),FALSE)</f>
        <v>0</v>
      </c>
      <c r="H44" s="52">
        <f t="shared" si="1"/>
        <v>0</v>
      </c>
      <c r="I44" s="52">
        <f>VLOOKUP(A44, '2b. Continuity Schedule'!$C$20:$BW$108, MATCH('2b. Continuity Schedule'!BV$20, '2b. Continuity Schedule'!C$20:BW$20,0),FALSE)</f>
        <v>0</v>
      </c>
      <c r="J44" s="52">
        <f>VLOOKUP(A44, '2b. Continuity Schedule'!$C$20:$BW$108, MATCH('2b. Continuity Schedule'!BW$20, '2b. Continuity Schedule'!C$20:BW$20,0),FALSE)</f>
        <v>0</v>
      </c>
    </row>
    <row r="45" spans="1:10" ht="14" x14ac:dyDescent="0.3">
      <c r="A45" s="4"/>
      <c r="B45" s="4"/>
    </row>
    <row r="46" spans="1:10" ht="14" x14ac:dyDescent="0.3">
      <c r="A46" s="8"/>
      <c r="B46" s="8"/>
    </row>
    <row r="47" spans="1:10" ht="14" x14ac:dyDescent="0.3">
      <c r="A47" s="8"/>
      <c r="B47" s="8"/>
    </row>
    <row r="48" spans="1:10" ht="14" x14ac:dyDescent="0.3">
      <c r="A48" s="9"/>
      <c r="B48" s="10"/>
    </row>
    <row r="49" spans="1:2" ht="14" x14ac:dyDescent="0.3">
      <c r="A49" s="9"/>
      <c r="B49" s="9"/>
    </row>
    <row r="50" spans="1:2" ht="23" x14ac:dyDescent="0.3">
      <c r="A50" s="35"/>
      <c r="B50" s="9"/>
    </row>
    <row r="51" spans="1:2" ht="14" x14ac:dyDescent="0.3">
      <c r="A51" s="5"/>
      <c r="B51" s="5"/>
    </row>
    <row r="52" spans="1:2" ht="14" x14ac:dyDescent="0.3">
      <c r="A52" s="11"/>
      <c r="B52" s="5"/>
    </row>
    <row r="53" spans="1:2" ht="14" x14ac:dyDescent="0.3">
      <c r="A53" s="5"/>
      <c r="B53" s="5"/>
    </row>
    <row r="54" spans="1:2" ht="14" x14ac:dyDescent="0.3">
      <c r="A54" s="5"/>
      <c r="B54" s="5"/>
    </row>
    <row r="55" spans="1:2" ht="14" x14ac:dyDescent="0.3">
      <c r="A55" s="11"/>
      <c r="B55" s="5"/>
    </row>
    <row r="56" spans="1:2" ht="14" x14ac:dyDescent="0.3">
      <c r="A56" s="12"/>
      <c r="B56" s="12"/>
    </row>
    <row r="57" spans="1:2" ht="14" x14ac:dyDescent="0.3">
      <c r="A57" s="12"/>
      <c r="B57" s="12"/>
    </row>
    <row r="58" spans="1:2" ht="14" x14ac:dyDescent="0.3">
      <c r="A58" s="36"/>
      <c r="B58" s="37"/>
    </row>
    <row r="59" spans="1:2" ht="14" x14ac:dyDescent="0.3">
      <c r="A59" s="36"/>
      <c r="B59" s="37"/>
    </row>
    <row r="60" spans="1:2" ht="14" x14ac:dyDescent="0.3">
      <c r="A60" s="13"/>
      <c r="B60" s="12"/>
    </row>
    <row r="61" spans="1:2" ht="14" x14ac:dyDescent="0.3">
      <c r="A61" s="12"/>
      <c r="B61" s="12"/>
    </row>
    <row r="62" spans="1:2" ht="14" x14ac:dyDescent="0.3">
      <c r="A62" s="4"/>
      <c r="B62" s="7"/>
    </row>
  </sheetData>
  <sheetProtection algorithmName="SHA-512" hashValue="OdyDbUQ2XMM7hv5h0IfeYuNLSgFS6bNMMy4wDmiu+2PzzqSgWCQtXYgiChzhHOPp44ppOai86sRSQFJEe9Ae0w==" saltValue="SLB3+JrW6tjB9WruYqBR5w==" spinCount="100000" sheet="1" objects="1" scenarios="1"/>
  <sortState xmlns:xlrd2="http://schemas.microsoft.com/office/spreadsheetml/2017/richdata2" ref="A1:B59">
    <sortCondition ref="B1:B59"/>
  </sortState>
  <mergeCells count="8">
    <mergeCell ref="I1:I3"/>
    <mergeCell ref="J1:J3"/>
    <mergeCell ref="C1:C3"/>
    <mergeCell ref="D1:D3"/>
    <mergeCell ref="F1:F3"/>
    <mergeCell ref="G1:G3"/>
    <mergeCell ref="H1:H3"/>
    <mergeCell ref="E1:E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G108"/>
  <sheetViews>
    <sheetView topLeftCell="A16" zoomScale="85" zoomScaleNormal="85" workbookViewId="0">
      <selection activeCell="C15" sqref="C15"/>
    </sheetView>
  </sheetViews>
  <sheetFormatPr defaultColWidth="8" defaultRowHeight="14" x14ac:dyDescent="0.3"/>
  <cols>
    <col min="1" max="1" width="17.1796875" style="585" customWidth="1"/>
    <col min="2" max="2" width="3.54296875" style="585" customWidth="1"/>
    <col min="3" max="3" width="32" style="586" customWidth="1"/>
    <col min="4" max="4" width="8" style="587"/>
    <col min="5" max="5" width="24" style="588" customWidth="1"/>
    <col min="6" max="6" width="107.26953125" style="589" customWidth="1"/>
    <col min="7" max="16384" width="8" style="589"/>
  </cols>
  <sheetData>
    <row r="1" spans="1:6" ht="13.75" customHeight="1" x14ac:dyDescent="0.3"/>
    <row r="2" spans="1:6" ht="13.75" customHeight="1" x14ac:dyDescent="0.3"/>
    <row r="3" spans="1:6" ht="13.75" customHeight="1" x14ac:dyDescent="0.3"/>
    <row r="4" spans="1:6" ht="13.75" customHeight="1" x14ac:dyDescent="0.3"/>
    <row r="5" spans="1:6" ht="13.75" customHeight="1" x14ac:dyDescent="0.3"/>
    <row r="6" spans="1:6" ht="13.75" customHeight="1" x14ac:dyDescent="0.3"/>
    <row r="7" spans="1:6" ht="13.75" customHeight="1" x14ac:dyDescent="0.3"/>
    <row r="8" spans="1:6" ht="13.75" customHeight="1" x14ac:dyDescent="0.3"/>
    <row r="9" spans="1:6" ht="13.75" customHeight="1" x14ac:dyDescent="0.3"/>
    <row r="10" spans="1:6" ht="13.75" customHeight="1" x14ac:dyDescent="0.3"/>
    <row r="11" spans="1:6" ht="13.75" customHeight="1" x14ac:dyDescent="0.3"/>
    <row r="12" spans="1:6" ht="13.75" customHeight="1" thickBot="1" x14ac:dyDescent="0.35"/>
    <row r="13" spans="1:6" ht="15" customHeight="1" thickBot="1" x14ac:dyDescent="0.45">
      <c r="A13" s="590"/>
      <c r="B13" s="999" t="s">
        <v>2871</v>
      </c>
      <c r="C13" s="1000"/>
      <c r="D13" s="1000"/>
      <c r="E13" s="1000"/>
      <c r="F13" s="1001"/>
    </row>
    <row r="14" spans="1:6" ht="15.5" x14ac:dyDescent="0.35">
      <c r="A14" s="590"/>
      <c r="B14" s="591"/>
      <c r="C14" s="592"/>
      <c r="D14" s="593"/>
      <c r="E14" s="594"/>
      <c r="F14" s="595"/>
    </row>
    <row r="15" spans="1:6" s="599" customFormat="1" ht="13.5" x14ac:dyDescent="0.3">
      <c r="A15" s="596"/>
      <c r="B15" s="597">
        <v>1</v>
      </c>
      <c r="C15" s="666" t="s">
        <v>3459</v>
      </c>
      <c r="D15" s="666"/>
      <c r="E15" s="667"/>
      <c r="F15" s="598"/>
    </row>
    <row r="16" spans="1:6" s="599" customFormat="1" ht="13.5" x14ac:dyDescent="0.3">
      <c r="A16" s="596"/>
      <c r="B16" s="597"/>
      <c r="C16" s="668"/>
      <c r="D16" s="666"/>
      <c r="E16" s="667"/>
      <c r="F16" s="598"/>
    </row>
    <row r="17" spans="1:6" s="599" customFormat="1" ht="13.5" x14ac:dyDescent="0.3">
      <c r="A17" s="596"/>
      <c r="B17" s="597">
        <v>2</v>
      </c>
      <c r="C17" s="1003" t="s">
        <v>3428</v>
      </c>
      <c r="D17" s="1003"/>
      <c r="E17" s="1003"/>
      <c r="F17" s="1004"/>
    </row>
    <row r="18" spans="1:6" s="599" customFormat="1" ht="13.5" x14ac:dyDescent="0.3">
      <c r="A18" s="596"/>
      <c r="B18" s="597"/>
      <c r="C18" s="1002"/>
      <c r="D18" s="1003"/>
      <c r="E18" s="1003"/>
      <c r="F18" s="1004"/>
    </row>
    <row r="19" spans="1:6" s="599" customFormat="1" ht="27.65" customHeight="1" x14ac:dyDescent="0.3">
      <c r="A19" s="596"/>
      <c r="B19" s="597">
        <v>3</v>
      </c>
      <c r="C19" s="1003" t="s">
        <v>3429</v>
      </c>
      <c r="D19" s="1003"/>
      <c r="E19" s="1003"/>
      <c r="F19" s="1004"/>
    </row>
    <row r="20" spans="1:6" s="599" customFormat="1" ht="13.5" x14ac:dyDescent="0.3">
      <c r="A20" s="596"/>
      <c r="B20" s="597"/>
      <c r="C20" s="1003"/>
      <c r="D20" s="1003"/>
      <c r="E20" s="1003"/>
      <c r="F20" s="1004"/>
    </row>
    <row r="21" spans="1:6" ht="16" thickBot="1" x14ac:dyDescent="0.4">
      <c r="A21" s="590"/>
      <c r="B21" s="600"/>
      <c r="C21" s="601"/>
      <c r="D21" s="601"/>
      <c r="E21" s="602"/>
      <c r="F21" s="603"/>
    </row>
    <row r="22" spans="1:6" ht="13.75" customHeight="1" x14ac:dyDescent="0.3"/>
    <row r="23" spans="1:6" ht="13.75" customHeight="1" x14ac:dyDescent="0.3"/>
    <row r="24" spans="1:6" ht="18" x14ac:dyDescent="0.3">
      <c r="A24" s="604" t="s">
        <v>418</v>
      </c>
      <c r="B24" s="604"/>
      <c r="C24" s="605"/>
    </row>
    <row r="26" spans="1:6" ht="15" customHeight="1" x14ac:dyDescent="0.3">
      <c r="A26" s="606" t="s">
        <v>383</v>
      </c>
      <c r="B26" s="1007" t="s">
        <v>384</v>
      </c>
      <c r="C26" s="1008"/>
      <c r="D26" s="607" t="s">
        <v>385</v>
      </c>
      <c r="E26" s="1009" t="s">
        <v>418</v>
      </c>
      <c r="F26" s="1010"/>
    </row>
    <row r="27" spans="1:6" s="599" customFormat="1" ht="14.25" customHeight="1" x14ac:dyDescent="0.3">
      <c r="A27" s="1033" t="s">
        <v>2872</v>
      </c>
      <c r="B27" s="1019" t="s">
        <v>2873</v>
      </c>
      <c r="C27" s="1020"/>
      <c r="D27" s="614">
        <v>1</v>
      </c>
      <c r="E27" s="1005" t="s">
        <v>2874</v>
      </c>
      <c r="F27" s="1006"/>
    </row>
    <row r="28" spans="1:6" s="599" customFormat="1" ht="14.25" customHeight="1" x14ac:dyDescent="0.3">
      <c r="A28" s="1034"/>
      <c r="B28" s="1027"/>
      <c r="C28" s="1028"/>
      <c r="D28" s="608"/>
      <c r="E28" s="669"/>
      <c r="F28" s="670"/>
    </row>
    <row r="29" spans="1:6" s="599" customFormat="1" ht="13.5" x14ac:dyDescent="0.3">
      <c r="A29" s="1034"/>
      <c r="B29" s="1027"/>
      <c r="C29" s="1028"/>
      <c r="D29" s="608"/>
      <c r="E29" s="1040" t="s">
        <v>2898</v>
      </c>
      <c r="F29" s="1041"/>
    </row>
    <row r="30" spans="1:6" s="599" customFormat="1" ht="13.5" x14ac:dyDescent="0.3">
      <c r="A30" s="1034"/>
      <c r="B30" s="1027"/>
      <c r="C30" s="1028"/>
      <c r="D30" s="608"/>
      <c r="E30" s="1011" t="s">
        <v>2875</v>
      </c>
      <c r="F30" s="1012"/>
    </row>
    <row r="31" spans="1:6" s="599" customFormat="1" ht="42.75" customHeight="1" x14ac:dyDescent="0.3">
      <c r="A31" s="1034"/>
      <c r="B31" s="1027"/>
      <c r="C31" s="1028"/>
      <c r="D31" s="608"/>
      <c r="E31" s="1013" t="s">
        <v>3069</v>
      </c>
      <c r="F31" s="1014"/>
    </row>
    <row r="32" spans="1:6" s="599" customFormat="1" ht="13.5" x14ac:dyDescent="0.3">
      <c r="A32" s="1034"/>
      <c r="B32" s="1027"/>
      <c r="C32" s="1028"/>
      <c r="D32" s="608"/>
      <c r="E32" s="1011"/>
      <c r="F32" s="1012"/>
    </row>
    <row r="33" spans="1:7" s="599" customFormat="1" ht="13.5" x14ac:dyDescent="0.3">
      <c r="A33" s="1034"/>
      <c r="B33" s="1027"/>
      <c r="C33" s="1028"/>
      <c r="D33" s="608"/>
      <c r="E33" s="1015" t="s">
        <v>2899</v>
      </c>
      <c r="F33" s="1016"/>
    </row>
    <row r="34" spans="1:7" s="599" customFormat="1" ht="15" customHeight="1" x14ac:dyDescent="0.3">
      <c r="A34" s="1034"/>
      <c r="B34" s="1027"/>
      <c r="C34" s="1028"/>
      <c r="D34" s="608"/>
      <c r="E34" s="1011" t="s">
        <v>2876</v>
      </c>
      <c r="F34" s="1012"/>
    </row>
    <row r="35" spans="1:7" s="599" customFormat="1" ht="29.25" customHeight="1" x14ac:dyDescent="0.3">
      <c r="A35" s="1034"/>
      <c r="B35" s="1027"/>
      <c r="C35" s="1028"/>
      <c r="D35" s="608"/>
      <c r="E35" s="997" t="s">
        <v>2877</v>
      </c>
      <c r="F35" s="998"/>
    </row>
    <row r="36" spans="1:7" s="599" customFormat="1" ht="37" customHeight="1" x14ac:dyDescent="0.3">
      <c r="A36" s="1034"/>
      <c r="B36" s="1027"/>
      <c r="C36" s="1028"/>
      <c r="D36" s="608"/>
      <c r="E36" s="997" t="s">
        <v>2878</v>
      </c>
      <c r="F36" s="998"/>
    </row>
    <row r="37" spans="1:7" s="599" customFormat="1" ht="13.5" x14ac:dyDescent="0.3">
      <c r="A37" s="1035"/>
      <c r="B37" s="1021"/>
      <c r="C37" s="1022"/>
      <c r="D37" s="611"/>
      <c r="E37" s="1025"/>
      <c r="F37" s="1026"/>
    </row>
    <row r="38" spans="1:7" s="599" customFormat="1" ht="14.25" customHeight="1" x14ac:dyDescent="0.3">
      <c r="A38" s="1034" t="s">
        <v>2879</v>
      </c>
      <c r="B38" s="1027" t="s">
        <v>2880</v>
      </c>
      <c r="C38" s="1028"/>
      <c r="D38" s="608">
        <v>2</v>
      </c>
      <c r="E38" s="618" t="s">
        <v>386</v>
      </c>
      <c r="F38" s="609"/>
    </row>
    <row r="39" spans="1:7" s="599" customFormat="1" ht="14.25" customHeight="1" x14ac:dyDescent="0.3">
      <c r="A39" s="1034"/>
      <c r="B39" s="1027"/>
      <c r="C39" s="1028"/>
      <c r="D39" s="608"/>
      <c r="E39" s="618"/>
      <c r="F39" s="609"/>
    </row>
    <row r="40" spans="1:7" s="599" customFormat="1" ht="69" customHeight="1" x14ac:dyDescent="0.3">
      <c r="A40" s="1034"/>
      <c r="B40" s="1027"/>
      <c r="C40" s="1028"/>
      <c r="D40" s="608" t="s">
        <v>204</v>
      </c>
      <c r="E40" s="1013" t="s">
        <v>3430</v>
      </c>
      <c r="F40" s="1014"/>
    </row>
    <row r="41" spans="1:7" s="599" customFormat="1" ht="13.5" x14ac:dyDescent="0.3">
      <c r="A41" s="1034"/>
      <c r="B41" s="1027"/>
      <c r="C41" s="1028"/>
      <c r="D41" s="608"/>
      <c r="E41" s="1027"/>
      <c r="F41" s="1028"/>
    </row>
    <row r="42" spans="1:7" s="599" customFormat="1" ht="159" customHeight="1" x14ac:dyDescent="0.3">
      <c r="A42" s="1034"/>
      <c r="B42" s="1027"/>
      <c r="C42" s="1028"/>
      <c r="D42" s="608"/>
      <c r="E42" s="1029" t="s">
        <v>3431</v>
      </c>
      <c r="F42" s="1030"/>
      <c r="G42" s="610"/>
    </row>
    <row r="43" spans="1:7" s="599" customFormat="1" ht="13.5" x14ac:dyDescent="0.3">
      <c r="A43" s="1034"/>
      <c r="B43" s="1027"/>
      <c r="C43" s="1028"/>
      <c r="D43" s="608"/>
      <c r="E43" s="1031"/>
      <c r="F43" s="1030"/>
      <c r="G43" s="610"/>
    </row>
    <row r="44" spans="1:7" s="599" customFormat="1" ht="13.75" customHeight="1" x14ac:dyDescent="0.3">
      <c r="A44" s="1034"/>
      <c r="B44" s="1027"/>
      <c r="C44" s="1028"/>
      <c r="D44" s="608"/>
      <c r="E44" s="1029" t="s">
        <v>3068</v>
      </c>
      <c r="F44" s="1030"/>
      <c r="G44" s="610"/>
    </row>
    <row r="45" spans="1:7" s="599" customFormat="1" ht="9.25" customHeight="1" x14ac:dyDescent="0.3">
      <c r="A45" s="1034"/>
      <c r="B45" s="1027"/>
      <c r="C45" s="1028"/>
      <c r="D45" s="608"/>
      <c r="E45" s="618"/>
      <c r="F45" s="609"/>
    </row>
    <row r="46" spans="1:7" s="599" customFormat="1" ht="81.25" customHeight="1" x14ac:dyDescent="0.3">
      <c r="A46" s="1034"/>
      <c r="B46" s="1027"/>
      <c r="C46" s="1028"/>
      <c r="D46" s="608" t="s">
        <v>205</v>
      </c>
      <c r="E46" s="1031" t="s">
        <v>3432</v>
      </c>
      <c r="F46" s="1030"/>
      <c r="G46" s="610"/>
    </row>
    <row r="47" spans="1:7" s="599" customFormat="1" ht="13.5" x14ac:dyDescent="0.3">
      <c r="A47" s="1034"/>
      <c r="B47" s="1027"/>
      <c r="C47" s="1028"/>
      <c r="D47" s="608"/>
      <c r="E47" s="1032"/>
      <c r="F47" s="1018"/>
    </row>
    <row r="48" spans="1:7" s="599" customFormat="1" ht="33.75" customHeight="1" x14ac:dyDescent="0.3">
      <c r="A48" s="1034"/>
      <c r="B48" s="1027"/>
      <c r="C48" s="1028"/>
      <c r="D48" s="608"/>
      <c r="E48" s="1017" t="s">
        <v>3433</v>
      </c>
      <c r="F48" s="1018"/>
      <c r="G48" s="610"/>
    </row>
    <row r="49" spans="1:7" s="599" customFormat="1" ht="13.5" x14ac:dyDescent="0.3">
      <c r="A49" s="1034"/>
      <c r="B49" s="1027"/>
      <c r="C49" s="1028"/>
      <c r="D49" s="608"/>
      <c r="E49" s="663"/>
      <c r="F49" s="662"/>
      <c r="G49" s="610"/>
    </row>
    <row r="50" spans="1:7" s="599" customFormat="1" ht="13.75" customHeight="1" x14ac:dyDescent="0.3">
      <c r="A50" s="1034"/>
      <c r="B50" s="1027"/>
      <c r="C50" s="1028"/>
      <c r="D50" s="608"/>
      <c r="E50" s="1017" t="s">
        <v>2881</v>
      </c>
      <c r="F50" s="1018"/>
      <c r="G50" s="610"/>
    </row>
    <row r="51" spans="1:7" s="599" customFormat="1" ht="13.5" x14ac:dyDescent="0.3">
      <c r="A51" s="1034"/>
      <c r="B51" s="1027"/>
      <c r="C51" s="1028"/>
      <c r="D51" s="608"/>
      <c r="E51" s="671"/>
      <c r="F51" s="662"/>
      <c r="G51" s="610"/>
    </row>
    <row r="52" spans="1:7" s="599" customFormat="1" ht="13.75" customHeight="1" x14ac:dyDescent="0.3">
      <c r="A52" s="1034"/>
      <c r="B52" s="1027"/>
      <c r="C52" s="1028"/>
      <c r="D52" s="608"/>
      <c r="E52" s="1017" t="s">
        <v>2882</v>
      </c>
      <c r="F52" s="1018"/>
      <c r="G52" s="610"/>
    </row>
    <row r="53" spans="1:7" s="599" customFormat="1" ht="13.5" x14ac:dyDescent="0.3">
      <c r="A53" s="1035"/>
      <c r="B53" s="1021"/>
      <c r="C53" s="1022"/>
      <c r="D53" s="611"/>
      <c r="E53" s="612"/>
      <c r="F53" s="613"/>
    </row>
    <row r="54" spans="1:7" s="599" customFormat="1" ht="14.25" customHeight="1" x14ac:dyDescent="0.3">
      <c r="A54" s="660" t="s">
        <v>387</v>
      </c>
      <c r="B54" s="1019" t="s">
        <v>388</v>
      </c>
      <c r="C54" s="1020"/>
      <c r="D54" s="608">
        <v>3</v>
      </c>
      <c r="E54" s="1023" t="s">
        <v>389</v>
      </c>
      <c r="F54" s="1024"/>
    </row>
    <row r="55" spans="1:7" s="599" customFormat="1" ht="50.25" customHeight="1" x14ac:dyDescent="0.3">
      <c r="A55" s="660"/>
      <c r="B55" s="1021"/>
      <c r="C55" s="1022"/>
      <c r="D55" s="608"/>
      <c r="E55" s="672"/>
      <c r="F55" s="661"/>
    </row>
    <row r="56" spans="1:7" s="599" customFormat="1" ht="30" customHeight="1" x14ac:dyDescent="0.3">
      <c r="A56" s="1033" t="s">
        <v>390</v>
      </c>
      <c r="B56" s="1019" t="s">
        <v>391</v>
      </c>
      <c r="C56" s="1020"/>
      <c r="D56" s="614">
        <v>4</v>
      </c>
      <c r="E56" s="1023" t="s">
        <v>3434</v>
      </c>
      <c r="F56" s="1024"/>
      <c r="G56" s="610"/>
    </row>
    <row r="57" spans="1:7" s="599" customFormat="1" ht="41.25" customHeight="1" x14ac:dyDescent="0.3">
      <c r="A57" s="1035"/>
      <c r="B57" s="1021"/>
      <c r="C57" s="1022"/>
      <c r="D57" s="611"/>
      <c r="E57" s="612"/>
      <c r="F57" s="615"/>
      <c r="G57" s="610"/>
    </row>
    <row r="58" spans="1:7" s="599" customFormat="1" ht="28" customHeight="1" x14ac:dyDescent="0.3">
      <c r="A58" s="1034" t="s">
        <v>392</v>
      </c>
      <c r="B58" s="1019" t="s">
        <v>2883</v>
      </c>
      <c r="C58" s="1020"/>
      <c r="D58" s="608">
        <v>5</v>
      </c>
      <c r="E58" s="1023" t="s">
        <v>2884</v>
      </c>
      <c r="F58" s="1024"/>
    </row>
    <row r="59" spans="1:7" s="599" customFormat="1" ht="26.25" customHeight="1" x14ac:dyDescent="0.3">
      <c r="A59" s="1035"/>
      <c r="B59" s="1021"/>
      <c r="C59" s="1022"/>
      <c r="D59" s="608"/>
      <c r="E59" s="618"/>
      <c r="F59" s="609"/>
    </row>
    <row r="60" spans="1:7" s="599" customFormat="1" ht="28" customHeight="1" x14ac:dyDescent="0.3">
      <c r="A60" s="1033" t="s">
        <v>425</v>
      </c>
      <c r="B60" s="1019" t="s">
        <v>2885</v>
      </c>
      <c r="C60" s="1020"/>
      <c r="D60" s="614">
        <v>6</v>
      </c>
      <c r="E60" s="1023" t="s">
        <v>2886</v>
      </c>
      <c r="F60" s="1024"/>
    </row>
    <row r="61" spans="1:7" s="599" customFormat="1" ht="13.5" x14ac:dyDescent="0.3">
      <c r="A61" s="1034"/>
      <c r="B61" s="1027"/>
      <c r="C61" s="1028"/>
      <c r="D61" s="608"/>
      <c r="E61" s="673"/>
      <c r="F61" s="609"/>
    </row>
    <row r="62" spans="1:7" s="599" customFormat="1" ht="30" customHeight="1" x14ac:dyDescent="0.3">
      <c r="A62" s="1034"/>
      <c r="B62" s="1027"/>
      <c r="C62" s="1028"/>
      <c r="D62" s="608">
        <v>7</v>
      </c>
      <c r="E62" s="1013" t="s">
        <v>2887</v>
      </c>
      <c r="F62" s="1014"/>
    </row>
    <row r="63" spans="1:7" s="599" customFormat="1" ht="13.5" x14ac:dyDescent="0.3">
      <c r="A63" s="1034"/>
      <c r="B63" s="1027"/>
      <c r="C63" s="1028"/>
      <c r="D63" s="608"/>
      <c r="E63" s="664"/>
      <c r="F63" s="665"/>
    </row>
    <row r="64" spans="1:7" s="599" customFormat="1" ht="33.75" customHeight="1" x14ac:dyDescent="0.3">
      <c r="A64" s="1034"/>
      <c r="B64" s="1027"/>
      <c r="C64" s="1028"/>
      <c r="D64" s="608"/>
      <c r="E64" s="1013" t="s">
        <v>2888</v>
      </c>
      <c r="F64" s="1014"/>
      <c r="G64" s="610"/>
    </row>
    <row r="65" spans="1:7" s="599" customFormat="1" ht="13.5" x14ac:dyDescent="0.3">
      <c r="A65" s="1034"/>
      <c r="B65" s="1027"/>
      <c r="C65" s="1028"/>
      <c r="D65" s="608"/>
      <c r="E65" s="618"/>
      <c r="F65" s="609"/>
    </row>
    <row r="66" spans="1:7" s="599" customFormat="1" ht="159.65" customHeight="1" x14ac:dyDescent="0.3">
      <c r="A66" s="1034"/>
      <c r="B66" s="1027"/>
      <c r="C66" s="1028"/>
      <c r="D66" s="608">
        <v>8</v>
      </c>
      <c r="E66" s="1032" t="s">
        <v>2889</v>
      </c>
      <c r="F66" s="1018"/>
    </row>
    <row r="67" spans="1:7" s="599" customFormat="1" ht="13.5" x14ac:dyDescent="0.3">
      <c r="A67" s="1034"/>
      <c r="B67" s="1027"/>
      <c r="C67" s="1028"/>
      <c r="D67" s="608"/>
      <c r="E67" s="618"/>
      <c r="F67" s="609"/>
    </row>
    <row r="68" spans="1:7" s="599" customFormat="1" ht="105" customHeight="1" x14ac:dyDescent="0.3">
      <c r="A68" s="1034"/>
      <c r="B68" s="1027"/>
      <c r="C68" s="1028"/>
      <c r="D68" s="608">
        <v>9</v>
      </c>
      <c r="E68" s="1032" t="s">
        <v>3071</v>
      </c>
      <c r="F68" s="1018"/>
      <c r="G68" s="610"/>
    </row>
    <row r="69" spans="1:7" s="599" customFormat="1" ht="13.5" x14ac:dyDescent="0.3">
      <c r="A69" s="1035"/>
      <c r="B69" s="1021"/>
      <c r="C69" s="1022"/>
      <c r="D69" s="611"/>
      <c r="E69" s="616"/>
      <c r="F69" s="617"/>
    </row>
    <row r="70" spans="1:7" s="599" customFormat="1" ht="14.25" customHeight="1" x14ac:dyDescent="0.3">
      <c r="A70" s="1033" t="s">
        <v>426</v>
      </c>
      <c r="B70" s="1019" t="s">
        <v>3435</v>
      </c>
      <c r="C70" s="1020"/>
      <c r="D70" s="614">
        <v>10</v>
      </c>
      <c r="E70" s="1036" t="s">
        <v>2890</v>
      </c>
      <c r="F70" s="1037"/>
    </row>
    <row r="71" spans="1:7" s="599" customFormat="1" ht="14.25" customHeight="1" x14ac:dyDescent="0.3">
      <c r="A71" s="1034"/>
      <c r="B71" s="1027"/>
      <c r="C71" s="1028"/>
      <c r="D71" s="608"/>
      <c r="E71" s="674"/>
      <c r="F71" s="661"/>
    </row>
    <row r="72" spans="1:7" s="599" customFormat="1" ht="13.75" customHeight="1" x14ac:dyDescent="0.3">
      <c r="A72" s="1034"/>
      <c r="B72" s="1027"/>
      <c r="C72" s="1028"/>
      <c r="D72" s="608"/>
      <c r="E72" s="1031" t="s">
        <v>3436</v>
      </c>
      <c r="F72" s="1030"/>
    </row>
    <row r="73" spans="1:7" s="599" customFormat="1" ht="13.5" x14ac:dyDescent="0.3">
      <c r="A73" s="1034"/>
      <c r="B73" s="1027"/>
      <c r="C73" s="1028"/>
      <c r="D73" s="608"/>
      <c r="E73" s="674"/>
      <c r="F73" s="661"/>
    </row>
    <row r="74" spans="1:7" s="599" customFormat="1" ht="58.75" customHeight="1" x14ac:dyDescent="0.3">
      <c r="A74" s="1034"/>
      <c r="B74" s="1027"/>
      <c r="C74" s="1028"/>
      <c r="D74" s="608"/>
      <c r="E74" s="1031" t="s">
        <v>3437</v>
      </c>
      <c r="F74" s="1030"/>
    </row>
    <row r="75" spans="1:7" s="599" customFormat="1" ht="49.75" customHeight="1" x14ac:dyDescent="0.3">
      <c r="A75" s="1035"/>
      <c r="B75" s="1021"/>
      <c r="C75" s="1022"/>
      <c r="D75" s="611"/>
      <c r="E75" s="616"/>
      <c r="F75" s="617"/>
    </row>
    <row r="76" spans="1:7" s="599" customFormat="1" ht="30" customHeight="1" x14ac:dyDescent="0.3">
      <c r="A76" s="1033" t="s">
        <v>427</v>
      </c>
      <c r="B76" s="1019" t="s">
        <v>2891</v>
      </c>
      <c r="C76" s="1020"/>
      <c r="D76" s="614">
        <v>11</v>
      </c>
      <c r="E76" s="1038" t="s">
        <v>2892</v>
      </c>
      <c r="F76" s="1039"/>
      <c r="G76" s="610"/>
    </row>
    <row r="77" spans="1:7" s="599" customFormat="1" ht="13.5" x14ac:dyDescent="0.3">
      <c r="A77" s="1034"/>
      <c r="B77" s="1027"/>
      <c r="C77" s="1028"/>
      <c r="D77" s="608"/>
      <c r="E77" s="1013"/>
      <c r="F77" s="1014"/>
      <c r="G77" s="610"/>
    </row>
    <row r="78" spans="1:7" s="599" customFormat="1" ht="13.75" customHeight="1" x14ac:dyDescent="0.3">
      <c r="A78" s="1034"/>
      <c r="B78" s="1027"/>
      <c r="C78" s="1028"/>
      <c r="D78" s="608"/>
      <c r="E78" s="1031" t="s">
        <v>2893</v>
      </c>
      <c r="F78" s="1030"/>
      <c r="G78" s="610"/>
    </row>
    <row r="79" spans="1:7" s="599" customFormat="1" ht="13.5" x14ac:dyDescent="0.3">
      <c r="A79" s="1035"/>
      <c r="B79" s="1021"/>
      <c r="C79" s="1022"/>
      <c r="D79" s="611"/>
      <c r="E79" s="616"/>
      <c r="F79" s="617"/>
    </row>
    <row r="80" spans="1:7" s="599" customFormat="1" ht="32.25" customHeight="1" x14ac:dyDescent="0.3">
      <c r="A80" s="1033" t="s">
        <v>428</v>
      </c>
      <c r="B80" s="1019" t="s">
        <v>3438</v>
      </c>
      <c r="C80" s="1020"/>
      <c r="D80" s="614">
        <v>12</v>
      </c>
      <c r="E80" s="1036" t="s">
        <v>2894</v>
      </c>
      <c r="F80" s="1037"/>
    </row>
    <row r="81" spans="1:7" s="599" customFormat="1" ht="13.5" x14ac:dyDescent="0.3">
      <c r="A81" s="1034"/>
      <c r="B81" s="1027"/>
      <c r="C81" s="1028"/>
      <c r="D81" s="608"/>
      <c r="E81" s="618"/>
      <c r="G81" s="610"/>
    </row>
    <row r="82" spans="1:7" s="599" customFormat="1" ht="13.75" customHeight="1" x14ac:dyDescent="0.3">
      <c r="A82" s="1034"/>
      <c r="B82" s="1027"/>
      <c r="C82" s="1028"/>
      <c r="D82" s="608"/>
      <c r="E82" s="1017" t="s">
        <v>3439</v>
      </c>
      <c r="F82" s="1018"/>
    </row>
    <row r="83" spans="1:7" s="599" customFormat="1" ht="13.5" x14ac:dyDescent="0.3">
      <c r="A83" s="1034"/>
      <c r="B83" s="1027"/>
      <c r="C83" s="1028"/>
      <c r="D83" s="608"/>
      <c r="E83" s="671"/>
      <c r="F83" s="662"/>
    </row>
    <row r="84" spans="1:7" s="599" customFormat="1" ht="62.25" customHeight="1" x14ac:dyDescent="0.3">
      <c r="A84" s="1034"/>
      <c r="B84" s="1027"/>
      <c r="C84" s="1028"/>
      <c r="D84" s="608"/>
      <c r="E84" s="1017" t="s">
        <v>3440</v>
      </c>
      <c r="F84" s="1018"/>
    </row>
    <row r="85" spans="1:7" s="599" customFormat="1" ht="55" customHeight="1" x14ac:dyDescent="0.3">
      <c r="A85" s="1035"/>
      <c r="B85" s="1021"/>
      <c r="C85" s="1022"/>
      <c r="D85" s="611"/>
      <c r="E85" s="1031" t="s">
        <v>2895</v>
      </c>
      <c r="F85" s="1030"/>
    </row>
    <row r="86" spans="1:7" s="599" customFormat="1" ht="40.75" customHeight="1" x14ac:dyDescent="0.3">
      <c r="A86" s="1033" t="s">
        <v>429</v>
      </c>
      <c r="B86" s="1019" t="s">
        <v>430</v>
      </c>
      <c r="C86" s="1020"/>
      <c r="D86" s="614">
        <v>13</v>
      </c>
      <c r="E86" s="1036" t="s">
        <v>431</v>
      </c>
      <c r="F86" s="1037"/>
    </row>
    <row r="87" spans="1:7" s="599" customFormat="1" ht="13.5" x14ac:dyDescent="0.3">
      <c r="A87" s="1034"/>
      <c r="B87" s="1027"/>
      <c r="C87" s="1028"/>
      <c r="D87" s="608"/>
      <c r="E87" s="674"/>
      <c r="F87" s="661"/>
    </row>
    <row r="88" spans="1:7" s="599" customFormat="1" ht="29.25" customHeight="1" x14ac:dyDescent="0.3">
      <c r="A88" s="1034"/>
      <c r="B88" s="1027"/>
      <c r="C88" s="1028"/>
      <c r="D88" s="608"/>
      <c r="E88" s="1029" t="s">
        <v>2896</v>
      </c>
      <c r="F88" s="1030"/>
    </row>
    <row r="89" spans="1:7" s="599" customFormat="1" ht="13.5" x14ac:dyDescent="0.3">
      <c r="A89" s="1035"/>
      <c r="B89" s="1021"/>
      <c r="C89" s="1022"/>
      <c r="D89" s="611"/>
      <c r="E89" s="616"/>
      <c r="F89" s="617"/>
    </row>
    <row r="101" spans="1:7" s="588" customFormat="1" x14ac:dyDescent="0.3">
      <c r="A101" s="585"/>
      <c r="B101" s="585"/>
      <c r="C101" s="586"/>
      <c r="D101" s="587"/>
      <c r="F101" s="589"/>
      <c r="G101" s="589"/>
    </row>
    <row r="102" spans="1:7" s="588" customFormat="1" x14ac:dyDescent="0.3">
      <c r="A102" s="585"/>
      <c r="B102" s="585"/>
      <c r="C102" s="586"/>
      <c r="D102" s="587"/>
      <c r="F102" s="589"/>
      <c r="G102" s="589"/>
    </row>
    <row r="103" spans="1:7" s="588" customFormat="1" x14ac:dyDescent="0.3">
      <c r="A103" s="585"/>
      <c r="B103" s="585"/>
      <c r="C103" s="586"/>
      <c r="D103" s="587"/>
      <c r="F103" s="589"/>
      <c r="G103" s="589"/>
    </row>
    <row r="104" spans="1:7" s="588" customFormat="1" x14ac:dyDescent="0.3">
      <c r="A104" s="585"/>
      <c r="B104" s="585"/>
      <c r="C104" s="586"/>
      <c r="D104" s="587"/>
      <c r="F104" s="589"/>
      <c r="G104" s="589"/>
    </row>
    <row r="105" spans="1:7" s="588" customFormat="1" x14ac:dyDescent="0.3">
      <c r="A105" s="585"/>
      <c r="B105" s="585"/>
      <c r="C105" s="586"/>
      <c r="D105" s="587"/>
      <c r="F105" s="589"/>
      <c r="G105" s="589"/>
    </row>
    <row r="106" spans="1:7" s="588" customFormat="1" x14ac:dyDescent="0.3">
      <c r="A106" s="585"/>
      <c r="B106" s="585"/>
      <c r="C106" s="586"/>
      <c r="D106" s="587"/>
      <c r="F106" s="589"/>
      <c r="G106" s="589"/>
    </row>
    <row r="107" spans="1:7" s="588" customFormat="1" x14ac:dyDescent="0.3">
      <c r="A107" s="585"/>
      <c r="B107" s="585"/>
      <c r="C107" s="586"/>
      <c r="D107" s="587"/>
      <c r="F107" s="589"/>
      <c r="G107" s="589"/>
    </row>
    <row r="108" spans="1:7" s="588" customFormat="1" x14ac:dyDescent="0.3">
      <c r="A108" s="585"/>
      <c r="B108" s="585"/>
      <c r="C108" s="586"/>
      <c r="D108" s="587"/>
      <c r="F108" s="589"/>
      <c r="G108" s="589"/>
    </row>
  </sheetData>
  <mergeCells count="66">
    <mergeCell ref="A86:A89"/>
    <mergeCell ref="A80:A85"/>
    <mergeCell ref="B80:C85"/>
    <mergeCell ref="E80:F80"/>
    <mergeCell ref="A27:A37"/>
    <mergeCell ref="B27:C37"/>
    <mergeCell ref="E29:F29"/>
    <mergeCell ref="A38:A53"/>
    <mergeCell ref="B38:C53"/>
    <mergeCell ref="E40:F40"/>
    <mergeCell ref="E46:F46"/>
    <mergeCell ref="E50:F50"/>
    <mergeCell ref="E52:F52"/>
    <mergeCell ref="E82:F82"/>
    <mergeCell ref="E84:F84"/>
    <mergeCell ref="B70:C75"/>
    <mergeCell ref="E74:F74"/>
    <mergeCell ref="E86:F86"/>
    <mergeCell ref="B86:C89"/>
    <mergeCell ref="E88:F88"/>
    <mergeCell ref="E85:F85"/>
    <mergeCell ref="A76:A79"/>
    <mergeCell ref="B76:C79"/>
    <mergeCell ref="E76:F76"/>
    <mergeCell ref="E77:F77"/>
    <mergeCell ref="E78:F78"/>
    <mergeCell ref="A70:A75"/>
    <mergeCell ref="A56:A57"/>
    <mergeCell ref="B56:C57"/>
    <mergeCell ref="E56:F56"/>
    <mergeCell ref="A58:A59"/>
    <mergeCell ref="B58:C59"/>
    <mergeCell ref="E58:F58"/>
    <mergeCell ref="A60:A69"/>
    <mergeCell ref="B60:C69"/>
    <mergeCell ref="E60:F60"/>
    <mergeCell ref="E62:F62"/>
    <mergeCell ref="E64:F64"/>
    <mergeCell ref="E66:F66"/>
    <mergeCell ref="E68:F68"/>
    <mergeCell ref="E70:F70"/>
    <mergeCell ref="E72:F72"/>
    <mergeCell ref="E48:F48"/>
    <mergeCell ref="B54:C55"/>
    <mergeCell ref="E54:F54"/>
    <mergeCell ref="E37:F37"/>
    <mergeCell ref="E41:F41"/>
    <mergeCell ref="E42:F42"/>
    <mergeCell ref="E43:F43"/>
    <mergeCell ref="E44:F44"/>
    <mergeCell ref="E47:F47"/>
    <mergeCell ref="E35:F35"/>
    <mergeCell ref="E36:F36"/>
    <mergeCell ref="B13:F13"/>
    <mergeCell ref="C18:F18"/>
    <mergeCell ref="C20:F20"/>
    <mergeCell ref="C17:F17"/>
    <mergeCell ref="E27:F27"/>
    <mergeCell ref="C19:F19"/>
    <mergeCell ref="B26:C26"/>
    <mergeCell ref="E26:F26"/>
    <mergeCell ref="E30:F30"/>
    <mergeCell ref="E31:F31"/>
    <mergeCell ref="E32:F32"/>
    <mergeCell ref="E33:F33"/>
    <mergeCell ref="E34:F34"/>
  </mergeCells>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V115"/>
  <sheetViews>
    <sheetView showGridLines="0" topLeftCell="A29" zoomScale="90" zoomScaleNormal="90" workbookViewId="0">
      <selection activeCell="L43" sqref="L43:L46"/>
    </sheetView>
  </sheetViews>
  <sheetFormatPr defaultColWidth="9" defaultRowHeight="14.5" x14ac:dyDescent="0.35"/>
  <cols>
    <col min="1" max="1" width="13.26953125" style="19" customWidth="1"/>
    <col min="2" max="4" width="9" style="19"/>
    <col min="5" max="5" width="9" style="19" customWidth="1"/>
    <col min="6" max="10" width="9" style="19"/>
    <col min="11" max="11" width="15.26953125" style="19" customWidth="1"/>
    <col min="12" max="12" width="9" style="619"/>
    <col min="13" max="21" width="9" style="19"/>
    <col min="22" max="22" width="54" style="19" hidden="1" customWidth="1"/>
    <col min="23" max="16384" width="9" style="19"/>
  </cols>
  <sheetData>
    <row r="1" spans="2:22" x14ac:dyDescent="0.35">
      <c r="V1" s="576" t="s">
        <v>2925</v>
      </c>
    </row>
    <row r="2" spans="2:22" x14ac:dyDescent="0.35">
      <c r="V2" s="576" t="s">
        <v>2926</v>
      </c>
    </row>
    <row r="3" spans="2:22" x14ac:dyDescent="0.35">
      <c r="V3" s="576" t="s">
        <v>2927</v>
      </c>
    </row>
    <row r="4" spans="2:22" x14ac:dyDescent="0.35">
      <c r="V4" s="576" t="s">
        <v>2928</v>
      </c>
    </row>
    <row r="5" spans="2:22" x14ac:dyDescent="0.35">
      <c r="V5" s="576" t="s">
        <v>2929</v>
      </c>
    </row>
    <row r="6" spans="2:22" x14ac:dyDescent="0.35">
      <c r="V6" s="576" t="s">
        <v>77</v>
      </c>
    </row>
    <row r="7" spans="2:22" x14ac:dyDescent="0.35">
      <c r="V7" s="576" t="s">
        <v>78</v>
      </c>
    </row>
    <row r="8" spans="2:22" x14ac:dyDescent="0.35">
      <c r="V8" s="576" t="s">
        <v>79</v>
      </c>
    </row>
    <row r="9" spans="2:22" x14ac:dyDescent="0.35">
      <c r="V9" s="576" t="s">
        <v>80</v>
      </c>
    </row>
    <row r="10" spans="2:22" x14ac:dyDescent="0.35">
      <c r="V10" s="576" t="s">
        <v>81</v>
      </c>
    </row>
    <row r="11" spans="2:22" x14ac:dyDescent="0.35">
      <c r="G11" s="20"/>
      <c r="V11" s="576" t="s">
        <v>82</v>
      </c>
    </row>
    <row r="12" spans="2:22" x14ac:dyDescent="0.35">
      <c r="B12" s="21"/>
      <c r="C12" s="21"/>
      <c r="D12" s="21"/>
      <c r="E12" s="21"/>
      <c r="F12" s="21"/>
      <c r="G12" s="20"/>
      <c r="M12" s="22"/>
      <c r="N12" s="23"/>
      <c r="P12" s="22" t="s">
        <v>422</v>
      </c>
      <c r="V12" s="576" t="s">
        <v>83</v>
      </c>
    </row>
    <row r="13" spans="2:22" ht="15" thickBot="1" x14ac:dyDescent="0.4">
      <c r="G13" s="20"/>
      <c r="V13" s="576" t="s">
        <v>84</v>
      </c>
    </row>
    <row r="14" spans="2:22" ht="15.5" thickTop="1" thickBot="1" x14ac:dyDescent="0.4">
      <c r="E14" s="24" t="s">
        <v>39</v>
      </c>
      <c r="F14" s="1045" t="s">
        <v>117</v>
      </c>
      <c r="G14" s="1046"/>
      <c r="H14" s="1046"/>
      <c r="I14" s="1046"/>
      <c r="J14" s="1046"/>
      <c r="K14" s="1046"/>
      <c r="L14" s="1047"/>
      <c r="V14" s="576" t="s">
        <v>85</v>
      </c>
    </row>
    <row r="15" spans="2:22" ht="15" thickBot="1" x14ac:dyDescent="0.4">
      <c r="E15" s="25"/>
      <c r="F15" s="26"/>
      <c r="G15" s="27"/>
      <c r="H15" s="26"/>
      <c r="I15" s="26"/>
      <c r="J15" s="26"/>
      <c r="V15" s="576" t="s">
        <v>86</v>
      </c>
    </row>
    <row r="16" spans="2:22" ht="15.5" thickTop="1" thickBot="1" x14ac:dyDescent="0.4">
      <c r="E16" s="28" t="s">
        <v>40</v>
      </c>
      <c r="F16" s="1048"/>
      <c r="G16" s="1049"/>
      <c r="H16" s="1049"/>
      <c r="I16" s="1049"/>
      <c r="J16" s="1050"/>
      <c r="V16" s="576" t="s">
        <v>2930</v>
      </c>
    </row>
    <row r="17" spans="1:22" ht="15" thickBot="1" x14ac:dyDescent="0.4">
      <c r="E17" s="29"/>
      <c r="V17" s="576" t="s">
        <v>2931</v>
      </c>
    </row>
    <row r="18" spans="1:22" ht="15.5" thickTop="1" thickBot="1" x14ac:dyDescent="0.4">
      <c r="E18" s="28" t="s">
        <v>41</v>
      </c>
      <c r="F18" s="1051"/>
      <c r="G18" s="1052"/>
      <c r="H18" s="1052"/>
      <c r="I18" s="1052"/>
      <c r="J18" s="1053"/>
      <c r="V18" s="576" t="s">
        <v>198</v>
      </c>
    </row>
    <row r="19" spans="1:22" ht="12.75" customHeight="1" thickBot="1" x14ac:dyDescent="0.4">
      <c r="E19" s="29"/>
      <c r="V19" s="576" t="s">
        <v>2932</v>
      </c>
    </row>
    <row r="20" spans="1:22" ht="15.5" thickTop="1" thickBot="1" x14ac:dyDescent="0.4">
      <c r="E20" s="28" t="s">
        <v>42</v>
      </c>
      <c r="F20" s="1051"/>
      <c r="G20" s="1052"/>
      <c r="H20" s="1052"/>
      <c r="I20" s="1052"/>
      <c r="J20" s="1053"/>
      <c r="V20" s="576" t="s">
        <v>2933</v>
      </c>
    </row>
    <row r="21" spans="1:22" ht="15" thickBot="1" x14ac:dyDescent="0.4">
      <c r="E21" s="30"/>
      <c r="F21" s="26"/>
      <c r="G21" s="27"/>
      <c r="H21" s="26"/>
      <c r="I21" s="26"/>
      <c r="J21" s="26"/>
      <c r="V21" s="576" t="s">
        <v>433</v>
      </c>
    </row>
    <row r="22" spans="1:22" ht="15.5" thickTop="1" thickBot="1" x14ac:dyDescent="0.4">
      <c r="E22" s="24" t="s">
        <v>43</v>
      </c>
      <c r="F22" s="1051"/>
      <c r="G22" s="1052"/>
      <c r="H22" s="1052"/>
      <c r="I22" s="1052"/>
      <c r="J22" s="1053"/>
      <c r="V22" s="576" t="s">
        <v>434</v>
      </c>
    </row>
    <row r="23" spans="1:22" ht="15" thickBot="1" x14ac:dyDescent="0.4">
      <c r="E23" s="30"/>
      <c r="F23" s="26"/>
      <c r="G23" s="27"/>
      <c r="H23" s="26"/>
      <c r="I23" s="26"/>
      <c r="J23" s="26"/>
      <c r="V23" s="576" t="s">
        <v>435</v>
      </c>
    </row>
    <row r="24" spans="1:22" ht="15.5" thickTop="1" thickBot="1" x14ac:dyDescent="0.4">
      <c r="E24" s="24" t="s">
        <v>44</v>
      </c>
      <c r="F24" s="1042"/>
      <c r="G24" s="1043"/>
      <c r="H24" s="1043"/>
      <c r="I24" s="1043"/>
      <c r="J24" s="1044"/>
      <c r="V24" s="576" t="s">
        <v>436</v>
      </c>
    </row>
    <row r="25" spans="1:22" ht="51" customHeight="1" x14ac:dyDescent="0.35">
      <c r="A25" s="383"/>
      <c r="E25" s="30"/>
      <c r="F25" s="26"/>
      <c r="G25" s="27"/>
      <c r="H25" s="26"/>
      <c r="I25" s="26"/>
      <c r="J25" s="26"/>
      <c r="V25" s="576" t="s">
        <v>89</v>
      </c>
    </row>
    <row r="26" spans="1:22" x14ac:dyDescent="0.35">
      <c r="E26" s="24"/>
      <c r="I26" s="26"/>
      <c r="J26" s="26"/>
      <c r="V26" s="576" t="s">
        <v>90</v>
      </c>
    </row>
    <row r="27" spans="1:22" x14ac:dyDescent="0.35">
      <c r="A27" s="383" t="s">
        <v>440</v>
      </c>
      <c r="B27" s="380"/>
      <c r="C27" s="380"/>
      <c r="D27" s="380"/>
      <c r="E27" s="381"/>
      <c r="F27" s="382"/>
      <c r="G27" s="382"/>
      <c r="H27" s="382"/>
      <c r="I27" s="382"/>
      <c r="J27" s="382"/>
      <c r="K27" s="380"/>
      <c r="L27" s="620"/>
      <c r="M27" s="380"/>
      <c r="N27" s="380"/>
      <c r="O27" s="380"/>
      <c r="P27" s="380"/>
      <c r="Q27" s="380"/>
      <c r="R27" s="380"/>
      <c r="S27" s="380"/>
      <c r="T27" s="380"/>
      <c r="V27" s="576" t="s">
        <v>91</v>
      </c>
    </row>
    <row r="28" spans="1:22" ht="36" customHeight="1" x14ac:dyDescent="0.35">
      <c r="A28" s="1073" t="s">
        <v>3690</v>
      </c>
      <c r="B28" s="1073"/>
      <c r="C28" s="1073"/>
      <c r="D28" s="1073"/>
      <c r="E28" s="1073"/>
      <c r="F28" s="1073"/>
      <c r="G28" s="1073"/>
      <c r="H28" s="1073"/>
      <c r="I28" s="1073"/>
      <c r="J28" s="1073"/>
      <c r="K28" s="1073"/>
      <c r="L28" s="1073"/>
      <c r="M28" s="1073"/>
      <c r="N28" s="1073"/>
      <c r="O28" s="380"/>
      <c r="P28" s="380"/>
      <c r="Q28" s="380"/>
      <c r="R28" s="380"/>
      <c r="S28" s="380"/>
      <c r="T28" s="380"/>
      <c r="V28" s="576" t="s">
        <v>92</v>
      </c>
    </row>
    <row r="29" spans="1:22" ht="29.25" customHeight="1" x14ac:dyDescent="0.35">
      <c r="A29" s="581" t="s">
        <v>3020</v>
      </c>
      <c r="B29" s="380"/>
      <c r="C29" s="380"/>
      <c r="D29" s="380"/>
      <c r="E29" s="381"/>
      <c r="F29" s="382"/>
      <c r="G29" s="382"/>
      <c r="H29" s="382"/>
      <c r="I29" s="382"/>
      <c r="J29" s="382"/>
      <c r="K29" s="380"/>
      <c r="L29" s="641" t="s">
        <v>3070</v>
      </c>
      <c r="M29" s="380"/>
      <c r="N29" s="380"/>
      <c r="O29" s="380"/>
      <c r="P29" s="380"/>
      <c r="Q29" s="380"/>
      <c r="R29" s="380"/>
      <c r="S29" s="380"/>
      <c r="T29" s="380"/>
      <c r="V29" s="576" t="s">
        <v>199</v>
      </c>
    </row>
    <row r="30" spans="1:22" ht="17.25" customHeight="1" thickBot="1" x14ac:dyDescent="0.4">
      <c r="A30" s="1065" t="s">
        <v>3021</v>
      </c>
      <c r="B30" s="1065"/>
      <c r="C30" s="1065"/>
      <c r="D30" s="1065"/>
      <c r="E30" s="1065"/>
      <c r="F30" s="1065"/>
      <c r="G30" s="1065"/>
      <c r="H30" s="1065"/>
      <c r="I30" s="1065"/>
      <c r="J30" s="1065"/>
      <c r="K30" s="1065"/>
      <c r="M30"/>
      <c r="N30"/>
      <c r="O30"/>
      <c r="P30"/>
      <c r="Q30" s="380"/>
      <c r="R30" s="380"/>
      <c r="S30" s="380"/>
      <c r="T30" s="380"/>
      <c r="V30" s="576" t="s">
        <v>93</v>
      </c>
    </row>
    <row r="31" spans="1:22" ht="19.5" customHeight="1" thickBot="1" x14ac:dyDescent="0.4">
      <c r="A31" s="1065" t="s">
        <v>3034</v>
      </c>
      <c r="B31" s="1072"/>
      <c r="C31" s="1072"/>
      <c r="D31" s="1072"/>
      <c r="E31" s="1072"/>
      <c r="F31" s="1072"/>
      <c r="G31" s="1072"/>
      <c r="H31" s="1072"/>
      <c r="I31" s="1072"/>
      <c r="J31" s="1072"/>
      <c r="K31" s="1072"/>
      <c r="L31" s="621">
        <f>2021</f>
        <v>2021</v>
      </c>
      <c r="M31"/>
      <c r="N31"/>
      <c r="O31"/>
      <c r="P31"/>
      <c r="Q31" s="380"/>
      <c r="R31" s="380"/>
      <c r="S31" s="380"/>
      <c r="T31" s="380"/>
      <c r="V31" s="576" t="s">
        <v>437</v>
      </c>
    </row>
    <row r="32" spans="1:22" ht="27" customHeight="1" thickBot="1" x14ac:dyDescent="0.4">
      <c r="A32" s="1065" t="s">
        <v>3035</v>
      </c>
      <c r="B32" s="1072"/>
      <c r="C32" s="1072"/>
      <c r="D32" s="1072"/>
      <c r="E32" s="1072"/>
      <c r="F32" s="1072"/>
      <c r="G32" s="1072"/>
      <c r="H32" s="1072"/>
      <c r="I32" s="1072"/>
      <c r="J32" s="1072"/>
      <c r="K32" s="1072"/>
      <c r="L32" s="622"/>
      <c r="M32"/>
      <c r="N32"/>
      <c r="O32"/>
      <c r="P32"/>
      <c r="Q32" s="380"/>
      <c r="R32" s="380"/>
      <c r="S32" s="380"/>
      <c r="T32" s="380"/>
      <c r="V32" s="576" t="s">
        <v>94</v>
      </c>
    </row>
    <row r="33" spans="1:22" ht="27" customHeight="1" x14ac:dyDescent="0.35">
      <c r="A33" s="1065" t="s">
        <v>3036</v>
      </c>
      <c r="B33" s="1072"/>
      <c r="C33" s="1072"/>
      <c r="D33" s="1072"/>
      <c r="E33" s="1072"/>
      <c r="F33" s="1072"/>
      <c r="G33" s="1072"/>
      <c r="H33" s="1072"/>
      <c r="I33" s="1072"/>
      <c r="J33" s="1072"/>
      <c r="K33" s="1072"/>
      <c r="L33" s="1069">
        <v>2021</v>
      </c>
      <c r="M33"/>
      <c r="N33"/>
      <c r="O33"/>
      <c r="P33"/>
      <c r="Q33" s="380"/>
      <c r="R33" s="380"/>
      <c r="S33" s="380"/>
      <c r="T33" s="380"/>
      <c r="V33" s="576" t="s">
        <v>95</v>
      </c>
    </row>
    <row r="34" spans="1:22" ht="18" customHeight="1" x14ac:dyDescent="0.35">
      <c r="A34" s="1065" t="s">
        <v>3037</v>
      </c>
      <c r="B34" s="1072"/>
      <c r="C34" s="1072"/>
      <c r="D34" s="1072"/>
      <c r="E34" s="1072"/>
      <c r="F34" s="1072"/>
      <c r="G34" s="1072"/>
      <c r="H34" s="1072"/>
      <c r="I34" s="1072"/>
      <c r="J34" s="1072"/>
      <c r="K34" s="1072"/>
      <c r="L34" s="1070"/>
      <c r="M34"/>
      <c r="N34"/>
      <c r="O34"/>
      <c r="P34"/>
      <c r="Q34" s="380"/>
      <c r="R34" s="380"/>
      <c r="S34" s="380"/>
      <c r="T34" s="380"/>
      <c r="V34" s="576" t="s">
        <v>96</v>
      </c>
    </row>
    <row r="35" spans="1:22" ht="30" customHeight="1" x14ac:dyDescent="0.35">
      <c r="A35" s="1067" t="s">
        <v>3038</v>
      </c>
      <c r="B35" s="1068"/>
      <c r="C35" s="1068"/>
      <c r="D35" s="1068"/>
      <c r="E35" s="1068"/>
      <c r="F35" s="1068"/>
      <c r="G35" s="1068"/>
      <c r="H35" s="1068"/>
      <c r="I35" s="1068"/>
      <c r="J35" s="1068"/>
      <c r="K35" s="1068"/>
      <c r="L35" s="1070"/>
      <c r="M35"/>
      <c r="N35"/>
      <c r="O35"/>
      <c r="P35"/>
      <c r="Q35" s="380"/>
      <c r="R35" s="380"/>
      <c r="S35" s="380"/>
      <c r="T35" s="380"/>
      <c r="V35" s="576" t="s">
        <v>2934</v>
      </c>
    </row>
    <row r="36" spans="1:22" ht="33" customHeight="1" thickBot="1" x14ac:dyDescent="0.4">
      <c r="A36" s="1067" t="s">
        <v>3039</v>
      </c>
      <c r="B36" s="1068"/>
      <c r="C36" s="1068"/>
      <c r="D36" s="1068"/>
      <c r="E36" s="1068"/>
      <c r="F36" s="1068"/>
      <c r="G36" s="1068"/>
      <c r="H36" s="1068"/>
      <c r="I36" s="1068"/>
      <c r="J36" s="1068"/>
      <c r="K36" s="1068"/>
      <c r="L36" s="1071"/>
      <c r="M36"/>
      <c r="N36"/>
      <c r="O36"/>
      <c r="P36"/>
      <c r="Q36" s="380"/>
      <c r="R36" s="380"/>
      <c r="S36" s="380"/>
      <c r="T36" s="380"/>
      <c r="V36" s="576" t="s">
        <v>2935</v>
      </c>
    </row>
    <row r="37" spans="1:22" ht="16.5" customHeight="1" x14ac:dyDescent="0.35">
      <c r="A37" s="1065"/>
      <c r="B37" s="1072"/>
      <c r="C37" s="1072"/>
      <c r="D37" s="1072"/>
      <c r="E37" s="1072"/>
      <c r="F37" s="1072"/>
      <c r="G37" s="1072"/>
      <c r="H37" s="1072"/>
      <c r="I37" s="1072"/>
      <c r="J37" s="1072"/>
      <c r="K37" s="1072"/>
      <c r="L37" s="622"/>
      <c r="M37"/>
      <c r="N37"/>
      <c r="O37"/>
      <c r="P37"/>
      <c r="Q37" s="380"/>
      <c r="R37" s="380"/>
      <c r="S37" s="380"/>
      <c r="T37" s="380"/>
      <c r="V37" s="576" t="s">
        <v>2936</v>
      </c>
    </row>
    <row r="38" spans="1:22" x14ac:dyDescent="0.35">
      <c r="A38" s="383"/>
      <c r="B38" s="380"/>
      <c r="C38" s="380"/>
      <c r="D38" s="380"/>
      <c r="E38" s="381"/>
      <c r="F38" s="382"/>
      <c r="G38" s="382"/>
      <c r="H38" s="382"/>
      <c r="I38" s="382"/>
      <c r="J38" s="382"/>
      <c r="K38" s="380"/>
      <c r="L38" s="620"/>
      <c r="N38" s="380"/>
      <c r="O38" s="380"/>
      <c r="P38" s="380"/>
      <c r="Q38" s="380"/>
      <c r="R38" s="380"/>
      <c r="S38" s="380"/>
      <c r="T38" s="380"/>
      <c r="V38" s="576" t="s">
        <v>2937</v>
      </c>
    </row>
    <row r="39" spans="1:22" x14ac:dyDescent="0.35">
      <c r="A39" s="581" t="s">
        <v>3023</v>
      </c>
      <c r="B39" s="380"/>
      <c r="C39" s="380"/>
      <c r="D39" s="380"/>
      <c r="E39" s="381"/>
      <c r="F39" s="382"/>
      <c r="G39" s="382"/>
      <c r="H39" s="382"/>
      <c r="I39" s="382"/>
      <c r="J39" s="382"/>
      <c r="K39" s="380"/>
      <c r="L39" s="620"/>
      <c r="N39" s="380"/>
      <c r="O39" s="380"/>
      <c r="P39" s="380"/>
      <c r="Q39" s="380"/>
      <c r="R39" s="380"/>
      <c r="S39" s="380"/>
      <c r="T39" s="380"/>
      <c r="V39" s="576" t="s">
        <v>97</v>
      </c>
    </row>
    <row r="40" spans="1:22" ht="15" thickBot="1" x14ac:dyDescent="0.4">
      <c r="A40" s="1065" t="s">
        <v>3024</v>
      </c>
      <c r="B40" s="1065"/>
      <c r="C40" s="1065"/>
      <c r="D40" s="1065"/>
      <c r="E40" s="1065"/>
      <c r="F40" s="1065"/>
      <c r="G40" s="1065"/>
      <c r="H40" s="1065"/>
      <c r="I40" s="1065"/>
      <c r="J40" s="1065"/>
      <c r="K40" s="1065"/>
      <c r="L40" s="620"/>
      <c r="N40" s="380"/>
      <c r="O40" s="380"/>
      <c r="P40" s="380"/>
      <c r="Q40" s="380"/>
      <c r="R40" s="380"/>
      <c r="S40" s="380"/>
      <c r="T40" s="380"/>
      <c r="V40" s="576" t="s">
        <v>200</v>
      </c>
    </row>
    <row r="41" spans="1:22" ht="20.5" customHeight="1" thickBot="1" x14ac:dyDescent="0.4">
      <c r="A41" s="1065" t="s">
        <v>3040</v>
      </c>
      <c r="B41" s="1065"/>
      <c r="C41" s="1065"/>
      <c r="D41" s="1065"/>
      <c r="E41" s="1065"/>
      <c r="F41" s="1065"/>
      <c r="G41" s="1065"/>
      <c r="H41" s="1065"/>
      <c r="I41" s="1065"/>
      <c r="J41" s="1065"/>
      <c r="K41" s="1065"/>
      <c r="L41" s="621">
        <f>2022</f>
        <v>2022</v>
      </c>
      <c r="N41" s="388"/>
      <c r="O41" s="380"/>
      <c r="P41" s="380"/>
      <c r="Q41" s="380"/>
      <c r="R41" s="380"/>
      <c r="S41" s="380"/>
      <c r="T41" s="380"/>
      <c r="V41" s="576" t="s">
        <v>98</v>
      </c>
    </row>
    <row r="42" spans="1:22" ht="24.65" customHeight="1" thickBot="1" x14ac:dyDescent="0.4">
      <c r="A42" s="1065" t="s">
        <v>3035</v>
      </c>
      <c r="B42" s="1065"/>
      <c r="C42" s="1065"/>
      <c r="D42" s="1065"/>
      <c r="E42" s="1065"/>
      <c r="F42" s="1065"/>
      <c r="G42" s="1065"/>
      <c r="H42" s="1065"/>
      <c r="I42" s="1065"/>
      <c r="J42" s="1065"/>
      <c r="K42" s="1065"/>
      <c r="L42" s="622"/>
      <c r="N42" s="388"/>
      <c r="O42" s="380"/>
      <c r="P42" s="380"/>
      <c r="Q42" s="380"/>
      <c r="R42" s="380"/>
      <c r="S42" s="380"/>
      <c r="T42" s="380"/>
      <c r="V42" s="576" t="s">
        <v>99</v>
      </c>
    </row>
    <row r="43" spans="1:22" ht="28" customHeight="1" x14ac:dyDescent="0.35">
      <c r="A43" s="1065" t="s">
        <v>3036</v>
      </c>
      <c r="B43" s="1072"/>
      <c r="C43" s="1072"/>
      <c r="D43" s="1072"/>
      <c r="E43" s="1072"/>
      <c r="F43" s="1072"/>
      <c r="G43" s="1072"/>
      <c r="H43" s="1072"/>
      <c r="I43" s="1072"/>
      <c r="J43" s="1072"/>
      <c r="K43" s="1072"/>
      <c r="L43" s="1069">
        <v>2022</v>
      </c>
      <c r="N43" s="388"/>
      <c r="O43" s="380"/>
      <c r="P43" s="380"/>
      <c r="Q43" s="380"/>
      <c r="R43" s="380"/>
      <c r="S43" s="380"/>
      <c r="T43" s="380"/>
      <c r="V43" s="576" t="s">
        <v>100</v>
      </c>
    </row>
    <row r="44" spans="1:22" ht="19" customHeight="1" x14ac:dyDescent="0.35">
      <c r="A44" s="1065" t="s">
        <v>3022</v>
      </c>
      <c r="B44" s="1072"/>
      <c r="C44" s="1072"/>
      <c r="D44" s="1072"/>
      <c r="E44" s="1072"/>
      <c r="F44" s="1072"/>
      <c r="G44" s="1072"/>
      <c r="H44" s="1072"/>
      <c r="I44" s="1072"/>
      <c r="J44" s="1072"/>
      <c r="K44" s="1072"/>
      <c r="L44" s="1070"/>
      <c r="N44" s="388"/>
      <c r="O44" s="380"/>
      <c r="P44" s="380"/>
      <c r="Q44" s="380"/>
      <c r="R44" s="380"/>
      <c r="S44" s="380"/>
      <c r="T44" s="380"/>
      <c r="V44" s="576" t="s">
        <v>101</v>
      </c>
    </row>
    <row r="45" spans="1:22" ht="31.75" customHeight="1" x14ac:dyDescent="0.35">
      <c r="A45" s="1067" t="s">
        <v>3038</v>
      </c>
      <c r="B45" s="1068"/>
      <c r="C45" s="1068"/>
      <c r="D45" s="1068"/>
      <c r="E45" s="1068"/>
      <c r="F45" s="1068"/>
      <c r="G45" s="1068"/>
      <c r="H45" s="1068"/>
      <c r="I45" s="1068"/>
      <c r="J45" s="1068"/>
      <c r="K45" s="1068"/>
      <c r="L45" s="1070"/>
      <c r="N45" s="388"/>
      <c r="O45" s="380"/>
      <c r="P45" s="380"/>
      <c r="Q45" s="380"/>
      <c r="R45" s="380"/>
      <c r="S45" s="380"/>
      <c r="T45" s="380"/>
      <c r="V45" s="576" t="s">
        <v>2938</v>
      </c>
    </row>
    <row r="46" spans="1:22" ht="28.5" customHeight="1" thickBot="1" x14ac:dyDescent="0.4">
      <c r="A46" s="1067" t="s">
        <v>3039</v>
      </c>
      <c r="B46" s="1068"/>
      <c r="C46" s="1068"/>
      <c r="D46" s="1068"/>
      <c r="E46" s="1068"/>
      <c r="F46" s="1068"/>
      <c r="G46" s="1068"/>
      <c r="H46" s="1068"/>
      <c r="I46" s="1068"/>
      <c r="J46" s="1068"/>
      <c r="K46" s="1068"/>
      <c r="L46" s="1071"/>
      <c r="N46" s="388"/>
      <c r="O46" s="380"/>
      <c r="P46" s="380"/>
      <c r="Q46" s="380"/>
      <c r="R46" s="380"/>
      <c r="S46" s="380"/>
      <c r="T46" s="380"/>
      <c r="V46" s="576" t="s">
        <v>102</v>
      </c>
    </row>
    <row r="47" spans="1:22" x14ac:dyDescent="0.35">
      <c r="A47" s="384"/>
      <c r="B47" s="380"/>
      <c r="C47" s="380"/>
      <c r="D47" s="380"/>
      <c r="E47" s="381"/>
      <c r="F47" s="382"/>
      <c r="G47" s="382"/>
      <c r="H47" s="382"/>
      <c r="I47" s="382"/>
      <c r="J47" s="382"/>
      <c r="K47" s="380"/>
      <c r="L47" s="622"/>
      <c r="N47" s="388"/>
      <c r="O47" s="380"/>
      <c r="P47" s="380"/>
      <c r="Q47" s="380"/>
      <c r="R47" s="380"/>
      <c r="S47" s="380"/>
      <c r="T47" s="380"/>
      <c r="V47" s="576" t="s">
        <v>129</v>
      </c>
    </row>
    <row r="48" spans="1:22" ht="15" thickBot="1" x14ac:dyDescent="0.4">
      <c r="A48" s="581" t="s">
        <v>3025</v>
      </c>
      <c r="B48" s="380"/>
      <c r="C48" s="380"/>
      <c r="D48" s="380"/>
      <c r="E48" s="381"/>
      <c r="F48" s="382"/>
      <c r="G48" s="382"/>
      <c r="H48" s="382"/>
      <c r="I48" s="382"/>
      <c r="J48" s="382"/>
      <c r="K48" s="380"/>
      <c r="L48" s="622"/>
      <c r="N48" s="388"/>
      <c r="O48" s="380"/>
      <c r="P48" s="380"/>
      <c r="Q48" s="380"/>
      <c r="R48" s="380"/>
      <c r="S48" s="380"/>
      <c r="T48" s="380"/>
      <c r="V48" s="576" t="s">
        <v>2939</v>
      </c>
    </row>
    <row r="49" spans="1:22" ht="16.5" customHeight="1" thickBot="1" x14ac:dyDescent="0.4">
      <c r="A49" s="1056" t="s">
        <v>3041</v>
      </c>
      <c r="B49" s="1056"/>
      <c r="C49" s="1056"/>
      <c r="D49" s="1056"/>
      <c r="E49" s="1056"/>
      <c r="F49" s="1056"/>
      <c r="G49" s="1056"/>
      <c r="H49" s="1056"/>
      <c r="I49" s="1056"/>
      <c r="J49" s="1056"/>
      <c r="K49" s="1056"/>
      <c r="L49" s="623">
        <v>2019</v>
      </c>
      <c r="N49" s="388"/>
      <c r="O49" s="380"/>
      <c r="P49" s="380"/>
      <c r="Q49" s="380"/>
      <c r="R49" s="380"/>
      <c r="S49" s="380"/>
      <c r="T49" s="380"/>
      <c r="V49" s="576" t="s">
        <v>2940</v>
      </c>
    </row>
    <row r="50" spans="1:22" x14ac:dyDescent="0.35">
      <c r="A50" s="385" t="s">
        <v>3689</v>
      </c>
      <c r="B50" s="386"/>
      <c r="C50" s="386"/>
      <c r="D50" s="386"/>
      <c r="E50" s="386"/>
      <c r="F50" s="386"/>
      <c r="G50" s="386"/>
      <c r="H50" s="386"/>
      <c r="I50" s="386"/>
      <c r="J50" s="386"/>
      <c r="K50" s="386"/>
      <c r="L50" s="624"/>
      <c r="N50" s="388"/>
      <c r="O50" s="380"/>
      <c r="P50" s="380"/>
      <c r="Q50" s="380"/>
      <c r="R50" s="380"/>
      <c r="S50" s="380"/>
      <c r="T50" s="380"/>
      <c r="V50" s="576" t="s">
        <v>103</v>
      </c>
    </row>
    <row r="51" spans="1:22" x14ac:dyDescent="0.35">
      <c r="A51" s="384"/>
      <c r="B51" s="380"/>
      <c r="C51" s="380"/>
      <c r="D51" s="380"/>
      <c r="E51" s="381"/>
      <c r="F51" s="382"/>
      <c r="G51" s="382"/>
      <c r="H51" s="382"/>
      <c r="I51" s="382"/>
      <c r="J51" s="382"/>
      <c r="K51" s="380"/>
      <c r="L51" s="620"/>
      <c r="N51" s="380"/>
      <c r="O51" s="380"/>
      <c r="P51" s="380"/>
      <c r="Q51" s="380"/>
      <c r="R51" s="380"/>
      <c r="S51" s="380"/>
      <c r="T51" s="380"/>
      <c r="V51" s="576" t="s">
        <v>104</v>
      </c>
    </row>
    <row r="52" spans="1:22" ht="15" thickBot="1" x14ac:dyDescent="0.4">
      <c r="A52" s="581" t="s">
        <v>3026</v>
      </c>
      <c r="B52" s="380"/>
      <c r="C52" s="380"/>
      <c r="D52" s="380"/>
      <c r="E52" s="381"/>
      <c r="F52" s="382"/>
      <c r="G52" s="382"/>
      <c r="H52" s="382"/>
      <c r="I52" s="382"/>
      <c r="J52" s="382"/>
      <c r="K52" s="380"/>
      <c r="L52" s="620"/>
      <c r="N52" s="380"/>
      <c r="O52" s="380"/>
      <c r="P52" s="380"/>
      <c r="Q52" s="380"/>
      <c r="R52" s="380"/>
      <c r="S52" s="380"/>
      <c r="T52" s="380"/>
      <c r="V52" s="576" t="s">
        <v>3031</v>
      </c>
    </row>
    <row r="53" spans="1:22" ht="35.25" customHeight="1" thickBot="1" x14ac:dyDescent="0.4">
      <c r="A53" s="1065" t="s">
        <v>3050</v>
      </c>
      <c r="B53" s="1065"/>
      <c r="C53" s="1065"/>
      <c r="D53" s="1065"/>
      <c r="E53" s="1065"/>
      <c r="F53" s="1065"/>
      <c r="G53" s="1065"/>
      <c r="H53" s="1065"/>
      <c r="I53" s="1065"/>
      <c r="J53" s="1065"/>
      <c r="K53" s="1066"/>
      <c r="L53" s="623">
        <v>2019</v>
      </c>
      <c r="N53" s="388"/>
      <c r="O53" s="380"/>
      <c r="P53" s="380"/>
      <c r="Q53" s="380"/>
      <c r="R53" s="380"/>
      <c r="S53" s="380"/>
      <c r="T53" s="380"/>
      <c r="V53" s="576" t="s">
        <v>3032</v>
      </c>
    </row>
    <row r="54" spans="1:22" x14ac:dyDescent="0.35">
      <c r="A54" s="384"/>
      <c r="B54" s="380"/>
      <c r="C54" s="380"/>
      <c r="D54" s="380"/>
      <c r="E54" s="381"/>
      <c r="F54" s="382"/>
      <c r="G54" s="382"/>
      <c r="H54" s="382"/>
      <c r="I54" s="382"/>
      <c r="J54" s="382"/>
      <c r="K54" s="380"/>
      <c r="L54" s="620"/>
      <c r="N54" s="380"/>
      <c r="O54" s="380"/>
      <c r="P54" s="380"/>
      <c r="Q54" s="380"/>
      <c r="R54" s="380"/>
      <c r="S54" s="380"/>
      <c r="T54" s="380"/>
      <c r="V54" s="576" t="s">
        <v>106</v>
      </c>
    </row>
    <row r="55" spans="1:22" x14ac:dyDescent="0.35">
      <c r="A55" s="383" t="s">
        <v>3051</v>
      </c>
      <c r="B55" s="380"/>
      <c r="C55" s="380"/>
      <c r="D55" s="380"/>
      <c r="E55" s="381"/>
      <c r="F55" s="382"/>
      <c r="G55" s="382"/>
      <c r="H55" s="382"/>
      <c r="I55" s="382"/>
      <c r="J55" s="382"/>
      <c r="K55" s="380"/>
      <c r="L55" s="620"/>
      <c r="N55" s="380"/>
      <c r="O55" s="380"/>
      <c r="P55" s="380"/>
      <c r="Q55" s="380"/>
      <c r="R55" s="380"/>
      <c r="S55" s="380"/>
      <c r="T55" s="380"/>
      <c r="V55" s="576" t="s">
        <v>107</v>
      </c>
    </row>
    <row r="56" spans="1:22" x14ac:dyDescent="0.35">
      <c r="A56" s="384"/>
      <c r="B56" s="380"/>
      <c r="C56" s="380"/>
      <c r="D56" s="380"/>
      <c r="E56" s="381"/>
      <c r="F56" s="382"/>
      <c r="G56" s="382"/>
      <c r="H56" s="382"/>
      <c r="I56" s="382"/>
      <c r="J56" s="382"/>
      <c r="K56" s="380"/>
      <c r="L56" s="620"/>
      <c r="N56" s="380"/>
      <c r="O56" s="380"/>
      <c r="P56" s="380"/>
      <c r="Q56" s="380"/>
      <c r="R56" s="380"/>
      <c r="S56" s="380"/>
      <c r="T56" s="380"/>
      <c r="V56" s="576" t="s">
        <v>108</v>
      </c>
    </row>
    <row r="57" spans="1:22" ht="15" thickBot="1" x14ac:dyDescent="0.4">
      <c r="A57" s="581" t="s">
        <v>3027</v>
      </c>
      <c r="B57" s="380"/>
      <c r="C57" s="380"/>
      <c r="D57" s="380"/>
      <c r="E57" s="381"/>
      <c r="F57" s="382"/>
      <c r="G57" s="382"/>
      <c r="H57" s="382"/>
      <c r="I57" s="382"/>
      <c r="J57" s="382"/>
      <c r="K57" s="380"/>
      <c r="L57" s="620"/>
      <c r="N57" s="380"/>
      <c r="O57" s="380"/>
      <c r="P57" s="380"/>
      <c r="Q57" s="380"/>
      <c r="R57" s="380"/>
      <c r="S57" s="380"/>
      <c r="T57" s="380"/>
      <c r="V57" s="576" t="s">
        <v>109</v>
      </c>
    </row>
    <row r="58" spans="1:22" ht="30.75" customHeight="1" thickBot="1" x14ac:dyDescent="0.4">
      <c r="A58" s="1057" t="s">
        <v>3052</v>
      </c>
      <c r="B58" s="1057"/>
      <c r="C58" s="1057"/>
      <c r="D58" s="1057"/>
      <c r="E58" s="1057"/>
      <c r="F58" s="1057"/>
      <c r="G58" s="1057"/>
      <c r="H58" s="1057"/>
      <c r="I58" s="1057"/>
      <c r="J58" s="1057"/>
      <c r="K58" s="1057"/>
      <c r="L58" s="623" t="s">
        <v>3029</v>
      </c>
      <c r="N58" s="388"/>
      <c r="O58" s="380"/>
      <c r="P58" s="380"/>
      <c r="Q58" s="380"/>
      <c r="R58" s="380"/>
      <c r="S58" s="380"/>
      <c r="T58" s="380"/>
      <c r="V58" s="576" t="s">
        <v>110</v>
      </c>
    </row>
    <row r="59" spans="1:22" ht="15" customHeight="1" x14ac:dyDescent="0.35">
      <c r="A59" s="580"/>
      <c r="B59" s="580"/>
      <c r="C59" s="580"/>
      <c r="D59" s="580"/>
      <c r="E59" s="580"/>
      <c r="F59" s="580"/>
      <c r="G59" s="580"/>
      <c r="H59" s="580"/>
      <c r="I59" s="580"/>
      <c r="J59" s="580"/>
      <c r="K59" s="580"/>
      <c r="L59" s="622"/>
      <c r="N59" s="388"/>
      <c r="O59" s="380"/>
      <c r="P59" s="380"/>
      <c r="Q59" s="380"/>
      <c r="R59" s="380"/>
      <c r="S59" s="380"/>
      <c r="T59" s="380"/>
      <c r="V59" s="576" t="s">
        <v>111</v>
      </c>
    </row>
    <row r="60" spans="1:22" ht="15" thickBot="1" x14ac:dyDescent="0.4">
      <c r="A60" s="581" t="s">
        <v>3028</v>
      </c>
      <c r="B60" s="380"/>
      <c r="C60" s="380"/>
      <c r="D60" s="380"/>
      <c r="E60" s="381"/>
      <c r="F60" s="382"/>
      <c r="G60" s="382"/>
      <c r="H60" s="382"/>
      <c r="I60" s="382"/>
      <c r="J60" s="382"/>
      <c r="K60" s="380"/>
      <c r="L60" s="620"/>
      <c r="N60" s="380"/>
      <c r="O60" s="380"/>
      <c r="P60" s="380"/>
      <c r="Q60" s="380"/>
      <c r="R60" s="380"/>
      <c r="S60" s="380"/>
      <c r="T60" s="380"/>
      <c r="V60" s="576" t="s">
        <v>112</v>
      </c>
    </row>
    <row r="61" spans="1:22" ht="45" customHeight="1" thickBot="1" x14ac:dyDescent="0.4">
      <c r="A61" s="1058" t="s">
        <v>3053</v>
      </c>
      <c r="B61" s="1058"/>
      <c r="C61" s="1058"/>
      <c r="D61" s="1058"/>
      <c r="E61" s="1058"/>
      <c r="F61" s="1058"/>
      <c r="G61" s="1058"/>
      <c r="H61" s="1058"/>
      <c r="I61" s="1058"/>
      <c r="J61" s="1058"/>
      <c r="K61" s="1058"/>
      <c r="L61" s="623" t="s">
        <v>3029</v>
      </c>
      <c r="N61" s="388"/>
      <c r="O61" s="380"/>
      <c r="P61" s="380"/>
      <c r="Q61" s="380"/>
      <c r="R61" s="380"/>
      <c r="S61" s="380"/>
      <c r="T61" s="380"/>
      <c r="V61" s="576" t="s">
        <v>113</v>
      </c>
    </row>
    <row r="62" spans="1:22" x14ac:dyDescent="0.35">
      <c r="A62" s="387"/>
      <c r="B62" s="387"/>
      <c r="C62" s="387"/>
      <c r="D62" s="387"/>
      <c r="E62" s="387"/>
      <c r="F62" s="387"/>
      <c r="G62" s="387"/>
      <c r="H62" s="387"/>
      <c r="I62" s="387"/>
      <c r="J62" s="387"/>
      <c r="K62" s="387"/>
      <c r="L62" s="625"/>
      <c r="M62" s="29"/>
      <c r="N62" s="388"/>
      <c r="O62" s="380"/>
      <c r="P62" s="380"/>
      <c r="Q62" s="380"/>
      <c r="R62" s="380"/>
      <c r="S62" s="380"/>
      <c r="T62" s="380"/>
      <c r="V62" s="576" t="s">
        <v>114</v>
      </c>
    </row>
    <row r="63" spans="1:22" x14ac:dyDescent="0.35">
      <c r="E63" s="24"/>
      <c r="I63" s="26"/>
      <c r="J63" s="26"/>
      <c r="V63" s="576" t="s">
        <v>438</v>
      </c>
    </row>
    <row r="64" spans="1:22" x14ac:dyDescent="0.35">
      <c r="E64" s="24"/>
      <c r="I64" s="26"/>
      <c r="J64" s="26"/>
      <c r="V64" s="576" t="s">
        <v>115</v>
      </c>
    </row>
    <row r="65" spans="2:22" x14ac:dyDescent="0.35">
      <c r="B65" s="1064" t="s">
        <v>49</v>
      </c>
      <c r="C65" s="1064"/>
      <c r="D65" s="1064"/>
      <c r="E65" s="1064"/>
      <c r="F65" s="1064"/>
      <c r="G65" s="1064"/>
      <c r="H65" s="1064"/>
      <c r="I65" s="1064"/>
      <c r="J65" s="1064"/>
      <c r="K65" s="1064"/>
      <c r="L65" s="1064"/>
      <c r="M65" s="1064"/>
      <c r="V65" s="576" t="s">
        <v>2941</v>
      </c>
    </row>
    <row r="66" spans="2:22" x14ac:dyDescent="0.35">
      <c r="V66" s="576" t="s">
        <v>2942</v>
      </c>
    </row>
    <row r="67" spans="2:22" x14ac:dyDescent="0.35">
      <c r="B67" s="31" t="s">
        <v>45</v>
      </c>
      <c r="C67" s="32"/>
      <c r="D67" s="32"/>
      <c r="E67" s="32"/>
      <c r="F67" s="32"/>
      <c r="G67" s="32"/>
      <c r="H67" s="32"/>
      <c r="I67" s="32"/>
      <c r="J67" s="32"/>
      <c r="K67" s="32"/>
      <c r="L67" s="626"/>
      <c r="M67" s="32"/>
      <c r="N67" s="32"/>
      <c r="V67" s="576" t="s">
        <v>116</v>
      </c>
    </row>
    <row r="68" spans="2:22" ht="15" thickBot="1" x14ac:dyDescent="0.4">
      <c r="B68" s="32"/>
      <c r="C68" s="32"/>
      <c r="D68" s="32"/>
      <c r="E68" s="32"/>
      <c r="F68" s="32"/>
      <c r="G68" s="32"/>
      <c r="H68" s="32"/>
      <c r="I68" s="32"/>
      <c r="J68" s="32"/>
      <c r="K68" s="32"/>
      <c r="L68" s="626"/>
      <c r="M68" s="32"/>
      <c r="N68" s="32"/>
      <c r="V68" s="576" t="s">
        <v>117</v>
      </c>
    </row>
    <row r="69" spans="2:22" ht="15" thickBot="1" x14ac:dyDescent="0.4">
      <c r="B69" s="373"/>
      <c r="C69" s="1059" t="s">
        <v>46</v>
      </c>
      <c r="D69" s="1059"/>
      <c r="E69" s="1059"/>
      <c r="F69" s="1059"/>
      <c r="G69" s="1059"/>
      <c r="H69" s="1059"/>
      <c r="I69" s="1059"/>
      <c r="J69" s="1059"/>
      <c r="K69" s="1059"/>
      <c r="L69" s="1059"/>
      <c r="M69" s="32"/>
      <c r="N69" s="32"/>
      <c r="V69" s="576" t="s">
        <v>118</v>
      </c>
    </row>
    <row r="70" spans="2:22" ht="15" thickBot="1" x14ac:dyDescent="0.4">
      <c r="B70" s="32"/>
      <c r="C70" s="32"/>
      <c r="D70" s="32"/>
      <c r="E70" s="32"/>
      <c r="F70" s="32"/>
      <c r="G70" s="32"/>
      <c r="H70" s="32"/>
      <c r="I70" s="32"/>
      <c r="J70" s="32"/>
      <c r="K70" s="32"/>
      <c r="L70" s="626"/>
      <c r="M70" s="32"/>
      <c r="N70" s="32"/>
      <c r="V70" s="576" t="s">
        <v>119</v>
      </c>
    </row>
    <row r="71" spans="2:22" ht="15" thickBot="1" x14ac:dyDescent="0.4">
      <c r="B71" s="374"/>
      <c r="C71" s="1060" t="s">
        <v>47</v>
      </c>
      <c r="D71" s="1061"/>
      <c r="E71" s="1061"/>
      <c r="F71" s="1061"/>
      <c r="G71" s="1061"/>
      <c r="H71" s="1061"/>
      <c r="I71" s="1061"/>
      <c r="J71" s="1061"/>
      <c r="K71" s="1061"/>
      <c r="L71" s="1061"/>
      <c r="M71" s="1061"/>
      <c r="N71" s="1061"/>
      <c r="V71" s="576" t="s">
        <v>201</v>
      </c>
    </row>
    <row r="72" spans="2:22" ht="15" thickBot="1" x14ac:dyDescent="0.4">
      <c r="B72" s="33"/>
      <c r="C72" s="32"/>
      <c r="D72" s="32"/>
      <c r="E72" s="32"/>
      <c r="F72" s="32"/>
      <c r="G72" s="32"/>
      <c r="H72" s="32"/>
      <c r="I72" s="32"/>
      <c r="J72" s="32"/>
      <c r="K72" s="32"/>
      <c r="L72" s="626"/>
      <c r="M72" s="32"/>
      <c r="N72" s="32"/>
      <c r="V72" s="576" t="s">
        <v>120</v>
      </c>
    </row>
    <row r="73" spans="2:22" ht="15" thickBot="1" x14ac:dyDescent="0.4">
      <c r="B73" s="34"/>
      <c r="C73" s="1062" t="s">
        <v>48</v>
      </c>
      <c r="D73" s="1063"/>
      <c r="E73" s="1063"/>
      <c r="F73" s="1063"/>
      <c r="G73" s="1063"/>
      <c r="H73" s="1063"/>
      <c r="I73" s="1063"/>
      <c r="J73" s="1063"/>
      <c r="K73" s="1063"/>
      <c r="L73" s="1063"/>
      <c r="M73" s="1063"/>
      <c r="N73" s="32"/>
      <c r="V73" s="576" t="s">
        <v>121</v>
      </c>
    </row>
    <row r="74" spans="2:22" ht="15" thickBot="1" x14ac:dyDescent="0.4">
      <c r="B74" s="32"/>
      <c r="C74" s="32"/>
      <c r="D74" s="32"/>
      <c r="E74" s="32"/>
      <c r="F74" s="32"/>
      <c r="G74" s="32"/>
      <c r="H74" s="32"/>
      <c r="I74" s="32"/>
      <c r="J74" s="32"/>
      <c r="K74" s="32"/>
      <c r="L74" s="626"/>
      <c r="M74" s="32"/>
      <c r="N74" s="32"/>
      <c r="V74" s="561"/>
    </row>
    <row r="75" spans="2:22" ht="15" thickBot="1" x14ac:dyDescent="0.4">
      <c r="B75" s="379"/>
      <c r="C75" s="1054" t="s">
        <v>439</v>
      </c>
      <c r="D75" s="1055"/>
      <c r="E75" s="1055"/>
      <c r="F75" s="1055"/>
      <c r="G75" s="1055"/>
      <c r="H75" s="1055"/>
      <c r="I75" s="1055"/>
      <c r="J75" s="1055"/>
      <c r="K75" s="1055"/>
      <c r="L75" s="1055"/>
      <c r="M75" s="32"/>
      <c r="N75" s="32"/>
      <c r="V75" s="561"/>
    </row>
    <row r="76" spans="2:22" x14ac:dyDescent="0.35">
      <c r="B76" s="32"/>
      <c r="C76" s="32"/>
      <c r="D76" s="32"/>
      <c r="E76" s="32"/>
      <c r="F76" s="32"/>
      <c r="G76" s="32"/>
      <c r="H76" s="32"/>
      <c r="I76" s="32"/>
      <c r="J76" s="32"/>
      <c r="K76" s="32"/>
      <c r="L76" s="626"/>
      <c r="M76" s="32"/>
      <c r="N76" s="32"/>
      <c r="V76" s="561"/>
    </row>
    <row r="77" spans="2:22" x14ac:dyDescent="0.35">
      <c r="V77" s="561"/>
    </row>
    <row r="78" spans="2:22" x14ac:dyDescent="0.35">
      <c r="V78" s="561"/>
    </row>
    <row r="79" spans="2:22" x14ac:dyDescent="0.35">
      <c r="V79" s="561"/>
    </row>
    <row r="80" spans="2:22" x14ac:dyDescent="0.35">
      <c r="V80" s="561"/>
    </row>
    <row r="81" spans="22:22" x14ac:dyDescent="0.35">
      <c r="V81" s="576"/>
    </row>
    <row r="82" spans="22:22" x14ac:dyDescent="0.35">
      <c r="V82" s="576"/>
    </row>
    <row r="83" spans="22:22" x14ac:dyDescent="0.35">
      <c r="V83" s="576"/>
    </row>
    <row r="84" spans="22:22" x14ac:dyDescent="0.35">
      <c r="V84" s="576"/>
    </row>
    <row r="85" spans="22:22" x14ac:dyDescent="0.35">
      <c r="V85" s="576"/>
    </row>
    <row r="86" spans="22:22" x14ac:dyDescent="0.35">
      <c r="V86" s="576"/>
    </row>
    <row r="87" spans="22:22" x14ac:dyDescent="0.35">
      <c r="V87" s="576"/>
    </row>
    <row r="88" spans="22:22" x14ac:dyDescent="0.35">
      <c r="V88" s="576"/>
    </row>
    <row r="89" spans="22:22" x14ac:dyDescent="0.35">
      <c r="V89" s="576"/>
    </row>
    <row r="90" spans="22:22" x14ac:dyDescent="0.35">
      <c r="V90" s="576"/>
    </row>
    <row r="104" spans="22:22" x14ac:dyDescent="0.35">
      <c r="V104"/>
    </row>
    <row r="105" spans="22:22" x14ac:dyDescent="0.35">
      <c r="V105"/>
    </row>
    <row r="106" spans="22:22" x14ac:dyDescent="0.35">
      <c r="V106"/>
    </row>
    <row r="107" spans="22:22" x14ac:dyDescent="0.35">
      <c r="V107"/>
    </row>
    <row r="108" spans="22:22" x14ac:dyDescent="0.35">
      <c r="V108"/>
    </row>
    <row r="109" spans="22:22" x14ac:dyDescent="0.35">
      <c r="V109"/>
    </row>
    <row r="110" spans="22:22" x14ac:dyDescent="0.35">
      <c r="V110"/>
    </row>
    <row r="111" spans="22:22" ht="15.5" x14ac:dyDescent="0.35">
      <c r="V111" s="307"/>
    </row>
    <row r="112" spans="22:22" ht="15.5" x14ac:dyDescent="0.35">
      <c r="V112" s="307"/>
    </row>
    <row r="113" spans="22:22" ht="15.5" x14ac:dyDescent="0.35">
      <c r="V113" s="307"/>
    </row>
    <row r="114" spans="22:22" ht="15.5" x14ac:dyDescent="0.35">
      <c r="V114" s="308"/>
    </row>
    <row r="115" spans="22:22" x14ac:dyDescent="0.35">
      <c r="V115"/>
    </row>
  </sheetData>
  <sheetProtection algorithmName="SHA-512" hashValue="MQA84/roxqeOHRV5iKbonLfFUGNZxoxOU/H95RjjOHgPayExHtftSIVR5VDnUM0IhiRNLLmPTgSBKd+j31uCnw==" saltValue="e73HIHhHt9NACBxpRXJ17g==" spinCount="100000" sheet="1" objects="1" scenarios="1"/>
  <mergeCells count="33">
    <mergeCell ref="A28:N28"/>
    <mergeCell ref="A32:K32"/>
    <mergeCell ref="A42:K42"/>
    <mergeCell ref="L33:L36"/>
    <mergeCell ref="A40:K40"/>
    <mergeCell ref="A30:K30"/>
    <mergeCell ref="A31:K31"/>
    <mergeCell ref="A33:K33"/>
    <mergeCell ref="A34:K34"/>
    <mergeCell ref="A35:K35"/>
    <mergeCell ref="A36:K36"/>
    <mergeCell ref="A37:K37"/>
    <mergeCell ref="A46:K46"/>
    <mergeCell ref="L43:L46"/>
    <mergeCell ref="A41:K41"/>
    <mergeCell ref="A43:K43"/>
    <mergeCell ref="A44:K44"/>
    <mergeCell ref="A45:K45"/>
    <mergeCell ref="C75:L75"/>
    <mergeCell ref="A49:K49"/>
    <mergeCell ref="A58:K58"/>
    <mergeCell ref="A61:K61"/>
    <mergeCell ref="C69:L69"/>
    <mergeCell ref="C71:N71"/>
    <mergeCell ref="C73:M73"/>
    <mergeCell ref="B65:M65"/>
    <mergeCell ref="A53:K53"/>
    <mergeCell ref="F24:J24"/>
    <mergeCell ref="F14:L14"/>
    <mergeCell ref="F16:J16"/>
    <mergeCell ref="F18:J18"/>
    <mergeCell ref="F20:J20"/>
    <mergeCell ref="F22:J22"/>
  </mergeCells>
  <dataValidations count="6">
    <dataValidation allowBlank="1" showInputMessage="1" showErrorMessage="1" prompt="First and last name, title" sqref="F20:J20" xr:uid="{00000000-0002-0000-0300-000000000000}"/>
    <dataValidation type="list" allowBlank="1" showInputMessage="1" showErrorMessage="1" sqref="L47:L48" xr:uid="{00000000-0002-0000-0300-000001000000}">
      <formula1>"2014,2015,2016,2017,2018"</formula1>
    </dataValidation>
    <dataValidation type="list" allowBlank="1" showInputMessage="1" showErrorMessage="1" sqref="L61 L58" xr:uid="{00000000-0002-0000-0300-000002000000}">
      <formula1>"Yes,No"</formula1>
    </dataValidation>
    <dataValidation type="list" allowBlank="1" showInputMessage="1" showErrorMessage="1" sqref="F14:L14" xr:uid="{00000000-0002-0000-0300-000003000000}">
      <formula1>$V$1:$V$73</formula1>
    </dataValidation>
    <dataValidation type="list" allowBlank="1" showInputMessage="1" showErrorMessage="1" sqref="L53 L33:L36 L49" xr:uid="{6AE5A125-6773-4D45-A741-C48EFE0C22AF}">
      <formula1>"2017,2018,2019,2020,2021"</formula1>
    </dataValidation>
    <dataValidation type="list" allowBlank="1" showInputMessage="1" showErrorMessage="1" sqref="L43:L46" xr:uid="{70665B4A-BFEB-43C6-A33C-0A7463A78F77}">
      <formula1>"2017,2018,2019,2020,2021,2022"</formula1>
    </dataValidation>
  </dataValidations>
  <pageMargins left="0.25" right="0.25" top="0.75" bottom="0.75" header="0.3" footer="0.3"/>
  <pageSetup scale="65" orientation="landscape" r:id="rId1"/>
  <rowBreaks count="1" manualBreakCount="1">
    <brk id="8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CA79F-3952-4C75-A1F6-C826FA85E5AC}">
  <sheetPr>
    <tabColor rgb="FFFFFF00"/>
  </sheetPr>
  <dimension ref="B1:E26"/>
  <sheetViews>
    <sheetView tabSelected="1" workbookViewId="0">
      <selection activeCell="E12" sqref="E12"/>
    </sheetView>
  </sheetViews>
  <sheetFormatPr defaultRowHeight="12.5" x14ac:dyDescent="0.25"/>
  <cols>
    <col min="2" max="2" width="24.54296875" customWidth="1"/>
    <col min="3" max="3" width="34.26953125" customWidth="1"/>
    <col min="4" max="4" width="42.81640625" customWidth="1"/>
    <col min="5" max="5" width="54.54296875" customWidth="1"/>
  </cols>
  <sheetData>
    <row r="1" spans="2:5" ht="15.5" x14ac:dyDescent="0.35">
      <c r="B1" s="783" t="s">
        <v>3951</v>
      </c>
      <c r="C1" s="784"/>
      <c r="D1" s="784"/>
      <c r="E1" s="784"/>
    </row>
    <row r="2" spans="2:5" ht="14.5" x14ac:dyDescent="0.35">
      <c r="B2" s="784"/>
      <c r="C2" s="784"/>
      <c r="D2" s="784"/>
      <c r="E2" s="784"/>
    </row>
    <row r="3" spans="2:5" ht="15.5" x14ac:dyDescent="0.35">
      <c r="B3" s="785" t="s">
        <v>3952</v>
      </c>
      <c r="C3" s="785" t="s">
        <v>383</v>
      </c>
      <c r="D3" s="785" t="s">
        <v>3953</v>
      </c>
      <c r="E3" s="786" t="s">
        <v>3954</v>
      </c>
    </row>
    <row r="4" spans="2:5" ht="15.5" x14ac:dyDescent="0.25">
      <c r="B4" s="787">
        <v>1</v>
      </c>
      <c r="C4" s="788" t="s">
        <v>2946</v>
      </c>
      <c r="D4" s="791" t="s">
        <v>3955</v>
      </c>
      <c r="E4" s="789" t="s">
        <v>3956</v>
      </c>
    </row>
    <row r="5" spans="2:5" ht="31" x14ac:dyDescent="0.25">
      <c r="B5" s="787">
        <f>B4+1</f>
        <v>2</v>
      </c>
      <c r="C5" s="788" t="s">
        <v>2947</v>
      </c>
      <c r="D5" s="789" t="s">
        <v>3957</v>
      </c>
      <c r="E5" s="789" t="s">
        <v>3958</v>
      </c>
    </row>
    <row r="6" spans="2:5" ht="46.5" x14ac:dyDescent="0.25">
      <c r="B6" s="787">
        <f>B5+1</f>
        <v>3</v>
      </c>
      <c r="C6" s="790" t="s">
        <v>2948</v>
      </c>
      <c r="D6" s="791" t="s">
        <v>3968</v>
      </c>
      <c r="E6" s="789" t="s">
        <v>3969</v>
      </c>
    </row>
    <row r="7" spans="2:5" ht="15.5" x14ac:dyDescent="0.25">
      <c r="B7" s="787">
        <f t="shared" ref="B7:B26" si="0">B6+1</f>
        <v>4</v>
      </c>
      <c r="C7" s="790" t="s">
        <v>2948</v>
      </c>
      <c r="D7" s="791" t="s">
        <v>3959</v>
      </c>
      <c r="E7" s="789" t="s">
        <v>3960</v>
      </c>
    </row>
    <row r="8" spans="2:5" ht="29" x14ac:dyDescent="0.25">
      <c r="B8" s="787">
        <f t="shared" si="0"/>
        <v>5</v>
      </c>
      <c r="C8" s="790" t="s">
        <v>2948</v>
      </c>
      <c r="D8" s="791" t="s">
        <v>3961</v>
      </c>
      <c r="E8" s="792" t="s">
        <v>3962</v>
      </c>
    </row>
    <row r="9" spans="2:5" ht="29" x14ac:dyDescent="0.25">
      <c r="B9" s="787">
        <f t="shared" si="0"/>
        <v>6</v>
      </c>
      <c r="C9" s="790" t="s">
        <v>2948</v>
      </c>
      <c r="D9" s="791" t="s">
        <v>3963</v>
      </c>
      <c r="E9" s="792" t="s">
        <v>3964</v>
      </c>
    </row>
    <row r="10" spans="2:5" ht="14.5" x14ac:dyDescent="0.25">
      <c r="B10" s="787">
        <f t="shared" si="0"/>
        <v>7</v>
      </c>
      <c r="C10" s="790" t="s">
        <v>3967</v>
      </c>
      <c r="D10" s="791" t="s">
        <v>3965</v>
      </c>
      <c r="E10" s="792" t="s">
        <v>3966</v>
      </c>
    </row>
    <row r="11" spans="2:5" ht="31" x14ac:dyDescent="0.25">
      <c r="B11" s="787">
        <f t="shared" si="0"/>
        <v>8</v>
      </c>
      <c r="C11" s="788" t="s">
        <v>4003</v>
      </c>
      <c r="D11" s="789" t="s">
        <v>4004</v>
      </c>
      <c r="E11" s="789" t="s">
        <v>4005</v>
      </c>
    </row>
    <row r="12" spans="2:5" ht="14.5" x14ac:dyDescent="0.25">
      <c r="B12" s="787">
        <f t="shared" si="0"/>
        <v>9</v>
      </c>
      <c r="C12" s="790"/>
      <c r="D12" s="791"/>
      <c r="E12" s="792"/>
    </row>
    <row r="13" spans="2:5" ht="15.5" x14ac:dyDescent="0.25">
      <c r="B13" s="787">
        <f t="shared" si="0"/>
        <v>10</v>
      </c>
      <c r="C13" s="788"/>
      <c r="D13" s="789"/>
      <c r="E13" s="789"/>
    </row>
    <row r="14" spans="2:5" ht="14.5" x14ac:dyDescent="0.25">
      <c r="B14" s="787">
        <f t="shared" si="0"/>
        <v>11</v>
      </c>
      <c r="C14" s="793"/>
      <c r="D14" s="791"/>
      <c r="E14" s="792"/>
    </row>
    <row r="15" spans="2:5" ht="14.5" x14ac:dyDescent="0.25">
      <c r="B15" s="787">
        <f t="shared" si="0"/>
        <v>12</v>
      </c>
      <c r="C15" s="793"/>
      <c r="D15" s="791"/>
      <c r="E15" s="792"/>
    </row>
    <row r="16" spans="2:5" ht="14.5" x14ac:dyDescent="0.25">
      <c r="B16" s="787">
        <f t="shared" si="0"/>
        <v>13</v>
      </c>
      <c r="C16" s="793"/>
      <c r="D16" s="791"/>
      <c r="E16" s="792"/>
    </row>
    <row r="17" spans="2:5" ht="15.5" x14ac:dyDescent="0.25">
      <c r="B17" s="787">
        <f t="shared" si="0"/>
        <v>14</v>
      </c>
      <c r="C17" s="793"/>
      <c r="D17" s="794"/>
      <c r="E17" s="789"/>
    </row>
    <row r="18" spans="2:5" ht="15.5" x14ac:dyDescent="0.25">
      <c r="B18" s="787">
        <f t="shared" si="0"/>
        <v>15</v>
      </c>
      <c r="C18" s="790"/>
      <c r="D18" s="794"/>
      <c r="E18" s="789"/>
    </row>
    <row r="19" spans="2:5" ht="15.5" x14ac:dyDescent="0.25">
      <c r="B19" s="787">
        <f t="shared" si="0"/>
        <v>16</v>
      </c>
      <c r="C19" s="790"/>
      <c r="D19" s="794"/>
      <c r="E19" s="792"/>
    </row>
    <row r="20" spans="2:5" ht="15.5" x14ac:dyDescent="0.25">
      <c r="B20" s="787">
        <f t="shared" si="0"/>
        <v>17</v>
      </c>
      <c r="C20" s="790"/>
      <c r="D20" s="794"/>
      <c r="E20" s="792"/>
    </row>
    <row r="21" spans="2:5" ht="14.5" x14ac:dyDescent="0.25">
      <c r="B21" s="787">
        <f t="shared" si="0"/>
        <v>18</v>
      </c>
      <c r="C21" s="790"/>
      <c r="D21" s="791"/>
      <c r="E21" s="792"/>
    </row>
    <row r="22" spans="2:5" ht="14.5" x14ac:dyDescent="0.25">
      <c r="B22" s="787">
        <f t="shared" si="0"/>
        <v>19</v>
      </c>
      <c r="C22" s="790"/>
      <c r="D22" s="791"/>
      <c r="E22" s="792"/>
    </row>
    <row r="23" spans="2:5" ht="14.5" x14ac:dyDescent="0.25">
      <c r="B23" s="787">
        <f t="shared" si="0"/>
        <v>20</v>
      </c>
      <c r="C23" s="790"/>
      <c r="D23" s="791"/>
      <c r="E23" s="792"/>
    </row>
    <row r="24" spans="2:5" ht="14.5" x14ac:dyDescent="0.25">
      <c r="B24" s="787">
        <f t="shared" si="0"/>
        <v>21</v>
      </c>
      <c r="C24" s="790"/>
      <c r="D24" s="791"/>
      <c r="E24" s="792"/>
    </row>
    <row r="25" spans="2:5" ht="14.5" x14ac:dyDescent="0.25">
      <c r="B25" s="787">
        <f t="shared" si="0"/>
        <v>22</v>
      </c>
      <c r="C25" s="790"/>
      <c r="D25" s="791"/>
      <c r="E25" s="792"/>
    </row>
    <row r="26" spans="2:5" ht="14.5" x14ac:dyDescent="0.25">
      <c r="B26" s="787">
        <f t="shared" si="0"/>
        <v>23</v>
      </c>
      <c r="C26" s="790"/>
      <c r="D26" s="791"/>
      <c r="E26" s="792"/>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F60"/>
  <sheetViews>
    <sheetView showGridLines="0" topLeftCell="A14" zoomScale="96" zoomScaleNormal="96" workbookViewId="0">
      <pane xSplit="4" topLeftCell="Y1" activePane="topRight" state="frozenSplit"/>
      <selection activeCell="Z40" sqref="Z40"/>
      <selection pane="topRight" activeCell="Z40" sqref="Z40"/>
    </sheetView>
  </sheetViews>
  <sheetFormatPr defaultColWidth="9" defaultRowHeight="12.5" x14ac:dyDescent="0.25"/>
  <cols>
    <col min="1" max="1" width="13.7265625" style="1" hidden="1" customWidth="1"/>
    <col min="2" max="2" width="21.81640625" style="1" customWidth="1"/>
    <col min="3" max="3" width="82.26953125" style="1" customWidth="1"/>
    <col min="4" max="4" width="11" style="1" customWidth="1"/>
    <col min="5" max="5" width="16" style="55" hidden="1" customWidth="1"/>
    <col min="6" max="6" width="23" style="55" hidden="1" customWidth="1"/>
    <col min="7" max="8" width="18.26953125" style="55" hidden="1" customWidth="1"/>
    <col min="9" max="9" width="14.7265625" style="55" hidden="1" customWidth="1"/>
    <col min="10" max="10" width="14" style="55" hidden="1" customWidth="1"/>
    <col min="11" max="13" width="14.81640625" style="55" hidden="1" customWidth="1"/>
    <col min="14" max="14" width="15.26953125" style="55" hidden="1" customWidth="1"/>
    <col min="15" max="15" width="16" style="55" hidden="1" customWidth="1"/>
    <col min="16" max="16" width="23" style="55" hidden="1" customWidth="1"/>
    <col min="17" max="18" width="18.26953125" style="55" hidden="1" customWidth="1"/>
    <col min="19" max="19" width="14.7265625" style="55" hidden="1" customWidth="1"/>
    <col min="20" max="20" width="14" style="55" hidden="1" customWidth="1"/>
    <col min="21" max="23" width="14.81640625" style="55" hidden="1" customWidth="1"/>
    <col min="24" max="24" width="15.26953125" style="55" hidden="1" customWidth="1"/>
    <col min="25" max="25" width="16" style="55" customWidth="1"/>
    <col min="26" max="26" width="23" style="55" customWidth="1"/>
    <col min="27" max="28" width="18.26953125" style="55" customWidth="1"/>
    <col min="29" max="29" width="14.7265625" style="55" customWidth="1"/>
    <col min="30" max="30" width="14" style="55" customWidth="1"/>
    <col min="31" max="33" width="14.81640625" style="55" customWidth="1"/>
    <col min="34" max="34" width="15.26953125" style="55" customWidth="1"/>
    <col min="35" max="35" width="16" style="55" customWidth="1"/>
    <col min="36" max="36" width="19.54296875" style="55" customWidth="1"/>
    <col min="37" max="38" width="18.26953125" style="55" customWidth="1"/>
    <col min="39" max="39" width="14.7265625" style="55" customWidth="1"/>
    <col min="40" max="40" width="14" style="55" customWidth="1"/>
    <col min="41" max="43" width="14.81640625" style="55" customWidth="1"/>
    <col min="44" max="44" width="15.26953125" style="55" customWidth="1"/>
    <col min="45" max="45" width="16" style="55" customWidth="1"/>
    <col min="46" max="46" width="18.54296875" style="55" customWidth="1"/>
    <col min="47" max="48" width="18.26953125" style="55" customWidth="1"/>
    <col min="49" max="49" width="14.7265625" style="55" customWidth="1"/>
    <col min="50" max="50" width="14" style="55" customWidth="1"/>
    <col min="51" max="53" width="14.81640625" style="55" customWidth="1"/>
    <col min="54" max="54" width="15.26953125" style="55" customWidth="1"/>
    <col min="55" max="55" width="16" style="55" customWidth="1"/>
    <col min="56" max="58" width="18.26953125" style="55" customWidth="1"/>
    <col min="59" max="59" width="14.7265625" style="55" customWidth="1"/>
    <col min="60" max="60" width="14" style="55" customWidth="1"/>
    <col min="61" max="63" width="14.81640625" style="55" customWidth="1"/>
    <col min="64" max="64" width="15.26953125" style="55" customWidth="1"/>
    <col min="65" max="66" width="14.81640625" style="55" customWidth="1"/>
    <col min="67" max="67" width="18" style="55" customWidth="1"/>
    <col min="68" max="68" width="17.26953125" style="55" customWidth="1"/>
    <col min="69" max="71" width="26.81640625" style="55" customWidth="1"/>
    <col min="72" max="72" width="23.54296875" style="55" customWidth="1"/>
    <col min="73" max="73" width="23.26953125" style="55" customWidth="1"/>
    <col min="74" max="74" width="22.26953125" style="55" bestFit="1" customWidth="1"/>
    <col min="75" max="75" width="19.81640625" style="55" customWidth="1"/>
    <col min="76" max="76" width="9" style="393"/>
    <col min="77" max="79" width="9" style="1"/>
    <col min="80" max="80" width="12.54296875" style="1" hidden="1" customWidth="1"/>
    <col min="81" max="81" width="9" style="1" hidden="1" customWidth="1"/>
    <col min="82" max="83" width="9" style="1"/>
    <col min="84" max="84" width="0" style="1" hidden="1" customWidth="1"/>
    <col min="85" max="16384" width="9" style="1"/>
  </cols>
  <sheetData>
    <row r="1" spans="3:84" x14ac:dyDescent="0.25">
      <c r="F1" s="311">
        <v>20</v>
      </c>
      <c r="BQ1" s="297"/>
      <c r="BR1" s="297"/>
      <c r="BS1" s="297"/>
      <c r="BT1" s="297"/>
      <c r="BU1" s="297"/>
      <c r="CF1" s="1">
        <v>1</v>
      </c>
    </row>
    <row r="2" spans="3:84" x14ac:dyDescent="0.25">
      <c r="BQ2" s="297"/>
      <c r="BR2" s="297"/>
      <c r="BS2" s="297"/>
      <c r="BT2" s="297"/>
      <c r="BU2" s="297"/>
      <c r="CF2" s="1">
        <v>2</v>
      </c>
    </row>
    <row r="3" spans="3:84" x14ac:dyDescent="0.25">
      <c r="BQ3" s="297"/>
      <c r="BR3" s="297"/>
      <c r="BS3" s="297"/>
      <c r="BT3" s="297"/>
      <c r="BU3" s="297"/>
      <c r="CF3" s="1">
        <v>3</v>
      </c>
    </row>
    <row r="4" spans="3:84" x14ac:dyDescent="0.25">
      <c r="BQ4" s="297"/>
      <c r="BR4" s="297"/>
      <c r="BS4" s="297"/>
      <c r="BT4" s="297"/>
      <c r="BU4" s="297"/>
      <c r="CF4" s="1">
        <v>4</v>
      </c>
    </row>
    <row r="5" spans="3:84" x14ac:dyDescent="0.25">
      <c r="BQ5" s="297"/>
      <c r="BR5" s="297"/>
      <c r="BS5" s="297"/>
      <c r="BT5" s="297"/>
      <c r="BU5" s="297"/>
      <c r="CF5" s="1">
        <v>5</v>
      </c>
    </row>
    <row r="6" spans="3:84" x14ac:dyDescent="0.25">
      <c r="BQ6" s="297"/>
      <c r="BR6" s="297"/>
      <c r="BS6" s="297"/>
      <c r="BT6" s="297"/>
      <c r="BU6" s="297"/>
      <c r="CF6" s="1">
        <v>6</v>
      </c>
    </row>
    <row r="7" spans="3:84" x14ac:dyDescent="0.25">
      <c r="BQ7" s="297"/>
      <c r="BR7" s="297"/>
      <c r="BS7" s="297"/>
      <c r="BT7" s="297"/>
      <c r="BU7" s="297"/>
      <c r="CF7" s="1">
        <v>7</v>
      </c>
    </row>
    <row r="8" spans="3:84" x14ac:dyDescent="0.25">
      <c r="BQ8" s="297"/>
      <c r="BR8" s="297"/>
      <c r="BS8" s="297"/>
      <c r="BT8" s="297"/>
      <c r="BU8" s="297"/>
      <c r="CF8" s="1">
        <v>8</v>
      </c>
    </row>
    <row r="9" spans="3:84" x14ac:dyDescent="0.25">
      <c r="BQ9" s="297"/>
      <c r="BR9" s="297"/>
      <c r="BS9" s="297"/>
      <c r="BT9" s="297"/>
      <c r="BU9" s="297"/>
      <c r="CF9" s="1">
        <v>9</v>
      </c>
    </row>
    <row r="10" spans="3:84" x14ac:dyDescent="0.25">
      <c r="BQ10" s="297"/>
      <c r="BR10" s="297"/>
      <c r="BS10" s="297"/>
      <c r="BT10" s="297"/>
      <c r="BU10" s="297"/>
      <c r="CF10" s="1">
        <v>10</v>
      </c>
    </row>
    <row r="11" spans="3:84" x14ac:dyDescent="0.25">
      <c r="BQ11" s="297"/>
      <c r="BR11" s="297"/>
      <c r="BS11" s="297"/>
      <c r="BT11" s="297"/>
      <c r="BU11" s="297"/>
      <c r="CB11" s="350" t="b">
        <v>1</v>
      </c>
      <c r="CF11" s="1">
        <v>11</v>
      </c>
    </row>
    <row r="12" spans="3:84" x14ac:dyDescent="0.25">
      <c r="BQ12" s="297"/>
      <c r="BR12" s="297"/>
      <c r="BS12" s="297"/>
      <c r="BT12" s="297"/>
      <c r="BU12" s="297"/>
      <c r="CB12" s="350" t="b">
        <v>0</v>
      </c>
      <c r="CF12" s="1">
        <v>12</v>
      </c>
    </row>
    <row r="13" spans="3:84" x14ac:dyDescent="0.25">
      <c r="BQ13" s="297"/>
      <c r="BR13" s="297"/>
      <c r="BS13" s="297"/>
      <c r="BT13" s="297"/>
      <c r="BU13" s="297"/>
      <c r="CF13" s="1">
        <v>13</v>
      </c>
    </row>
    <row r="14" spans="3:84" x14ac:dyDescent="0.25">
      <c r="BQ14" s="297"/>
      <c r="BR14" s="297"/>
      <c r="BS14" s="297"/>
      <c r="BT14" s="297"/>
      <c r="BU14" s="297"/>
      <c r="CF14" s="1">
        <v>14</v>
      </c>
    </row>
    <row r="15" spans="3:84" x14ac:dyDescent="0.25">
      <c r="BQ15" s="297"/>
      <c r="BR15" s="297"/>
      <c r="BS15" s="297"/>
      <c r="BT15" s="297"/>
      <c r="BU15" s="297"/>
      <c r="CF15" s="1">
        <v>15</v>
      </c>
    </row>
    <row r="16" spans="3:84" ht="61.5" customHeight="1" x14ac:dyDescent="0.35">
      <c r="C16" s="378" t="s">
        <v>2865</v>
      </c>
      <c r="D16" s="378"/>
      <c r="E16" s="378"/>
      <c r="F16" s="378"/>
      <c r="G16" s="378"/>
      <c r="H16" s="378"/>
      <c r="I16" s="378"/>
      <c r="J16" s="378"/>
      <c r="K16" s="378"/>
      <c r="L16" s="378"/>
      <c r="M16" s="378"/>
      <c r="N16" s="378"/>
      <c r="O16" s="378"/>
      <c r="BQ16" s="297"/>
      <c r="BR16" s="297"/>
      <c r="BS16" s="297"/>
      <c r="BT16" s="297"/>
      <c r="BU16" s="297"/>
      <c r="CF16" s="1">
        <v>16</v>
      </c>
    </row>
    <row r="17" spans="1:81" ht="14.5" x14ac:dyDescent="0.25">
      <c r="E17" s="303"/>
      <c r="BQ17" s="297"/>
      <c r="BR17" s="297"/>
      <c r="BS17" s="297"/>
      <c r="BT17" s="297"/>
      <c r="BU17" s="297"/>
    </row>
    <row r="18" spans="1:81" ht="13.5" thickBot="1" x14ac:dyDescent="0.35">
      <c r="C18" s="3"/>
      <c r="R18" s="248"/>
      <c r="BO18" s="97"/>
      <c r="BP18" s="97"/>
      <c r="BQ18" s="298"/>
      <c r="BR18" s="298"/>
      <c r="BS18" s="298"/>
      <c r="BT18" s="298"/>
      <c r="BU18" s="298"/>
    </row>
    <row r="19" spans="1:81" s="57" customFormat="1" ht="29" thickBot="1" x14ac:dyDescent="0.7">
      <c r="C19" s="344"/>
      <c r="D19" s="58"/>
      <c r="E19" s="1108">
        <v>2017</v>
      </c>
      <c r="F19" s="1109"/>
      <c r="G19" s="1109"/>
      <c r="H19" s="1109"/>
      <c r="I19" s="1109"/>
      <c r="J19" s="1109"/>
      <c r="K19" s="1109"/>
      <c r="L19" s="1109"/>
      <c r="M19" s="1109"/>
      <c r="N19" s="1110"/>
      <c r="O19" s="1105">
        <f>E19+1</f>
        <v>2018</v>
      </c>
      <c r="P19" s="1106"/>
      <c r="Q19" s="1106"/>
      <c r="R19" s="1106"/>
      <c r="S19" s="1106"/>
      <c r="T19" s="1106"/>
      <c r="U19" s="1106"/>
      <c r="V19" s="1106"/>
      <c r="W19" s="1106"/>
      <c r="X19" s="1107"/>
      <c r="Y19" s="1105">
        <f>O19+1</f>
        <v>2019</v>
      </c>
      <c r="Z19" s="1106"/>
      <c r="AA19" s="1106"/>
      <c r="AB19" s="1106"/>
      <c r="AC19" s="1106"/>
      <c r="AD19" s="1106"/>
      <c r="AE19" s="1106"/>
      <c r="AF19" s="1106"/>
      <c r="AG19" s="1106"/>
      <c r="AH19" s="1107"/>
      <c r="AI19" s="1105">
        <f>Y19+1</f>
        <v>2020</v>
      </c>
      <c r="AJ19" s="1106"/>
      <c r="AK19" s="1106"/>
      <c r="AL19" s="1106"/>
      <c r="AM19" s="1106"/>
      <c r="AN19" s="1106"/>
      <c r="AO19" s="1106"/>
      <c r="AP19" s="1106"/>
      <c r="AQ19" s="1106"/>
      <c r="AR19" s="1107"/>
      <c r="AS19" s="1105">
        <f>AI19+1</f>
        <v>2021</v>
      </c>
      <c r="AT19" s="1106"/>
      <c r="AU19" s="1106"/>
      <c r="AV19" s="1106"/>
      <c r="AW19" s="1106"/>
      <c r="AX19" s="1106"/>
      <c r="AY19" s="1106"/>
      <c r="AZ19" s="1106"/>
      <c r="BA19" s="1106"/>
      <c r="BB19" s="1107"/>
      <c r="BC19" s="1105">
        <f>AS19+1</f>
        <v>2022</v>
      </c>
      <c r="BD19" s="1106"/>
      <c r="BE19" s="1106"/>
      <c r="BF19" s="1106"/>
      <c r="BG19" s="1106"/>
      <c r="BH19" s="1106"/>
      <c r="BI19" s="1106"/>
      <c r="BJ19" s="1106"/>
      <c r="BK19" s="1106"/>
      <c r="BL19" s="1107"/>
      <c r="BM19" s="1105">
        <f>BC19+1</f>
        <v>2023</v>
      </c>
      <c r="BN19" s="1106"/>
      <c r="BO19" s="1106"/>
      <c r="BP19" s="1107"/>
      <c r="BQ19" s="1102" t="str">
        <f>CONCATENATE("Projected Interest on Dec-31-",RIGHT(BC19,2)," Balances")</f>
        <v>Projected Interest on Dec-31-22 Balances</v>
      </c>
      <c r="BR19" s="1103"/>
      <c r="BS19" s="1103"/>
      <c r="BT19" s="1104"/>
      <c r="BU19" s="401"/>
      <c r="BV19" s="59" t="s">
        <v>19</v>
      </c>
      <c r="BW19" s="60"/>
      <c r="BX19" s="394"/>
    </row>
    <row r="20" spans="1:81" ht="14.25" customHeight="1" x14ac:dyDescent="0.25">
      <c r="C20" s="1096" t="s">
        <v>16</v>
      </c>
      <c r="D20" s="1098" t="s">
        <v>0</v>
      </c>
      <c r="E20" s="1089" t="str">
        <f>CONCATENATE("Opening Principal Amounts as of Jan-1-",RIGHT(E19,2))</f>
        <v>Opening Principal Amounts as of Jan-1-17</v>
      </c>
      <c r="F20" s="1076" t="str">
        <f>CONCATENATE("Transactions(1) Debit / (Credit) during ",E19)</f>
        <v>Transactions(1) Debit / (Credit) during 2017</v>
      </c>
      <c r="G20" s="1076" t="str">
        <f>CONCATENATE("OEB-Approved Disposition during ",E19)</f>
        <v>OEB-Approved Disposition during 2017</v>
      </c>
      <c r="H20" s="1076" t="str">
        <f>CONCATENATE("Principal Adjustments during ",E19,"(1)")</f>
        <v>Principal Adjustments during 2017(1)</v>
      </c>
      <c r="I20" s="1076" t="str">
        <f>CONCATENATE("Closing Principal Balance as of Dec-31-",RIGHT(E19,2))</f>
        <v>Closing Principal Balance as of Dec-31-17</v>
      </c>
      <c r="J20" s="1076" t="str">
        <f>CONCATENATE("Opening Interest Amounts as of Jan-1-",RIGHT(E19,2))</f>
        <v>Opening Interest Amounts as of Jan-1-17</v>
      </c>
      <c r="K20" s="1076" t="str">
        <f>CONCATENATE("Interest Jan-1 to Dec-31-",RIGHT(E19,2))</f>
        <v>Interest Jan-1 to Dec-31-17</v>
      </c>
      <c r="L20" s="1076" t="str">
        <f>CONCATENATE("OEB-Approved Disposition during ",E19)</f>
        <v>OEB-Approved Disposition during 2017</v>
      </c>
      <c r="M20" s="1076" t="str">
        <f>CONCATENATE("Interest Adjustments(1) during ",E19)</f>
        <v>Interest Adjustments(1) during 2017</v>
      </c>
      <c r="N20" s="1080" t="str">
        <f>CONCATENATE("Closing Interest Amounts as of Dec-31-",RIGHT(E19,2))</f>
        <v>Closing Interest Amounts as of Dec-31-17</v>
      </c>
      <c r="O20" s="1089" t="str">
        <f>CONCATENATE("Opening Principal Amounts as of Jan-1-",RIGHT(O19,2))</f>
        <v>Opening Principal Amounts as of Jan-1-18</v>
      </c>
      <c r="P20" s="1076" t="str">
        <f>CONCATENATE("Transactions Debit / (Credit) during ",O19)</f>
        <v>Transactions Debit / (Credit) during 2018</v>
      </c>
      <c r="Q20" s="1076" t="str">
        <f>CONCATENATE("OEB-Approved Disposition during ",O19)</f>
        <v>OEB-Approved Disposition during 2018</v>
      </c>
      <c r="R20" s="1076" t="str">
        <f>CONCATENATE("Principal Adjustments(1) during ",O19)</f>
        <v>Principal Adjustments(1) during 2018</v>
      </c>
      <c r="S20" s="1076" t="str">
        <f>CONCATENATE("Closing Principal Balance as of Dec-31-",RIGHT(O19,2))</f>
        <v>Closing Principal Balance as of Dec-31-18</v>
      </c>
      <c r="T20" s="1076" t="str">
        <f>CONCATENATE("Opening Interest Amounts as of Jan-1-",RIGHT(O19,2))</f>
        <v>Opening Interest Amounts as of Jan-1-18</v>
      </c>
      <c r="U20" s="1076" t="str">
        <f>CONCATENATE("Interest Jan-1 to Dec-31-",RIGHT(O19,2))</f>
        <v>Interest Jan-1 to Dec-31-18</v>
      </c>
      <c r="V20" s="1076" t="str">
        <f>CONCATENATE("OEB-Approved Disposition during ",O19)</f>
        <v>OEB-Approved Disposition during 2018</v>
      </c>
      <c r="W20" s="1076" t="str">
        <f>CONCATENATE("Interest Adjustments(1) during ",O19)</f>
        <v>Interest Adjustments(1) during 2018</v>
      </c>
      <c r="X20" s="1080" t="str">
        <f>CONCATENATE("Closing Interest Amounts as of Dec-31-",RIGHT(O19,2))</f>
        <v>Closing Interest Amounts as of Dec-31-18</v>
      </c>
      <c r="Y20" s="1089" t="str">
        <f>CONCATENATE("Opening Principal Amounts as of Jan-1-",RIGHT(Y19,2))</f>
        <v>Opening Principal Amounts as of Jan-1-19</v>
      </c>
      <c r="Z20" s="1076" t="str">
        <f>CONCATENATE("Transactions Debit / (Credit) during ",Y19)</f>
        <v>Transactions Debit / (Credit) during 2019</v>
      </c>
      <c r="AA20" s="1076" t="str">
        <f>CONCATENATE("OEB-Approved Disposition during ",Y19)</f>
        <v>OEB-Approved Disposition during 2019</v>
      </c>
      <c r="AB20" s="1076" t="str">
        <f>CONCATENATE("Principal Adjustments(1) during ",Y19)</f>
        <v>Principal Adjustments(1) during 2019</v>
      </c>
      <c r="AC20" s="1076" t="str">
        <f>CONCATENATE("Closing Principal Balance as of Dec-31-",RIGHT(Y19,2))</f>
        <v>Closing Principal Balance as of Dec-31-19</v>
      </c>
      <c r="AD20" s="1076" t="str">
        <f>CONCATENATE("Opening Interest Amounts as of Jan-1-",RIGHT(Y19,2))</f>
        <v>Opening Interest Amounts as of Jan-1-19</v>
      </c>
      <c r="AE20" s="1076" t="str">
        <f>CONCATENATE("Interest Jan-1 to Dec-31-",RIGHT(Y19,2))</f>
        <v>Interest Jan-1 to Dec-31-19</v>
      </c>
      <c r="AF20" s="1076" t="str">
        <f>CONCATENATE("OEB-Approved Disposition during ",Y19)</f>
        <v>OEB-Approved Disposition during 2019</v>
      </c>
      <c r="AG20" s="1076" t="str">
        <f>CONCATENATE("Interest Adjustments(1) during ",Y19)</f>
        <v>Interest Adjustments(1) during 2019</v>
      </c>
      <c r="AH20" s="1080" t="str">
        <f>CONCATENATE("Closing Interest Amounts as of Dec-31-",RIGHT(Y19,2))</f>
        <v>Closing Interest Amounts as of Dec-31-19</v>
      </c>
      <c r="AI20" s="1089" t="str">
        <f>CONCATENATE("Opening Principal Amounts as of Jan-1-",RIGHT(AI19,2))</f>
        <v>Opening Principal Amounts as of Jan-1-20</v>
      </c>
      <c r="AJ20" s="1076" t="str">
        <f>CONCATENATE("Transactions(1) Debit / (Credit) during ",AI19)</f>
        <v>Transactions(1) Debit / (Credit) during 2020</v>
      </c>
      <c r="AK20" s="1076" t="str">
        <f>CONCATENATE("OEB-Approved Disposition during ",AI19)</f>
        <v>OEB-Approved Disposition during 2020</v>
      </c>
      <c r="AL20" s="1076" t="str">
        <f>CONCATENATE("Principal Adjustments(1) during ",AI19)</f>
        <v>Principal Adjustments(1) during 2020</v>
      </c>
      <c r="AM20" s="1076" t="str">
        <f>CONCATENATE("Closing Principal Balance as of Dec-31-",RIGHT(AI19,2))</f>
        <v>Closing Principal Balance as of Dec-31-20</v>
      </c>
      <c r="AN20" s="1076" t="str">
        <f>CONCATENATE("Opening Interest Amounts as of Jan-1-",RIGHT(AI19,2))</f>
        <v>Opening Interest Amounts as of Jan-1-20</v>
      </c>
      <c r="AO20" s="1076" t="str">
        <f>CONCATENATE("Interest Jan-1 to Dec-31-",RIGHT(AI19,2))</f>
        <v>Interest Jan-1 to Dec-31-20</v>
      </c>
      <c r="AP20" s="1076" t="str">
        <f>CONCATENATE("OEB-Approved Disposition during ",AI19)</f>
        <v>OEB-Approved Disposition during 2020</v>
      </c>
      <c r="AQ20" s="1076" t="str">
        <f>CONCATENATE("Interest Adjustments(1) during ",AI19)</f>
        <v>Interest Adjustments(1) during 2020</v>
      </c>
      <c r="AR20" s="1080" t="str">
        <f>CONCATENATE("Closing Interest Amounts as of Dec-31-",RIGHT(AI19,2))</f>
        <v>Closing Interest Amounts as of Dec-31-20</v>
      </c>
      <c r="AS20" s="1089" t="str">
        <f>CONCATENATE("Opening Principal Amounts as of Jan-1-",RIGHT(AS19,2))</f>
        <v>Opening Principal Amounts as of Jan-1-21</v>
      </c>
      <c r="AT20" s="1076" t="str">
        <f>CONCATENATE("Transactions(1) Debit / (Credit) during ",AS19)</f>
        <v>Transactions(1) Debit / (Credit) during 2021</v>
      </c>
      <c r="AU20" s="1076" t="str">
        <f>CONCATENATE("OEB-Approved Disposition during ",AS19)</f>
        <v>OEB-Approved Disposition during 2021</v>
      </c>
      <c r="AV20" s="1076" t="str">
        <f>CONCATENATE("Principal Adjustments(1) during ",AS19)</f>
        <v>Principal Adjustments(1) during 2021</v>
      </c>
      <c r="AW20" s="1076" t="str">
        <f>CONCATENATE("Closing Principal Balance as of Dec-31-",RIGHT(AS19,2))</f>
        <v>Closing Principal Balance as of Dec-31-21</v>
      </c>
      <c r="AX20" s="1076" t="str">
        <f>CONCATENATE("Opening Interest Amounts as of Jan-1-",RIGHT(AS19,2))</f>
        <v>Opening Interest Amounts as of Jan-1-21</v>
      </c>
      <c r="AY20" s="1076" t="str">
        <f>CONCATENATE("Interest Jan-1 to Dec-31-",RIGHT(AS19,2))</f>
        <v>Interest Jan-1 to Dec-31-21</v>
      </c>
      <c r="AZ20" s="1076" t="str">
        <f>CONCATENATE("OEB-Approved Disposition during ",AS19)</f>
        <v>OEB-Approved Disposition during 2021</v>
      </c>
      <c r="BA20" s="1076" t="str">
        <f>CONCATENATE("Interest Adjustments(1) during ",AS19)</f>
        <v>Interest Adjustments(1) during 2021</v>
      </c>
      <c r="BB20" s="1080" t="str">
        <f>CONCATENATE("Closing Interest Amounts as of Dec-31-",RIGHT(AS19,2))</f>
        <v>Closing Interest Amounts as of Dec-31-21</v>
      </c>
      <c r="BC20" s="1089" t="str">
        <f>CONCATENATE("Opening Principal Amounts as of Jan-1-",RIGHT(BC19,2))</f>
        <v>Opening Principal Amounts as of Jan-1-22</v>
      </c>
      <c r="BD20" s="1076" t="str">
        <f>CONCATENATE("Transactions Debit / (Credit) during ",BC19)</f>
        <v>Transactions Debit / (Credit) during 2022</v>
      </c>
      <c r="BE20" s="1076" t="str">
        <f>CONCATENATE("OEB-Approved Disposition during ",BC19)</f>
        <v>OEB-Approved Disposition during 2022</v>
      </c>
      <c r="BF20" s="1076" t="str">
        <f>CONCATENATE("Principal Adjustments(1) during ",BC19)</f>
        <v>Principal Adjustments(1) during 2022</v>
      </c>
      <c r="BG20" s="1076" t="str">
        <f>CONCATENATE("Closing Principal Balance as of Dec-31-",RIGHT(BC19,2))</f>
        <v>Closing Principal Balance as of Dec-31-22</v>
      </c>
      <c r="BH20" s="1076" t="str">
        <f>CONCATENATE("Opening Interest Amounts as of Jan-1-",RIGHT(BC19,2))</f>
        <v>Opening Interest Amounts as of Jan-1-22</v>
      </c>
      <c r="BI20" s="1076" t="str">
        <f>CONCATENATE("Interest Jan-1 to Dec-31-",RIGHT(BC19,2))</f>
        <v>Interest Jan-1 to Dec-31-22</v>
      </c>
      <c r="BJ20" s="1076" t="str">
        <f>CONCATENATE("OEB-Approved Disposition during ",BC19)</f>
        <v>OEB-Approved Disposition during 2022</v>
      </c>
      <c r="BK20" s="1076" t="str">
        <f>CONCATENATE("Interest Adjustments(1) during ",BC19)</f>
        <v>Interest Adjustments(1) during 2022</v>
      </c>
      <c r="BL20" s="1080" t="str">
        <f>CONCATENATE("Closing Interest Amounts as of Dec-31-",RIGHT(BC19,2))</f>
        <v>Closing Interest Amounts as of Dec-31-22</v>
      </c>
      <c r="BM20" s="1076" t="str">
        <f>CONCATENATE("Principal Disposition during ",BM19," - instructed by  OEB")</f>
        <v>Principal Disposition during 2023 - instructed by  OEB</v>
      </c>
      <c r="BN20" s="1076" t="str">
        <f>CONCATENATE("Interest Disposition during ",BM19," - instructed by  OEB")</f>
        <v>Interest Disposition during 2023 - instructed by  OEB</v>
      </c>
      <c r="BO20" s="1076" t="str">
        <f>CONCATENATE("Closing Principal Balances as of Dec 31-",RIGHT(BM19-1,2)," Adjusted for Dispositions during ",BM19)</f>
        <v>Closing Principal Balances as of Dec 31-22 Adjusted for Dispositions during 2023</v>
      </c>
      <c r="BP20" s="1076" t="str">
        <f>CONCATENATE("Closing Interest Balances as of Dec 31-",RIGHT(BM19-1,2)," Adjusted for Dispositions during ",BM19)</f>
        <v>Closing Interest Balances as of Dec 31-22 Adjusted for Dispositions during 2023</v>
      </c>
      <c r="BQ20" s="1089" t="str">
        <f>CONCATENATE("Projected Interest  from Jan 1, ",BM19," to December 31, ",BM19," on  Dec 31 -",RIGHT(BM19-1,2)," balance adjusted for disposition during ",BM19," (2)")</f>
        <v>Projected Interest  from Jan 1, 2023 to December 31, 2023 on  Dec 31 -22 balance adjusted for disposition during 2023 (2)</v>
      </c>
      <c r="BR20" s="1076" t="str">
        <f>CONCATENATE("Projected Interest from January 1, ",BM19+1," to April 30, ",BM19+1," on Dec 31 -",RIGHT(BC19,2)," balance adjusted for disposition during ",BM19,"  (2)")</f>
        <v>Projected Interest from January 1, 2024 to April 30, 2024 on Dec 31 -22 balance adjusted for disposition during 2023  (2)</v>
      </c>
      <c r="BS20" s="1076" t="s">
        <v>159</v>
      </c>
      <c r="BT20" s="1080" t="s">
        <v>18</v>
      </c>
      <c r="BU20" s="1092" t="s">
        <v>632</v>
      </c>
      <c r="BV20" s="1092" t="str">
        <f>CONCATENATE("As of Dec 31-",RIGHT(BC19,2))</f>
        <v>As of Dec 31-22</v>
      </c>
      <c r="BW20" s="1080" t="str">
        <f>CONCATENATE("Variance                           RRR vs. ",BC19," Balance                        (Principal + Interest)")</f>
        <v>Variance                           RRR vs. 2022 Balance                        (Principal + Interest)</v>
      </c>
    </row>
    <row r="21" spans="1:81" ht="24.75" customHeight="1" x14ac:dyDescent="0.25">
      <c r="C21" s="1097"/>
      <c r="D21" s="1099"/>
      <c r="E21" s="1100"/>
      <c r="F21" s="1083"/>
      <c r="G21" s="1085"/>
      <c r="H21" s="1085"/>
      <c r="I21" s="1087"/>
      <c r="J21" s="1083"/>
      <c r="K21" s="1085"/>
      <c r="L21" s="1085"/>
      <c r="M21" s="1085"/>
      <c r="N21" s="1081"/>
      <c r="O21" s="1090"/>
      <c r="P21" s="1083"/>
      <c r="Q21" s="1085"/>
      <c r="R21" s="1085"/>
      <c r="S21" s="1087"/>
      <c r="T21" s="1077"/>
      <c r="U21" s="1085"/>
      <c r="V21" s="1085"/>
      <c r="W21" s="1085"/>
      <c r="X21" s="1081"/>
      <c r="Y21" s="1090"/>
      <c r="Z21" s="1083"/>
      <c r="AA21" s="1085"/>
      <c r="AB21" s="1085"/>
      <c r="AC21" s="1087"/>
      <c r="AD21" s="1077"/>
      <c r="AE21" s="1085"/>
      <c r="AF21" s="1085"/>
      <c r="AG21" s="1085"/>
      <c r="AH21" s="1081"/>
      <c r="AI21" s="1090"/>
      <c r="AJ21" s="1083"/>
      <c r="AK21" s="1085"/>
      <c r="AL21" s="1085"/>
      <c r="AM21" s="1087"/>
      <c r="AN21" s="1077"/>
      <c r="AO21" s="1085"/>
      <c r="AP21" s="1085"/>
      <c r="AQ21" s="1085"/>
      <c r="AR21" s="1081"/>
      <c r="AS21" s="1090"/>
      <c r="AT21" s="1083"/>
      <c r="AU21" s="1085"/>
      <c r="AV21" s="1085"/>
      <c r="AW21" s="1087"/>
      <c r="AX21" s="1077"/>
      <c r="AY21" s="1085"/>
      <c r="AZ21" s="1085"/>
      <c r="BA21" s="1085"/>
      <c r="BB21" s="1081"/>
      <c r="BC21" s="1090"/>
      <c r="BD21" s="1083"/>
      <c r="BE21" s="1085"/>
      <c r="BF21" s="1087"/>
      <c r="BG21" s="1087"/>
      <c r="BH21" s="1077"/>
      <c r="BI21" s="1085"/>
      <c r="BJ21" s="1085"/>
      <c r="BK21" s="1087"/>
      <c r="BL21" s="1081"/>
      <c r="BM21" s="1087"/>
      <c r="BN21" s="1087"/>
      <c r="BO21" s="1087"/>
      <c r="BP21" s="1087"/>
      <c r="BQ21" s="1090"/>
      <c r="BR21" s="1077"/>
      <c r="BS21" s="1077"/>
      <c r="BT21" s="1081"/>
      <c r="BU21" s="1093"/>
      <c r="BV21" s="1093"/>
      <c r="BW21" s="1081"/>
    </row>
    <row r="22" spans="1:81" ht="73" customHeight="1" thickBot="1" x14ac:dyDescent="0.3">
      <c r="B22" s="14"/>
      <c r="C22" s="1097"/>
      <c r="D22" s="1099"/>
      <c r="E22" s="1101"/>
      <c r="F22" s="1084"/>
      <c r="G22" s="1086"/>
      <c r="H22" s="1086"/>
      <c r="I22" s="1088"/>
      <c r="J22" s="1084"/>
      <c r="K22" s="1086"/>
      <c r="L22" s="1086"/>
      <c r="M22" s="1086"/>
      <c r="N22" s="1082"/>
      <c r="O22" s="1091"/>
      <c r="P22" s="1084"/>
      <c r="Q22" s="1086"/>
      <c r="R22" s="1086"/>
      <c r="S22" s="1088"/>
      <c r="T22" s="1078"/>
      <c r="U22" s="1086"/>
      <c r="V22" s="1086"/>
      <c r="W22" s="1086"/>
      <c r="X22" s="1082"/>
      <c r="Y22" s="1091"/>
      <c r="Z22" s="1084"/>
      <c r="AA22" s="1086"/>
      <c r="AB22" s="1086"/>
      <c r="AC22" s="1088"/>
      <c r="AD22" s="1078"/>
      <c r="AE22" s="1086"/>
      <c r="AF22" s="1086"/>
      <c r="AG22" s="1086"/>
      <c r="AH22" s="1082"/>
      <c r="AI22" s="1091"/>
      <c r="AJ22" s="1084"/>
      <c r="AK22" s="1086"/>
      <c r="AL22" s="1086"/>
      <c r="AM22" s="1088"/>
      <c r="AN22" s="1078"/>
      <c r="AO22" s="1086"/>
      <c r="AP22" s="1086"/>
      <c r="AQ22" s="1086"/>
      <c r="AR22" s="1082"/>
      <c r="AS22" s="1091"/>
      <c r="AT22" s="1084"/>
      <c r="AU22" s="1086"/>
      <c r="AV22" s="1086"/>
      <c r="AW22" s="1088"/>
      <c r="AX22" s="1078"/>
      <c r="AY22" s="1086"/>
      <c r="AZ22" s="1086"/>
      <c r="BA22" s="1086"/>
      <c r="BB22" s="1082"/>
      <c r="BC22" s="1091"/>
      <c r="BD22" s="1084"/>
      <c r="BE22" s="1086"/>
      <c r="BF22" s="1088"/>
      <c r="BG22" s="1088"/>
      <c r="BH22" s="1078"/>
      <c r="BI22" s="1086"/>
      <c r="BJ22" s="1086"/>
      <c r="BK22" s="1088"/>
      <c r="BL22" s="1082"/>
      <c r="BM22" s="1088"/>
      <c r="BN22" s="1088"/>
      <c r="BO22" s="1088"/>
      <c r="BP22" s="1088"/>
      <c r="BQ22" s="1091"/>
      <c r="BR22" s="1078"/>
      <c r="BS22" s="1079" t="s">
        <v>11</v>
      </c>
      <c r="BT22" s="1082" t="s">
        <v>11</v>
      </c>
      <c r="BU22" s="1094"/>
      <c r="BV22" s="1094"/>
      <c r="BW22" s="1082"/>
    </row>
    <row r="23" spans="1:81" s="75" customFormat="1" ht="33.75" customHeight="1" thickBot="1" x14ac:dyDescent="0.35">
      <c r="A23" s="1"/>
      <c r="B23" s="310">
        <v>1</v>
      </c>
      <c r="C23" s="226" t="s">
        <v>21</v>
      </c>
      <c r="D23" s="227"/>
      <c r="E23" s="531"/>
      <c r="F23" s="78"/>
      <c r="G23" s="532"/>
      <c r="H23" s="532"/>
      <c r="I23" s="532"/>
      <c r="J23" s="532"/>
      <c r="K23" s="532"/>
      <c r="L23" s="532"/>
      <c r="M23" s="532"/>
      <c r="N23" s="533"/>
      <c r="O23" s="84"/>
      <c r="P23" s="78"/>
      <c r="Q23" s="532"/>
      <c r="R23" s="532"/>
      <c r="S23" s="532"/>
      <c r="T23" s="532"/>
      <c r="U23" s="532"/>
      <c r="V23" s="532"/>
      <c r="W23" s="532"/>
      <c r="X23" s="533"/>
      <c r="Y23" s="84"/>
      <c r="Z23" s="78"/>
      <c r="AA23" s="532"/>
      <c r="AB23" s="532"/>
      <c r="AC23" s="532"/>
      <c r="AD23" s="532"/>
      <c r="AE23" s="532"/>
      <c r="AF23" s="532"/>
      <c r="AG23" s="532"/>
      <c r="AH23" s="533"/>
      <c r="AI23" s="84"/>
      <c r="AJ23" s="78"/>
      <c r="AK23" s="532"/>
      <c r="AL23" s="532"/>
      <c r="AM23" s="532"/>
      <c r="AN23" s="532"/>
      <c r="AO23" s="532"/>
      <c r="AP23" s="532"/>
      <c r="AQ23" s="532"/>
      <c r="AR23" s="533"/>
      <c r="AS23" s="84"/>
      <c r="AT23" s="78"/>
      <c r="AU23" s="532"/>
      <c r="AV23" s="532"/>
      <c r="AW23" s="532"/>
      <c r="AX23" s="532"/>
      <c r="AY23" s="532"/>
      <c r="AZ23" s="532"/>
      <c r="BA23" s="532"/>
      <c r="BB23" s="533"/>
      <c r="BC23" s="84"/>
      <c r="BD23" s="78"/>
      <c r="BE23" s="532"/>
      <c r="BF23" s="532"/>
      <c r="BG23" s="532"/>
      <c r="BH23" s="532"/>
      <c r="BI23" s="532"/>
      <c r="BJ23" s="532"/>
      <c r="BK23" s="532"/>
      <c r="BL23" s="533"/>
      <c r="BM23" s="534"/>
      <c r="BN23" s="535"/>
      <c r="BO23" s="532"/>
      <c r="BP23" s="536"/>
      <c r="BQ23" s="247"/>
      <c r="BR23" s="247"/>
      <c r="BS23" s="71"/>
      <c r="BT23" s="254"/>
      <c r="BU23" s="398"/>
      <c r="BV23" s="582"/>
      <c r="BW23" s="74"/>
      <c r="BX23" s="395"/>
    </row>
    <row r="24" spans="1:81" s="75" customFormat="1" ht="15" customHeight="1" thickBot="1" x14ac:dyDescent="0.35">
      <c r="A24" s="1">
        <v>1</v>
      </c>
      <c r="B24" s="310">
        <v>2</v>
      </c>
      <c r="C24" s="228" t="s">
        <v>23</v>
      </c>
      <c r="D24" s="213">
        <v>1550</v>
      </c>
      <c r="E24" s="758"/>
      <c r="F24" s="759"/>
      <c r="G24" s="746"/>
      <c r="H24" s="746"/>
      <c r="I24" s="78">
        <f>E24+F24-G24+H24</f>
        <v>0</v>
      </c>
      <c r="J24" s="760"/>
      <c r="K24" s="761"/>
      <c r="L24" s="746"/>
      <c r="M24" s="746"/>
      <c r="N24" s="79">
        <f>J24+K24-L24+M24</f>
        <v>0</v>
      </c>
      <c r="O24" s="80">
        <f>I24</f>
        <v>0</v>
      </c>
      <c r="P24" s="746"/>
      <c r="Q24" s="746"/>
      <c r="R24" s="746"/>
      <c r="S24" s="78">
        <f t="shared" ref="S24:S29" si="0">O24+P24-Q24+R24</f>
        <v>0</v>
      </c>
      <c r="T24" s="81">
        <f>N24</f>
        <v>0</v>
      </c>
      <c r="U24" s="746"/>
      <c r="V24" s="746"/>
      <c r="W24" s="746"/>
      <c r="X24" s="79">
        <f>T24+U24-V24+W24</f>
        <v>0</v>
      </c>
      <c r="Y24" s="80">
        <f t="shared" ref="Y24:Y39" si="1">S24</f>
        <v>0</v>
      </c>
      <c r="Z24" s="746"/>
      <c r="AA24" s="746"/>
      <c r="AB24" s="746"/>
      <c r="AC24" s="78">
        <f t="shared" ref="AC24:AC29" si="2">Y24+Z24-AA24+AB24</f>
        <v>0</v>
      </c>
      <c r="AD24" s="81">
        <f t="shared" ref="AD24:AD35" si="3">X24</f>
        <v>0</v>
      </c>
      <c r="AE24" s="746"/>
      <c r="AF24" s="746"/>
      <c r="AG24" s="746"/>
      <c r="AH24" s="79">
        <f>AD24+AE24-AF24+AG24</f>
        <v>0</v>
      </c>
      <c r="AI24" s="80">
        <f t="shared" ref="AI24:AI39" si="4">AC24</f>
        <v>0</v>
      </c>
      <c r="AJ24" s="746"/>
      <c r="AK24" s="746"/>
      <c r="AL24" s="746"/>
      <c r="AM24" s="78">
        <f>AI24+AJ24-AK24+SUM(AL24:AL24)</f>
        <v>0</v>
      </c>
      <c r="AN24" s="81">
        <f t="shared" ref="AN24:AN39" si="5">AH24</f>
        <v>0</v>
      </c>
      <c r="AO24" s="746"/>
      <c r="AP24" s="746"/>
      <c r="AQ24" s="746"/>
      <c r="AR24" s="79">
        <f>AN24+AO24-AP24+AQ24</f>
        <v>0</v>
      </c>
      <c r="AS24" s="80">
        <f t="shared" ref="AS24:AS39" si="6">AM24</f>
        <v>0</v>
      </c>
      <c r="AT24" s="746"/>
      <c r="AU24" s="746"/>
      <c r="AV24" s="389"/>
      <c r="AW24" s="78">
        <f>AS24+AT24-AU24+AV24</f>
        <v>0</v>
      </c>
      <c r="AX24" s="81">
        <f t="shared" ref="AX24:AX39" si="7">AR24</f>
        <v>0</v>
      </c>
      <c r="AY24" s="746"/>
      <c r="AZ24" s="746"/>
      <c r="BA24" s="389"/>
      <c r="BB24" s="79">
        <f>AX24+AY24-AZ24+BA24</f>
        <v>0</v>
      </c>
      <c r="BC24" s="80">
        <f t="shared" ref="BC24:BC39" si="8">AW24</f>
        <v>0</v>
      </c>
      <c r="BD24" s="389"/>
      <c r="BE24" s="389"/>
      <c r="BF24" s="155"/>
      <c r="BG24" s="78">
        <f>BC24+BD24-BE24+SUM(BF24:BF24)</f>
        <v>0</v>
      </c>
      <c r="BH24" s="81">
        <f t="shared" ref="BH24:BH39" si="9">BB24</f>
        <v>0</v>
      </c>
      <c r="BI24" s="389"/>
      <c r="BJ24" s="389"/>
      <c r="BK24" s="155"/>
      <c r="BL24" s="79">
        <f>BH24+BI24-BJ24+BK24</f>
        <v>0</v>
      </c>
      <c r="BM24" s="76"/>
      <c r="BN24" s="155"/>
      <c r="BO24" s="81">
        <f>BG24-BM24</f>
        <v>0</v>
      </c>
      <c r="BP24" s="82">
        <f>BL24-BN24</f>
        <v>0</v>
      </c>
      <c r="BQ24" s="83"/>
      <c r="BR24" s="155"/>
      <c r="BS24" s="222">
        <f t="shared" ref="BS24:BS38" si="10">BP24+BQ24+BR24</f>
        <v>0</v>
      </c>
      <c r="BT24" s="254">
        <f>SUM(BO24:BR24)</f>
        <v>0</v>
      </c>
      <c r="BU24" s="398"/>
      <c r="BV24" s="736">
        <v>1690189.06</v>
      </c>
      <c r="BW24" s="72">
        <f>BV24-SUM(BG24,BL24)</f>
        <v>1690189.06</v>
      </c>
      <c r="BX24" s="392" t="str">
        <f>IF(ABS(BW24)&gt;1,"Please provide an explanation of the variance in the tab 3 - Appendix A","")</f>
        <v>Please provide an explanation of the variance in the tab 3 - Appendix A</v>
      </c>
    </row>
    <row r="25" spans="1:81" s="75" customFormat="1" ht="14.5" thickBot="1" x14ac:dyDescent="0.35">
      <c r="A25" s="1">
        <v>2</v>
      </c>
      <c r="B25" s="310">
        <v>3</v>
      </c>
      <c r="C25" s="228" t="s">
        <v>131</v>
      </c>
      <c r="D25" s="213">
        <v>1551</v>
      </c>
      <c r="E25" s="758"/>
      <c r="F25" s="759"/>
      <c r="G25" s="746"/>
      <c r="H25" s="746"/>
      <c r="I25" s="78">
        <f>E25+F25-G25+H25</f>
        <v>0</v>
      </c>
      <c r="J25" s="762"/>
      <c r="K25" s="746"/>
      <c r="L25" s="746"/>
      <c r="M25" s="746"/>
      <c r="N25" s="79">
        <f>J25+K25-L25+M25</f>
        <v>0</v>
      </c>
      <c r="O25" s="80">
        <f>I25</f>
        <v>0</v>
      </c>
      <c r="P25" s="746"/>
      <c r="Q25" s="746"/>
      <c r="R25" s="746"/>
      <c r="S25" s="78">
        <f t="shared" si="0"/>
        <v>0</v>
      </c>
      <c r="T25" s="81">
        <f>N25</f>
        <v>0</v>
      </c>
      <c r="U25" s="746"/>
      <c r="V25" s="746"/>
      <c r="W25" s="746"/>
      <c r="X25" s="79">
        <f>T25+U25-V25+W25</f>
        <v>0</v>
      </c>
      <c r="Y25" s="80">
        <f t="shared" si="1"/>
        <v>0</v>
      </c>
      <c r="Z25" s="746"/>
      <c r="AA25" s="746"/>
      <c r="AB25" s="746"/>
      <c r="AC25" s="78">
        <f t="shared" si="2"/>
        <v>0</v>
      </c>
      <c r="AD25" s="81">
        <f t="shared" si="3"/>
        <v>0</v>
      </c>
      <c r="AE25" s="746"/>
      <c r="AF25" s="746"/>
      <c r="AG25" s="746"/>
      <c r="AH25" s="79">
        <f>AD25+AE25-AF25+AG25</f>
        <v>0</v>
      </c>
      <c r="AI25" s="80">
        <f>AC25</f>
        <v>0</v>
      </c>
      <c r="AJ25" s="746"/>
      <c r="AK25" s="746"/>
      <c r="AL25" s="746"/>
      <c r="AM25" s="78">
        <f t="shared" ref="AM25:AM39" si="11">AI25+AJ25-AK25+SUM(AL25:AL25)</f>
        <v>0</v>
      </c>
      <c r="AN25" s="81">
        <f t="shared" si="5"/>
        <v>0</v>
      </c>
      <c r="AO25" s="746"/>
      <c r="AP25" s="759"/>
      <c r="AQ25" s="770"/>
      <c r="AR25" s="79">
        <f>AN25+AO25-AP25+AQ25</f>
        <v>0</v>
      </c>
      <c r="AS25" s="80">
        <f t="shared" si="6"/>
        <v>0</v>
      </c>
      <c r="AT25" s="746"/>
      <c r="AU25" s="746"/>
      <c r="AV25" s="389"/>
      <c r="AW25" s="78">
        <f>AS25+AT25-AU25+AV25</f>
        <v>0</v>
      </c>
      <c r="AX25" s="81">
        <f t="shared" si="7"/>
        <v>0</v>
      </c>
      <c r="AY25" s="746"/>
      <c r="AZ25" s="759"/>
      <c r="BA25" s="391"/>
      <c r="BB25" s="79">
        <f>AX25+AY25-AZ25+BA25</f>
        <v>0</v>
      </c>
      <c r="BC25" s="80">
        <f t="shared" si="8"/>
        <v>0</v>
      </c>
      <c r="BD25" s="389"/>
      <c r="BE25" s="389"/>
      <c r="BF25" s="155"/>
      <c r="BG25" s="78">
        <f t="shared" ref="BG25:BG39" si="12">BC25+BD25-BE25+SUM(BF25:BF25)</f>
        <v>0</v>
      </c>
      <c r="BH25" s="81">
        <f t="shared" si="9"/>
        <v>0</v>
      </c>
      <c r="BI25" s="389"/>
      <c r="BJ25" s="390"/>
      <c r="BK25" s="154"/>
      <c r="BL25" s="79">
        <f>BH25+BI25-BJ25+BK25</f>
        <v>0</v>
      </c>
      <c r="BM25" s="76"/>
      <c r="BN25" s="155"/>
      <c r="BO25" s="81">
        <f t="shared" ref="BO25:BO39" si="13">BG25-BM25</f>
        <v>0</v>
      </c>
      <c r="BP25" s="82">
        <f t="shared" ref="BP25:BP39" si="14">BL25-BN25</f>
        <v>0</v>
      </c>
      <c r="BQ25" s="83"/>
      <c r="BR25" s="155"/>
      <c r="BS25" s="222">
        <f t="shared" si="10"/>
        <v>0</v>
      </c>
      <c r="BT25" s="254">
        <f>SUM(BO25:BR25)</f>
        <v>0</v>
      </c>
      <c r="BU25" s="398"/>
      <c r="BV25" s="736">
        <v>-2621842.42</v>
      </c>
      <c r="BW25" s="72">
        <f t="shared" ref="BW25:BW40" si="15">BV25-SUM(BG25,BL25)</f>
        <v>-2621842.42</v>
      </c>
      <c r="BX25" s="392" t="str">
        <f t="shared" ref="BX25:BX40" si="16">IF(ABS(BW25)&gt;1,"Please provide an explanation of the variance in the tab 3 - Appendix A","")</f>
        <v>Please provide an explanation of the variance in the tab 3 - Appendix A</v>
      </c>
    </row>
    <row r="26" spans="1:81" s="75" customFormat="1" ht="17" thickBot="1" x14ac:dyDescent="0.35">
      <c r="A26" s="1">
        <v>3</v>
      </c>
      <c r="B26" s="310">
        <v>4</v>
      </c>
      <c r="C26" s="212" t="s">
        <v>2913</v>
      </c>
      <c r="D26" s="213">
        <v>1580</v>
      </c>
      <c r="E26" s="753"/>
      <c r="F26" s="752"/>
      <c r="G26" s="746"/>
      <c r="H26" s="746"/>
      <c r="I26" s="78">
        <f>E26+F26-G26+H26</f>
        <v>0</v>
      </c>
      <c r="J26" s="763"/>
      <c r="K26" s="761"/>
      <c r="L26" s="746"/>
      <c r="M26" s="746"/>
      <c r="N26" s="79">
        <f>J26+K26-L26+M26</f>
        <v>0</v>
      </c>
      <c r="O26" s="80">
        <f t="shared" ref="O26:O40" si="17">I26</f>
        <v>0</v>
      </c>
      <c r="P26" s="765"/>
      <c r="Q26" s="746"/>
      <c r="R26" s="746"/>
      <c r="S26" s="78">
        <f t="shared" si="0"/>
        <v>0</v>
      </c>
      <c r="T26" s="81">
        <f t="shared" ref="T26:T40" si="18">N26</f>
        <v>0</v>
      </c>
      <c r="U26" s="769"/>
      <c r="V26" s="746"/>
      <c r="W26" s="746"/>
      <c r="X26" s="79">
        <f t="shared" ref="X26:X40" si="19">T26+U26-V26+W26</f>
        <v>0</v>
      </c>
      <c r="Y26" s="80">
        <f t="shared" si="1"/>
        <v>0</v>
      </c>
      <c r="Z26" s="746"/>
      <c r="AA26" s="746"/>
      <c r="AB26" s="746"/>
      <c r="AC26" s="78">
        <f t="shared" si="2"/>
        <v>0</v>
      </c>
      <c r="AD26" s="81">
        <f t="shared" si="3"/>
        <v>0</v>
      </c>
      <c r="AE26" s="746"/>
      <c r="AF26" s="746"/>
      <c r="AG26" s="746"/>
      <c r="AH26" s="79">
        <f t="shared" ref="AH26:AH40" si="20">AD26+AE26-AF26+AG26</f>
        <v>0</v>
      </c>
      <c r="AI26" s="80">
        <f t="shared" si="4"/>
        <v>0</v>
      </c>
      <c r="AJ26" s="746"/>
      <c r="AK26" s="746"/>
      <c r="AL26" s="746"/>
      <c r="AM26" s="78">
        <f t="shared" si="11"/>
        <v>0</v>
      </c>
      <c r="AN26" s="81">
        <f t="shared" si="5"/>
        <v>0</v>
      </c>
      <c r="AO26" s="746"/>
      <c r="AP26" s="746"/>
      <c r="AQ26" s="746"/>
      <c r="AR26" s="79">
        <f t="shared" ref="AR26:AR40" si="21">AN26+AO26-AP26+AQ26</f>
        <v>0</v>
      </c>
      <c r="AS26" s="80">
        <f t="shared" si="6"/>
        <v>0</v>
      </c>
      <c r="AT26" s="746"/>
      <c r="AU26" s="746"/>
      <c r="AV26" s="389"/>
      <c r="AW26" s="78">
        <f>AS26+AT26-AU26+AV26</f>
        <v>0</v>
      </c>
      <c r="AX26" s="81">
        <f t="shared" si="7"/>
        <v>0</v>
      </c>
      <c r="AY26" s="746"/>
      <c r="AZ26" s="746"/>
      <c r="BA26" s="389"/>
      <c r="BB26" s="79">
        <f t="shared" ref="BB26:BB40" si="22">AX26+AY26-AZ26+BA26</f>
        <v>0</v>
      </c>
      <c r="BC26" s="80">
        <f t="shared" si="8"/>
        <v>0</v>
      </c>
      <c r="BD26" s="389"/>
      <c r="BE26" s="389"/>
      <c r="BF26" s="155"/>
      <c r="BG26" s="78">
        <f t="shared" si="12"/>
        <v>0</v>
      </c>
      <c r="BH26" s="81">
        <f t="shared" si="9"/>
        <v>0</v>
      </c>
      <c r="BI26" s="389"/>
      <c r="BJ26" s="389"/>
      <c r="BK26" s="155"/>
      <c r="BL26" s="79">
        <f t="shared" ref="BL26:BL40" si="23">BH26+BI26-BJ26+BK26</f>
        <v>0</v>
      </c>
      <c r="BM26" s="76"/>
      <c r="BN26" s="155"/>
      <c r="BO26" s="81">
        <f t="shared" si="13"/>
        <v>0</v>
      </c>
      <c r="BP26" s="82">
        <f t="shared" si="14"/>
        <v>0</v>
      </c>
      <c r="BQ26" s="83"/>
      <c r="BR26" s="155"/>
      <c r="BS26" s="222">
        <f t="shared" si="10"/>
        <v>0</v>
      </c>
      <c r="BT26" s="254">
        <f>SUM(BO26:BR26)</f>
        <v>0</v>
      </c>
      <c r="BU26" s="398"/>
      <c r="BV26" s="736">
        <v>55862594.130000003</v>
      </c>
      <c r="BW26" s="72">
        <f t="shared" si="15"/>
        <v>55862594.130000003</v>
      </c>
      <c r="BX26" s="392" t="str">
        <f>IF(ROUND(BV28,0)&lt;&gt;ROUND(BW26,0),"Variance does not agree to RRR CBR balance in BV28. Please provide an explanation of the variance in tab 3 - Appendix A","")</f>
        <v>Variance does not agree to RRR CBR balance in BV28. Please provide an explanation of the variance in tab 3 - Appendix A</v>
      </c>
    </row>
    <row r="27" spans="1:81" s="75" customFormat="1" ht="17" thickBot="1" x14ac:dyDescent="0.35">
      <c r="A27" s="1">
        <v>3.1</v>
      </c>
      <c r="B27" s="310">
        <v>5</v>
      </c>
      <c r="C27" s="212" t="s">
        <v>2914</v>
      </c>
      <c r="D27" s="213">
        <v>1580</v>
      </c>
      <c r="E27" s="753"/>
      <c r="F27" s="752"/>
      <c r="G27" s="746"/>
      <c r="H27" s="746"/>
      <c r="I27" s="78">
        <f>E27+F27-G27+H27</f>
        <v>0</v>
      </c>
      <c r="J27" s="763"/>
      <c r="K27" s="761"/>
      <c r="L27" s="746"/>
      <c r="M27" s="746"/>
      <c r="N27" s="79">
        <f>J27+K27-L27+M27</f>
        <v>0</v>
      </c>
      <c r="O27" s="80">
        <f t="shared" si="17"/>
        <v>0</v>
      </c>
      <c r="P27" s="766"/>
      <c r="Q27" s="766"/>
      <c r="R27" s="746"/>
      <c r="S27" s="78">
        <f t="shared" si="0"/>
        <v>0</v>
      </c>
      <c r="T27" s="217"/>
      <c r="U27" s="746"/>
      <c r="V27" s="746"/>
      <c r="W27" s="746"/>
      <c r="X27" s="79">
        <f t="shared" si="19"/>
        <v>0</v>
      </c>
      <c r="Y27" s="80">
        <f t="shared" si="1"/>
        <v>0</v>
      </c>
      <c r="Z27" s="746"/>
      <c r="AA27" s="746"/>
      <c r="AB27" s="746"/>
      <c r="AC27" s="78">
        <f t="shared" si="2"/>
        <v>0</v>
      </c>
      <c r="AD27" s="81">
        <f>X27</f>
        <v>0</v>
      </c>
      <c r="AE27" s="746"/>
      <c r="AF27" s="746"/>
      <c r="AG27" s="746"/>
      <c r="AH27" s="79">
        <f>AD27+AE27-AF27+AG27</f>
        <v>0</v>
      </c>
      <c r="AI27" s="80">
        <f>AC27</f>
        <v>0</v>
      </c>
      <c r="AJ27" s="746"/>
      <c r="AK27" s="746"/>
      <c r="AL27" s="746"/>
      <c r="AM27" s="78">
        <f>AI27+AJ27-AK27+SUM(AL27:AL27)</f>
        <v>0</v>
      </c>
      <c r="AN27" s="81">
        <f>AH27</f>
        <v>0</v>
      </c>
      <c r="AO27" s="746"/>
      <c r="AP27" s="746"/>
      <c r="AQ27" s="746"/>
      <c r="AR27" s="79">
        <f t="shared" si="21"/>
        <v>0</v>
      </c>
      <c r="AS27" s="80">
        <f t="shared" si="6"/>
        <v>0</v>
      </c>
      <c r="AT27" s="746"/>
      <c r="AU27" s="746"/>
      <c r="AV27" s="389"/>
      <c r="AW27" s="78">
        <f>AS27+AT27-AU27+AV27</f>
        <v>0</v>
      </c>
      <c r="AX27" s="81">
        <f t="shared" si="7"/>
        <v>0</v>
      </c>
      <c r="AY27" s="746"/>
      <c r="AZ27" s="746"/>
      <c r="BA27" s="389"/>
      <c r="BB27" s="79">
        <f t="shared" si="22"/>
        <v>0</v>
      </c>
      <c r="BC27" s="80">
        <f t="shared" si="8"/>
        <v>0</v>
      </c>
      <c r="BD27" s="389"/>
      <c r="BE27" s="389"/>
      <c r="BF27" s="155"/>
      <c r="BG27" s="78">
        <f t="shared" si="12"/>
        <v>0</v>
      </c>
      <c r="BH27" s="81">
        <f t="shared" si="9"/>
        <v>0</v>
      </c>
      <c r="BI27" s="389"/>
      <c r="BJ27" s="389"/>
      <c r="BK27" s="155"/>
      <c r="BL27" s="79">
        <f t="shared" si="23"/>
        <v>0</v>
      </c>
      <c r="BM27" s="76"/>
      <c r="BN27" s="155"/>
      <c r="BO27" s="81">
        <f t="shared" si="13"/>
        <v>0</v>
      </c>
      <c r="BP27" s="82">
        <f t="shared" si="14"/>
        <v>0</v>
      </c>
      <c r="BQ27" s="83"/>
      <c r="BR27" s="155"/>
      <c r="BS27" s="222">
        <f t="shared" si="10"/>
        <v>0</v>
      </c>
      <c r="BT27" s="254">
        <v>0</v>
      </c>
      <c r="BU27" s="398"/>
      <c r="BV27" s="736">
        <v>0</v>
      </c>
      <c r="BW27" s="72">
        <f>BV27-SUM(BG27,BL27)</f>
        <v>0</v>
      </c>
      <c r="BX27" s="392" t="str">
        <f t="shared" si="16"/>
        <v/>
      </c>
      <c r="CB27" s="122" t="s">
        <v>161</v>
      </c>
      <c r="CC27" s="299" t="b">
        <v>1</v>
      </c>
    </row>
    <row r="28" spans="1:81" s="75" customFormat="1" ht="17" thickBot="1" x14ac:dyDescent="0.35">
      <c r="A28" s="1">
        <v>3.2</v>
      </c>
      <c r="B28" s="310">
        <v>6</v>
      </c>
      <c r="C28" s="212" t="s">
        <v>2915</v>
      </c>
      <c r="D28" s="213">
        <v>1580</v>
      </c>
      <c r="E28" s="753"/>
      <c r="F28" s="752"/>
      <c r="G28" s="746"/>
      <c r="H28" s="746"/>
      <c r="I28" s="78">
        <f>E28+F28-G28+H28</f>
        <v>0</v>
      </c>
      <c r="J28" s="763"/>
      <c r="K28" s="761"/>
      <c r="L28" s="746"/>
      <c r="M28" s="746"/>
      <c r="N28" s="79">
        <f>J28+K28-L28+M28</f>
        <v>0</v>
      </c>
      <c r="O28" s="80">
        <f t="shared" si="17"/>
        <v>0</v>
      </c>
      <c r="P28" s="766"/>
      <c r="Q28" s="766"/>
      <c r="R28" s="746"/>
      <c r="S28" s="78">
        <f t="shared" si="0"/>
        <v>0</v>
      </c>
      <c r="T28" s="217"/>
      <c r="U28" s="746"/>
      <c r="V28" s="746"/>
      <c r="W28" s="746"/>
      <c r="X28" s="79">
        <f t="shared" si="19"/>
        <v>0</v>
      </c>
      <c r="Y28" s="80">
        <f t="shared" si="1"/>
        <v>0</v>
      </c>
      <c r="Z28" s="746"/>
      <c r="AA28" s="746"/>
      <c r="AB28" s="746"/>
      <c r="AC28" s="78">
        <f t="shared" si="2"/>
        <v>0</v>
      </c>
      <c r="AD28" s="81">
        <f>X28</f>
        <v>0</v>
      </c>
      <c r="AE28" s="746"/>
      <c r="AF28" s="746"/>
      <c r="AG28" s="746"/>
      <c r="AH28" s="79">
        <f>AD28+AE28-AF28+AG28</f>
        <v>0</v>
      </c>
      <c r="AI28" s="80">
        <f>AC28</f>
        <v>0</v>
      </c>
      <c r="AJ28" s="746"/>
      <c r="AK28" s="746"/>
      <c r="AL28" s="746"/>
      <c r="AM28" s="78">
        <f>AI28+AJ28-AK28+SUM(AL28:AL28)</f>
        <v>0</v>
      </c>
      <c r="AN28" s="81">
        <f>AH28</f>
        <v>0</v>
      </c>
      <c r="AO28" s="746"/>
      <c r="AP28" s="746"/>
      <c r="AQ28" s="746"/>
      <c r="AR28" s="79">
        <f t="shared" si="21"/>
        <v>0</v>
      </c>
      <c r="AS28" s="80">
        <f t="shared" si="6"/>
        <v>0</v>
      </c>
      <c r="AT28" s="746"/>
      <c r="AU28" s="746"/>
      <c r="AV28" s="389"/>
      <c r="AW28" s="78">
        <f>AS28+AT28-AU28+AV28</f>
        <v>0</v>
      </c>
      <c r="AX28" s="81">
        <f t="shared" si="7"/>
        <v>0</v>
      </c>
      <c r="AY28" s="746"/>
      <c r="AZ28" s="746"/>
      <c r="BA28" s="389"/>
      <c r="BB28" s="79">
        <f t="shared" si="22"/>
        <v>0</v>
      </c>
      <c r="BC28" s="80">
        <f t="shared" si="8"/>
        <v>0</v>
      </c>
      <c r="BD28" s="389"/>
      <c r="BE28" s="389"/>
      <c r="BF28" s="155"/>
      <c r="BG28" s="78">
        <f t="shared" si="12"/>
        <v>0</v>
      </c>
      <c r="BH28" s="81">
        <f t="shared" si="9"/>
        <v>0</v>
      </c>
      <c r="BI28" s="389"/>
      <c r="BJ28" s="389"/>
      <c r="BK28" s="155"/>
      <c r="BL28" s="79">
        <f t="shared" si="23"/>
        <v>0</v>
      </c>
      <c r="BM28" s="76"/>
      <c r="BN28" s="155"/>
      <c r="BO28" s="81">
        <f t="shared" si="13"/>
        <v>0</v>
      </c>
      <c r="BP28" s="82">
        <f t="shared" si="14"/>
        <v>0</v>
      </c>
      <c r="BQ28" s="83"/>
      <c r="BR28" s="155"/>
      <c r="BS28" s="222">
        <f t="shared" si="10"/>
        <v>0</v>
      </c>
      <c r="BT28" s="254">
        <f>IF(CC28=TRUE, SUM(BO28:BR28), 0)</f>
        <v>0</v>
      </c>
      <c r="BU28" s="398"/>
      <c r="BV28" s="736">
        <v>-4699299.4300000006</v>
      </c>
      <c r="BW28" s="72">
        <f>BV28-SUM(BG28,BL28)</f>
        <v>-4699299.4300000006</v>
      </c>
      <c r="BX28" s="392" t="str">
        <f t="shared" si="16"/>
        <v>Please provide an explanation of the variance in the tab 3 - Appendix A</v>
      </c>
      <c r="CB28" s="122" t="s">
        <v>162</v>
      </c>
      <c r="CC28" s="300" t="b">
        <v>1</v>
      </c>
    </row>
    <row r="29" spans="1:81" s="75" customFormat="1" ht="14.5" thickBot="1" x14ac:dyDescent="0.35">
      <c r="A29" s="1">
        <v>4</v>
      </c>
      <c r="B29" s="310">
        <v>7</v>
      </c>
      <c r="C29" s="212" t="s">
        <v>2</v>
      </c>
      <c r="D29" s="213">
        <v>1584</v>
      </c>
      <c r="E29" s="753"/>
      <c r="F29" s="752"/>
      <c r="G29" s="746"/>
      <c r="H29" s="746"/>
      <c r="I29" s="78">
        <f t="shared" ref="I29:I39" si="24">E29+F29-G29+H29</f>
        <v>0</v>
      </c>
      <c r="J29" s="764"/>
      <c r="K29" s="761"/>
      <c r="L29" s="746"/>
      <c r="M29" s="746"/>
      <c r="N29" s="79">
        <f t="shared" ref="N29:N39" si="25">J29+K29-L29+M29</f>
        <v>0</v>
      </c>
      <c r="O29" s="80">
        <f t="shared" si="17"/>
        <v>0</v>
      </c>
      <c r="P29" s="767"/>
      <c r="Q29" s="746"/>
      <c r="R29" s="746"/>
      <c r="S29" s="78">
        <f t="shared" si="0"/>
        <v>0</v>
      </c>
      <c r="T29" s="81">
        <f t="shared" si="18"/>
        <v>0</v>
      </c>
      <c r="U29" s="769"/>
      <c r="V29" s="746"/>
      <c r="W29" s="746"/>
      <c r="X29" s="79">
        <f t="shared" si="19"/>
        <v>0</v>
      </c>
      <c r="Y29" s="80">
        <f t="shared" si="1"/>
        <v>0</v>
      </c>
      <c r="Z29" s="746"/>
      <c r="AA29" s="746"/>
      <c r="AB29" s="746"/>
      <c r="AC29" s="78">
        <f t="shared" si="2"/>
        <v>0</v>
      </c>
      <c r="AD29" s="81">
        <f t="shared" si="3"/>
        <v>0</v>
      </c>
      <c r="AE29" s="746"/>
      <c r="AF29" s="746"/>
      <c r="AG29" s="746"/>
      <c r="AH29" s="79">
        <f t="shared" si="20"/>
        <v>0</v>
      </c>
      <c r="AI29" s="80">
        <f t="shared" si="4"/>
        <v>0</v>
      </c>
      <c r="AJ29" s="746"/>
      <c r="AK29" s="746"/>
      <c r="AL29" s="746"/>
      <c r="AM29" s="78">
        <f t="shared" si="11"/>
        <v>0</v>
      </c>
      <c r="AN29" s="81">
        <f t="shared" si="5"/>
        <v>0</v>
      </c>
      <c r="AO29" s="746"/>
      <c r="AP29" s="746"/>
      <c r="AQ29" s="746"/>
      <c r="AR29" s="79">
        <f t="shared" si="21"/>
        <v>0</v>
      </c>
      <c r="AS29" s="80">
        <f t="shared" si="6"/>
        <v>0</v>
      </c>
      <c r="AT29" s="746"/>
      <c r="AU29" s="746"/>
      <c r="AV29" s="389"/>
      <c r="AW29" s="78">
        <f t="shared" ref="AW29:AW40" si="26">AS29+AT29-AU29+AV29</f>
        <v>0</v>
      </c>
      <c r="AX29" s="81">
        <f t="shared" si="7"/>
        <v>0</v>
      </c>
      <c r="AY29" s="746"/>
      <c r="AZ29" s="746"/>
      <c r="BA29" s="389"/>
      <c r="BB29" s="79">
        <f t="shared" si="22"/>
        <v>0</v>
      </c>
      <c r="BC29" s="80">
        <f t="shared" si="8"/>
        <v>0</v>
      </c>
      <c r="BD29" s="389"/>
      <c r="BE29" s="389"/>
      <c r="BF29" s="155"/>
      <c r="BG29" s="78">
        <f t="shared" ref="BG29:BG35" si="27">BC29+BD29-BE29+SUM(BF29:BF29)</f>
        <v>0</v>
      </c>
      <c r="BH29" s="81">
        <f t="shared" si="9"/>
        <v>0</v>
      </c>
      <c r="BI29" s="389"/>
      <c r="BJ29" s="389"/>
      <c r="BK29" s="155"/>
      <c r="BL29" s="79">
        <f t="shared" si="23"/>
        <v>0</v>
      </c>
      <c r="BM29" s="76"/>
      <c r="BN29" s="155"/>
      <c r="BO29" s="81">
        <f t="shared" si="13"/>
        <v>0</v>
      </c>
      <c r="BP29" s="82">
        <f t="shared" si="14"/>
        <v>0</v>
      </c>
      <c r="BQ29" s="83"/>
      <c r="BR29" s="155"/>
      <c r="BS29" s="222">
        <f t="shared" si="10"/>
        <v>0</v>
      </c>
      <c r="BT29" s="254">
        <f>SUM(BO29:BR29)</f>
        <v>0</v>
      </c>
      <c r="BU29" s="398"/>
      <c r="BV29" s="736">
        <v>87498088.310000002</v>
      </c>
      <c r="BW29" s="72">
        <f t="shared" si="15"/>
        <v>87498088.310000002</v>
      </c>
      <c r="BX29" s="392" t="str">
        <f t="shared" si="16"/>
        <v>Please provide an explanation of the variance in the tab 3 - Appendix A</v>
      </c>
      <c r="CC29" s="300"/>
    </row>
    <row r="30" spans="1:81" s="75" customFormat="1" ht="14.5" thickBot="1" x14ac:dyDescent="0.35">
      <c r="A30" s="1">
        <v>5</v>
      </c>
      <c r="B30" s="310">
        <v>8</v>
      </c>
      <c r="C30" s="212" t="s">
        <v>3</v>
      </c>
      <c r="D30" s="213">
        <v>1586</v>
      </c>
      <c r="E30" s="753"/>
      <c r="F30" s="752"/>
      <c r="G30" s="746"/>
      <c r="H30" s="746"/>
      <c r="I30" s="78">
        <f t="shared" si="24"/>
        <v>0</v>
      </c>
      <c r="J30" s="760"/>
      <c r="K30" s="761"/>
      <c r="L30" s="746"/>
      <c r="M30" s="746"/>
      <c r="N30" s="79">
        <f t="shared" si="25"/>
        <v>0</v>
      </c>
      <c r="O30" s="80">
        <f t="shared" si="17"/>
        <v>0</v>
      </c>
      <c r="P30" s="768"/>
      <c r="Q30" s="746"/>
      <c r="R30" s="746"/>
      <c r="S30" s="78">
        <f t="shared" ref="S30:S40" si="28">O30+P30-Q30+R30</f>
        <v>0</v>
      </c>
      <c r="T30" s="81">
        <f t="shared" si="18"/>
        <v>0</v>
      </c>
      <c r="U30" s="769"/>
      <c r="V30" s="746"/>
      <c r="W30" s="746"/>
      <c r="X30" s="79">
        <f t="shared" si="19"/>
        <v>0</v>
      </c>
      <c r="Y30" s="80">
        <f t="shared" si="1"/>
        <v>0</v>
      </c>
      <c r="Z30" s="746"/>
      <c r="AA30" s="746"/>
      <c r="AB30" s="746"/>
      <c r="AC30" s="78">
        <f t="shared" ref="AC30:AC40" si="29">Y30+Z30-AA30+AB30</f>
        <v>0</v>
      </c>
      <c r="AD30" s="81">
        <f t="shared" si="3"/>
        <v>0</v>
      </c>
      <c r="AE30" s="746"/>
      <c r="AF30" s="746"/>
      <c r="AG30" s="746"/>
      <c r="AH30" s="79">
        <f t="shared" si="20"/>
        <v>0</v>
      </c>
      <c r="AI30" s="80">
        <f t="shared" si="4"/>
        <v>0</v>
      </c>
      <c r="AJ30" s="746"/>
      <c r="AK30" s="746"/>
      <c r="AL30" s="746"/>
      <c r="AM30" s="78">
        <f t="shared" si="11"/>
        <v>0</v>
      </c>
      <c r="AN30" s="81">
        <f t="shared" si="5"/>
        <v>0</v>
      </c>
      <c r="AO30" s="746"/>
      <c r="AP30" s="746"/>
      <c r="AQ30" s="746"/>
      <c r="AR30" s="79">
        <f t="shared" si="21"/>
        <v>0</v>
      </c>
      <c r="AS30" s="80">
        <f t="shared" si="6"/>
        <v>0</v>
      </c>
      <c r="AT30" s="746"/>
      <c r="AU30" s="746"/>
      <c r="AV30" s="389"/>
      <c r="AW30" s="78">
        <f t="shared" si="26"/>
        <v>0</v>
      </c>
      <c r="AX30" s="81">
        <f t="shared" si="7"/>
        <v>0</v>
      </c>
      <c r="AY30" s="746"/>
      <c r="AZ30" s="746"/>
      <c r="BA30" s="389"/>
      <c r="BB30" s="79">
        <f t="shared" si="22"/>
        <v>0</v>
      </c>
      <c r="BC30" s="80">
        <f t="shared" si="8"/>
        <v>0</v>
      </c>
      <c r="BD30" s="389"/>
      <c r="BE30" s="389"/>
      <c r="BF30" s="155"/>
      <c r="BG30" s="78">
        <f t="shared" si="27"/>
        <v>0</v>
      </c>
      <c r="BH30" s="81">
        <f t="shared" si="9"/>
        <v>0</v>
      </c>
      <c r="BI30" s="389"/>
      <c r="BJ30" s="389"/>
      <c r="BK30" s="155"/>
      <c r="BL30" s="79">
        <f t="shared" si="23"/>
        <v>0</v>
      </c>
      <c r="BM30" s="76"/>
      <c r="BN30" s="155"/>
      <c r="BO30" s="81">
        <f t="shared" si="13"/>
        <v>0</v>
      </c>
      <c r="BP30" s="82">
        <f t="shared" si="14"/>
        <v>0</v>
      </c>
      <c r="BQ30" s="83"/>
      <c r="BR30" s="155"/>
      <c r="BS30" s="222">
        <f t="shared" si="10"/>
        <v>0</v>
      </c>
      <c r="BT30" s="254">
        <f>SUM(BO30:BR30)</f>
        <v>0</v>
      </c>
      <c r="BU30" s="398"/>
      <c r="BV30" s="736">
        <v>18847895.670000002</v>
      </c>
      <c r="BW30" s="72">
        <f t="shared" si="15"/>
        <v>18847895.670000002</v>
      </c>
      <c r="BX30" s="392" t="str">
        <f t="shared" si="16"/>
        <v>Please provide an explanation of the variance in the tab 3 - Appendix A</v>
      </c>
      <c r="CC30" s="300"/>
    </row>
    <row r="31" spans="1:81" s="75" customFormat="1" ht="17" thickBot="1" x14ac:dyDescent="0.35">
      <c r="A31" s="1">
        <v>6</v>
      </c>
      <c r="B31" s="310">
        <v>9</v>
      </c>
      <c r="C31" s="212" t="s">
        <v>2911</v>
      </c>
      <c r="D31" s="213">
        <v>1588</v>
      </c>
      <c r="E31" s="745"/>
      <c r="F31" s="752"/>
      <c r="G31" s="746"/>
      <c r="H31" s="746"/>
      <c r="I31" s="78">
        <f t="shared" si="24"/>
        <v>0</v>
      </c>
      <c r="J31" s="746"/>
      <c r="K31" s="746"/>
      <c r="L31" s="746"/>
      <c r="M31" s="746"/>
      <c r="N31" s="79">
        <f t="shared" si="25"/>
        <v>0</v>
      </c>
      <c r="O31" s="80">
        <f t="shared" si="17"/>
        <v>0</v>
      </c>
      <c r="P31" s="746"/>
      <c r="Q31" s="746"/>
      <c r="R31" s="746"/>
      <c r="S31" s="78">
        <f t="shared" si="28"/>
        <v>0</v>
      </c>
      <c r="T31" s="81">
        <f t="shared" si="18"/>
        <v>0</v>
      </c>
      <c r="U31" s="746"/>
      <c r="V31" s="746"/>
      <c r="W31" s="746"/>
      <c r="X31" s="79">
        <f t="shared" si="19"/>
        <v>0</v>
      </c>
      <c r="Y31" s="80">
        <f t="shared" si="1"/>
        <v>0</v>
      </c>
      <c r="Z31" s="746"/>
      <c r="AA31" s="746"/>
      <c r="AB31" s="746"/>
      <c r="AC31" s="78">
        <f t="shared" si="29"/>
        <v>0</v>
      </c>
      <c r="AD31" s="81">
        <f t="shared" si="3"/>
        <v>0</v>
      </c>
      <c r="AE31" s="746"/>
      <c r="AF31" s="746"/>
      <c r="AG31" s="746"/>
      <c r="AH31" s="79">
        <f t="shared" si="20"/>
        <v>0</v>
      </c>
      <c r="AI31" s="80">
        <f t="shared" si="4"/>
        <v>0</v>
      </c>
      <c r="AJ31" s="746"/>
      <c r="AK31" s="746"/>
      <c r="AL31" s="389"/>
      <c r="AM31" s="78">
        <f t="shared" si="11"/>
        <v>0</v>
      </c>
      <c r="AN31" s="81">
        <f t="shared" si="5"/>
        <v>0</v>
      </c>
      <c r="AO31" s="746"/>
      <c r="AP31" s="746"/>
      <c r="AQ31" s="389"/>
      <c r="AR31" s="79">
        <f t="shared" si="21"/>
        <v>0</v>
      </c>
      <c r="AS31" s="80">
        <f t="shared" si="6"/>
        <v>0</v>
      </c>
      <c r="AT31" s="389"/>
      <c r="AU31" s="389"/>
      <c r="AV31" s="389"/>
      <c r="AW31" s="78">
        <f t="shared" si="26"/>
        <v>0</v>
      </c>
      <c r="AX31" s="81">
        <f t="shared" si="7"/>
        <v>0</v>
      </c>
      <c r="AY31" s="389"/>
      <c r="AZ31" s="389"/>
      <c r="BA31" s="389"/>
      <c r="BB31" s="79">
        <f t="shared" si="22"/>
        <v>0</v>
      </c>
      <c r="BC31" s="80">
        <f t="shared" si="8"/>
        <v>0</v>
      </c>
      <c r="BD31" s="389"/>
      <c r="BE31" s="389"/>
      <c r="BF31" s="155"/>
      <c r="BG31" s="78">
        <f t="shared" si="27"/>
        <v>0</v>
      </c>
      <c r="BH31" s="81">
        <f t="shared" si="9"/>
        <v>0</v>
      </c>
      <c r="BI31" s="389"/>
      <c r="BJ31" s="389"/>
      <c r="BK31" s="155"/>
      <c r="BL31" s="79">
        <f t="shared" si="23"/>
        <v>0</v>
      </c>
      <c r="BM31" s="76"/>
      <c r="BN31" s="155"/>
      <c r="BO31" s="81">
        <f t="shared" si="13"/>
        <v>0</v>
      </c>
      <c r="BP31" s="82">
        <f t="shared" si="14"/>
        <v>0</v>
      </c>
      <c r="BQ31" s="83"/>
      <c r="BR31" s="155"/>
      <c r="BS31" s="222">
        <f t="shared" si="10"/>
        <v>0</v>
      </c>
      <c r="BT31" s="254">
        <f>IF(BU31="Yes", SUM(BO31:BR31), 0)</f>
        <v>0</v>
      </c>
      <c r="BU31" s="642" t="s">
        <v>3029</v>
      </c>
      <c r="BV31" s="736">
        <v>24695994.93</v>
      </c>
      <c r="BW31" s="72">
        <f t="shared" si="15"/>
        <v>24695994.93</v>
      </c>
      <c r="BX31" s="392" t="str">
        <f t="shared" si="16"/>
        <v>Please provide an explanation of the variance in the tab 3 - Appendix A</v>
      </c>
      <c r="CC31" s="300"/>
    </row>
    <row r="32" spans="1:81" s="75" customFormat="1" ht="17" thickBot="1" x14ac:dyDescent="0.35">
      <c r="A32" s="1">
        <v>7</v>
      </c>
      <c r="B32" s="310">
        <v>10</v>
      </c>
      <c r="C32" s="212" t="s">
        <v>2912</v>
      </c>
      <c r="D32" s="213">
        <v>1589</v>
      </c>
      <c r="E32" s="753"/>
      <c r="F32" s="752"/>
      <c r="G32" s="746"/>
      <c r="H32" s="746"/>
      <c r="I32" s="78">
        <f t="shared" si="24"/>
        <v>0</v>
      </c>
      <c r="J32" s="754"/>
      <c r="K32" s="755"/>
      <c r="L32" s="746"/>
      <c r="M32" s="746"/>
      <c r="N32" s="79">
        <f t="shared" si="25"/>
        <v>0</v>
      </c>
      <c r="O32" s="80">
        <f t="shared" si="17"/>
        <v>0</v>
      </c>
      <c r="P32" s="756"/>
      <c r="Q32" s="746"/>
      <c r="R32" s="746"/>
      <c r="S32" s="78">
        <f t="shared" si="28"/>
        <v>0</v>
      </c>
      <c r="T32" s="81">
        <f t="shared" si="18"/>
        <v>0</v>
      </c>
      <c r="U32" s="757"/>
      <c r="V32" s="746"/>
      <c r="W32" s="746"/>
      <c r="X32" s="79">
        <f t="shared" si="19"/>
        <v>0</v>
      </c>
      <c r="Y32" s="80">
        <f t="shared" si="1"/>
        <v>0</v>
      </c>
      <c r="Z32" s="746"/>
      <c r="AA32" s="746"/>
      <c r="AB32" s="746"/>
      <c r="AC32" s="78">
        <f t="shared" si="29"/>
        <v>0</v>
      </c>
      <c r="AD32" s="81">
        <f t="shared" si="3"/>
        <v>0</v>
      </c>
      <c r="AE32" s="746"/>
      <c r="AF32" s="746"/>
      <c r="AG32" s="746"/>
      <c r="AH32" s="79">
        <f t="shared" si="20"/>
        <v>0</v>
      </c>
      <c r="AI32" s="80">
        <f t="shared" si="4"/>
        <v>0</v>
      </c>
      <c r="AJ32" s="746"/>
      <c r="AK32" s="746"/>
      <c r="AL32" s="389"/>
      <c r="AM32" s="78">
        <f t="shared" si="11"/>
        <v>0</v>
      </c>
      <c r="AN32" s="81">
        <f t="shared" si="5"/>
        <v>0</v>
      </c>
      <c r="AO32" s="746"/>
      <c r="AP32" s="746"/>
      <c r="AQ32" s="389"/>
      <c r="AR32" s="79">
        <f t="shared" si="21"/>
        <v>0</v>
      </c>
      <c r="AS32" s="80">
        <f t="shared" si="6"/>
        <v>0</v>
      </c>
      <c r="AT32" s="389"/>
      <c r="AU32" s="389"/>
      <c r="AV32" s="389"/>
      <c r="AW32" s="78">
        <f t="shared" si="26"/>
        <v>0</v>
      </c>
      <c r="AX32" s="81">
        <f t="shared" si="7"/>
        <v>0</v>
      </c>
      <c r="AY32" s="389"/>
      <c r="AZ32" s="389"/>
      <c r="BA32" s="389"/>
      <c r="BB32" s="79">
        <f t="shared" si="22"/>
        <v>0</v>
      </c>
      <c r="BC32" s="80">
        <f t="shared" si="8"/>
        <v>0</v>
      </c>
      <c r="BD32" s="389"/>
      <c r="BE32" s="389"/>
      <c r="BF32" s="155"/>
      <c r="BG32" s="78">
        <f t="shared" si="27"/>
        <v>0</v>
      </c>
      <c r="BH32" s="81">
        <f t="shared" si="9"/>
        <v>0</v>
      </c>
      <c r="BI32" s="389"/>
      <c r="BJ32" s="389"/>
      <c r="BK32" s="155"/>
      <c r="BL32" s="79">
        <f t="shared" si="23"/>
        <v>0</v>
      </c>
      <c r="BM32" s="76"/>
      <c r="BN32" s="155"/>
      <c r="BO32" s="81">
        <f t="shared" si="13"/>
        <v>0</v>
      </c>
      <c r="BP32" s="82">
        <f t="shared" si="14"/>
        <v>0</v>
      </c>
      <c r="BQ32" s="83"/>
      <c r="BR32" s="155"/>
      <c r="BS32" s="222">
        <f t="shared" si="10"/>
        <v>0</v>
      </c>
      <c r="BT32" s="254">
        <f>IF(BU32="Yes", SUM(BO32:BR32), 0)</f>
        <v>0</v>
      </c>
      <c r="BU32" s="642" t="s">
        <v>3029</v>
      </c>
      <c r="BV32" s="736">
        <v>-20256821.68</v>
      </c>
      <c r="BW32" s="72">
        <f t="shared" si="15"/>
        <v>-20256821.68</v>
      </c>
      <c r="BX32" s="392" t="str">
        <f t="shared" si="16"/>
        <v>Please provide an explanation of the variance in the tab 3 - Appendix A</v>
      </c>
      <c r="CC32" s="300"/>
    </row>
    <row r="33" spans="1:81" s="75" customFormat="1" ht="17" hidden="1" thickBot="1" x14ac:dyDescent="0.35">
      <c r="A33" s="1">
        <v>8</v>
      </c>
      <c r="B33" s="310">
        <v>11</v>
      </c>
      <c r="C33" s="214" t="s">
        <v>36</v>
      </c>
      <c r="D33" s="213">
        <v>1595</v>
      </c>
      <c r="E33" s="720"/>
      <c r="F33" s="734"/>
      <c r="G33" s="389"/>
      <c r="H33" s="155"/>
      <c r="I33" s="78">
        <f t="shared" si="24"/>
        <v>0</v>
      </c>
      <c r="J33" s="389"/>
      <c r="K33" s="389"/>
      <c r="L33" s="389"/>
      <c r="M33" s="155"/>
      <c r="N33" s="79">
        <f t="shared" si="25"/>
        <v>0</v>
      </c>
      <c r="O33" s="80">
        <f>I33</f>
        <v>0</v>
      </c>
      <c r="P33" s="193"/>
      <c r="Q33" s="155"/>
      <c r="R33" s="155"/>
      <c r="S33" s="78">
        <f t="shared" si="28"/>
        <v>0</v>
      </c>
      <c r="T33" s="81">
        <f>N33</f>
        <v>0</v>
      </c>
      <c r="U33" s="155"/>
      <c r="V33" s="155"/>
      <c r="W33" s="155"/>
      <c r="X33" s="79">
        <f t="shared" si="19"/>
        <v>0</v>
      </c>
      <c r="Y33" s="80">
        <f t="shared" si="1"/>
        <v>0</v>
      </c>
      <c r="Z33" s="155"/>
      <c r="AA33" s="155"/>
      <c r="AB33" s="155"/>
      <c r="AC33" s="78">
        <f t="shared" si="29"/>
        <v>0</v>
      </c>
      <c r="AD33" s="81">
        <f t="shared" si="3"/>
        <v>0</v>
      </c>
      <c r="AE33" s="155"/>
      <c r="AF33" s="155"/>
      <c r="AG33" s="155"/>
      <c r="AH33" s="79">
        <f t="shared" si="20"/>
        <v>0</v>
      </c>
      <c r="AI33" s="80">
        <f t="shared" si="4"/>
        <v>0</v>
      </c>
      <c r="AJ33" s="155"/>
      <c r="AK33" s="155"/>
      <c r="AL33" s="155"/>
      <c r="AM33" s="78">
        <f t="shared" si="11"/>
        <v>0</v>
      </c>
      <c r="AN33" s="81">
        <f t="shared" si="5"/>
        <v>0</v>
      </c>
      <c r="AO33" s="155"/>
      <c r="AP33" s="155"/>
      <c r="AQ33" s="155"/>
      <c r="AR33" s="79">
        <f t="shared" si="21"/>
        <v>0</v>
      </c>
      <c r="AS33" s="80">
        <f t="shared" si="6"/>
        <v>0</v>
      </c>
      <c r="AT33" s="155"/>
      <c r="AU33" s="155"/>
      <c r="AV33" s="155"/>
      <c r="AW33" s="78">
        <f t="shared" si="26"/>
        <v>0</v>
      </c>
      <c r="AX33" s="81">
        <f t="shared" si="7"/>
        <v>0</v>
      </c>
      <c r="AY33" s="155"/>
      <c r="AZ33" s="155"/>
      <c r="BA33" s="155"/>
      <c r="BB33" s="79">
        <f t="shared" si="22"/>
        <v>0</v>
      </c>
      <c r="BC33" s="80">
        <f t="shared" si="8"/>
        <v>0</v>
      </c>
      <c r="BD33" s="155"/>
      <c r="BE33" s="155"/>
      <c r="BF33" s="155"/>
      <c r="BG33" s="78">
        <f t="shared" si="27"/>
        <v>0</v>
      </c>
      <c r="BH33" s="81">
        <f t="shared" si="9"/>
        <v>0</v>
      </c>
      <c r="BI33" s="155"/>
      <c r="BJ33" s="155"/>
      <c r="BK33" s="155"/>
      <c r="BL33" s="79">
        <f t="shared" si="23"/>
        <v>0</v>
      </c>
      <c r="BM33" s="76"/>
      <c r="BN33" s="155"/>
      <c r="BO33" s="81">
        <f t="shared" si="13"/>
        <v>0</v>
      </c>
      <c r="BP33" s="82">
        <f t="shared" si="14"/>
        <v>0</v>
      </c>
      <c r="BQ33" s="83"/>
      <c r="BR33" s="155"/>
      <c r="BS33" s="222">
        <f t="shared" si="10"/>
        <v>0</v>
      </c>
      <c r="BT33" s="254">
        <f>IF(CC33=TRUE, SUM(BO33:BR33), 0)</f>
        <v>0</v>
      </c>
      <c r="BU33" s="527"/>
      <c r="BV33" s="736">
        <v>0</v>
      </c>
      <c r="BW33" s="72">
        <f t="shared" si="15"/>
        <v>0</v>
      </c>
      <c r="BX33" s="392" t="str">
        <f t="shared" si="16"/>
        <v/>
      </c>
      <c r="CB33" s="249" t="s">
        <v>163</v>
      </c>
      <c r="CC33" s="300" t="b">
        <v>0</v>
      </c>
    </row>
    <row r="34" spans="1:81" s="75" customFormat="1" ht="17" hidden="1" thickBot="1" x14ac:dyDescent="0.35">
      <c r="A34" s="1">
        <v>9</v>
      </c>
      <c r="B34" s="310">
        <v>12</v>
      </c>
      <c r="C34" s="214" t="s">
        <v>3680</v>
      </c>
      <c r="D34" s="213">
        <v>1595</v>
      </c>
      <c r="E34" s="745"/>
      <c r="F34" s="746"/>
      <c r="G34" s="746"/>
      <c r="H34" s="746"/>
      <c r="I34" s="78">
        <f t="shared" si="24"/>
        <v>0</v>
      </c>
      <c r="J34" s="746"/>
      <c r="K34" s="746"/>
      <c r="L34" s="746"/>
      <c r="M34" s="746"/>
      <c r="N34" s="79">
        <f t="shared" si="25"/>
        <v>0</v>
      </c>
      <c r="O34" s="80">
        <f t="shared" si="17"/>
        <v>0</v>
      </c>
      <c r="P34" s="746"/>
      <c r="Q34" s="746"/>
      <c r="R34" s="746"/>
      <c r="S34" s="78">
        <f t="shared" si="28"/>
        <v>0</v>
      </c>
      <c r="T34" s="81">
        <f t="shared" si="18"/>
        <v>0</v>
      </c>
      <c r="U34" s="746"/>
      <c r="V34" s="746"/>
      <c r="W34" s="746"/>
      <c r="X34" s="79">
        <f t="shared" si="19"/>
        <v>0</v>
      </c>
      <c r="Y34" s="80">
        <f t="shared" si="1"/>
        <v>0</v>
      </c>
      <c r="Z34" s="389"/>
      <c r="AA34" s="389"/>
      <c r="AB34" s="389"/>
      <c r="AC34" s="78">
        <f t="shared" si="29"/>
        <v>0</v>
      </c>
      <c r="AD34" s="81">
        <f t="shared" si="3"/>
        <v>0</v>
      </c>
      <c r="AE34" s="389"/>
      <c r="AF34" s="389"/>
      <c r="AG34" s="389"/>
      <c r="AH34" s="79">
        <f t="shared" si="20"/>
        <v>0</v>
      </c>
      <c r="AI34" s="80">
        <f t="shared" si="4"/>
        <v>0</v>
      </c>
      <c r="AJ34" s="389"/>
      <c r="AK34" s="389"/>
      <c r="AL34" s="389"/>
      <c r="AM34" s="78">
        <f t="shared" si="11"/>
        <v>0</v>
      </c>
      <c r="AN34" s="81">
        <f t="shared" si="5"/>
        <v>0</v>
      </c>
      <c r="AO34" s="389"/>
      <c r="AP34" s="389"/>
      <c r="AQ34" s="389"/>
      <c r="AR34" s="79">
        <f t="shared" si="21"/>
        <v>0</v>
      </c>
      <c r="AS34" s="80">
        <f t="shared" si="6"/>
        <v>0</v>
      </c>
      <c r="AT34" s="389"/>
      <c r="AU34" s="389"/>
      <c r="AV34" s="389"/>
      <c r="AW34" s="78">
        <f t="shared" si="26"/>
        <v>0</v>
      </c>
      <c r="AX34" s="81">
        <f t="shared" si="7"/>
        <v>0</v>
      </c>
      <c r="AY34" s="389"/>
      <c r="AZ34" s="389"/>
      <c r="BA34" s="389"/>
      <c r="BB34" s="79">
        <f t="shared" si="22"/>
        <v>0</v>
      </c>
      <c r="BC34" s="80">
        <f t="shared" si="8"/>
        <v>0</v>
      </c>
      <c r="BD34" s="155"/>
      <c r="BE34" s="155"/>
      <c r="BF34" s="155"/>
      <c r="BG34" s="78">
        <f t="shared" si="27"/>
        <v>0</v>
      </c>
      <c r="BH34" s="81">
        <f t="shared" si="9"/>
        <v>0</v>
      </c>
      <c r="BI34" s="155"/>
      <c r="BJ34" s="155"/>
      <c r="BK34" s="155"/>
      <c r="BL34" s="79">
        <f t="shared" si="23"/>
        <v>0</v>
      </c>
      <c r="BM34" s="76"/>
      <c r="BN34" s="155"/>
      <c r="BO34" s="81">
        <f t="shared" si="13"/>
        <v>0</v>
      </c>
      <c r="BP34" s="82">
        <f t="shared" si="14"/>
        <v>0</v>
      </c>
      <c r="BQ34" s="83"/>
      <c r="BR34" s="155"/>
      <c r="BS34" s="222">
        <f t="shared" si="10"/>
        <v>0</v>
      </c>
      <c r="BT34" s="254">
        <f t="shared" ref="BT34:BT40" si="30">IF(BU34="Yes", SUM(BO34:BR34), 0)</f>
        <v>0</v>
      </c>
      <c r="BU34" s="737" t="s">
        <v>633</v>
      </c>
      <c r="BV34" s="738">
        <v>0</v>
      </c>
      <c r="BW34" s="72">
        <f t="shared" si="15"/>
        <v>0</v>
      </c>
      <c r="BX34" s="392" t="str">
        <f t="shared" si="16"/>
        <v/>
      </c>
      <c r="CB34" s="249" t="s">
        <v>164</v>
      </c>
      <c r="CC34" s="300" t="b">
        <v>0</v>
      </c>
    </row>
    <row r="35" spans="1:81" s="75" customFormat="1" ht="17" thickBot="1" x14ac:dyDescent="0.35">
      <c r="A35" s="1">
        <v>10</v>
      </c>
      <c r="B35" s="310">
        <v>13</v>
      </c>
      <c r="C35" s="214" t="s">
        <v>2910</v>
      </c>
      <c r="D35" s="213">
        <v>1595</v>
      </c>
      <c r="E35" s="745"/>
      <c r="F35" s="746"/>
      <c r="G35" s="746"/>
      <c r="H35" s="746"/>
      <c r="I35" s="78">
        <f t="shared" si="24"/>
        <v>0</v>
      </c>
      <c r="J35" s="746"/>
      <c r="K35" s="746"/>
      <c r="L35" s="746"/>
      <c r="M35" s="746"/>
      <c r="N35" s="79">
        <f t="shared" si="25"/>
        <v>0</v>
      </c>
      <c r="O35" s="80">
        <f t="shared" si="17"/>
        <v>0</v>
      </c>
      <c r="P35" s="746"/>
      <c r="Q35" s="746"/>
      <c r="R35" s="746"/>
      <c r="S35" s="78">
        <f t="shared" si="28"/>
        <v>0</v>
      </c>
      <c r="T35" s="81">
        <f t="shared" si="18"/>
        <v>0</v>
      </c>
      <c r="U35" s="746"/>
      <c r="V35" s="746"/>
      <c r="W35" s="746"/>
      <c r="X35" s="79">
        <f t="shared" si="19"/>
        <v>0</v>
      </c>
      <c r="Y35" s="80">
        <f t="shared" si="1"/>
        <v>0</v>
      </c>
      <c r="Z35" s="389"/>
      <c r="AA35" s="389"/>
      <c r="AB35" s="389"/>
      <c r="AC35" s="78">
        <f t="shared" si="29"/>
        <v>0</v>
      </c>
      <c r="AD35" s="81">
        <f t="shared" si="3"/>
        <v>0</v>
      </c>
      <c r="AE35" s="389"/>
      <c r="AF35" s="389"/>
      <c r="AG35" s="389"/>
      <c r="AH35" s="79">
        <f t="shared" si="20"/>
        <v>0</v>
      </c>
      <c r="AI35" s="80">
        <f t="shared" si="4"/>
        <v>0</v>
      </c>
      <c r="AJ35" s="389"/>
      <c r="AK35" s="389"/>
      <c r="AL35" s="389"/>
      <c r="AM35" s="78">
        <f t="shared" si="11"/>
        <v>0</v>
      </c>
      <c r="AN35" s="81">
        <f t="shared" si="5"/>
        <v>0</v>
      </c>
      <c r="AO35" s="389"/>
      <c r="AP35" s="389"/>
      <c r="AQ35" s="389"/>
      <c r="AR35" s="79">
        <f t="shared" si="21"/>
        <v>0</v>
      </c>
      <c r="AS35" s="80">
        <f t="shared" si="6"/>
        <v>0</v>
      </c>
      <c r="AT35" s="389"/>
      <c r="AU35" s="389"/>
      <c r="AV35" s="389"/>
      <c r="AW35" s="78">
        <f t="shared" si="26"/>
        <v>0</v>
      </c>
      <c r="AX35" s="81">
        <f t="shared" si="7"/>
        <v>0</v>
      </c>
      <c r="AY35" s="389"/>
      <c r="AZ35" s="389"/>
      <c r="BA35" s="389"/>
      <c r="BB35" s="79">
        <f t="shared" si="22"/>
        <v>0</v>
      </c>
      <c r="BC35" s="80">
        <f t="shared" si="8"/>
        <v>0</v>
      </c>
      <c r="BD35" s="155"/>
      <c r="BE35" s="155"/>
      <c r="BF35" s="155"/>
      <c r="BG35" s="78">
        <f t="shared" si="27"/>
        <v>0</v>
      </c>
      <c r="BH35" s="81">
        <f t="shared" si="9"/>
        <v>0</v>
      </c>
      <c r="BI35" s="155"/>
      <c r="BJ35" s="155"/>
      <c r="BK35" s="155"/>
      <c r="BL35" s="79">
        <f t="shared" si="23"/>
        <v>0</v>
      </c>
      <c r="BM35" s="76"/>
      <c r="BN35" s="155"/>
      <c r="BO35" s="81">
        <f t="shared" si="13"/>
        <v>0</v>
      </c>
      <c r="BP35" s="82">
        <f t="shared" si="14"/>
        <v>0</v>
      </c>
      <c r="BQ35" s="83"/>
      <c r="BR35" s="155"/>
      <c r="BS35" s="222">
        <f t="shared" si="10"/>
        <v>0</v>
      </c>
      <c r="BT35" s="254">
        <f t="shared" si="30"/>
        <v>0</v>
      </c>
      <c r="BU35" s="739" t="s">
        <v>633</v>
      </c>
      <c r="BV35" s="736">
        <v>-908211.6</v>
      </c>
      <c r="BW35" s="72">
        <f t="shared" si="15"/>
        <v>-908211.6</v>
      </c>
      <c r="BX35" s="392" t="str">
        <f t="shared" si="16"/>
        <v>Please provide an explanation of the variance in the tab 3 - Appendix A</v>
      </c>
      <c r="CB35" s="249" t="s">
        <v>165</v>
      </c>
      <c r="CC35" s="300" t="b">
        <v>0</v>
      </c>
    </row>
    <row r="36" spans="1:81" s="75" customFormat="1" ht="17" thickBot="1" x14ac:dyDescent="0.35">
      <c r="A36" s="1">
        <v>11</v>
      </c>
      <c r="B36" s="310">
        <v>14</v>
      </c>
      <c r="C36" s="214" t="s">
        <v>3015</v>
      </c>
      <c r="D36" s="213">
        <v>1595</v>
      </c>
      <c r="E36" s="745"/>
      <c r="F36" s="746"/>
      <c r="G36" s="746"/>
      <c r="H36" s="746"/>
      <c r="I36" s="78">
        <f t="shared" si="24"/>
        <v>0</v>
      </c>
      <c r="J36" s="746"/>
      <c r="K36" s="746"/>
      <c r="L36" s="746"/>
      <c r="M36" s="746"/>
      <c r="N36" s="79">
        <f t="shared" si="25"/>
        <v>0</v>
      </c>
      <c r="O36" s="80">
        <f t="shared" si="17"/>
        <v>0</v>
      </c>
      <c r="P36" s="746"/>
      <c r="Q36" s="746"/>
      <c r="R36" s="746"/>
      <c r="S36" s="78">
        <f t="shared" si="28"/>
        <v>0</v>
      </c>
      <c r="T36" s="81">
        <f t="shared" si="18"/>
        <v>0</v>
      </c>
      <c r="U36" s="746"/>
      <c r="V36" s="746"/>
      <c r="W36" s="746"/>
      <c r="X36" s="79">
        <f t="shared" si="19"/>
        <v>0</v>
      </c>
      <c r="Y36" s="80">
        <f t="shared" si="1"/>
        <v>0</v>
      </c>
      <c r="Z36" s="389"/>
      <c r="AA36" s="389"/>
      <c r="AB36" s="389"/>
      <c r="AC36" s="78">
        <f t="shared" si="29"/>
        <v>0</v>
      </c>
      <c r="AD36" s="81">
        <f>X36</f>
        <v>0</v>
      </c>
      <c r="AE36" s="389"/>
      <c r="AF36" s="389"/>
      <c r="AG36" s="389"/>
      <c r="AH36" s="79">
        <f t="shared" si="20"/>
        <v>0</v>
      </c>
      <c r="AI36" s="80">
        <f t="shared" si="4"/>
        <v>0</v>
      </c>
      <c r="AJ36" s="389"/>
      <c r="AK36" s="389"/>
      <c r="AL36" s="389"/>
      <c r="AM36" s="78">
        <f t="shared" si="11"/>
        <v>0</v>
      </c>
      <c r="AN36" s="81">
        <f t="shared" si="5"/>
        <v>0</v>
      </c>
      <c r="AO36" s="389"/>
      <c r="AP36" s="389"/>
      <c r="AQ36" s="389"/>
      <c r="AR36" s="79">
        <f t="shared" si="21"/>
        <v>0</v>
      </c>
      <c r="AS36" s="80">
        <f t="shared" si="6"/>
        <v>0</v>
      </c>
      <c r="AT36" s="389"/>
      <c r="AU36" s="389"/>
      <c r="AV36" s="389"/>
      <c r="AW36" s="78">
        <f t="shared" si="26"/>
        <v>0</v>
      </c>
      <c r="AX36" s="81">
        <f t="shared" si="7"/>
        <v>0</v>
      </c>
      <c r="AY36" s="389"/>
      <c r="AZ36" s="389"/>
      <c r="BA36" s="389"/>
      <c r="BB36" s="79">
        <f t="shared" si="22"/>
        <v>0</v>
      </c>
      <c r="BC36" s="80">
        <f t="shared" si="8"/>
        <v>0</v>
      </c>
      <c r="BD36" s="155"/>
      <c r="BE36" s="155"/>
      <c r="BF36" s="155"/>
      <c r="BG36" s="78">
        <f t="shared" si="12"/>
        <v>0</v>
      </c>
      <c r="BH36" s="81">
        <f t="shared" si="9"/>
        <v>0</v>
      </c>
      <c r="BI36" s="155"/>
      <c r="BJ36" s="155"/>
      <c r="BK36" s="155"/>
      <c r="BL36" s="79">
        <f t="shared" si="23"/>
        <v>0</v>
      </c>
      <c r="BM36" s="76"/>
      <c r="BN36" s="155"/>
      <c r="BO36" s="81">
        <f t="shared" si="13"/>
        <v>0</v>
      </c>
      <c r="BP36" s="82">
        <f t="shared" si="14"/>
        <v>0</v>
      </c>
      <c r="BQ36" s="83"/>
      <c r="BR36" s="155"/>
      <c r="BS36" s="222">
        <f t="shared" si="10"/>
        <v>0</v>
      </c>
      <c r="BT36" s="254">
        <f t="shared" si="30"/>
        <v>0</v>
      </c>
      <c r="BU36" s="737" t="s">
        <v>633</v>
      </c>
      <c r="BV36" s="738">
        <v>-634953.56000000006</v>
      </c>
      <c r="BW36" s="72">
        <f t="shared" si="15"/>
        <v>-634953.56000000006</v>
      </c>
      <c r="BX36" s="392" t="str">
        <f t="shared" si="16"/>
        <v>Please provide an explanation of the variance in the tab 3 - Appendix A</v>
      </c>
      <c r="CB36" s="249" t="s">
        <v>166</v>
      </c>
      <c r="CC36" s="300" t="b">
        <v>0</v>
      </c>
    </row>
    <row r="37" spans="1:81" s="75" customFormat="1" ht="17" thickBot="1" x14ac:dyDescent="0.35">
      <c r="A37" s="1">
        <v>12</v>
      </c>
      <c r="B37" s="310">
        <v>15</v>
      </c>
      <c r="C37" s="214" t="s">
        <v>3057</v>
      </c>
      <c r="D37" s="213">
        <v>1595</v>
      </c>
      <c r="E37" s="745"/>
      <c r="F37" s="746"/>
      <c r="G37" s="746"/>
      <c r="H37" s="746"/>
      <c r="I37" s="78">
        <f t="shared" si="24"/>
        <v>0</v>
      </c>
      <c r="J37" s="746"/>
      <c r="K37" s="746"/>
      <c r="L37" s="746"/>
      <c r="M37" s="746"/>
      <c r="N37" s="79">
        <f t="shared" si="25"/>
        <v>0</v>
      </c>
      <c r="O37" s="80">
        <f t="shared" si="17"/>
        <v>0</v>
      </c>
      <c r="P37" s="746"/>
      <c r="Q37" s="746"/>
      <c r="R37" s="746"/>
      <c r="S37" s="78">
        <f t="shared" si="28"/>
        <v>0</v>
      </c>
      <c r="T37" s="81">
        <f t="shared" si="18"/>
        <v>0</v>
      </c>
      <c r="U37" s="746"/>
      <c r="V37" s="746"/>
      <c r="W37" s="746"/>
      <c r="X37" s="79">
        <f t="shared" si="19"/>
        <v>0</v>
      </c>
      <c r="Y37" s="80">
        <f t="shared" si="1"/>
        <v>0</v>
      </c>
      <c r="Z37" s="389"/>
      <c r="AA37" s="389"/>
      <c r="AB37" s="389"/>
      <c r="AC37" s="78">
        <f t="shared" si="29"/>
        <v>0</v>
      </c>
      <c r="AD37" s="81">
        <f>X37</f>
        <v>0</v>
      </c>
      <c r="AE37" s="389"/>
      <c r="AF37" s="389"/>
      <c r="AG37" s="389"/>
      <c r="AH37" s="79">
        <f t="shared" si="20"/>
        <v>0</v>
      </c>
      <c r="AI37" s="80">
        <f t="shared" si="4"/>
        <v>0</v>
      </c>
      <c r="AJ37" s="389"/>
      <c r="AK37" s="389"/>
      <c r="AL37" s="389"/>
      <c r="AM37" s="78">
        <f t="shared" si="11"/>
        <v>0</v>
      </c>
      <c r="AN37" s="81">
        <f t="shared" si="5"/>
        <v>0</v>
      </c>
      <c r="AO37" s="389"/>
      <c r="AP37" s="389"/>
      <c r="AQ37" s="389"/>
      <c r="AR37" s="79">
        <f t="shared" si="21"/>
        <v>0</v>
      </c>
      <c r="AS37" s="80">
        <f t="shared" si="6"/>
        <v>0</v>
      </c>
      <c r="AT37" s="389"/>
      <c r="AU37" s="389"/>
      <c r="AV37" s="389"/>
      <c r="AW37" s="78">
        <f t="shared" si="26"/>
        <v>0</v>
      </c>
      <c r="AX37" s="81">
        <f t="shared" si="7"/>
        <v>0</v>
      </c>
      <c r="AY37" s="389"/>
      <c r="AZ37" s="389"/>
      <c r="BA37" s="389"/>
      <c r="BB37" s="79">
        <f t="shared" si="22"/>
        <v>0</v>
      </c>
      <c r="BC37" s="80">
        <f t="shared" si="8"/>
        <v>0</v>
      </c>
      <c r="BD37" s="155"/>
      <c r="BE37" s="155"/>
      <c r="BF37" s="155"/>
      <c r="BG37" s="78">
        <f t="shared" si="12"/>
        <v>0</v>
      </c>
      <c r="BH37" s="81">
        <f t="shared" si="9"/>
        <v>0</v>
      </c>
      <c r="BI37" s="155"/>
      <c r="BJ37" s="155"/>
      <c r="BK37" s="155"/>
      <c r="BL37" s="79">
        <f t="shared" si="23"/>
        <v>0</v>
      </c>
      <c r="BM37" s="76"/>
      <c r="BN37" s="155"/>
      <c r="BO37" s="81">
        <f t="shared" si="13"/>
        <v>0</v>
      </c>
      <c r="BP37" s="82">
        <f t="shared" si="14"/>
        <v>0</v>
      </c>
      <c r="BQ37" s="83"/>
      <c r="BR37" s="155"/>
      <c r="BS37" s="222">
        <f t="shared" si="10"/>
        <v>0</v>
      </c>
      <c r="BT37" s="254">
        <f t="shared" si="30"/>
        <v>0</v>
      </c>
      <c r="BU37" s="737" t="s">
        <v>633</v>
      </c>
      <c r="BV37" s="738">
        <v>-1218179.49</v>
      </c>
      <c r="BW37" s="72">
        <f t="shared" si="15"/>
        <v>-1218179.49</v>
      </c>
      <c r="BX37" s="392" t="str">
        <f t="shared" si="16"/>
        <v>Please provide an explanation of the variance in the tab 3 - Appendix A</v>
      </c>
      <c r="CB37" s="249" t="s">
        <v>167</v>
      </c>
      <c r="CC37" s="300" t="b">
        <v>0</v>
      </c>
    </row>
    <row r="38" spans="1:81" s="75" customFormat="1" ht="17" thickBot="1" x14ac:dyDescent="0.35">
      <c r="A38" s="1">
        <v>13</v>
      </c>
      <c r="B38" s="310">
        <v>16</v>
      </c>
      <c r="C38" s="215" t="s">
        <v>3061</v>
      </c>
      <c r="D38" s="213">
        <v>1595</v>
      </c>
      <c r="E38" s="745"/>
      <c r="F38" s="746"/>
      <c r="G38" s="746"/>
      <c r="H38" s="746"/>
      <c r="I38" s="78">
        <f t="shared" si="24"/>
        <v>0</v>
      </c>
      <c r="J38" s="746"/>
      <c r="K38" s="746"/>
      <c r="L38" s="746"/>
      <c r="M38" s="746"/>
      <c r="N38" s="79">
        <f t="shared" si="25"/>
        <v>0</v>
      </c>
      <c r="O38" s="80">
        <f t="shared" si="17"/>
        <v>0</v>
      </c>
      <c r="P38" s="746"/>
      <c r="Q38" s="746"/>
      <c r="R38" s="746"/>
      <c r="S38" s="78">
        <f t="shared" si="28"/>
        <v>0</v>
      </c>
      <c r="T38" s="81">
        <f t="shared" si="18"/>
        <v>0</v>
      </c>
      <c r="U38" s="746"/>
      <c r="V38" s="746"/>
      <c r="W38" s="746"/>
      <c r="X38" s="79">
        <f t="shared" si="19"/>
        <v>0</v>
      </c>
      <c r="Y38" s="80">
        <f t="shared" si="1"/>
        <v>0</v>
      </c>
      <c r="Z38" s="389"/>
      <c r="AA38" s="389"/>
      <c r="AB38" s="389"/>
      <c r="AC38" s="78">
        <f t="shared" si="29"/>
        <v>0</v>
      </c>
      <c r="AD38" s="81">
        <f>X38</f>
        <v>0</v>
      </c>
      <c r="AE38" s="389"/>
      <c r="AF38" s="389"/>
      <c r="AG38" s="389"/>
      <c r="AH38" s="79">
        <f t="shared" si="20"/>
        <v>0</v>
      </c>
      <c r="AI38" s="80">
        <f t="shared" si="4"/>
        <v>0</v>
      </c>
      <c r="AJ38" s="389"/>
      <c r="AK38" s="389"/>
      <c r="AL38" s="389"/>
      <c r="AM38" s="78">
        <f t="shared" si="11"/>
        <v>0</v>
      </c>
      <c r="AN38" s="81">
        <f t="shared" si="5"/>
        <v>0</v>
      </c>
      <c r="AO38" s="389"/>
      <c r="AP38" s="389"/>
      <c r="AQ38" s="389"/>
      <c r="AR38" s="79">
        <f t="shared" si="21"/>
        <v>0</v>
      </c>
      <c r="AS38" s="80">
        <f t="shared" si="6"/>
        <v>0</v>
      </c>
      <c r="AT38" s="389"/>
      <c r="AU38" s="389"/>
      <c r="AV38" s="389"/>
      <c r="AW38" s="78">
        <f t="shared" si="26"/>
        <v>0</v>
      </c>
      <c r="AX38" s="81">
        <f t="shared" si="7"/>
        <v>0</v>
      </c>
      <c r="AY38" s="389"/>
      <c r="AZ38" s="389"/>
      <c r="BA38" s="389"/>
      <c r="BB38" s="79">
        <f t="shared" si="22"/>
        <v>0</v>
      </c>
      <c r="BC38" s="80">
        <f t="shared" si="8"/>
        <v>0</v>
      </c>
      <c r="BD38" s="155"/>
      <c r="BE38" s="155"/>
      <c r="BF38" s="155"/>
      <c r="BG38" s="78">
        <f t="shared" si="12"/>
        <v>0</v>
      </c>
      <c r="BH38" s="81">
        <f t="shared" si="9"/>
        <v>0</v>
      </c>
      <c r="BI38" s="155"/>
      <c r="BJ38" s="155"/>
      <c r="BK38" s="155"/>
      <c r="BL38" s="79">
        <f t="shared" si="23"/>
        <v>0</v>
      </c>
      <c r="BM38" s="76"/>
      <c r="BN38" s="155"/>
      <c r="BO38" s="81">
        <f t="shared" si="13"/>
        <v>0</v>
      </c>
      <c r="BP38" s="82">
        <f t="shared" si="14"/>
        <v>0</v>
      </c>
      <c r="BQ38" s="83"/>
      <c r="BR38" s="155"/>
      <c r="BS38" s="222">
        <f t="shared" si="10"/>
        <v>0</v>
      </c>
      <c r="BT38" s="254">
        <f t="shared" si="30"/>
        <v>0</v>
      </c>
      <c r="BU38" s="628" t="s">
        <v>633</v>
      </c>
      <c r="BV38" s="736">
        <v>-4977029.95</v>
      </c>
      <c r="BW38" s="72">
        <f t="shared" si="15"/>
        <v>-4977029.95</v>
      </c>
      <c r="BX38" s="392" t="str">
        <f t="shared" si="16"/>
        <v>Please provide an explanation of the variance in the tab 3 - Appendix A</v>
      </c>
      <c r="CB38" s="249" t="s">
        <v>169</v>
      </c>
      <c r="CC38" s="300" t="b">
        <v>0</v>
      </c>
    </row>
    <row r="39" spans="1:81" s="75" customFormat="1" ht="17" thickBot="1" x14ac:dyDescent="0.35">
      <c r="A39" s="1">
        <v>14</v>
      </c>
      <c r="B39" s="310">
        <v>17</v>
      </c>
      <c r="C39" s="215" t="s">
        <v>3424</v>
      </c>
      <c r="D39" s="229">
        <v>1595</v>
      </c>
      <c r="E39" s="745"/>
      <c r="F39" s="746"/>
      <c r="G39" s="746"/>
      <c r="H39" s="746"/>
      <c r="I39" s="78">
        <f t="shared" si="24"/>
        <v>0</v>
      </c>
      <c r="J39" s="746"/>
      <c r="K39" s="746"/>
      <c r="L39" s="746"/>
      <c r="M39" s="746"/>
      <c r="N39" s="79">
        <f t="shared" si="25"/>
        <v>0</v>
      </c>
      <c r="O39" s="80">
        <f t="shared" si="17"/>
        <v>0</v>
      </c>
      <c r="P39" s="746"/>
      <c r="Q39" s="746"/>
      <c r="R39" s="746"/>
      <c r="S39" s="78">
        <f t="shared" si="28"/>
        <v>0</v>
      </c>
      <c r="T39" s="81">
        <f t="shared" si="18"/>
        <v>0</v>
      </c>
      <c r="U39" s="746"/>
      <c r="V39" s="746"/>
      <c r="W39" s="746"/>
      <c r="X39" s="79">
        <f t="shared" si="19"/>
        <v>0</v>
      </c>
      <c r="Y39" s="80">
        <f t="shared" si="1"/>
        <v>0</v>
      </c>
      <c r="Z39" s="389"/>
      <c r="AA39" s="389"/>
      <c r="AB39" s="389"/>
      <c r="AC39" s="78">
        <f t="shared" si="29"/>
        <v>0</v>
      </c>
      <c r="AD39" s="81">
        <f>X39</f>
        <v>0</v>
      </c>
      <c r="AE39" s="389"/>
      <c r="AF39" s="389"/>
      <c r="AG39" s="389"/>
      <c r="AH39" s="79">
        <f t="shared" si="20"/>
        <v>0</v>
      </c>
      <c r="AI39" s="80">
        <f t="shared" si="4"/>
        <v>0</v>
      </c>
      <c r="AJ39" s="389"/>
      <c r="AK39" s="389"/>
      <c r="AL39" s="389"/>
      <c r="AM39" s="78">
        <f t="shared" si="11"/>
        <v>0</v>
      </c>
      <c r="AN39" s="81">
        <f t="shared" si="5"/>
        <v>0</v>
      </c>
      <c r="AO39" s="389"/>
      <c r="AP39" s="389"/>
      <c r="AQ39" s="389"/>
      <c r="AR39" s="79">
        <f t="shared" si="21"/>
        <v>0</v>
      </c>
      <c r="AS39" s="80">
        <f t="shared" si="6"/>
        <v>0</v>
      </c>
      <c r="AT39" s="389"/>
      <c r="AU39" s="389"/>
      <c r="AV39" s="389"/>
      <c r="AW39" s="78">
        <f t="shared" si="26"/>
        <v>0</v>
      </c>
      <c r="AX39" s="81">
        <f t="shared" si="7"/>
        <v>0</v>
      </c>
      <c r="AY39" s="389"/>
      <c r="AZ39" s="389"/>
      <c r="BA39" s="389"/>
      <c r="BB39" s="79">
        <f t="shared" si="22"/>
        <v>0</v>
      </c>
      <c r="BC39" s="80">
        <f t="shared" si="8"/>
        <v>0</v>
      </c>
      <c r="BD39" s="155"/>
      <c r="BE39" s="155"/>
      <c r="BF39" s="155"/>
      <c r="BG39" s="78">
        <f t="shared" si="12"/>
        <v>0</v>
      </c>
      <c r="BH39" s="81">
        <f t="shared" si="9"/>
        <v>0</v>
      </c>
      <c r="BI39" s="155"/>
      <c r="BJ39" s="155"/>
      <c r="BK39" s="155"/>
      <c r="BL39" s="79">
        <f t="shared" si="23"/>
        <v>0</v>
      </c>
      <c r="BM39" s="76"/>
      <c r="BN39" s="155"/>
      <c r="BO39" s="81">
        <f t="shared" si="13"/>
        <v>0</v>
      </c>
      <c r="BP39" s="82">
        <f t="shared" si="14"/>
        <v>0</v>
      </c>
      <c r="BQ39" s="83"/>
      <c r="BR39" s="155"/>
      <c r="BS39" s="222">
        <f>BP39+BQ39+BR39</f>
        <v>0</v>
      </c>
      <c r="BT39" s="254">
        <f t="shared" si="30"/>
        <v>0</v>
      </c>
      <c r="BU39" s="628" t="s">
        <v>633</v>
      </c>
      <c r="BV39" s="736">
        <v>-2467400.36</v>
      </c>
      <c r="BW39" s="72">
        <f t="shared" si="15"/>
        <v>-2467400.36</v>
      </c>
      <c r="BX39" s="392" t="str">
        <f t="shared" si="16"/>
        <v>Please provide an explanation of the variance in the tab 3 - Appendix A</v>
      </c>
      <c r="CB39" s="249" t="s">
        <v>168</v>
      </c>
      <c r="CC39" s="300" t="b">
        <v>0</v>
      </c>
    </row>
    <row r="40" spans="1:81" s="75" customFormat="1" ht="17" thickBot="1" x14ac:dyDescent="0.35">
      <c r="A40" s="1">
        <v>15</v>
      </c>
      <c r="B40" s="310">
        <v>18</v>
      </c>
      <c r="C40" s="215" t="s">
        <v>3681</v>
      </c>
      <c r="D40" s="229">
        <v>1595</v>
      </c>
      <c r="E40" s="745"/>
      <c r="F40" s="746"/>
      <c r="G40" s="746"/>
      <c r="H40" s="746"/>
      <c r="I40" s="78">
        <f>E40+F40-G40+H40</f>
        <v>0</v>
      </c>
      <c r="J40" s="746"/>
      <c r="K40" s="746"/>
      <c r="L40" s="746"/>
      <c r="M40" s="746"/>
      <c r="N40" s="79">
        <f>J40+K40-L40+M40</f>
        <v>0</v>
      </c>
      <c r="O40" s="80">
        <f t="shared" si="17"/>
        <v>0</v>
      </c>
      <c r="P40" s="746"/>
      <c r="Q40" s="746"/>
      <c r="R40" s="746"/>
      <c r="S40" s="78">
        <f t="shared" si="28"/>
        <v>0</v>
      </c>
      <c r="T40" s="81">
        <f t="shared" si="18"/>
        <v>0</v>
      </c>
      <c r="U40" s="746"/>
      <c r="V40" s="746"/>
      <c r="W40" s="746"/>
      <c r="X40" s="79">
        <f t="shared" si="19"/>
        <v>0</v>
      </c>
      <c r="Y40" s="80">
        <f>S40</f>
        <v>0</v>
      </c>
      <c r="Z40" s="389"/>
      <c r="AA40" s="389"/>
      <c r="AB40" s="389"/>
      <c r="AC40" s="78">
        <f t="shared" si="29"/>
        <v>0</v>
      </c>
      <c r="AD40" s="81">
        <f>X40</f>
        <v>0</v>
      </c>
      <c r="AE40" s="389"/>
      <c r="AF40" s="389"/>
      <c r="AG40" s="389"/>
      <c r="AH40" s="79">
        <f t="shared" si="20"/>
        <v>0</v>
      </c>
      <c r="AI40" s="80">
        <f>AC40</f>
        <v>0</v>
      </c>
      <c r="AJ40" s="389"/>
      <c r="AK40" s="389"/>
      <c r="AL40" s="389"/>
      <c r="AM40" s="78">
        <f>AI40+AJ40-AK40+SUM(AL40:AL40)</f>
        <v>0</v>
      </c>
      <c r="AN40" s="81">
        <f>AH40</f>
        <v>0</v>
      </c>
      <c r="AO40" s="389"/>
      <c r="AP40" s="389"/>
      <c r="AQ40" s="389"/>
      <c r="AR40" s="79">
        <f t="shared" si="21"/>
        <v>0</v>
      </c>
      <c r="AS40" s="80">
        <f>AM40</f>
        <v>0</v>
      </c>
      <c r="AT40" s="389"/>
      <c r="AU40" s="389"/>
      <c r="AV40" s="389"/>
      <c r="AW40" s="78">
        <f t="shared" si="26"/>
        <v>0</v>
      </c>
      <c r="AX40" s="81">
        <f>AR40</f>
        <v>0</v>
      </c>
      <c r="AY40" s="389"/>
      <c r="AZ40" s="389"/>
      <c r="BA40" s="389"/>
      <c r="BB40" s="79">
        <f t="shared" si="22"/>
        <v>0</v>
      </c>
      <c r="BC40" s="80">
        <f>AW40</f>
        <v>0</v>
      </c>
      <c r="BD40" s="155"/>
      <c r="BE40" s="155"/>
      <c r="BF40" s="155"/>
      <c r="BG40" s="78">
        <f>BC40+BD40-BE40+SUM(BF40:BF40)</f>
        <v>0</v>
      </c>
      <c r="BH40" s="81">
        <f>BB40</f>
        <v>0</v>
      </c>
      <c r="BI40" s="155"/>
      <c r="BJ40" s="155"/>
      <c r="BK40" s="155"/>
      <c r="BL40" s="79">
        <f t="shared" si="23"/>
        <v>0</v>
      </c>
      <c r="BM40" s="76"/>
      <c r="BN40" s="155"/>
      <c r="BO40" s="81">
        <f>BG40-BM40</f>
        <v>0</v>
      </c>
      <c r="BP40" s="82">
        <f>BL40-BN40</f>
        <v>0</v>
      </c>
      <c r="BQ40" s="83"/>
      <c r="BR40" s="155"/>
      <c r="BS40" s="222">
        <f>BP40+BQ40+BR40</f>
        <v>0</v>
      </c>
      <c r="BT40" s="254">
        <f t="shared" si="30"/>
        <v>0</v>
      </c>
      <c r="BU40" s="628" t="s">
        <v>633</v>
      </c>
      <c r="BV40" s="736"/>
      <c r="BW40" s="72">
        <f t="shared" si="15"/>
        <v>0</v>
      </c>
      <c r="BX40" s="392" t="str">
        <f t="shared" si="16"/>
        <v/>
      </c>
      <c r="CB40" s="249"/>
      <c r="CC40" s="300" t="b">
        <v>0</v>
      </c>
    </row>
    <row r="41" spans="1:81" s="225" customFormat="1" ht="15" thickBot="1" x14ac:dyDescent="0.4">
      <c r="A41" s="219"/>
      <c r="B41" s="310">
        <v>19</v>
      </c>
      <c r="C41" s="283" t="s">
        <v>3056</v>
      </c>
      <c r="D41" s="230"/>
      <c r="E41" s="220"/>
      <c r="F41" s="221"/>
      <c r="G41" s="221"/>
      <c r="H41" s="221"/>
      <c r="I41" s="78"/>
      <c r="J41" s="221"/>
      <c r="K41" s="221"/>
      <c r="L41" s="221"/>
      <c r="M41" s="221"/>
      <c r="N41" s="79"/>
      <c r="O41" s="93"/>
      <c r="P41" s="221"/>
      <c r="Q41" s="221"/>
      <c r="R41" s="221"/>
      <c r="S41" s="78"/>
      <c r="T41" s="78"/>
      <c r="U41" s="221"/>
      <c r="V41" s="221"/>
      <c r="W41" s="221"/>
      <c r="X41" s="79"/>
      <c r="Y41" s="93"/>
      <c r="Z41" s="221"/>
      <c r="AA41" s="221"/>
      <c r="AB41" s="221"/>
      <c r="AC41" s="78"/>
      <c r="AD41" s="78"/>
      <c r="AE41" s="221"/>
      <c r="AF41" s="221"/>
      <c r="AG41" s="221"/>
      <c r="AH41" s="79"/>
      <c r="AI41" s="93"/>
      <c r="AJ41" s="221"/>
      <c r="AK41" s="221"/>
      <c r="AL41" s="221"/>
      <c r="AM41" s="78"/>
      <c r="AN41" s="78"/>
      <c r="AO41" s="221"/>
      <c r="AP41" s="221"/>
      <c r="AQ41" s="221"/>
      <c r="AR41" s="79"/>
      <c r="AS41" s="93"/>
      <c r="AT41" s="221"/>
      <c r="AU41" s="221"/>
      <c r="AV41" s="221"/>
      <c r="AW41" s="78"/>
      <c r="AX41" s="78"/>
      <c r="AY41" s="221"/>
      <c r="AZ41" s="221"/>
      <c r="BA41" s="221"/>
      <c r="BB41" s="79"/>
      <c r="BC41" s="93"/>
      <c r="BD41" s="221"/>
      <c r="BE41" s="221"/>
      <c r="BF41" s="221"/>
      <c r="BG41" s="78"/>
      <c r="BH41" s="78"/>
      <c r="BI41" s="221"/>
      <c r="BJ41" s="221"/>
      <c r="BK41" s="221"/>
      <c r="BL41" s="79"/>
      <c r="BM41" s="220"/>
      <c r="BN41" s="221"/>
      <c r="BO41" s="78"/>
      <c r="BP41" s="79"/>
      <c r="BQ41" s="221"/>
      <c r="BR41" s="221"/>
      <c r="BS41" s="222"/>
      <c r="BT41" s="255"/>
      <c r="BU41" s="528"/>
      <c r="BV41" s="643"/>
      <c r="BW41" s="223"/>
      <c r="BX41" s="392"/>
      <c r="CC41" s="301"/>
    </row>
    <row r="42" spans="1:81" s="75" customFormat="1" ht="15" customHeight="1" thickBot="1" x14ac:dyDescent="0.35">
      <c r="A42" s="1"/>
      <c r="B42" s="310">
        <v>20</v>
      </c>
      <c r="C42" s="228"/>
      <c r="D42" s="15"/>
      <c r="E42" s="93"/>
      <c r="F42" s="78"/>
      <c r="G42" s="78"/>
      <c r="H42" s="78"/>
      <c r="I42" s="78"/>
      <c r="J42" s="78"/>
      <c r="K42" s="78"/>
      <c r="L42" s="78"/>
      <c r="M42" s="78"/>
      <c r="N42" s="79"/>
      <c r="O42" s="84"/>
      <c r="P42" s="78"/>
      <c r="Q42" s="78"/>
      <c r="R42" s="78"/>
      <c r="S42" s="78"/>
      <c r="T42" s="78"/>
      <c r="U42" s="78"/>
      <c r="V42" s="78"/>
      <c r="W42" s="78"/>
      <c r="X42" s="79"/>
      <c r="Y42" s="84"/>
      <c r="Z42" s="78"/>
      <c r="AA42" s="78"/>
      <c r="AB42" s="78"/>
      <c r="AC42" s="78"/>
      <c r="AD42" s="78"/>
      <c r="AE42" s="78"/>
      <c r="AF42" s="78"/>
      <c r="AG42" s="78"/>
      <c r="AH42" s="79"/>
      <c r="AI42" s="84"/>
      <c r="AJ42" s="78"/>
      <c r="AK42" s="78"/>
      <c r="AL42" s="78"/>
      <c r="AM42" s="78"/>
      <c r="AN42" s="78"/>
      <c r="AO42" s="78"/>
      <c r="AP42" s="78"/>
      <c r="AQ42" s="78"/>
      <c r="AR42" s="79"/>
      <c r="AS42" s="84"/>
      <c r="AT42" s="78"/>
      <c r="AU42" s="78"/>
      <c r="AV42" s="78"/>
      <c r="AW42" s="78"/>
      <c r="AX42" s="78"/>
      <c r="AY42" s="78"/>
      <c r="AZ42" s="78"/>
      <c r="BA42" s="78"/>
      <c r="BB42" s="79"/>
      <c r="BC42" s="84"/>
      <c r="BD42" s="78"/>
      <c r="BE42" s="78"/>
      <c r="BF42" s="78"/>
      <c r="BG42" s="78"/>
      <c r="BH42" s="78"/>
      <c r="BI42" s="78"/>
      <c r="BJ42" s="78"/>
      <c r="BK42" s="78"/>
      <c r="BL42" s="79"/>
      <c r="BM42" s="84"/>
      <c r="BN42" s="78"/>
      <c r="BO42" s="78"/>
      <c r="BP42" s="79"/>
      <c r="BQ42" s="71"/>
      <c r="BR42" s="71"/>
      <c r="BS42" s="247"/>
      <c r="BT42" s="254"/>
      <c r="BU42" s="398"/>
      <c r="BV42" s="643"/>
      <c r="BW42" s="72"/>
      <c r="BX42" s="392"/>
      <c r="CC42" s="300"/>
    </row>
    <row r="43" spans="1:81" s="281" customFormat="1" ht="14" x14ac:dyDescent="0.3">
      <c r="A43" s="4"/>
      <c r="B43" s="4"/>
      <c r="C43" s="633" t="s">
        <v>3064</v>
      </c>
      <c r="D43" s="638"/>
      <c r="E43" s="93">
        <f>SUM(E24:E40)</f>
        <v>0</v>
      </c>
      <c r="F43" s="78">
        <f t="shared" ref="F43:BQ43" si="31">SUM(F24:F40)</f>
        <v>0</v>
      </c>
      <c r="G43" s="78">
        <f t="shared" si="31"/>
        <v>0</v>
      </c>
      <c r="H43" s="78">
        <f t="shared" si="31"/>
        <v>0</v>
      </c>
      <c r="I43" s="78">
        <f t="shared" si="31"/>
        <v>0</v>
      </c>
      <c r="J43" s="78">
        <f t="shared" si="31"/>
        <v>0</v>
      </c>
      <c r="K43" s="78">
        <f t="shared" si="31"/>
        <v>0</v>
      </c>
      <c r="L43" s="78">
        <f t="shared" si="31"/>
        <v>0</v>
      </c>
      <c r="M43" s="78">
        <f t="shared" si="31"/>
        <v>0</v>
      </c>
      <c r="N43" s="79">
        <f t="shared" si="31"/>
        <v>0</v>
      </c>
      <c r="O43" s="93">
        <f t="shared" si="31"/>
        <v>0</v>
      </c>
      <c r="P43" s="78">
        <f t="shared" si="31"/>
        <v>0</v>
      </c>
      <c r="Q43" s="78">
        <f t="shared" si="31"/>
        <v>0</v>
      </c>
      <c r="R43" s="78">
        <f t="shared" si="31"/>
        <v>0</v>
      </c>
      <c r="S43" s="78">
        <f t="shared" si="31"/>
        <v>0</v>
      </c>
      <c r="T43" s="78">
        <f t="shared" si="31"/>
        <v>0</v>
      </c>
      <c r="U43" s="78">
        <f t="shared" si="31"/>
        <v>0</v>
      </c>
      <c r="V43" s="78">
        <f t="shared" si="31"/>
        <v>0</v>
      </c>
      <c r="W43" s="78">
        <f t="shared" si="31"/>
        <v>0</v>
      </c>
      <c r="X43" s="79">
        <f t="shared" si="31"/>
        <v>0</v>
      </c>
      <c r="Y43" s="93">
        <f t="shared" si="31"/>
        <v>0</v>
      </c>
      <c r="Z43" s="78">
        <f t="shared" si="31"/>
        <v>0</v>
      </c>
      <c r="AA43" s="78">
        <f t="shared" si="31"/>
        <v>0</v>
      </c>
      <c r="AB43" s="78">
        <f t="shared" si="31"/>
        <v>0</v>
      </c>
      <c r="AC43" s="78">
        <f t="shared" si="31"/>
        <v>0</v>
      </c>
      <c r="AD43" s="78">
        <f t="shared" si="31"/>
        <v>0</v>
      </c>
      <c r="AE43" s="78">
        <f t="shared" si="31"/>
        <v>0</v>
      </c>
      <c r="AF43" s="78">
        <f t="shared" si="31"/>
        <v>0</v>
      </c>
      <c r="AG43" s="78">
        <f t="shared" si="31"/>
        <v>0</v>
      </c>
      <c r="AH43" s="79">
        <f t="shared" si="31"/>
        <v>0</v>
      </c>
      <c r="AI43" s="93">
        <f t="shared" si="31"/>
        <v>0</v>
      </c>
      <c r="AJ43" s="78">
        <f t="shared" si="31"/>
        <v>0</v>
      </c>
      <c r="AK43" s="78">
        <f t="shared" si="31"/>
        <v>0</v>
      </c>
      <c r="AL43" s="78">
        <f t="shared" si="31"/>
        <v>0</v>
      </c>
      <c r="AM43" s="78">
        <f t="shared" si="31"/>
        <v>0</v>
      </c>
      <c r="AN43" s="78">
        <f t="shared" si="31"/>
        <v>0</v>
      </c>
      <c r="AO43" s="78">
        <f t="shared" si="31"/>
        <v>0</v>
      </c>
      <c r="AP43" s="78">
        <f t="shared" si="31"/>
        <v>0</v>
      </c>
      <c r="AQ43" s="78">
        <f t="shared" si="31"/>
        <v>0</v>
      </c>
      <c r="AR43" s="79">
        <f t="shared" si="31"/>
        <v>0</v>
      </c>
      <c r="AS43" s="93">
        <f t="shared" si="31"/>
        <v>0</v>
      </c>
      <c r="AT43" s="78">
        <f t="shared" si="31"/>
        <v>0</v>
      </c>
      <c r="AU43" s="78">
        <f t="shared" si="31"/>
        <v>0</v>
      </c>
      <c r="AV43" s="78">
        <f t="shared" si="31"/>
        <v>0</v>
      </c>
      <c r="AW43" s="78">
        <f t="shared" si="31"/>
        <v>0</v>
      </c>
      <c r="AX43" s="78">
        <f t="shared" si="31"/>
        <v>0</v>
      </c>
      <c r="AY43" s="78">
        <f t="shared" si="31"/>
        <v>0</v>
      </c>
      <c r="AZ43" s="78">
        <f t="shared" si="31"/>
        <v>0</v>
      </c>
      <c r="BA43" s="78">
        <f t="shared" si="31"/>
        <v>0</v>
      </c>
      <c r="BB43" s="79">
        <f t="shared" si="31"/>
        <v>0</v>
      </c>
      <c r="BC43" s="93">
        <f t="shared" si="31"/>
        <v>0</v>
      </c>
      <c r="BD43" s="78">
        <f t="shared" si="31"/>
        <v>0</v>
      </c>
      <c r="BE43" s="78">
        <f t="shared" si="31"/>
        <v>0</v>
      </c>
      <c r="BF43" s="78">
        <f t="shared" si="31"/>
        <v>0</v>
      </c>
      <c r="BG43" s="78">
        <f t="shared" si="31"/>
        <v>0</v>
      </c>
      <c r="BH43" s="78">
        <f t="shared" si="31"/>
        <v>0</v>
      </c>
      <c r="BI43" s="78">
        <f t="shared" si="31"/>
        <v>0</v>
      </c>
      <c r="BJ43" s="78">
        <f t="shared" si="31"/>
        <v>0</v>
      </c>
      <c r="BK43" s="78">
        <f t="shared" si="31"/>
        <v>0</v>
      </c>
      <c r="BL43" s="79">
        <f t="shared" si="31"/>
        <v>0</v>
      </c>
      <c r="BM43" s="93">
        <f t="shared" si="31"/>
        <v>0</v>
      </c>
      <c r="BN43" s="78">
        <f t="shared" si="31"/>
        <v>0</v>
      </c>
      <c r="BO43" s="78">
        <f t="shared" si="31"/>
        <v>0</v>
      </c>
      <c r="BP43" s="79">
        <f t="shared" si="31"/>
        <v>0</v>
      </c>
      <c r="BQ43" s="78">
        <f t="shared" si="31"/>
        <v>0</v>
      </c>
      <c r="BR43" s="78">
        <f>SUM(BR24:BR40)</f>
        <v>0</v>
      </c>
      <c r="BS43" s="78">
        <f>SUM(BS24:BS40)</f>
        <v>0</v>
      </c>
      <c r="BT43" s="256">
        <f>SUM(BT24:BT40)</f>
        <v>0</v>
      </c>
      <c r="BU43" s="530"/>
      <c r="BV43" s="640"/>
      <c r="BW43" s="637"/>
      <c r="BX43" s="392"/>
      <c r="CC43" s="302"/>
    </row>
    <row r="44" spans="1:81" s="281" customFormat="1" ht="14" x14ac:dyDescent="0.3">
      <c r="A44" s="4"/>
      <c r="B44" s="4"/>
      <c r="C44" s="633" t="s">
        <v>3065</v>
      </c>
      <c r="D44" s="638"/>
      <c r="E44" s="93">
        <f>E43-E45</f>
        <v>0</v>
      </c>
      <c r="F44" s="78">
        <f>F43-F45</f>
        <v>0</v>
      </c>
      <c r="G44" s="78">
        <f t="shared" ref="G44:M44" si="32">G43-G45</f>
        <v>0</v>
      </c>
      <c r="H44" s="78">
        <f t="shared" si="32"/>
        <v>0</v>
      </c>
      <c r="I44" s="78">
        <f t="shared" si="32"/>
        <v>0</v>
      </c>
      <c r="J44" s="78">
        <f t="shared" si="32"/>
        <v>0</v>
      </c>
      <c r="K44" s="78">
        <f t="shared" si="32"/>
        <v>0</v>
      </c>
      <c r="L44" s="78">
        <f t="shared" si="32"/>
        <v>0</v>
      </c>
      <c r="M44" s="78">
        <f t="shared" si="32"/>
        <v>0</v>
      </c>
      <c r="N44" s="79">
        <f>N43-N45</f>
        <v>0</v>
      </c>
      <c r="O44" s="93">
        <f>O43-O45</f>
        <v>0</v>
      </c>
      <c r="P44" s="78">
        <f t="shared" ref="P44:BT44" si="33">P43-P45</f>
        <v>0</v>
      </c>
      <c r="Q44" s="78">
        <f t="shared" si="33"/>
        <v>0</v>
      </c>
      <c r="R44" s="78">
        <f t="shared" si="33"/>
        <v>0</v>
      </c>
      <c r="S44" s="78">
        <f t="shared" si="33"/>
        <v>0</v>
      </c>
      <c r="T44" s="78">
        <f t="shared" si="33"/>
        <v>0</v>
      </c>
      <c r="U44" s="78">
        <f t="shared" si="33"/>
        <v>0</v>
      </c>
      <c r="V44" s="78">
        <f t="shared" si="33"/>
        <v>0</v>
      </c>
      <c r="W44" s="78">
        <f t="shared" si="33"/>
        <v>0</v>
      </c>
      <c r="X44" s="79">
        <f t="shared" si="33"/>
        <v>0</v>
      </c>
      <c r="Y44" s="93">
        <f t="shared" si="33"/>
        <v>0</v>
      </c>
      <c r="Z44" s="78">
        <f t="shared" si="33"/>
        <v>0</v>
      </c>
      <c r="AA44" s="78">
        <f t="shared" si="33"/>
        <v>0</v>
      </c>
      <c r="AB44" s="78">
        <f t="shared" si="33"/>
        <v>0</v>
      </c>
      <c r="AC44" s="78">
        <f t="shared" si="33"/>
        <v>0</v>
      </c>
      <c r="AD44" s="78">
        <f t="shared" si="33"/>
        <v>0</v>
      </c>
      <c r="AE44" s="78">
        <f t="shared" si="33"/>
        <v>0</v>
      </c>
      <c r="AF44" s="78">
        <f t="shared" si="33"/>
        <v>0</v>
      </c>
      <c r="AG44" s="78">
        <f t="shared" si="33"/>
        <v>0</v>
      </c>
      <c r="AH44" s="79">
        <f t="shared" si="33"/>
        <v>0</v>
      </c>
      <c r="AI44" s="93">
        <f t="shared" si="33"/>
        <v>0</v>
      </c>
      <c r="AJ44" s="78">
        <f t="shared" si="33"/>
        <v>0</v>
      </c>
      <c r="AK44" s="78">
        <f t="shared" si="33"/>
        <v>0</v>
      </c>
      <c r="AL44" s="78">
        <f t="shared" si="33"/>
        <v>0</v>
      </c>
      <c r="AM44" s="78">
        <f t="shared" si="33"/>
        <v>0</v>
      </c>
      <c r="AN44" s="78">
        <f t="shared" si="33"/>
        <v>0</v>
      </c>
      <c r="AO44" s="78">
        <f t="shared" si="33"/>
        <v>0</v>
      </c>
      <c r="AP44" s="78">
        <f t="shared" si="33"/>
        <v>0</v>
      </c>
      <c r="AQ44" s="78">
        <f t="shared" si="33"/>
        <v>0</v>
      </c>
      <c r="AR44" s="79">
        <f t="shared" si="33"/>
        <v>0</v>
      </c>
      <c r="AS44" s="93">
        <f t="shared" si="33"/>
        <v>0</v>
      </c>
      <c r="AT44" s="78">
        <f t="shared" si="33"/>
        <v>0</v>
      </c>
      <c r="AU44" s="78">
        <f t="shared" si="33"/>
        <v>0</v>
      </c>
      <c r="AV44" s="78">
        <f t="shared" si="33"/>
        <v>0</v>
      </c>
      <c r="AW44" s="78">
        <f t="shared" si="33"/>
        <v>0</v>
      </c>
      <c r="AX44" s="78">
        <f t="shared" si="33"/>
        <v>0</v>
      </c>
      <c r="AY44" s="78">
        <f t="shared" si="33"/>
        <v>0</v>
      </c>
      <c r="AZ44" s="78">
        <f t="shared" si="33"/>
        <v>0</v>
      </c>
      <c r="BA44" s="78">
        <f t="shared" si="33"/>
        <v>0</v>
      </c>
      <c r="BB44" s="79">
        <f t="shared" si="33"/>
        <v>0</v>
      </c>
      <c r="BC44" s="93">
        <f t="shared" si="33"/>
        <v>0</v>
      </c>
      <c r="BD44" s="78">
        <f t="shared" si="33"/>
        <v>0</v>
      </c>
      <c r="BE44" s="78">
        <f t="shared" si="33"/>
        <v>0</v>
      </c>
      <c r="BF44" s="78">
        <f t="shared" si="33"/>
        <v>0</v>
      </c>
      <c r="BG44" s="78">
        <f t="shared" si="33"/>
        <v>0</v>
      </c>
      <c r="BH44" s="78">
        <f t="shared" si="33"/>
        <v>0</v>
      </c>
      <c r="BI44" s="78">
        <f t="shared" si="33"/>
        <v>0</v>
      </c>
      <c r="BJ44" s="78">
        <f t="shared" si="33"/>
        <v>0</v>
      </c>
      <c r="BK44" s="78">
        <f t="shared" si="33"/>
        <v>0</v>
      </c>
      <c r="BL44" s="79">
        <f t="shared" si="33"/>
        <v>0</v>
      </c>
      <c r="BM44" s="93">
        <f t="shared" si="33"/>
        <v>0</v>
      </c>
      <c r="BN44" s="78">
        <f t="shared" si="33"/>
        <v>0</v>
      </c>
      <c r="BO44" s="78">
        <f t="shared" si="33"/>
        <v>0</v>
      </c>
      <c r="BP44" s="79">
        <f t="shared" si="33"/>
        <v>0</v>
      </c>
      <c r="BQ44" s="78">
        <f t="shared" si="33"/>
        <v>0</v>
      </c>
      <c r="BR44" s="78">
        <f t="shared" si="33"/>
        <v>0</v>
      </c>
      <c r="BS44" s="78">
        <f t="shared" si="33"/>
        <v>0</v>
      </c>
      <c r="BT44" s="279">
        <f t="shared" si="33"/>
        <v>0</v>
      </c>
      <c r="BU44" s="530"/>
      <c r="BV44" s="640"/>
      <c r="BW44" s="637"/>
      <c r="BX44" s="392"/>
      <c r="CC44" s="302"/>
    </row>
    <row r="45" spans="1:81" s="281" customFormat="1" ht="14.5" thickBot="1" x14ac:dyDescent="0.35">
      <c r="A45" s="4"/>
      <c r="B45" s="4"/>
      <c r="C45" s="632" t="s">
        <v>3066</v>
      </c>
      <c r="D45" s="638">
        <v>1589</v>
      </c>
      <c r="E45" s="93">
        <f>E32</f>
        <v>0</v>
      </c>
      <c r="F45" s="78">
        <f t="shared" ref="F45:BQ45" si="34">F32</f>
        <v>0</v>
      </c>
      <c r="G45" s="78">
        <f t="shared" si="34"/>
        <v>0</v>
      </c>
      <c r="H45" s="78">
        <f t="shared" si="34"/>
        <v>0</v>
      </c>
      <c r="I45" s="78">
        <f t="shared" si="34"/>
        <v>0</v>
      </c>
      <c r="J45" s="78">
        <f t="shared" si="34"/>
        <v>0</v>
      </c>
      <c r="K45" s="78">
        <f t="shared" si="34"/>
        <v>0</v>
      </c>
      <c r="L45" s="78">
        <f t="shared" si="34"/>
        <v>0</v>
      </c>
      <c r="M45" s="78">
        <f t="shared" si="34"/>
        <v>0</v>
      </c>
      <c r="N45" s="79">
        <f t="shared" si="34"/>
        <v>0</v>
      </c>
      <c r="O45" s="93">
        <f t="shared" si="34"/>
        <v>0</v>
      </c>
      <c r="P45" s="78">
        <f t="shared" si="34"/>
        <v>0</v>
      </c>
      <c r="Q45" s="78">
        <f t="shared" si="34"/>
        <v>0</v>
      </c>
      <c r="R45" s="78">
        <f t="shared" si="34"/>
        <v>0</v>
      </c>
      <c r="S45" s="78">
        <f t="shared" si="34"/>
        <v>0</v>
      </c>
      <c r="T45" s="78">
        <f t="shared" si="34"/>
        <v>0</v>
      </c>
      <c r="U45" s="78">
        <f t="shared" si="34"/>
        <v>0</v>
      </c>
      <c r="V45" s="78">
        <f t="shared" si="34"/>
        <v>0</v>
      </c>
      <c r="W45" s="78">
        <f t="shared" si="34"/>
        <v>0</v>
      </c>
      <c r="X45" s="79">
        <f t="shared" si="34"/>
        <v>0</v>
      </c>
      <c r="Y45" s="93">
        <f t="shared" si="34"/>
        <v>0</v>
      </c>
      <c r="Z45" s="78">
        <f t="shared" si="34"/>
        <v>0</v>
      </c>
      <c r="AA45" s="78">
        <f t="shared" si="34"/>
        <v>0</v>
      </c>
      <c r="AB45" s="78">
        <f t="shared" si="34"/>
        <v>0</v>
      </c>
      <c r="AC45" s="78">
        <f t="shared" si="34"/>
        <v>0</v>
      </c>
      <c r="AD45" s="78">
        <f t="shared" si="34"/>
        <v>0</v>
      </c>
      <c r="AE45" s="78">
        <f t="shared" si="34"/>
        <v>0</v>
      </c>
      <c r="AF45" s="78">
        <f t="shared" si="34"/>
        <v>0</v>
      </c>
      <c r="AG45" s="78">
        <f t="shared" si="34"/>
        <v>0</v>
      </c>
      <c r="AH45" s="79">
        <f t="shared" si="34"/>
        <v>0</v>
      </c>
      <c r="AI45" s="93">
        <f t="shared" si="34"/>
        <v>0</v>
      </c>
      <c r="AJ45" s="78">
        <f t="shared" si="34"/>
        <v>0</v>
      </c>
      <c r="AK45" s="78">
        <f t="shared" si="34"/>
        <v>0</v>
      </c>
      <c r="AL45" s="78">
        <f t="shared" si="34"/>
        <v>0</v>
      </c>
      <c r="AM45" s="78">
        <f t="shared" si="34"/>
        <v>0</v>
      </c>
      <c r="AN45" s="78">
        <f t="shared" si="34"/>
        <v>0</v>
      </c>
      <c r="AO45" s="78">
        <f t="shared" si="34"/>
        <v>0</v>
      </c>
      <c r="AP45" s="78">
        <f t="shared" si="34"/>
        <v>0</v>
      </c>
      <c r="AQ45" s="78">
        <f t="shared" si="34"/>
        <v>0</v>
      </c>
      <c r="AR45" s="79">
        <f t="shared" si="34"/>
        <v>0</v>
      </c>
      <c r="AS45" s="93">
        <f t="shared" si="34"/>
        <v>0</v>
      </c>
      <c r="AT45" s="78">
        <f t="shared" si="34"/>
        <v>0</v>
      </c>
      <c r="AU45" s="78">
        <f t="shared" si="34"/>
        <v>0</v>
      </c>
      <c r="AV45" s="78">
        <f t="shared" si="34"/>
        <v>0</v>
      </c>
      <c r="AW45" s="78">
        <f t="shared" si="34"/>
        <v>0</v>
      </c>
      <c r="AX45" s="78">
        <f t="shared" si="34"/>
        <v>0</v>
      </c>
      <c r="AY45" s="78">
        <f t="shared" si="34"/>
        <v>0</v>
      </c>
      <c r="AZ45" s="78">
        <f t="shared" si="34"/>
        <v>0</v>
      </c>
      <c r="BA45" s="78">
        <f t="shared" si="34"/>
        <v>0</v>
      </c>
      <c r="BB45" s="79">
        <f t="shared" si="34"/>
        <v>0</v>
      </c>
      <c r="BC45" s="93">
        <f t="shared" si="34"/>
        <v>0</v>
      </c>
      <c r="BD45" s="78">
        <f t="shared" si="34"/>
        <v>0</v>
      </c>
      <c r="BE45" s="78">
        <f t="shared" si="34"/>
        <v>0</v>
      </c>
      <c r="BF45" s="78">
        <f t="shared" si="34"/>
        <v>0</v>
      </c>
      <c r="BG45" s="78">
        <f t="shared" si="34"/>
        <v>0</v>
      </c>
      <c r="BH45" s="78">
        <f t="shared" si="34"/>
        <v>0</v>
      </c>
      <c r="BI45" s="78">
        <f t="shared" si="34"/>
        <v>0</v>
      </c>
      <c r="BJ45" s="78">
        <f t="shared" si="34"/>
        <v>0</v>
      </c>
      <c r="BK45" s="78">
        <f t="shared" si="34"/>
        <v>0</v>
      </c>
      <c r="BL45" s="79">
        <f t="shared" si="34"/>
        <v>0</v>
      </c>
      <c r="BM45" s="93">
        <f t="shared" si="34"/>
        <v>0</v>
      </c>
      <c r="BN45" s="78">
        <f t="shared" si="34"/>
        <v>0</v>
      </c>
      <c r="BO45" s="78">
        <f t="shared" si="34"/>
        <v>0</v>
      </c>
      <c r="BP45" s="79">
        <f t="shared" si="34"/>
        <v>0</v>
      </c>
      <c r="BQ45" s="78">
        <f t="shared" si="34"/>
        <v>0</v>
      </c>
      <c r="BR45" s="78">
        <f>BR32</f>
        <v>0</v>
      </c>
      <c r="BS45" s="78">
        <f>BS32</f>
        <v>0</v>
      </c>
      <c r="BT45" s="279">
        <f>BT32</f>
        <v>0</v>
      </c>
      <c r="BU45" s="530"/>
      <c r="BV45" s="640"/>
      <c r="BW45" s="637"/>
      <c r="BX45" s="392"/>
      <c r="CC45" s="302"/>
    </row>
    <row r="46" spans="1:81" s="281" customFormat="1" ht="14" hidden="1" x14ac:dyDescent="0.3">
      <c r="A46" s="4"/>
      <c r="B46" s="4"/>
      <c r="C46" s="632"/>
      <c r="D46" s="636"/>
      <c r="E46" s="93"/>
      <c r="F46" s="78"/>
      <c r="G46" s="78"/>
      <c r="H46" s="78"/>
      <c r="I46" s="78"/>
      <c r="J46" s="78"/>
      <c r="K46" s="78"/>
      <c r="L46" s="78"/>
      <c r="M46" s="78"/>
      <c r="N46" s="78"/>
      <c r="O46" s="93"/>
      <c r="P46" s="78"/>
      <c r="Q46" s="78"/>
      <c r="R46" s="78"/>
      <c r="S46" s="78"/>
      <c r="T46" s="78"/>
      <c r="U46" s="78"/>
      <c r="V46" s="78"/>
      <c r="W46" s="78"/>
      <c r="X46" s="78"/>
      <c r="Y46" s="93"/>
      <c r="Z46" s="78"/>
      <c r="AA46" s="78"/>
      <c r="AB46" s="78"/>
      <c r="AC46" s="78"/>
      <c r="AD46" s="78"/>
      <c r="AE46" s="78"/>
      <c r="AF46" s="78"/>
      <c r="AG46" s="78"/>
      <c r="AH46" s="78"/>
      <c r="AI46" s="93"/>
      <c r="AJ46" s="78"/>
      <c r="AK46" s="78"/>
      <c r="AL46" s="78"/>
      <c r="AM46" s="78"/>
      <c r="AN46" s="78"/>
      <c r="AO46" s="78"/>
      <c r="AP46" s="78"/>
      <c r="AQ46" s="78"/>
      <c r="AR46" s="78"/>
      <c r="AS46" s="93"/>
      <c r="AT46" s="78"/>
      <c r="AU46" s="78"/>
      <c r="AV46" s="78"/>
      <c r="AW46" s="78"/>
      <c r="AX46" s="78"/>
      <c r="AY46" s="78"/>
      <c r="AZ46" s="78"/>
      <c r="BA46" s="78"/>
      <c r="BB46" s="78"/>
      <c r="BC46" s="93"/>
      <c r="BD46" s="78"/>
      <c r="BE46" s="78"/>
      <c r="BF46" s="78"/>
      <c r="BG46" s="78"/>
      <c r="BH46" s="78"/>
      <c r="BI46" s="78"/>
      <c r="BJ46" s="78"/>
      <c r="BK46" s="78"/>
      <c r="BL46" s="78"/>
      <c r="BM46" s="93"/>
      <c r="BN46" s="78"/>
      <c r="BO46" s="78"/>
      <c r="BP46" s="79"/>
      <c r="BQ46" s="78"/>
      <c r="BR46" s="78"/>
      <c r="BS46" s="78"/>
      <c r="BT46" s="530"/>
      <c r="BU46" s="530"/>
      <c r="BV46" s="640"/>
      <c r="BW46" s="637"/>
      <c r="BX46" s="392"/>
      <c r="CC46" s="302"/>
    </row>
    <row r="47" spans="1:81" s="281" customFormat="1" ht="14" hidden="1" x14ac:dyDescent="0.3">
      <c r="A47" s="4"/>
      <c r="B47" s="4"/>
      <c r="C47" s="633" t="s">
        <v>3064</v>
      </c>
      <c r="D47" s="638"/>
      <c r="E47" s="93">
        <f>SUM(E24:E40)</f>
        <v>0</v>
      </c>
      <c r="F47" s="78">
        <f>SUM(F24:F40)</f>
        <v>0</v>
      </c>
      <c r="G47" s="78">
        <f t="shared" ref="G47:M47" si="35">SUM(G24:G40)</f>
        <v>0</v>
      </c>
      <c r="H47" s="78">
        <f t="shared" si="35"/>
        <v>0</v>
      </c>
      <c r="I47" s="78">
        <f t="shared" si="35"/>
        <v>0</v>
      </c>
      <c r="J47" s="78">
        <f t="shared" si="35"/>
        <v>0</v>
      </c>
      <c r="K47" s="78">
        <f t="shared" si="35"/>
        <v>0</v>
      </c>
      <c r="L47" s="78">
        <f t="shared" si="35"/>
        <v>0</v>
      </c>
      <c r="M47" s="78">
        <f t="shared" si="35"/>
        <v>0</v>
      </c>
      <c r="N47" s="79">
        <f>SUM(N24:N40)</f>
        <v>0</v>
      </c>
      <c r="O47" s="93">
        <f>SUM(O24:O40)</f>
        <v>0</v>
      </c>
      <c r="P47" s="78">
        <f t="shared" ref="P47:BS47" si="36">SUM(P24:P40)</f>
        <v>0</v>
      </c>
      <c r="Q47" s="78">
        <f t="shared" si="36"/>
        <v>0</v>
      </c>
      <c r="R47" s="78">
        <f t="shared" si="36"/>
        <v>0</v>
      </c>
      <c r="S47" s="78">
        <f t="shared" si="36"/>
        <v>0</v>
      </c>
      <c r="T47" s="78">
        <f t="shared" si="36"/>
        <v>0</v>
      </c>
      <c r="U47" s="78">
        <f t="shared" si="36"/>
        <v>0</v>
      </c>
      <c r="V47" s="78">
        <f t="shared" si="36"/>
        <v>0</v>
      </c>
      <c r="W47" s="78">
        <f t="shared" si="36"/>
        <v>0</v>
      </c>
      <c r="X47" s="79">
        <f t="shared" si="36"/>
        <v>0</v>
      </c>
      <c r="Y47" s="93">
        <f t="shared" si="36"/>
        <v>0</v>
      </c>
      <c r="Z47" s="78">
        <f t="shared" si="36"/>
        <v>0</v>
      </c>
      <c r="AA47" s="78">
        <f t="shared" si="36"/>
        <v>0</v>
      </c>
      <c r="AB47" s="78">
        <f t="shared" si="36"/>
        <v>0</v>
      </c>
      <c r="AC47" s="78">
        <f t="shared" si="36"/>
        <v>0</v>
      </c>
      <c r="AD47" s="78">
        <f t="shared" si="36"/>
        <v>0</v>
      </c>
      <c r="AE47" s="78">
        <f t="shared" si="36"/>
        <v>0</v>
      </c>
      <c r="AF47" s="78">
        <f t="shared" si="36"/>
        <v>0</v>
      </c>
      <c r="AG47" s="78">
        <f t="shared" si="36"/>
        <v>0</v>
      </c>
      <c r="AH47" s="79">
        <f t="shared" si="36"/>
        <v>0</v>
      </c>
      <c r="AI47" s="93">
        <f t="shared" si="36"/>
        <v>0</v>
      </c>
      <c r="AJ47" s="78">
        <f t="shared" si="36"/>
        <v>0</v>
      </c>
      <c r="AK47" s="78">
        <f t="shared" si="36"/>
        <v>0</v>
      </c>
      <c r="AL47" s="78">
        <f t="shared" si="36"/>
        <v>0</v>
      </c>
      <c r="AM47" s="78">
        <f t="shared" si="36"/>
        <v>0</v>
      </c>
      <c r="AN47" s="78">
        <f t="shared" si="36"/>
        <v>0</v>
      </c>
      <c r="AO47" s="78">
        <f t="shared" si="36"/>
        <v>0</v>
      </c>
      <c r="AP47" s="78">
        <f t="shared" si="36"/>
        <v>0</v>
      </c>
      <c r="AQ47" s="78">
        <f t="shared" si="36"/>
        <v>0</v>
      </c>
      <c r="AR47" s="79">
        <f t="shared" si="36"/>
        <v>0</v>
      </c>
      <c r="AS47" s="93">
        <f t="shared" si="36"/>
        <v>0</v>
      </c>
      <c r="AT47" s="78">
        <f t="shared" si="36"/>
        <v>0</v>
      </c>
      <c r="AU47" s="78">
        <f t="shared" si="36"/>
        <v>0</v>
      </c>
      <c r="AV47" s="78">
        <f t="shared" si="36"/>
        <v>0</v>
      </c>
      <c r="AW47" s="78">
        <f t="shared" si="36"/>
        <v>0</v>
      </c>
      <c r="AX47" s="78">
        <f t="shared" si="36"/>
        <v>0</v>
      </c>
      <c r="AY47" s="78">
        <f t="shared" si="36"/>
        <v>0</v>
      </c>
      <c r="AZ47" s="78">
        <f t="shared" si="36"/>
        <v>0</v>
      </c>
      <c r="BA47" s="78">
        <f t="shared" si="36"/>
        <v>0</v>
      </c>
      <c r="BB47" s="79">
        <f t="shared" si="36"/>
        <v>0</v>
      </c>
      <c r="BC47" s="93">
        <f t="shared" si="36"/>
        <v>0</v>
      </c>
      <c r="BD47" s="78">
        <f t="shared" si="36"/>
        <v>0</v>
      </c>
      <c r="BE47" s="78">
        <f t="shared" si="36"/>
        <v>0</v>
      </c>
      <c r="BF47" s="78">
        <f t="shared" si="36"/>
        <v>0</v>
      </c>
      <c r="BG47" s="78">
        <f t="shared" si="36"/>
        <v>0</v>
      </c>
      <c r="BH47" s="78">
        <f t="shared" si="36"/>
        <v>0</v>
      </c>
      <c r="BI47" s="78">
        <f t="shared" si="36"/>
        <v>0</v>
      </c>
      <c r="BJ47" s="78">
        <f t="shared" si="36"/>
        <v>0</v>
      </c>
      <c r="BK47" s="78">
        <f t="shared" si="36"/>
        <v>0</v>
      </c>
      <c r="BL47" s="79">
        <f t="shared" si="36"/>
        <v>0</v>
      </c>
      <c r="BM47" s="93">
        <f t="shared" si="36"/>
        <v>0</v>
      </c>
      <c r="BN47" s="78">
        <f t="shared" si="36"/>
        <v>0</v>
      </c>
      <c r="BO47" s="78">
        <f t="shared" si="36"/>
        <v>0</v>
      </c>
      <c r="BP47" s="79">
        <f t="shared" si="36"/>
        <v>0</v>
      </c>
      <c r="BQ47" s="78">
        <f t="shared" si="36"/>
        <v>0</v>
      </c>
      <c r="BR47" s="78">
        <f t="shared" si="36"/>
        <v>0</v>
      </c>
      <c r="BS47" s="78">
        <f t="shared" si="36"/>
        <v>0</v>
      </c>
      <c r="BT47" s="256"/>
      <c r="BU47" s="530"/>
      <c r="BV47" s="640"/>
      <c r="BW47" s="637"/>
      <c r="BX47" s="392"/>
      <c r="CC47" s="302"/>
    </row>
    <row r="48" spans="1:81" s="281" customFormat="1" ht="14" hidden="1" x14ac:dyDescent="0.3">
      <c r="A48" s="4"/>
      <c r="B48" s="4"/>
      <c r="C48" s="633" t="s">
        <v>3065</v>
      </c>
      <c r="D48" s="638"/>
      <c r="E48" s="93">
        <f>E47-E49</f>
        <v>0</v>
      </c>
      <c r="F48" s="78">
        <f>F47-F49</f>
        <v>0</v>
      </c>
      <c r="G48" s="78">
        <f t="shared" ref="G48:M48" si="37">G47-G49</f>
        <v>0</v>
      </c>
      <c r="H48" s="78">
        <f t="shared" si="37"/>
        <v>0</v>
      </c>
      <c r="I48" s="78">
        <f t="shared" si="37"/>
        <v>0</v>
      </c>
      <c r="J48" s="78">
        <f t="shared" si="37"/>
        <v>0</v>
      </c>
      <c r="K48" s="78">
        <f t="shared" si="37"/>
        <v>0</v>
      </c>
      <c r="L48" s="78">
        <f t="shared" si="37"/>
        <v>0</v>
      </c>
      <c r="M48" s="78">
        <f t="shared" si="37"/>
        <v>0</v>
      </c>
      <c r="N48" s="79">
        <f>N47-N49</f>
        <v>0</v>
      </c>
      <c r="O48" s="93">
        <f>O47-O49</f>
        <v>0</v>
      </c>
      <c r="P48" s="78">
        <f t="shared" ref="P48:AU48" si="38">P47-P49</f>
        <v>0</v>
      </c>
      <c r="Q48" s="78">
        <f t="shared" si="38"/>
        <v>0</v>
      </c>
      <c r="R48" s="78">
        <f t="shared" si="38"/>
        <v>0</v>
      </c>
      <c r="S48" s="78">
        <f t="shared" si="38"/>
        <v>0</v>
      </c>
      <c r="T48" s="78">
        <f t="shared" si="38"/>
        <v>0</v>
      </c>
      <c r="U48" s="78">
        <f t="shared" si="38"/>
        <v>0</v>
      </c>
      <c r="V48" s="78">
        <f t="shared" si="38"/>
        <v>0</v>
      </c>
      <c r="W48" s="78">
        <f t="shared" si="38"/>
        <v>0</v>
      </c>
      <c r="X48" s="79">
        <f t="shared" si="38"/>
        <v>0</v>
      </c>
      <c r="Y48" s="93">
        <f t="shared" si="38"/>
        <v>0</v>
      </c>
      <c r="Z48" s="78">
        <f t="shared" si="38"/>
        <v>0</v>
      </c>
      <c r="AA48" s="78">
        <f t="shared" si="38"/>
        <v>0</v>
      </c>
      <c r="AB48" s="78">
        <f t="shared" si="38"/>
        <v>0</v>
      </c>
      <c r="AC48" s="78">
        <f t="shared" si="38"/>
        <v>0</v>
      </c>
      <c r="AD48" s="78">
        <f t="shared" si="38"/>
        <v>0</v>
      </c>
      <c r="AE48" s="78">
        <f t="shared" si="38"/>
        <v>0</v>
      </c>
      <c r="AF48" s="78">
        <f t="shared" si="38"/>
        <v>0</v>
      </c>
      <c r="AG48" s="78">
        <f t="shared" si="38"/>
        <v>0</v>
      </c>
      <c r="AH48" s="79">
        <f t="shared" si="38"/>
        <v>0</v>
      </c>
      <c r="AI48" s="93">
        <f t="shared" si="38"/>
        <v>0</v>
      </c>
      <c r="AJ48" s="78">
        <f t="shared" si="38"/>
        <v>0</v>
      </c>
      <c r="AK48" s="78">
        <f t="shared" si="38"/>
        <v>0</v>
      </c>
      <c r="AL48" s="78">
        <f t="shared" si="38"/>
        <v>0</v>
      </c>
      <c r="AM48" s="78">
        <f t="shared" si="38"/>
        <v>0</v>
      </c>
      <c r="AN48" s="78">
        <f t="shared" si="38"/>
        <v>0</v>
      </c>
      <c r="AO48" s="78">
        <f t="shared" si="38"/>
        <v>0</v>
      </c>
      <c r="AP48" s="78">
        <f t="shared" si="38"/>
        <v>0</v>
      </c>
      <c r="AQ48" s="78">
        <f t="shared" si="38"/>
        <v>0</v>
      </c>
      <c r="AR48" s="79">
        <f t="shared" si="38"/>
        <v>0</v>
      </c>
      <c r="AS48" s="93">
        <f t="shared" si="38"/>
        <v>0</v>
      </c>
      <c r="AT48" s="78">
        <f t="shared" si="38"/>
        <v>0</v>
      </c>
      <c r="AU48" s="78">
        <f t="shared" si="38"/>
        <v>0</v>
      </c>
      <c r="AV48" s="78">
        <f t="shared" ref="AV48:BS48" si="39">AV47-AV49</f>
        <v>0</v>
      </c>
      <c r="AW48" s="78">
        <f t="shared" si="39"/>
        <v>0</v>
      </c>
      <c r="AX48" s="78">
        <f t="shared" si="39"/>
        <v>0</v>
      </c>
      <c r="AY48" s="78">
        <f t="shared" si="39"/>
        <v>0</v>
      </c>
      <c r="AZ48" s="78">
        <f t="shared" si="39"/>
        <v>0</v>
      </c>
      <c r="BA48" s="78">
        <f t="shared" si="39"/>
        <v>0</v>
      </c>
      <c r="BB48" s="79">
        <f t="shared" si="39"/>
        <v>0</v>
      </c>
      <c r="BC48" s="93">
        <f t="shared" si="39"/>
        <v>0</v>
      </c>
      <c r="BD48" s="78">
        <f t="shared" si="39"/>
        <v>0</v>
      </c>
      <c r="BE48" s="78">
        <f t="shared" si="39"/>
        <v>0</v>
      </c>
      <c r="BF48" s="78">
        <f t="shared" si="39"/>
        <v>0</v>
      </c>
      <c r="BG48" s="78">
        <f t="shared" si="39"/>
        <v>0</v>
      </c>
      <c r="BH48" s="78">
        <f t="shared" si="39"/>
        <v>0</v>
      </c>
      <c r="BI48" s="78">
        <f t="shared" si="39"/>
        <v>0</v>
      </c>
      <c r="BJ48" s="78">
        <f t="shared" si="39"/>
        <v>0</v>
      </c>
      <c r="BK48" s="78">
        <f t="shared" si="39"/>
        <v>0</v>
      </c>
      <c r="BL48" s="79">
        <f t="shared" si="39"/>
        <v>0</v>
      </c>
      <c r="BM48" s="93">
        <f t="shared" si="39"/>
        <v>0</v>
      </c>
      <c r="BN48" s="78">
        <f t="shared" si="39"/>
        <v>0</v>
      </c>
      <c r="BO48" s="78">
        <f t="shared" si="39"/>
        <v>0</v>
      </c>
      <c r="BP48" s="79">
        <f t="shared" si="39"/>
        <v>0</v>
      </c>
      <c r="BQ48" s="78">
        <f t="shared" si="39"/>
        <v>0</v>
      </c>
      <c r="BR48" s="78">
        <f t="shared" si="39"/>
        <v>0</v>
      </c>
      <c r="BS48" s="78">
        <f t="shared" si="39"/>
        <v>0</v>
      </c>
      <c r="BT48" s="279"/>
      <c r="BU48" s="530"/>
      <c r="BV48" s="640"/>
      <c r="BW48" s="637"/>
      <c r="BX48" s="392"/>
      <c r="CC48" s="302"/>
    </row>
    <row r="49" spans="1:84" s="281" customFormat="1" ht="14.5" hidden="1" thickBot="1" x14ac:dyDescent="0.35">
      <c r="A49" s="4"/>
      <c r="B49" s="4"/>
      <c r="C49" s="632" t="s">
        <v>3066</v>
      </c>
      <c r="D49" s="638">
        <v>1589</v>
      </c>
      <c r="E49" s="93">
        <f>E32</f>
        <v>0</v>
      </c>
      <c r="F49" s="78">
        <f>F32</f>
        <v>0</v>
      </c>
      <c r="G49" s="78">
        <f t="shared" ref="G49:M49" si="40">G32</f>
        <v>0</v>
      </c>
      <c r="H49" s="78">
        <f t="shared" si="40"/>
        <v>0</v>
      </c>
      <c r="I49" s="78">
        <f t="shared" si="40"/>
        <v>0</v>
      </c>
      <c r="J49" s="78">
        <f t="shared" si="40"/>
        <v>0</v>
      </c>
      <c r="K49" s="78">
        <f t="shared" si="40"/>
        <v>0</v>
      </c>
      <c r="L49" s="78">
        <f t="shared" si="40"/>
        <v>0</v>
      </c>
      <c r="M49" s="78">
        <f t="shared" si="40"/>
        <v>0</v>
      </c>
      <c r="N49" s="79">
        <f>N32</f>
        <v>0</v>
      </c>
      <c r="O49" s="93">
        <f>O32</f>
        <v>0</v>
      </c>
      <c r="P49" s="78">
        <f t="shared" ref="P49:BS49" si="41">P32</f>
        <v>0</v>
      </c>
      <c r="Q49" s="78">
        <f t="shared" si="41"/>
        <v>0</v>
      </c>
      <c r="R49" s="78">
        <f t="shared" si="41"/>
        <v>0</v>
      </c>
      <c r="S49" s="78">
        <f t="shared" si="41"/>
        <v>0</v>
      </c>
      <c r="T49" s="78">
        <f t="shared" si="41"/>
        <v>0</v>
      </c>
      <c r="U49" s="78">
        <f t="shared" si="41"/>
        <v>0</v>
      </c>
      <c r="V49" s="78">
        <f t="shared" si="41"/>
        <v>0</v>
      </c>
      <c r="W49" s="78">
        <f t="shared" si="41"/>
        <v>0</v>
      </c>
      <c r="X49" s="79">
        <f t="shared" si="41"/>
        <v>0</v>
      </c>
      <c r="Y49" s="93">
        <f t="shared" si="41"/>
        <v>0</v>
      </c>
      <c r="Z49" s="78">
        <f t="shared" si="41"/>
        <v>0</v>
      </c>
      <c r="AA49" s="78">
        <f t="shared" si="41"/>
        <v>0</v>
      </c>
      <c r="AB49" s="78">
        <f t="shared" si="41"/>
        <v>0</v>
      </c>
      <c r="AC49" s="78">
        <f t="shared" si="41"/>
        <v>0</v>
      </c>
      <c r="AD49" s="78">
        <f t="shared" si="41"/>
        <v>0</v>
      </c>
      <c r="AE49" s="78">
        <f t="shared" si="41"/>
        <v>0</v>
      </c>
      <c r="AF49" s="78">
        <f t="shared" si="41"/>
        <v>0</v>
      </c>
      <c r="AG49" s="78">
        <f t="shared" si="41"/>
        <v>0</v>
      </c>
      <c r="AH49" s="79">
        <f t="shared" si="41"/>
        <v>0</v>
      </c>
      <c r="AI49" s="93">
        <f t="shared" si="41"/>
        <v>0</v>
      </c>
      <c r="AJ49" s="78">
        <f t="shared" si="41"/>
        <v>0</v>
      </c>
      <c r="AK49" s="78">
        <f t="shared" si="41"/>
        <v>0</v>
      </c>
      <c r="AL49" s="78">
        <f t="shared" si="41"/>
        <v>0</v>
      </c>
      <c r="AM49" s="78">
        <f t="shared" si="41"/>
        <v>0</v>
      </c>
      <c r="AN49" s="78">
        <f t="shared" si="41"/>
        <v>0</v>
      </c>
      <c r="AO49" s="78">
        <f t="shared" si="41"/>
        <v>0</v>
      </c>
      <c r="AP49" s="78">
        <f t="shared" si="41"/>
        <v>0</v>
      </c>
      <c r="AQ49" s="78">
        <f t="shared" si="41"/>
        <v>0</v>
      </c>
      <c r="AR49" s="79">
        <f t="shared" si="41"/>
        <v>0</v>
      </c>
      <c r="AS49" s="93">
        <f t="shared" si="41"/>
        <v>0</v>
      </c>
      <c r="AT49" s="78">
        <f t="shared" si="41"/>
        <v>0</v>
      </c>
      <c r="AU49" s="78">
        <f t="shared" si="41"/>
        <v>0</v>
      </c>
      <c r="AV49" s="78">
        <f t="shared" si="41"/>
        <v>0</v>
      </c>
      <c r="AW49" s="78">
        <f t="shared" si="41"/>
        <v>0</v>
      </c>
      <c r="AX49" s="78">
        <f t="shared" si="41"/>
        <v>0</v>
      </c>
      <c r="AY49" s="78">
        <f t="shared" si="41"/>
        <v>0</v>
      </c>
      <c r="AZ49" s="78">
        <f t="shared" si="41"/>
        <v>0</v>
      </c>
      <c r="BA49" s="78">
        <f t="shared" si="41"/>
        <v>0</v>
      </c>
      <c r="BB49" s="79">
        <f t="shared" si="41"/>
        <v>0</v>
      </c>
      <c r="BC49" s="93">
        <f t="shared" si="41"/>
        <v>0</v>
      </c>
      <c r="BD49" s="78">
        <f t="shared" si="41"/>
        <v>0</v>
      </c>
      <c r="BE49" s="78">
        <f t="shared" si="41"/>
        <v>0</v>
      </c>
      <c r="BF49" s="78">
        <f t="shared" si="41"/>
        <v>0</v>
      </c>
      <c r="BG49" s="78">
        <f t="shared" si="41"/>
        <v>0</v>
      </c>
      <c r="BH49" s="78">
        <f t="shared" si="41"/>
        <v>0</v>
      </c>
      <c r="BI49" s="78">
        <f t="shared" si="41"/>
        <v>0</v>
      </c>
      <c r="BJ49" s="78">
        <f t="shared" si="41"/>
        <v>0</v>
      </c>
      <c r="BK49" s="78">
        <f t="shared" si="41"/>
        <v>0</v>
      </c>
      <c r="BL49" s="79">
        <f t="shared" si="41"/>
        <v>0</v>
      </c>
      <c r="BM49" s="93">
        <f t="shared" si="41"/>
        <v>0</v>
      </c>
      <c r="BN49" s="78">
        <f t="shared" si="41"/>
        <v>0</v>
      </c>
      <c r="BO49" s="78">
        <f t="shared" si="41"/>
        <v>0</v>
      </c>
      <c r="BP49" s="79">
        <f t="shared" si="41"/>
        <v>0</v>
      </c>
      <c r="BQ49" s="78">
        <f t="shared" si="41"/>
        <v>0</v>
      </c>
      <c r="BR49" s="78">
        <f t="shared" si="41"/>
        <v>0</v>
      </c>
      <c r="BS49" s="78">
        <f t="shared" si="41"/>
        <v>0</v>
      </c>
      <c r="BT49" s="279"/>
      <c r="BU49" s="530"/>
      <c r="BV49" s="640"/>
      <c r="BW49" s="637"/>
      <c r="BX49" s="392"/>
      <c r="CC49" s="302"/>
    </row>
    <row r="50" spans="1:84" s="75" customFormat="1" ht="14.5" thickBot="1" x14ac:dyDescent="0.35">
      <c r="A50" s="1"/>
      <c r="B50" s="1"/>
      <c r="C50" s="245"/>
      <c r="D50" s="246"/>
      <c r="E50" s="639"/>
      <c r="F50" s="95"/>
      <c r="G50" s="95"/>
      <c r="H50" s="95"/>
      <c r="I50" s="95"/>
      <c r="J50" s="95"/>
      <c r="K50" s="95"/>
      <c r="L50" s="95"/>
      <c r="M50" s="95"/>
      <c r="N50" s="95"/>
      <c r="O50" s="94"/>
      <c r="P50" s="95"/>
      <c r="Q50" s="95"/>
      <c r="R50" s="95"/>
      <c r="S50" s="95"/>
      <c r="T50" s="95"/>
      <c r="U50" s="95"/>
      <c r="V50" s="95"/>
      <c r="W50" s="95"/>
      <c r="X50" s="95"/>
      <c r="Y50" s="94"/>
      <c r="Z50" s="95"/>
      <c r="AA50" s="95"/>
      <c r="AB50" s="95"/>
      <c r="AC50" s="95"/>
      <c r="AD50" s="95"/>
      <c r="AE50" s="95"/>
      <c r="AF50" s="95"/>
      <c r="AG50" s="95"/>
      <c r="AH50" s="95"/>
      <c r="AI50" s="94"/>
      <c r="AJ50" s="95"/>
      <c r="AK50" s="95"/>
      <c r="AL50" s="95"/>
      <c r="AM50" s="95"/>
      <c r="AN50" s="95"/>
      <c r="AO50" s="95"/>
      <c r="AP50" s="95"/>
      <c r="AQ50" s="95"/>
      <c r="AR50" s="95"/>
      <c r="AS50" s="94"/>
      <c r="AT50" s="95"/>
      <c r="AU50" s="95"/>
      <c r="AV50" s="95"/>
      <c r="AW50" s="95"/>
      <c r="AX50" s="95"/>
      <c r="AY50" s="95"/>
      <c r="AZ50" s="95"/>
      <c r="BA50" s="95"/>
      <c r="BB50" s="95"/>
      <c r="BC50" s="94"/>
      <c r="BD50" s="95"/>
      <c r="BE50" s="95"/>
      <c r="BF50" s="95"/>
      <c r="BG50" s="95"/>
      <c r="BH50" s="95"/>
      <c r="BI50" s="95"/>
      <c r="BJ50" s="95"/>
      <c r="BK50" s="95"/>
      <c r="BL50" s="95"/>
      <c r="BM50" s="94"/>
      <c r="BN50" s="95"/>
      <c r="BO50" s="95"/>
      <c r="BP50" s="95"/>
      <c r="BQ50" s="94"/>
      <c r="BR50" s="95"/>
      <c r="BS50" s="95"/>
      <c r="BT50" s="257"/>
      <c r="BU50" s="257"/>
      <c r="BV50" s="257"/>
      <c r="BW50" s="163"/>
      <c r="BX50" s="395"/>
      <c r="CC50" s="300"/>
    </row>
    <row r="53" spans="1:84" ht="30.75" customHeight="1" x14ac:dyDescent="0.3">
      <c r="B53" s="313"/>
      <c r="C53" s="1095" t="s">
        <v>160</v>
      </c>
      <c r="D53" s="1095"/>
      <c r="E53" s="1095"/>
      <c r="F53" s="1095"/>
      <c r="G53" s="312"/>
      <c r="H53" s="312"/>
      <c r="I53" s="312"/>
    </row>
    <row r="54" spans="1:84" ht="29.25" customHeight="1" x14ac:dyDescent="0.3">
      <c r="A54" s="96"/>
      <c r="B54" s="314"/>
      <c r="E54" s="573"/>
      <c r="F54" s="573"/>
      <c r="G54" s="573"/>
      <c r="H54" s="573"/>
      <c r="I54" s="315"/>
      <c r="L54" s="56"/>
      <c r="M54" s="56"/>
      <c r="V54" s="56"/>
      <c r="W54" s="56"/>
      <c r="AF54" s="56"/>
      <c r="AG54" s="56"/>
      <c r="AP54" s="56"/>
      <c r="AQ54" s="56"/>
      <c r="AZ54" s="56"/>
      <c r="BA54" s="56"/>
      <c r="BJ54" s="56"/>
      <c r="BK54" s="56"/>
      <c r="BM54" s="56"/>
      <c r="BN54" s="56"/>
      <c r="BO54" s="56"/>
      <c r="BP54" s="56"/>
    </row>
    <row r="55" spans="1:84" ht="55" customHeight="1" x14ac:dyDescent="0.3">
      <c r="A55" s="96"/>
      <c r="B55" s="314">
        <v>1</v>
      </c>
      <c r="C55" s="1074" t="s">
        <v>2909</v>
      </c>
      <c r="D55" s="1074"/>
      <c r="E55" s="315"/>
      <c r="F55" s="315"/>
      <c r="G55" s="315"/>
      <c r="H55" s="315"/>
      <c r="I55" s="315"/>
      <c r="L55" s="56"/>
      <c r="M55" s="56"/>
      <c r="V55" s="56"/>
      <c r="W55" s="56"/>
      <c r="AF55" s="56"/>
      <c r="AG55" s="56"/>
      <c r="AP55" s="56"/>
      <c r="AQ55" s="56"/>
      <c r="AZ55" s="56"/>
      <c r="BA55" s="56"/>
      <c r="BJ55" s="56"/>
      <c r="BK55" s="56"/>
      <c r="BM55" s="56"/>
      <c r="BN55" s="56"/>
      <c r="BO55" s="56"/>
      <c r="BP55" s="56"/>
    </row>
    <row r="56" spans="1:84" s="55" customFormat="1" ht="93" customHeight="1" x14ac:dyDescent="0.3">
      <c r="A56" s="96"/>
      <c r="B56" s="314">
        <v>2</v>
      </c>
      <c r="C56" s="1074" t="s">
        <v>3427</v>
      </c>
      <c r="D56" s="1074"/>
      <c r="E56" s="316"/>
      <c r="F56" s="315"/>
      <c r="G56" s="315"/>
      <c r="H56" s="315"/>
      <c r="I56" s="315"/>
      <c r="L56" s="56"/>
      <c r="M56" s="56"/>
      <c r="V56" s="56"/>
      <c r="W56" s="56"/>
      <c r="AF56" s="56"/>
      <c r="AG56" s="56"/>
      <c r="AP56" s="56"/>
      <c r="AQ56" s="56"/>
      <c r="AZ56" s="56"/>
      <c r="BA56" s="56"/>
      <c r="BJ56" s="56"/>
      <c r="BK56" s="56"/>
      <c r="BM56" s="56"/>
      <c r="BN56" s="56"/>
      <c r="BO56" s="56"/>
      <c r="BP56" s="56"/>
      <c r="BX56" s="393"/>
      <c r="BY56" s="1"/>
      <c r="BZ56" s="1"/>
      <c r="CA56" s="1"/>
      <c r="CB56" s="1"/>
      <c r="CC56" s="1"/>
      <c r="CD56" s="1"/>
      <c r="CE56" s="1"/>
      <c r="CF56" s="1"/>
    </row>
    <row r="57" spans="1:84" s="55" customFormat="1" ht="138.75" customHeight="1" x14ac:dyDescent="0.3">
      <c r="A57" s="96"/>
      <c r="B57" s="314">
        <v>3</v>
      </c>
      <c r="C57" s="1074" t="s">
        <v>3426</v>
      </c>
      <c r="D57" s="1074"/>
      <c r="E57" s="573"/>
      <c r="F57" s="573"/>
      <c r="G57" s="573"/>
      <c r="H57" s="573"/>
      <c r="I57" s="573"/>
      <c r="L57" s="56"/>
      <c r="M57" s="56"/>
      <c r="V57" s="56"/>
      <c r="W57" s="56"/>
      <c r="AF57" s="56"/>
      <c r="AG57" s="56"/>
      <c r="AP57" s="56"/>
      <c r="AQ57" s="56"/>
      <c r="AZ57" s="56"/>
      <c r="BA57" s="56"/>
      <c r="BJ57" s="56"/>
      <c r="BK57" s="56"/>
      <c r="BM57" s="56"/>
      <c r="BN57" s="56"/>
      <c r="BO57" s="56"/>
      <c r="BP57" s="56"/>
      <c r="BX57" s="393"/>
      <c r="BY57" s="1"/>
      <c r="BZ57" s="1"/>
      <c r="CA57" s="1"/>
      <c r="CB57" s="1"/>
      <c r="CC57" s="1"/>
      <c r="CD57" s="1"/>
      <c r="CE57" s="1"/>
      <c r="CF57" s="1"/>
    </row>
    <row r="58" spans="1:84" s="55" customFormat="1" ht="105.4" customHeight="1" x14ac:dyDescent="0.25">
      <c r="A58" s="96"/>
      <c r="B58" s="314">
        <v>4</v>
      </c>
      <c r="C58" s="1074" t="s">
        <v>2951</v>
      </c>
      <c r="D58" s="1074"/>
      <c r="E58" s="573"/>
      <c r="F58" s="573"/>
      <c r="G58" s="573"/>
      <c r="H58" s="573"/>
      <c r="I58" s="573"/>
      <c r="BX58" s="393"/>
      <c r="BY58" s="1"/>
      <c r="BZ58" s="1"/>
      <c r="CA58" s="1"/>
      <c r="CB58" s="1"/>
      <c r="CC58" s="1"/>
      <c r="CD58" s="1"/>
      <c r="CE58" s="1"/>
      <c r="CF58" s="1"/>
    </row>
    <row r="59" spans="1:84" s="55" customFormat="1" ht="75.75" customHeight="1" x14ac:dyDescent="0.25">
      <c r="A59" s="96"/>
      <c r="B59" s="314">
        <v>5</v>
      </c>
      <c r="C59" s="1075" t="s">
        <v>3047</v>
      </c>
      <c r="D59" s="1075"/>
      <c r="E59" s="572"/>
      <c r="F59" s="572"/>
      <c r="G59" s="572"/>
      <c r="H59" s="572"/>
      <c r="I59" s="572"/>
      <c r="BX59" s="393"/>
      <c r="BY59" s="1"/>
      <c r="BZ59" s="1"/>
      <c r="CA59" s="1"/>
      <c r="CB59" s="1"/>
      <c r="CC59" s="1"/>
      <c r="CD59" s="1"/>
      <c r="CE59" s="1"/>
      <c r="CF59" s="1"/>
    </row>
    <row r="60" spans="1:84" s="55" customFormat="1" ht="39.75" customHeight="1" x14ac:dyDescent="0.25">
      <c r="A60" s="96"/>
      <c r="B60" s="314">
        <v>6</v>
      </c>
      <c r="C60" s="1075" t="s">
        <v>2952</v>
      </c>
      <c r="D60" s="1075"/>
      <c r="E60" s="578"/>
      <c r="F60" s="578"/>
      <c r="G60" s="578"/>
      <c r="H60" s="578"/>
      <c r="I60" s="578"/>
      <c r="BX60" s="393"/>
      <c r="BY60" s="1"/>
      <c r="BZ60" s="1"/>
      <c r="CA60" s="1"/>
      <c r="CB60" s="1"/>
      <c r="CC60" s="1"/>
      <c r="CD60" s="1"/>
      <c r="CE60" s="1"/>
      <c r="CF60" s="1"/>
    </row>
  </sheetData>
  <sheetProtection algorithmName="SHA-512" hashValue="pfcyGL3ep841p7qdhlM45OCCMQDRfa2LPL417evPkewBryBTSr/gPsOnedSTqZ0h+q9rMhGzOVC53m8eAHT7JA==" saltValue="/XrlgSTXj6y0JOQvx4enGw==" spinCount="100000" sheet="1" objects="1" scenarios="1"/>
  <mergeCells count="88">
    <mergeCell ref="BQ19:BT19"/>
    <mergeCell ref="H20:H22"/>
    <mergeCell ref="I20:I22"/>
    <mergeCell ref="AS19:BB19"/>
    <mergeCell ref="J20:J22"/>
    <mergeCell ref="K20:K22"/>
    <mergeCell ref="L20:L22"/>
    <mergeCell ref="M20:M22"/>
    <mergeCell ref="N20:N22"/>
    <mergeCell ref="W20:W22"/>
    <mergeCell ref="E19:N19"/>
    <mergeCell ref="O19:X19"/>
    <mergeCell ref="Y19:AH19"/>
    <mergeCell ref="AI19:AR19"/>
    <mergeCell ref="BM19:BP19"/>
    <mergeCell ref="BC19:BL19"/>
    <mergeCell ref="C20:C22"/>
    <mergeCell ref="D20:D22"/>
    <mergeCell ref="E20:E22"/>
    <mergeCell ref="F20:F22"/>
    <mergeCell ref="G20:G22"/>
    <mergeCell ref="AO20:AO22"/>
    <mergeCell ref="AP20:AP22"/>
    <mergeCell ref="AQ20:AQ22"/>
    <mergeCell ref="AR20:AR22"/>
    <mergeCell ref="AS20:AS22"/>
    <mergeCell ref="P20:P22"/>
    <mergeCell ref="Q20:Q22"/>
    <mergeCell ref="X20:X22"/>
    <mergeCell ref="Y20:Y22"/>
    <mergeCell ref="Z20:Z22"/>
    <mergeCell ref="R20:R22"/>
    <mergeCell ref="S20:S22"/>
    <mergeCell ref="T20:T22"/>
    <mergeCell ref="U20:U22"/>
    <mergeCell ref="V20:V22"/>
    <mergeCell ref="AJ20:AJ22"/>
    <mergeCell ref="AK20:AK22"/>
    <mergeCell ref="AL20:AL22"/>
    <mergeCell ref="AA20:AA22"/>
    <mergeCell ref="AD20:AD22"/>
    <mergeCell ref="AE20:AE22"/>
    <mergeCell ref="AF20:AF22"/>
    <mergeCell ref="AG20:AG22"/>
    <mergeCell ref="AH20:AH22"/>
    <mergeCell ref="BW20:BW22"/>
    <mergeCell ref="C53:F53"/>
    <mergeCell ref="BL20:BL22"/>
    <mergeCell ref="BM20:BM22"/>
    <mergeCell ref="BN20:BN22"/>
    <mergeCell ref="BO20:BO22"/>
    <mergeCell ref="BP20:BP22"/>
    <mergeCell ref="BQ20:BQ22"/>
    <mergeCell ref="BF20:BF22"/>
    <mergeCell ref="BG20:BG22"/>
    <mergeCell ref="BH20:BH22"/>
    <mergeCell ref="BI20:BI22"/>
    <mergeCell ref="BJ20:BJ22"/>
    <mergeCell ref="BK20:BK22"/>
    <mergeCell ref="AZ20:AZ22"/>
    <mergeCell ref="BA20:BA22"/>
    <mergeCell ref="BV20:BV22"/>
    <mergeCell ref="BB20:BB22"/>
    <mergeCell ref="BC20:BC22"/>
    <mergeCell ref="BD20:BD22"/>
    <mergeCell ref="BE20:BE22"/>
    <mergeCell ref="BU20:BU22"/>
    <mergeCell ref="C60:D60"/>
    <mergeCell ref="BR20:BR22"/>
    <mergeCell ref="BS20:BS22"/>
    <mergeCell ref="BT20:BT22"/>
    <mergeCell ref="AT20:AT22"/>
    <mergeCell ref="AU20:AU22"/>
    <mergeCell ref="AV20:AV22"/>
    <mergeCell ref="AW20:AW22"/>
    <mergeCell ref="AX20:AX22"/>
    <mergeCell ref="AY20:AY22"/>
    <mergeCell ref="AN20:AN22"/>
    <mergeCell ref="O20:O22"/>
    <mergeCell ref="AM20:AM22"/>
    <mergeCell ref="AB20:AB22"/>
    <mergeCell ref="AC20:AC22"/>
    <mergeCell ref="AI20:AI22"/>
    <mergeCell ref="C55:D55"/>
    <mergeCell ref="C56:D56"/>
    <mergeCell ref="C57:D57"/>
    <mergeCell ref="C58:D58"/>
    <mergeCell ref="C59:D59"/>
  </mergeCells>
  <conditionalFormatting sqref="F25:H25 K25:M25">
    <cfRule type="expression" dxfId="287" priority="43">
      <formula>$E$19&lt;2013</formula>
    </cfRule>
  </conditionalFormatting>
  <conditionalFormatting sqref="P25:R25 U25:W25">
    <cfRule type="expression" dxfId="286" priority="42">
      <formula>$O$19&lt;2013</formula>
    </cfRule>
  </conditionalFormatting>
  <conditionalFormatting sqref="Z25:AB25 AE25:AG25">
    <cfRule type="expression" dxfId="285" priority="41">
      <formula>$Y$19&lt;2013</formula>
    </cfRule>
  </conditionalFormatting>
  <conditionalFormatting sqref="AJ25:AL25 AO25:AQ25">
    <cfRule type="expression" dxfId="284" priority="40">
      <formula>$AI$19&lt;2013</formula>
    </cfRule>
  </conditionalFormatting>
  <conditionalFormatting sqref="AT25:AV25 AY25:BA25">
    <cfRule type="expression" dxfId="283" priority="39">
      <formula>$AS$19&lt;2013</formula>
    </cfRule>
  </conditionalFormatting>
  <conditionalFormatting sqref="BD25:BF25 BI25:BK25">
    <cfRule type="expression" dxfId="282" priority="38">
      <formula>$BC$19&lt;2013</formula>
    </cfRule>
  </conditionalFormatting>
  <conditionalFormatting sqref="U27:W28">
    <cfRule type="expression" dxfId="281" priority="36">
      <formula>$O$19&lt;2015</formula>
    </cfRule>
  </conditionalFormatting>
  <conditionalFormatting sqref="Z27:AB28 AE27:AG28">
    <cfRule type="expression" dxfId="280" priority="35">
      <formula>$Y$19&lt;2015</formula>
    </cfRule>
  </conditionalFormatting>
  <conditionalFormatting sqref="AJ27:AL28 AO27:AQ28">
    <cfRule type="expression" dxfId="279" priority="34">
      <formula>$AI$19&lt;2015</formula>
    </cfRule>
  </conditionalFormatting>
  <conditionalFormatting sqref="AT27:AV28 AY27:BA28">
    <cfRule type="expression" dxfId="278" priority="33">
      <formula>$AS$19&lt;2015</formula>
    </cfRule>
  </conditionalFormatting>
  <conditionalFormatting sqref="BD27:BF28 BI27:BK28">
    <cfRule type="expression" dxfId="277" priority="32">
      <formula>$BC$19&lt;2015</formula>
    </cfRule>
  </conditionalFormatting>
  <conditionalFormatting sqref="F24:G24">
    <cfRule type="expression" dxfId="276" priority="2">
      <formula>$E$19&lt;2013</formula>
    </cfRule>
  </conditionalFormatting>
  <conditionalFormatting sqref="BK26">
    <cfRule type="expression" dxfId="275" priority="1">
      <formula>$BC$19&lt;2015</formula>
    </cfRule>
  </conditionalFormatting>
  <dataValidations disablePrompts="1" count="1">
    <dataValidation type="list" errorTitle="Selection Needed" error="Please select an option from the drop-down list." prompt="Use the following format eg: January 1, 2013" sqref="BU31:BU32 BU34:BU37" xr:uid="{00000000-0002-0000-0400-000000000000}">
      <formula1>"Yes,No"</formula1>
    </dataValidation>
  </dataValidations>
  <pageMargins left="0.36" right="0.41" top="0.64" bottom="0.98425196850393704" header="0.32" footer="0.51181102362204722"/>
  <pageSetup scale="42" orientation="landscape" r:id="rId1"/>
  <headerFooter alignWithMargins="0"/>
  <colBreaks count="3" manualBreakCount="3">
    <brk id="4" max="1048575" man="1"/>
    <brk id="14" max="1048575" man="1"/>
    <brk id="24"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CH130"/>
  <sheetViews>
    <sheetView showGridLines="0" topLeftCell="A13" zoomScale="70" zoomScaleNormal="70" workbookViewId="0">
      <pane xSplit="4" topLeftCell="E1" activePane="topRight" state="frozenSplit"/>
      <selection activeCell="Z40" sqref="Z40"/>
      <selection pane="topRight" activeCell="Z40" sqref="Z40"/>
    </sheetView>
  </sheetViews>
  <sheetFormatPr defaultColWidth="9" defaultRowHeight="12.5" x14ac:dyDescent="0.25"/>
  <cols>
    <col min="1" max="1" width="5.1796875" style="1" hidden="1" customWidth="1"/>
    <col min="2" max="2" width="33.26953125" style="1" customWidth="1"/>
    <col min="3" max="3" width="94.26953125" style="1" customWidth="1"/>
    <col min="4" max="4" width="11" style="1" customWidth="1"/>
    <col min="5" max="5" width="16" style="55" hidden="1" customWidth="1"/>
    <col min="6" max="6" width="23" style="55" hidden="1" customWidth="1"/>
    <col min="7" max="8" width="18.26953125" style="55" hidden="1" customWidth="1"/>
    <col min="9" max="9" width="14.7265625" style="55" hidden="1" customWidth="1"/>
    <col min="10" max="10" width="14" style="55" hidden="1" customWidth="1"/>
    <col min="11" max="13" width="14.81640625" style="55" hidden="1" customWidth="1"/>
    <col min="14" max="14" width="15.26953125" style="55" hidden="1" customWidth="1"/>
    <col min="15" max="15" width="16" style="55" hidden="1" customWidth="1"/>
    <col min="16" max="16" width="23" style="55" hidden="1" customWidth="1"/>
    <col min="17" max="18" width="18.26953125" style="55" hidden="1" customWidth="1"/>
    <col min="19" max="19" width="14.7265625" style="55" hidden="1" customWidth="1"/>
    <col min="20" max="20" width="14" style="55" hidden="1" customWidth="1"/>
    <col min="21" max="23" width="14.81640625" style="55" hidden="1" customWidth="1"/>
    <col min="24" max="24" width="15.26953125" style="55" hidden="1" customWidth="1"/>
    <col min="25" max="25" width="16" style="55" customWidth="1"/>
    <col min="26" max="26" width="23" style="55" customWidth="1"/>
    <col min="27" max="28" width="18.26953125" style="55" customWidth="1"/>
    <col min="29" max="29" width="14.7265625" style="55" customWidth="1"/>
    <col min="30" max="30" width="14" style="55" customWidth="1"/>
    <col min="31" max="33" width="14.81640625" style="55" customWidth="1"/>
    <col min="34" max="34" width="15.26953125" style="55" customWidth="1"/>
    <col min="35" max="35" width="16" style="55" customWidth="1"/>
    <col min="36" max="36" width="19.54296875" style="55" customWidth="1"/>
    <col min="37" max="38" width="18.26953125" style="55" customWidth="1"/>
    <col min="39" max="39" width="14.7265625" style="55" customWidth="1"/>
    <col min="40" max="40" width="14" style="55" customWidth="1"/>
    <col min="41" max="43" width="14.81640625" style="55" customWidth="1"/>
    <col min="44" max="44" width="15.26953125" style="55" customWidth="1"/>
    <col min="45" max="45" width="16" style="55" customWidth="1"/>
    <col min="46" max="46" width="18.54296875" style="55" customWidth="1"/>
    <col min="47" max="48" width="18.26953125" style="55" customWidth="1"/>
    <col min="49" max="49" width="14.7265625" style="55" customWidth="1"/>
    <col min="50" max="50" width="14" style="55" customWidth="1"/>
    <col min="51" max="53" width="14.81640625" style="55" customWidth="1"/>
    <col min="54" max="54" width="15.26953125" style="55" customWidth="1"/>
    <col min="55" max="55" width="16" style="55" customWidth="1"/>
    <col min="56" max="58" width="18.26953125" style="55" customWidth="1"/>
    <col min="59" max="59" width="14.7265625" style="55" customWidth="1"/>
    <col min="60" max="60" width="14" style="55" customWidth="1"/>
    <col min="61" max="63" width="14.81640625" style="55" customWidth="1"/>
    <col min="64" max="64" width="15.26953125" style="55" customWidth="1"/>
    <col min="65" max="66" width="14.81640625" style="55" customWidth="1"/>
    <col min="67" max="67" width="18" style="55" customWidth="1"/>
    <col min="68" max="68" width="17.26953125" style="55" customWidth="1"/>
    <col min="69" max="71" width="26.81640625" style="55" customWidth="1"/>
    <col min="72" max="72" width="47" style="55" customWidth="1"/>
    <col min="73" max="73" width="18.26953125" style="55" customWidth="1"/>
    <col min="74" max="74" width="22.26953125" style="55" bestFit="1" customWidth="1"/>
    <col min="75" max="75" width="19.81640625" style="55" customWidth="1"/>
    <col min="76" max="76" width="9" style="393"/>
    <col min="77" max="79" width="9" style="1"/>
    <col min="80" max="80" width="12.54296875" style="1" hidden="1" customWidth="1"/>
    <col min="81" max="81" width="9" style="1" hidden="1" customWidth="1"/>
    <col min="82" max="83" width="9" style="1"/>
    <col min="84" max="84" width="0" style="1" hidden="1" customWidth="1"/>
    <col min="85" max="16384" width="9" style="1"/>
  </cols>
  <sheetData>
    <row r="1" spans="3:84" x14ac:dyDescent="0.25">
      <c r="F1" s="311">
        <v>16</v>
      </c>
      <c r="BQ1" s="297"/>
      <c r="BR1" s="297"/>
      <c r="BS1" s="297"/>
      <c r="BT1" s="297"/>
      <c r="BU1" s="297"/>
      <c r="CF1" s="1">
        <v>1</v>
      </c>
    </row>
    <row r="2" spans="3:84" x14ac:dyDescent="0.25">
      <c r="BQ2" s="297"/>
      <c r="BR2" s="297"/>
      <c r="BS2" s="297"/>
      <c r="BT2" s="297"/>
      <c r="BU2" s="297"/>
      <c r="CF2" s="1">
        <v>2</v>
      </c>
    </row>
    <row r="3" spans="3:84" x14ac:dyDescent="0.25">
      <c r="BQ3" s="297"/>
      <c r="BR3" s="297"/>
      <c r="BS3" s="297"/>
      <c r="BT3" s="297"/>
      <c r="BU3" s="297"/>
      <c r="CF3" s="1">
        <v>3</v>
      </c>
    </row>
    <row r="4" spans="3:84" x14ac:dyDescent="0.25">
      <c r="BQ4" s="297"/>
      <c r="BR4" s="297"/>
      <c r="BS4" s="297"/>
      <c r="BT4" s="297"/>
      <c r="BU4" s="297"/>
      <c r="CF4" s="1">
        <v>4</v>
      </c>
    </row>
    <row r="5" spans="3:84" x14ac:dyDescent="0.25">
      <c r="BQ5" s="297"/>
      <c r="BR5" s="297"/>
      <c r="BS5" s="297"/>
      <c r="BT5" s="297"/>
      <c r="BU5" s="297"/>
      <c r="CF5" s="1">
        <v>5</v>
      </c>
    </row>
    <row r="6" spans="3:84" x14ac:dyDescent="0.25">
      <c r="BQ6" s="297"/>
      <c r="BR6" s="297"/>
      <c r="BS6" s="297"/>
      <c r="BT6" s="297"/>
      <c r="BU6" s="297"/>
      <c r="CF6" s="1">
        <v>6</v>
      </c>
    </row>
    <row r="7" spans="3:84" x14ac:dyDescent="0.25">
      <c r="BQ7" s="297"/>
      <c r="BR7" s="297"/>
      <c r="BS7" s="297"/>
      <c r="BT7" s="297"/>
      <c r="BU7" s="297"/>
      <c r="CF7" s="1">
        <v>7</v>
      </c>
    </row>
    <row r="8" spans="3:84" x14ac:dyDescent="0.25">
      <c r="BQ8" s="297"/>
      <c r="BR8" s="297"/>
      <c r="BS8" s="297"/>
      <c r="BT8" s="297"/>
      <c r="BU8" s="297"/>
      <c r="CF8" s="1">
        <v>8</v>
      </c>
    </row>
    <row r="9" spans="3:84" x14ac:dyDescent="0.25">
      <c r="BQ9" s="297"/>
      <c r="BR9" s="297"/>
      <c r="BS9" s="297"/>
      <c r="BT9" s="297"/>
      <c r="BU9" s="297"/>
      <c r="CF9" s="1">
        <v>9</v>
      </c>
    </row>
    <row r="10" spans="3:84" x14ac:dyDescent="0.25">
      <c r="BQ10" s="297"/>
      <c r="BR10" s="297"/>
      <c r="BS10" s="297"/>
      <c r="BT10" s="297"/>
      <c r="BU10" s="297"/>
      <c r="CF10" s="1">
        <v>10</v>
      </c>
    </row>
    <row r="11" spans="3:84" x14ac:dyDescent="0.25">
      <c r="BQ11" s="297"/>
      <c r="BR11" s="297"/>
      <c r="BS11" s="297"/>
      <c r="BT11" s="297"/>
      <c r="BU11" s="297"/>
      <c r="CB11" s="350" t="b">
        <v>1</v>
      </c>
      <c r="CF11" s="1">
        <v>11</v>
      </c>
    </row>
    <row r="12" spans="3:84" x14ac:dyDescent="0.25">
      <c r="BQ12" s="297"/>
      <c r="BR12" s="297"/>
      <c r="BS12" s="297"/>
      <c r="BT12" s="297"/>
      <c r="BU12" s="297"/>
      <c r="CB12" s="350" t="b">
        <v>0</v>
      </c>
      <c r="CF12" s="1">
        <v>12</v>
      </c>
    </row>
    <row r="13" spans="3:84" x14ac:dyDescent="0.25">
      <c r="BQ13" s="297"/>
      <c r="BR13" s="297"/>
      <c r="BS13" s="297"/>
      <c r="BT13" s="297"/>
      <c r="BU13" s="297"/>
      <c r="CF13" s="1">
        <v>13</v>
      </c>
    </row>
    <row r="14" spans="3:84" x14ac:dyDescent="0.25">
      <c r="BQ14" s="297"/>
      <c r="BR14" s="297"/>
      <c r="BS14" s="297"/>
      <c r="BT14" s="297"/>
      <c r="BU14" s="297"/>
      <c r="CF14" s="1">
        <v>14</v>
      </c>
    </row>
    <row r="15" spans="3:84" x14ac:dyDescent="0.25">
      <c r="BQ15" s="297"/>
      <c r="BR15" s="297"/>
      <c r="BS15" s="297"/>
      <c r="BT15" s="297"/>
      <c r="BU15" s="297"/>
      <c r="CF15" s="1">
        <v>15</v>
      </c>
    </row>
    <row r="16" spans="3:84" ht="62.25" customHeight="1" x14ac:dyDescent="0.35">
      <c r="C16" s="378" t="s">
        <v>2865</v>
      </c>
      <c r="D16" s="378"/>
      <c r="E16" s="378"/>
      <c r="F16" s="378"/>
      <c r="G16" s="378"/>
      <c r="H16" s="378"/>
      <c r="I16" s="378"/>
      <c r="J16" s="378"/>
      <c r="K16" s="378"/>
      <c r="L16" s="378"/>
      <c r="M16" s="378"/>
      <c r="N16" s="378"/>
      <c r="O16" s="378"/>
      <c r="BQ16" s="297"/>
      <c r="BR16" s="297"/>
      <c r="BS16" s="297"/>
      <c r="BT16" s="297"/>
      <c r="BU16" s="297"/>
      <c r="CF16" s="1">
        <v>16</v>
      </c>
    </row>
    <row r="17" spans="1:86" ht="14.5" x14ac:dyDescent="0.25">
      <c r="E17" s="303"/>
      <c r="BQ17" s="297"/>
      <c r="BR17" s="297"/>
      <c r="BS17" s="297"/>
      <c r="BT17" s="297"/>
      <c r="BU17" s="297"/>
    </row>
    <row r="18" spans="1:86" ht="13.5" thickBot="1" x14ac:dyDescent="0.35">
      <c r="C18" s="3"/>
      <c r="R18" s="248"/>
      <c r="BO18" s="97"/>
      <c r="BP18" s="97"/>
      <c r="BQ18" s="298"/>
      <c r="BR18" s="298"/>
      <c r="BS18" s="298"/>
      <c r="BT18" s="298"/>
      <c r="BU18" s="298"/>
    </row>
    <row r="19" spans="1:86" s="57" customFormat="1" ht="29" thickBot="1" x14ac:dyDescent="0.7">
      <c r="C19" s="344"/>
      <c r="D19" s="58"/>
      <c r="E19" s="1108">
        <v>2017</v>
      </c>
      <c r="F19" s="1109"/>
      <c r="G19" s="1109"/>
      <c r="H19" s="1109"/>
      <c r="I19" s="1109"/>
      <c r="J19" s="1109"/>
      <c r="K19" s="1109"/>
      <c r="L19" s="1109"/>
      <c r="M19" s="1109"/>
      <c r="N19" s="1110"/>
      <c r="O19" s="1105">
        <f>E19+1</f>
        <v>2018</v>
      </c>
      <c r="P19" s="1106"/>
      <c r="Q19" s="1106"/>
      <c r="R19" s="1106"/>
      <c r="S19" s="1106"/>
      <c r="T19" s="1106"/>
      <c r="U19" s="1106"/>
      <c r="V19" s="1106"/>
      <c r="W19" s="1106"/>
      <c r="X19" s="1107"/>
      <c r="Y19" s="1105">
        <f>O19+1</f>
        <v>2019</v>
      </c>
      <c r="Z19" s="1106"/>
      <c r="AA19" s="1106"/>
      <c r="AB19" s="1106"/>
      <c r="AC19" s="1106"/>
      <c r="AD19" s="1106"/>
      <c r="AE19" s="1106"/>
      <c r="AF19" s="1106"/>
      <c r="AG19" s="1106"/>
      <c r="AH19" s="1107"/>
      <c r="AI19" s="1105">
        <f>Y19+1</f>
        <v>2020</v>
      </c>
      <c r="AJ19" s="1106"/>
      <c r="AK19" s="1106"/>
      <c r="AL19" s="1106"/>
      <c r="AM19" s="1106"/>
      <c r="AN19" s="1106"/>
      <c r="AO19" s="1106"/>
      <c r="AP19" s="1106"/>
      <c r="AQ19" s="1106"/>
      <c r="AR19" s="1107"/>
      <c r="AS19" s="1105">
        <f>AI19+1</f>
        <v>2021</v>
      </c>
      <c r="AT19" s="1106"/>
      <c r="AU19" s="1106"/>
      <c r="AV19" s="1106"/>
      <c r="AW19" s="1106"/>
      <c r="AX19" s="1106"/>
      <c r="AY19" s="1106"/>
      <c r="AZ19" s="1106"/>
      <c r="BA19" s="1106"/>
      <c r="BB19" s="1107"/>
      <c r="BC19" s="1105">
        <f>AS19+1</f>
        <v>2022</v>
      </c>
      <c r="BD19" s="1106"/>
      <c r="BE19" s="1106"/>
      <c r="BF19" s="1106"/>
      <c r="BG19" s="1106"/>
      <c r="BH19" s="1106"/>
      <c r="BI19" s="1106"/>
      <c r="BJ19" s="1106"/>
      <c r="BK19" s="1106"/>
      <c r="BL19" s="1107"/>
      <c r="BM19" s="1105">
        <f>BC19+1</f>
        <v>2023</v>
      </c>
      <c r="BN19" s="1106"/>
      <c r="BO19" s="1106"/>
      <c r="BP19" s="1107"/>
      <c r="BQ19" s="1102" t="str">
        <f>CONCATENATE("Projected Interest on Dec-31-",RIGHT(BC19,2)," Balances")</f>
        <v>Projected Interest on Dec-31-22 Balances</v>
      </c>
      <c r="BR19" s="1103"/>
      <c r="BS19" s="1103"/>
      <c r="BT19" s="1104"/>
      <c r="BU19" s="401"/>
      <c r="BV19" s="59" t="s">
        <v>19</v>
      </c>
      <c r="BW19" s="60"/>
      <c r="BX19" s="394"/>
    </row>
    <row r="20" spans="1:86" ht="14.25" customHeight="1" thickBot="1" x14ac:dyDescent="0.3">
      <c r="C20" s="1096" t="s">
        <v>16</v>
      </c>
      <c r="D20" s="1098" t="s">
        <v>0</v>
      </c>
      <c r="E20" s="1089" t="str">
        <f>CONCATENATE("Opening Principal Amounts as of Jan-1-",RIGHT(E19,2))</f>
        <v>Opening Principal Amounts as of Jan-1-17</v>
      </c>
      <c r="F20" s="1076" t="str">
        <f>CONCATENATE("Transactions Debit / (Credit) during ",E19)</f>
        <v>Transactions Debit / (Credit) during 2017</v>
      </c>
      <c r="G20" s="1076" t="str">
        <f>CONCATENATE("OEB-Approved Disposition during ",E19)</f>
        <v>OEB-Approved Disposition during 2017</v>
      </c>
      <c r="H20" s="1076" t="str">
        <f>CONCATENATE("Principal Adjustments(1) during ",E19)</f>
        <v>Principal Adjustments(1) during 2017</v>
      </c>
      <c r="I20" s="1076" t="str">
        <f>CONCATENATE("Closing Principal Balance as of Dec-31-",RIGHT(E19,2))</f>
        <v>Closing Principal Balance as of Dec-31-17</v>
      </c>
      <c r="J20" s="1076" t="str">
        <f>CONCATENATE("Opening Interest Amounts as of Jan-1-",RIGHT(E19,2))</f>
        <v>Opening Interest Amounts as of Jan-1-17</v>
      </c>
      <c r="K20" s="1076" t="str">
        <f>CONCATENATE("Interest Jan-1 to Dec-31-",RIGHT(E19,2))</f>
        <v>Interest Jan-1 to Dec-31-17</v>
      </c>
      <c r="L20" s="1076" t="str">
        <f>CONCATENATE("OEB-Approved Disposition during ",E19)</f>
        <v>OEB-Approved Disposition during 2017</v>
      </c>
      <c r="M20" s="1076" t="str">
        <f>CONCATENATE("Interest Adjustments(1) during ",E19)</f>
        <v>Interest Adjustments(1) during 2017</v>
      </c>
      <c r="N20" s="1080" t="str">
        <f>CONCATENATE("Closing Interest Amounts as of Dec-31-",RIGHT(E19,2))</f>
        <v>Closing Interest Amounts as of Dec-31-17</v>
      </c>
      <c r="O20" s="1089" t="str">
        <f>CONCATENATE("Opening Principal Amounts as of Jan-1-",RIGHT(O19,2))</f>
        <v>Opening Principal Amounts as of Jan-1-18</v>
      </c>
      <c r="P20" s="1076" t="str">
        <f>CONCATENATE("Transactions Debit / (Credit) during ",O19)</f>
        <v>Transactions Debit / (Credit) during 2018</v>
      </c>
      <c r="Q20" s="1076" t="str">
        <f>CONCATENATE("OEB-Approved Disposition during ",O19)</f>
        <v>OEB-Approved Disposition during 2018</v>
      </c>
      <c r="R20" s="1076" t="str">
        <f>CONCATENATE("Principal Adjustments(1) during ",O19)</f>
        <v>Principal Adjustments(1) during 2018</v>
      </c>
      <c r="S20" s="1076" t="str">
        <f>CONCATENATE("Closing Principal Balance as of Dec-31-",RIGHT(O19,2))</f>
        <v>Closing Principal Balance as of Dec-31-18</v>
      </c>
      <c r="T20" s="1076" t="str">
        <f>CONCATENATE("Opening Interest Amounts as of Jan-1-",RIGHT(O19,2))</f>
        <v>Opening Interest Amounts as of Jan-1-18</v>
      </c>
      <c r="U20" s="1076" t="str">
        <f>CONCATENATE("Interest Jan-1 to Dec-31-",RIGHT(O19,2))</f>
        <v>Interest Jan-1 to Dec-31-18</v>
      </c>
      <c r="V20" s="1076" t="str">
        <f>CONCATENATE("OEB-Approved Disposition during ",O19)</f>
        <v>OEB-Approved Disposition during 2018</v>
      </c>
      <c r="W20" s="1076" t="str">
        <f>CONCATENATE("Interest Adjustments(1) during ",O19)</f>
        <v>Interest Adjustments(1) during 2018</v>
      </c>
      <c r="X20" s="1080" t="str">
        <f>CONCATENATE("Closing Interest Amounts as of Dec-31-",RIGHT(O19,2))</f>
        <v>Closing Interest Amounts as of Dec-31-18</v>
      </c>
      <c r="Y20" s="1089" t="str">
        <f>CONCATENATE("Opening Principal Amounts as of Jan-1-",RIGHT(Y19,2))</f>
        <v>Opening Principal Amounts as of Jan-1-19</v>
      </c>
      <c r="Z20" s="1076" t="str">
        <f>CONCATENATE("Transactions(1) Debit / (Credit) during ",Y19)</f>
        <v>Transactions(1) Debit / (Credit) during 2019</v>
      </c>
      <c r="AA20" s="1076" t="str">
        <f>CONCATENATE("OEB-Approved Disposition during ",Y19)</f>
        <v>OEB-Approved Disposition during 2019</v>
      </c>
      <c r="AB20" s="1076" t="str">
        <f>CONCATENATE("Principal Adjustments(1) during ",Y19)</f>
        <v>Principal Adjustments(1) during 2019</v>
      </c>
      <c r="AC20" s="1076" t="str">
        <f>CONCATENATE("Closing Principal Balance as of Dec-31-",RIGHT(Y19,2))</f>
        <v>Closing Principal Balance as of Dec-31-19</v>
      </c>
      <c r="AD20" s="1076" t="str">
        <f>CONCATENATE("Opening Interest Amounts as of Jan-1-",RIGHT(Y19,2))</f>
        <v>Opening Interest Amounts as of Jan-1-19</v>
      </c>
      <c r="AE20" s="1076" t="str">
        <f>CONCATENATE("Interest Jan-1 to Dec-31-",RIGHT(Y19,2))</f>
        <v>Interest Jan-1 to Dec-31-19</v>
      </c>
      <c r="AF20" s="1076" t="str">
        <f>CONCATENATE("OEB-Approved Disposition during ",Y19)</f>
        <v>OEB-Approved Disposition during 2019</v>
      </c>
      <c r="AG20" s="1076" t="str">
        <f>CONCATENATE("Interest Adjustments(1) during ",Y19)</f>
        <v>Interest Adjustments(1) during 2019</v>
      </c>
      <c r="AH20" s="1080" t="str">
        <f>CONCATENATE("Closing Interest Amounts as of Dec-31-",RIGHT(Y19,2))</f>
        <v>Closing Interest Amounts as of Dec-31-19</v>
      </c>
      <c r="AI20" s="1089" t="str">
        <f>CONCATENATE("Opening Principal Amounts as of Jan-1-",RIGHT(AI19,2))</f>
        <v>Opening Principal Amounts as of Jan-1-20</v>
      </c>
      <c r="AJ20" s="1076" t="str">
        <f>CONCATENATE("Transactions(1) Debit / (Credit) during ",AI19)</f>
        <v>Transactions(1) Debit / (Credit) during 2020</v>
      </c>
      <c r="AK20" s="1076" t="str">
        <f>CONCATENATE("OEB-Approved Disposition during ",AI19)</f>
        <v>OEB-Approved Disposition during 2020</v>
      </c>
      <c r="AL20" s="1076" t="str">
        <f>CONCATENATE("Principal Adjustments(1) during ",AI19)</f>
        <v>Principal Adjustments(1) during 2020</v>
      </c>
      <c r="AM20" s="1076" t="str">
        <f>CONCATENATE("Closing Principal Balance as of Dec-31-",RIGHT(AI19,2))</f>
        <v>Closing Principal Balance as of Dec-31-20</v>
      </c>
      <c r="AN20" s="1076" t="str">
        <f>CONCATENATE("Opening Interest Amounts as of Jan-1-",RIGHT(AI19,2))</f>
        <v>Opening Interest Amounts as of Jan-1-20</v>
      </c>
      <c r="AO20" s="1076" t="str">
        <f>CONCATENATE("Interest Jan-1 to Dec-31-",RIGHT(AI19,2))</f>
        <v>Interest Jan-1 to Dec-31-20</v>
      </c>
      <c r="AP20" s="1076" t="str">
        <f>CONCATENATE("OEB-Approved Disposition during ",AI19)</f>
        <v>OEB-Approved Disposition during 2020</v>
      </c>
      <c r="AQ20" s="1076" t="str">
        <f>CONCATENATE("Interest Adjustments(1) during ",AI19)</f>
        <v>Interest Adjustments(1) during 2020</v>
      </c>
      <c r="AR20" s="1080" t="str">
        <f>CONCATENATE("Closing Interest Amounts as of Dec-31-",RIGHT(AI19,2))</f>
        <v>Closing Interest Amounts as of Dec-31-20</v>
      </c>
      <c r="AS20" s="1089" t="str">
        <f>CONCATENATE("Opening Principal Amounts as of Jan-1-",RIGHT(AS19,2))</f>
        <v>Opening Principal Amounts as of Jan-1-21</v>
      </c>
      <c r="AT20" s="1076" t="str">
        <f>CONCATENATE("Transactions Debit / (Credit) during ",AS19)</f>
        <v>Transactions Debit / (Credit) during 2021</v>
      </c>
      <c r="AU20" s="1076" t="str">
        <f>CONCATENATE("OEB-Approved Disposition during ",AS19)</f>
        <v>OEB-Approved Disposition during 2021</v>
      </c>
      <c r="AV20" s="1076" t="str">
        <f>CONCATENATE("Principal Adjustments(1) during ",AS19)</f>
        <v>Principal Adjustments(1) during 2021</v>
      </c>
      <c r="AW20" s="1076" t="str">
        <f>CONCATENATE("Closing Principal Balance as of Dec-31-",RIGHT(AS19,2))</f>
        <v>Closing Principal Balance as of Dec-31-21</v>
      </c>
      <c r="AX20" s="1076" t="str">
        <f>CONCATENATE("Opening Interest Amounts as of Jan-1-",RIGHT(AS19,2))</f>
        <v>Opening Interest Amounts as of Jan-1-21</v>
      </c>
      <c r="AY20" s="1076" t="str">
        <f>CONCATENATE("Interest Jan-1 to Dec-31-",RIGHT(AS19,2))</f>
        <v>Interest Jan-1 to Dec-31-21</v>
      </c>
      <c r="AZ20" s="1076" t="str">
        <f>CONCATENATE("OEB-Approved Disposition during ",AS19)</f>
        <v>OEB-Approved Disposition during 2021</v>
      </c>
      <c r="BA20" s="1076" t="str">
        <f>CONCATENATE("Interest Adjustments(1) during ",AS19)</f>
        <v>Interest Adjustments(1) during 2021</v>
      </c>
      <c r="BB20" s="1080" t="str">
        <f>CONCATENATE("Closing Interest Amounts as of Dec-31-",RIGHT(AS19,2))</f>
        <v>Closing Interest Amounts as of Dec-31-21</v>
      </c>
      <c r="BC20" s="1089" t="str">
        <f>CONCATENATE("Opening Principal Amounts as of Jan-1-",RIGHT(BC19,2))</f>
        <v>Opening Principal Amounts as of Jan-1-22</v>
      </c>
      <c r="BD20" s="1076" t="str">
        <f>CONCATENATE("Transactions Debit / (Credit) during ",BC19)</f>
        <v>Transactions Debit / (Credit) during 2022</v>
      </c>
      <c r="BE20" s="1076" t="str">
        <f>CONCATENATE("OEB-Approved Disposition during ",BC19)</f>
        <v>OEB-Approved Disposition during 2022</v>
      </c>
      <c r="BF20" s="1076" t="str">
        <f>CONCATENATE("Principal Adjustments(1) during ",BC19)</f>
        <v>Principal Adjustments(1) during 2022</v>
      </c>
      <c r="BG20" s="1076" t="str">
        <f>CONCATENATE("Closing Principal Balance as of Dec-31-",RIGHT(BC19,2))</f>
        <v>Closing Principal Balance as of Dec-31-22</v>
      </c>
      <c r="BH20" s="1076" t="str">
        <f>CONCATENATE("Opening Interest Amounts as of Jan-1-",RIGHT(BC19,2))</f>
        <v>Opening Interest Amounts as of Jan-1-22</v>
      </c>
      <c r="BI20" s="1076" t="str">
        <f>CONCATENATE("Interest Jan-1 to Dec-31-",RIGHT(BC19,2))</f>
        <v>Interest Jan-1 to Dec-31-22</v>
      </c>
      <c r="BJ20" s="1076" t="str">
        <f>CONCATENATE("OEB-Approved Disposition during ",BC19)</f>
        <v>OEB-Approved Disposition during 2022</v>
      </c>
      <c r="BK20" s="1076" t="str">
        <f>CONCATENATE("Interest Adjustments(1) during ",BC19)</f>
        <v>Interest Adjustments(1) during 2022</v>
      </c>
      <c r="BL20" s="1080" t="str">
        <f>CONCATENATE("Closing Interest Amounts as of Dec-31-",RIGHT(BC19,2))</f>
        <v>Closing Interest Amounts as of Dec-31-22</v>
      </c>
      <c r="BM20" s="1076" t="str">
        <f>CONCATENATE("Principal Disposition during ",BM19," - instructed by  OEB")</f>
        <v>Principal Disposition during 2023 - instructed by  OEB</v>
      </c>
      <c r="BN20" s="1076" t="str">
        <f>CONCATENATE("Interest Disposition during ",BM19," - instructed by  OEB")</f>
        <v>Interest Disposition during 2023 - instructed by  OEB</v>
      </c>
      <c r="BO20" s="1076" t="str">
        <f>CONCATENATE("Closing Principal Balances as of Dec 31-",RIGHT(BM19-1,2)," Adjusted for Dispositions during ",BM19)</f>
        <v>Closing Principal Balances as of Dec 31-22 Adjusted for Dispositions during 2023</v>
      </c>
      <c r="BP20" s="1076" t="str">
        <f>CONCATENATE("Closing Interest Balances as of Dec 31-",RIGHT(BM19-1,2)," Adjusted for Dispositions during ",BM19)</f>
        <v>Closing Interest Balances as of Dec 31-22 Adjusted for Dispositions during 2023</v>
      </c>
      <c r="BQ20" s="1089" t="str">
        <f>CONCATENATE("Projected Interest  from Jan 1, ",BM19," to December 31, ",BM19," on  Dec 31 -",RIGHT(BM19-1,2)," balance adjusted for disposition during ",BM19," (2)")</f>
        <v>Projected Interest  from Jan 1, 2023 to December 31, 2023 on  Dec 31 -22 balance adjusted for disposition during 2023 (2)</v>
      </c>
      <c r="BR20" s="1076" t="str">
        <f>CONCATENATE("Projected Interest from January 1, ",BM19+1," to April 30, ",BM19+1," on Dec 31 -",RIGHT(BC19,2)," balance adjusted for disposition during ",BM19,"  (2)")</f>
        <v>Projected Interest from January 1, 2024 to April 30, 2024 on Dec 31 -22 balance adjusted for disposition during 2023  (2)</v>
      </c>
      <c r="BS20" s="1076" t="s">
        <v>159</v>
      </c>
      <c r="BT20" s="1080" t="s">
        <v>18</v>
      </c>
      <c r="BU20" s="1092" t="s">
        <v>634</v>
      </c>
      <c r="BV20" s="1092" t="str">
        <f>CONCATENATE("As of Dec 31-",RIGHT(BC19,2))</f>
        <v>As of Dec 31-22</v>
      </c>
      <c r="BW20" s="1080" t="str">
        <f>CONCATENATE("Variance                           RRR vs. ",BC19," Balance                        (Principal + Interest)")</f>
        <v>Variance                           RRR vs. 2022 Balance                        (Principal + Interest)</v>
      </c>
    </row>
    <row r="21" spans="1:86" ht="24.75" customHeight="1" x14ac:dyDescent="0.25">
      <c r="C21" s="1097"/>
      <c r="D21" s="1099"/>
      <c r="E21" s="1090"/>
      <c r="F21" s="1077"/>
      <c r="G21" s="1087"/>
      <c r="H21" s="1087"/>
      <c r="I21" s="1087"/>
      <c r="J21" s="1077"/>
      <c r="K21" s="1087"/>
      <c r="L21" s="1087"/>
      <c r="M21" s="1087"/>
      <c r="N21" s="1081"/>
      <c r="O21" s="1090"/>
      <c r="P21" s="1077"/>
      <c r="Q21" s="1087"/>
      <c r="R21" s="1087"/>
      <c r="S21" s="1087"/>
      <c r="T21" s="1077"/>
      <c r="U21" s="1087"/>
      <c r="V21" s="1087"/>
      <c r="W21" s="1087"/>
      <c r="X21" s="1081"/>
      <c r="Y21" s="1090"/>
      <c r="Z21" s="1077"/>
      <c r="AA21" s="1087"/>
      <c r="AB21" s="1087"/>
      <c r="AC21" s="1087"/>
      <c r="AD21" s="1077"/>
      <c r="AE21" s="1087"/>
      <c r="AF21" s="1087"/>
      <c r="AG21" s="1087"/>
      <c r="AH21" s="1081"/>
      <c r="AI21" s="1090"/>
      <c r="AJ21" s="1077"/>
      <c r="AK21" s="1087"/>
      <c r="AL21" s="1087"/>
      <c r="AM21" s="1087"/>
      <c r="AN21" s="1077"/>
      <c r="AO21" s="1087"/>
      <c r="AP21" s="1087"/>
      <c r="AQ21" s="1087"/>
      <c r="AR21" s="1081"/>
      <c r="AS21" s="1090"/>
      <c r="AT21" s="1077"/>
      <c r="AU21" s="1087"/>
      <c r="AV21" s="1087"/>
      <c r="AW21" s="1087"/>
      <c r="AX21" s="1077"/>
      <c r="AY21" s="1087"/>
      <c r="AZ21" s="1087"/>
      <c r="BA21" s="1087"/>
      <c r="BB21" s="1081"/>
      <c r="BC21" s="1090"/>
      <c r="BD21" s="1077"/>
      <c r="BE21" s="1087"/>
      <c r="BF21" s="1087"/>
      <c r="BG21" s="1087"/>
      <c r="BH21" s="1077"/>
      <c r="BI21" s="1087"/>
      <c r="BJ21" s="1087"/>
      <c r="BK21" s="1087"/>
      <c r="BL21" s="1081"/>
      <c r="BM21" s="1087"/>
      <c r="BN21" s="1087"/>
      <c r="BO21" s="1087"/>
      <c r="BP21" s="1087"/>
      <c r="BQ21" s="1090"/>
      <c r="BR21" s="1077"/>
      <c r="BS21" s="1077"/>
      <c r="BT21" s="1081"/>
      <c r="BU21" s="1093"/>
      <c r="BV21" s="1093"/>
      <c r="BW21" s="1081"/>
      <c r="BY21" s="1111" t="s">
        <v>3030</v>
      </c>
      <c r="BZ21" s="1112"/>
      <c r="CA21" s="1112"/>
      <c r="CB21" s="1112"/>
      <c r="CC21" s="1112"/>
      <c r="CD21" s="1112"/>
      <c r="CE21" s="1112"/>
      <c r="CF21" s="1112"/>
      <c r="CG21" s="1112"/>
      <c r="CH21" s="1113"/>
    </row>
    <row r="22" spans="1:86" ht="37" customHeight="1" thickBot="1" x14ac:dyDescent="0.3">
      <c r="B22" s="14"/>
      <c r="C22" s="1097"/>
      <c r="D22" s="1099"/>
      <c r="E22" s="1091"/>
      <c r="F22" s="1078"/>
      <c r="G22" s="1088"/>
      <c r="H22" s="1088"/>
      <c r="I22" s="1088"/>
      <c r="J22" s="1078"/>
      <c r="K22" s="1088"/>
      <c r="L22" s="1088"/>
      <c r="M22" s="1088"/>
      <c r="N22" s="1082"/>
      <c r="O22" s="1091"/>
      <c r="P22" s="1078"/>
      <c r="Q22" s="1088"/>
      <c r="R22" s="1088"/>
      <c r="S22" s="1088"/>
      <c r="T22" s="1078"/>
      <c r="U22" s="1088"/>
      <c r="V22" s="1088"/>
      <c r="W22" s="1088"/>
      <c r="X22" s="1082"/>
      <c r="Y22" s="1091"/>
      <c r="Z22" s="1078"/>
      <c r="AA22" s="1088"/>
      <c r="AB22" s="1088"/>
      <c r="AC22" s="1088"/>
      <c r="AD22" s="1078"/>
      <c r="AE22" s="1088"/>
      <c r="AF22" s="1088"/>
      <c r="AG22" s="1088"/>
      <c r="AH22" s="1082"/>
      <c r="AI22" s="1091"/>
      <c r="AJ22" s="1078"/>
      <c r="AK22" s="1088"/>
      <c r="AL22" s="1088"/>
      <c r="AM22" s="1088"/>
      <c r="AN22" s="1078"/>
      <c r="AO22" s="1088"/>
      <c r="AP22" s="1088"/>
      <c r="AQ22" s="1088"/>
      <c r="AR22" s="1082"/>
      <c r="AS22" s="1091"/>
      <c r="AT22" s="1078"/>
      <c r="AU22" s="1088"/>
      <c r="AV22" s="1088"/>
      <c r="AW22" s="1088"/>
      <c r="AX22" s="1078"/>
      <c r="AY22" s="1088"/>
      <c r="AZ22" s="1088"/>
      <c r="BA22" s="1088"/>
      <c r="BB22" s="1082"/>
      <c r="BC22" s="1091"/>
      <c r="BD22" s="1078"/>
      <c r="BE22" s="1088"/>
      <c r="BF22" s="1088"/>
      <c r="BG22" s="1088"/>
      <c r="BH22" s="1078"/>
      <c r="BI22" s="1088"/>
      <c r="BJ22" s="1088"/>
      <c r="BK22" s="1088"/>
      <c r="BL22" s="1082"/>
      <c r="BM22" s="1088"/>
      <c r="BN22" s="1088"/>
      <c r="BO22" s="1088"/>
      <c r="BP22" s="1088"/>
      <c r="BQ22" s="1091"/>
      <c r="BR22" s="1078"/>
      <c r="BS22" s="1079" t="s">
        <v>11</v>
      </c>
      <c r="BT22" s="1082" t="s">
        <v>11</v>
      </c>
      <c r="BU22" s="1094"/>
      <c r="BV22" s="1094"/>
      <c r="BW22" s="1082"/>
      <c r="BY22" s="1114"/>
      <c r="BZ22" s="1115"/>
      <c r="CA22" s="1115"/>
      <c r="CB22" s="1115"/>
      <c r="CC22" s="1115"/>
      <c r="CD22" s="1115"/>
      <c r="CE22" s="1115"/>
      <c r="CF22" s="1115"/>
      <c r="CG22" s="1115"/>
      <c r="CH22" s="1116"/>
    </row>
    <row r="23" spans="1:86" s="75" customFormat="1" ht="33.75" hidden="1" customHeight="1" thickBot="1" x14ac:dyDescent="0.35">
      <c r="A23" s="1"/>
      <c r="B23" s="310">
        <v>1</v>
      </c>
      <c r="C23" s="226" t="s">
        <v>21</v>
      </c>
      <c r="D23" s="227"/>
      <c r="E23" s="92"/>
      <c r="F23" s="65"/>
      <c r="G23" s="66"/>
      <c r="H23" s="66"/>
      <c r="I23" s="66"/>
      <c r="J23" s="66"/>
      <c r="K23" s="66"/>
      <c r="L23" s="66"/>
      <c r="M23" s="66"/>
      <c r="N23" s="67"/>
      <c r="O23" s="64"/>
      <c r="P23" s="65"/>
      <c r="Q23" s="66"/>
      <c r="R23" s="66"/>
      <c r="S23" s="66"/>
      <c r="T23" s="66"/>
      <c r="U23" s="66"/>
      <c r="V23" s="66"/>
      <c r="W23" s="66"/>
      <c r="X23" s="67"/>
      <c r="Y23" s="64"/>
      <c r="Z23" s="78"/>
      <c r="AA23" s="66"/>
      <c r="AB23" s="66"/>
      <c r="AC23" s="66"/>
      <c r="AD23" s="66"/>
      <c r="AE23" s="66"/>
      <c r="AF23" s="66"/>
      <c r="AG23" s="66"/>
      <c r="AH23" s="67"/>
      <c r="AI23" s="64"/>
      <c r="AJ23" s="65"/>
      <c r="AK23" s="66"/>
      <c r="AL23" s="66"/>
      <c r="AM23" s="66"/>
      <c r="AN23" s="66"/>
      <c r="AO23" s="66"/>
      <c r="AP23" s="66"/>
      <c r="AQ23" s="66"/>
      <c r="AR23" s="67"/>
      <c r="AS23" s="64"/>
      <c r="AT23" s="65"/>
      <c r="AU23" s="66"/>
      <c r="AV23" s="66"/>
      <c r="AW23" s="66"/>
      <c r="AX23" s="66"/>
      <c r="AY23" s="66"/>
      <c r="AZ23" s="66"/>
      <c r="BA23" s="66"/>
      <c r="BB23" s="67"/>
      <c r="BC23" s="64"/>
      <c r="BD23" s="65"/>
      <c r="BE23" s="66"/>
      <c r="BF23" s="66"/>
      <c r="BG23" s="66"/>
      <c r="BH23" s="66"/>
      <c r="BI23" s="66"/>
      <c r="BJ23" s="66"/>
      <c r="BK23" s="66"/>
      <c r="BL23" s="67"/>
      <c r="BM23" s="68"/>
      <c r="BN23" s="69"/>
      <c r="BO23" s="66"/>
      <c r="BP23" s="70"/>
      <c r="BQ23" s="71"/>
      <c r="BR23" s="71"/>
      <c r="BS23" s="71"/>
      <c r="BT23" s="254"/>
      <c r="BU23" s="398"/>
      <c r="BV23" s="73"/>
      <c r="BW23" s="74"/>
      <c r="BX23" s="395"/>
    </row>
    <row r="24" spans="1:86" s="75" customFormat="1" ht="15" hidden="1" customHeight="1" thickBot="1" x14ac:dyDescent="0.35">
      <c r="A24" s="1">
        <v>1</v>
      </c>
      <c r="B24" s="310">
        <v>2</v>
      </c>
      <c r="C24" s="228" t="s">
        <v>23</v>
      </c>
      <c r="D24" s="213">
        <v>1550</v>
      </c>
      <c r="E24" s="71"/>
      <c r="F24" s="282"/>
      <c r="G24" s="83"/>
      <c r="H24" s="155"/>
      <c r="I24" s="78">
        <f>E24+F24-G24+H24</f>
        <v>0</v>
      </c>
      <c r="J24" s="169"/>
      <c r="K24" s="170"/>
      <c r="L24" s="155"/>
      <c r="M24" s="155"/>
      <c r="N24" s="79">
        <f>J24+K24-L24+M24</f>
        <v>0</v>
      </c>
      <c r="O24" s="80">
        <f>I24</f>
        <v>0</v>
      </c>
      <c r="P24" s="155"/>
      <c r="Q24" s="155"/>
      <c r="R24" s="155"/>
      <c r="S24" s="78">
        <f>O24+P24-Q24+R24</f>
        <v>0</v>
      </c>
      <c r="T24" s="81">
        <f>N24</f>
        <v>0</v>
      </c>
      <c r="U24" s="155"/>
      <c r="V24" s="155"/>
      <c r="W24" s="155"/>
      <c r="X24" s="79">
        <f>T24+U24-V24+W24</f>
        <v>0</v>
      </c>
      <c r="Y24" s="80">
        <f t="shared" ref="Y24:Y32" si="0">S24</f>
        <v>0</v>
      </c>
      <c r="Z24" s="155"/>
      <c r="AA24" s="155"/>
      <c r="AB24" s="155"/>
      <c r="AC24" s="78">
        <f>Y24+Z24-AA24+AB24</f>
        <v>0</v>
      </c>
      <c r="AD24" s="81">
        <f t="shared" ref="AD24:AD35" si="1">X24</f>
        <v>0</v>
      </c>
      <c r="AE24" s="155"/>
      <c r="AF24" s="155"/>
      <c r="AG24" s="155"/>
      <c r="AH24" s="79">
        <f>AD24+AE24-AF24+AG24</f>
        <v>0</v>
      </c>
      <c r="AI24" s="80">
        <f t="shared" ref="AI24:AI39" si="2">AC24</f>
        <v>0</v>
      </c>
      <c r="AJ24" s="155"/>
      <c r="AK24" s="155"/>
      <c r="AL24" s="155"/>
      <c r="AM24" s="78">
        <f>AI24+AJ24-AK24+SUM(AL24:AL24)</f>
        <v>0</v>
      </c>
      <c r="AN24" s="81">
        <f t="shared" ref="AN24:AN39" si="3">AH24</f>
        <v>0</v>
      </c>
      <c r="AO24" s="155"/>
      <c r="AP24" s="155"/>
      <c r="AQ24" s="155"/>
      <c r="AR24" s="79">
        <f>AN24+AO24-AP24+AQ24</f>
        <v>0</v>
      </c>
      <c r="AS24" s="80">
        <f t="shared" ref="AS24:AS32" si="4">AM24</f>
        <v>0</v>
      </c>
      <c r="AT24" s="155"/>
      <c r="AU24" s="155"/>
      <c r="AV24" s="155"/>
      <c r="AW24" s="78">
        <f>AS24+AT24-AU24+AV24</f>
        <v>0</v>
      </c>
      <c r="AX24" s="81">
        <f t="shared" ref="AX24:AX39" si="5">AR24</f>
        <v>0</v>
      </c>
      <c r="AY24" s="155"/>
      <c r="AZ24" s="155"/>
      <c r="BA24" s="77"/>
      <c r="BB24" s="79">
        <f>AX24+AY24-AZ24+BA24</f>
        <v>0</v>
      </c>
      <c r="BC24" s="80">
        <f t="shared" ref="BC24:BC32" si="6">AW24</f>
        <v>0</v>
      </c>
      <c r="BD24" s="155"/>
      <c r="BE24" s="155"/>
      <c r="BF24" s="155"/>
      <c r="BG24" s="78">
        <f>BC24+BD24-BE24+SUM(BF24:BF24)</f>
        <v>0</v>
      </c>
      <c r="BH24" s="81">
        <f t="shared" ref="BH24:BH29" si="7">BB24</f>
        <v>0</v>
      </c>
      <c r="BI24" s="155"/>
      <c r="BJ24" s="155"/>
      <c r="BK24" s="155"/>
      <c r="BL24" s="79">
        <f>BH24+BI24-BJ24+BK24</f>
        <v>0</v>
      </c>
      <c r="BM24" s="76"/>
      <c r="BN24" s="155"/>
      <c r="BO24" s="81">
        <f>BG24-BM24</f>
        <v>0</v>
      </c>
      <c r="BP24" s="82">
        <f>BL24-BN24</f>
        <v>0</v>
      </c>
      <c r="BQ24" s="83"/>
      <c r="BR24" s="155"/>
      <c r="BS24" s="222">
        <f t="shared" ref="BS24:BS38" si="8">BP24+BQ24+BR24</f>
        <v>0</v>
      </c>
      <c r="BT24" s="254">
        <f>SUM(BO24:BR24)</f>
        <v>0</v>
      </c>
      <c r="BU24" s="398"/>
      <c r="BV24" s="156"/>
      <c r="BW24" s="72">
        <f>BV24-SUM(BG24,BL24)</f>
        <v>0</v>
      </c>
      <c r="BX24" s="395"/>
    </row>
    <row r="25" spans="1:86" s="75" customFormat="1" ht="14.5" hidden="1" thickBot="1" x14ac:dyDescent="0.35">
      <c r="A25" s="1">
        <v>2</v>
      </c>
      <c r="B25" s="310">
        <v>3</v>
      </c>
      <c r="C25" s="228" t="s">
        <v>131</v>
      </c>
      <c r="D25" s="213">
        <v>1551</v>
      </c>
      <c r="E25" s="218"/>
      <c r="F25" s="205"/>
      <c r="G25" s="155"/>
      <c r="H25" s="155"/>
      <c r="I25" s="78"/>
      <c r="J25" s="367"/>
      <c r="K25" s="155"/>
      <c r="L25" s="155"/>
      <c r="M25" s="155"/>
      <c r="N25" s="79"/>
      <c r="O25" s="80"/>
      <c r="P25" s="155"/>
      <c r="Q25" s="155"/>
      <c r="R25" s="155"/>
      <c r="S25" s="78"/>
      <c r="T25" s="217"/>
      <c r="U25" s="155"/>
      <c r="V25" s="155"/>
      <c r="W25" s="155"/>
      <c r="X25" s="79"/>
      <c r="Y25" s="80">
        <f t="shared" si="0"/>
        <v>0</v>
      </c>
      <c r="Z25" s="155"/>
      <c r="AA25" s="155"/>
      <c r="AB25" s="155"/>
      <c r="AC25" s="78">
        <f>Y25+Z25-AA25+AB25</f>
        <v>0</v>
      </c>
      <c r="AD25" s="81">
        <f t="shared" si="1"/>
        <v>0</v>
      </c>
      <c r="AE25" s="155"/>
      <c r="AF25" s="155"/>
      <c r="AG25" s="155"/>
      <c r="AH25" s="79">
        <f>AD25+AE25-AF25+AG25</f>
        <v>0</v>
      </c>
      <c r="AI25" s="80">
        <f>AC25</f>
        <v>0</v>
      </c>
      <c r="AJ25" s="155"/>
      <c r="AK25" s="155"/>
      <c r="AL25" s="155"/>
      <c r="AM25" s="78">
        <f t="shared" ref="AM25:AM39" si="9">AI25+AJ25-AK25+SUM(AL25:AL25)</f>
        <v>0</v>
      </c>
      <c r="AN25" s="81">
        <f t="shared" si="3"/>
        <v>0</v>
      </c>
      <c r="AO25" s="155"/>
      <c r="AP25" s="205"/>
      <c r="AQ25" s="154"/>
      <c r="AR25" s="79">
        <f>AN25+AO25-AP25+AQ25</f>
        <v>0</v>
      </c>
      <c r="AS25" s="80">
        <f t="shared" si="4"/>
        <v>0</v>
      </c>
      <c r="AT25" s="155"/>
      <c r="AU25" s="155"/>
      <c r="AV25" s="155"/>
      <c r="AW25" s="78">
        <f>AS25+AT25-AU25+AV25</f>
        <v>0</v>
      </c>
      <c r="AX25" s="81">
        <f t="shared" si="5"/>
        <v>0</v>
      </c>
      <c r="AY25" s="155"/>
      <c r="AZ25" s="205"/>
      <c r="BA25" s="154"/>
      <c r="BB25" s="79">
        <f>AX25+AY25-AZ25+BA25</f>
        <v>0</v>
      </c>
      <c r="BC25" s="80">
        <f t="shared" si="6"/>
        <v>0</v>
      </c>
      <c r="BD25" s="155"/>
      <c r="BE25" s="155"/>
      <c r="BF25" s="155"/>
      <c r="BG25" s="78">
        <f t="shared" ref="BG25:BG39" si="10">BC25+BD25-BE25+SUM(BF25:BF25)</f>
        <v>0</v>
      </c>
      <c r="BH25" s="81">
        <f t="shared" si="7"/>
        <v>0</v>
      </c>
      <c r="BI25" s="155"/>
      <c r="BJ25" s="205"/>
      <c r="BK25" s="154"/>
      <c r="BL25" s="79">
        <f>BH25+BI25-BJ25+BK25</f>
        <v>0</v>
      </c>
      <c r="BM25" s="76"/>
      <c r="BN25" s="155"/>
      <c r="BO25" s="81">
        <f t="shared" ref="BO25:BO39" si="11">BG25-BM25</f>
        <v>0</v>
      </c>
      <c r="BP25" s="82">
        <f t="shared" ref="BP25:BP39" si="12">BL25-BN25</f>
        <v>0</v>
      </c>
      <c r="BQ25" s="83"/>
      <c r="BR25" s="155"/>
      <c r="BS25" s="222">
        <f t="shared" si="8"/>
        <v>0</v>
      </c>
      <c r="BT25" s="254">
        <f>SUM(BO25:BR25)</f>
        <v>0</v>
      </c>
      <c r="BU25" s="398"/>
      <c r="BV25" s="156"/>
      <c r="BW25" s="72">
        <f t="shared" ref="BW25:BW45" si="13">BV25-SUM(BG25,BL25)</f>
        <v>0</v>
      </c>
      <c r="BX25" s="395"/>
    </row>
    <row r="26" spans="1:86" s="75" customFormat="1" ht="17" hidden="1" thickBot="1" x14ac:dyDescent="0.35">
      <c r="A26" s="1">
        <v>3</v>
      </c>
      <c r="B26" s="310">
        <v>4</v>
      </c>
      <c r="C26" s="212" t="s">
        <v>403</v>
      </c>
      <c r="D26" s="213">
        <v>1580</v>
      </c>
      <c r="E26" s="167"/>
      <c r="F26" s="168"/>
      <c r="G26" s="155"/>
      <c r="H26" s="155"/>
      <c r="I26" s="78">
        <f>E26+F26-G26+H26</f>
        <v>0</v>
      </c>
      <c r="J26" s="169"/>
      <c r="K26" s="170"/>
      <c r="L26" s="155"/>
      <c r="M26" s="155"/>
      <c r="N26" s="79">
        <f>J26+K26-L26+M26</f>
        <v>0</v>
      </c>
      <c r="O26" s="80">
        <f t="shared" ref="O26:O34" si="14">I26</f>
        <v>0</v>
      </c>
      <c r="P26" s="190"/>
      <c r="Q26" s="155"/>
      <c r="R26" s="155"/>
      <c r="S26" s="78">
        <f>O26+P26-Q26+R26</f>
        <v>0</v>
      </c>
      <c r="T26" s="81">
        <f t="shared" ref="T26:T34" si="15">N26</f>
        <v>0</v>
      </c>
      <c r="U26" s="194"/>
      <c r="V26" s="155"/>
      <c r="W26" s="155"/>
      <c r="X26" s="79">
        <f t="shared" ref="X26:X34" si="16">T26+U26-V26+W26</f>
        <v>0</v>
      </c>
      <c r="Y26" s="80">
        <f t="shared" si="0"/>
        <v>0</v>
      </c>
      <c r="Z26" s="155"/>
      <c r="AA26" s="155"/>
      <c r="AB26" s="155"/>
      <c r="AC26" s="78">
        <f>Y26+Z26-AA26+AB26</f>
        <v>0</v>
      </c>
      <c r="AD26" s="81">
        <f t="shared" si="1"/>
        <v>0</v>
      </c>
      <c r="AE26" s="155"/>
      <c r="AF26" s="155"/>
      <c r="AG26" s="155"/>
      <c r="AH26" s="79">
        <f t="shared" ref="AH26:AH34" si="17">AD26+AE26-AF26+AG26</f>
        <v>0</v>
      </c>
      <c r="AI26" s="80">
        <f t="shared" si="2"/>
        <v>0</v>
      </c>
      <c r="AJ26" s="155"/>
      <c r="AK26" s="155"/>
      <c r="AL26" s="155"/>
      <c r="AM26" s="78">
        <f t="shared" si="9"/>
        <v>0</v>
      </c>
      <c r="AN26" s="81">
        <f t="shared" si="3"/>
        <v>0</v>
      </c>
      <c r="AO26" s="155"/>
      <c r="AP26" s="155"/>
      <c r="AQ26" s="155"/>
      <c r="AR26" s="79">
        <f t="shared" ref="AR26:AR34" si="18">AN26+AO26-AP26+AQ26</f>
        <v>0</v>
      </c>
      <c r="AS26" s="80">
        <f t="shared" si="4"/>
        <v>0</v>
      </c>
      <c r="AT26" s="155"/>
      <c r="AU26" s="155"/>
      <c r="AV26" s="155"/>
      <c r="AW26" s="78">
        <f>AS26+AT26-AU26+AV26</f>
        <v>0</v>
      </c>
      <c r="AX26" s="81">
        <f t="shared" si="5"/>
        <v>0</v>
      </c>
      <c r="AY26" s="155"/>
      <c r="AZ26" s="155"/>
      <c r="BA26" s="77"/>
      <c r="BB26" s="79">
        <f t="shared" ref="BB26:BB34" si="19">AX26+AY26-AZ26+BA26</f>
        <v>0</v>
      </c>
      <c r="BC26" s="80">
        <f t="shared" si="6"/>
        <v>0</v>
      </c>
      <c r="BD26" s="155"/>
      <c r="BE26" s="155"/>
      <c r="BF26" s="155"/>
      <c r="BG26" s="78">
        <f t="shared" si="10"/>
        <v>0</v>
      </c>
      <c r="BH26" s="81">
        <f t="shared" si="7"/>
        <v>0</v>
      </c>
      <c r="BI26" s="155"/>
      <c r="BJ26" s="155"/>
      <c r="BK26" s="155"/>
      <c r="BL26" s="79">
        <f t="shared" ref="BL26:BL34" si="20">BH26+BI26-BJ26+BK26</f>
        <v>0</v>
      </c>
      <c r="BM26" s="76"/>
      <c r="BN26" s="155"/>
      <c r="BO26" s="81">
        <f t="shared" si="11"/>
        <v>0</v>
      </c>
      <c r="BP26" s="82">
        <f t="shared" si="12"/>
        <v>0</v>
      </c>
      <c r="BQ26" s="83"/>
      <c r="BR26" s="155"/>
      <c r="BS26" s="222">
        <f t="shared" si="8"/>
        <v>0</v>
      </c>
      <c r="BT26" s="254">
        <f>SUM(BO26:BR26)</f>
        <v>0</v>
      </c>
      <c r="BU26" s="398"/>
      <c r="BV26" s="156"/>
      <c r="BW26" s="72">
        <f t="shared" si="13"/>
        <v>0</v>
      </c>
      <c r="BX26" s="395"/>
    </row>
    <row r="27" spans="1:86" s="75" customFormat="1" ht="17" hidden="1" thickBot="1" x14ac:dyDescent="0.35">
      <c r="A27" s="1">
        <v>3.1</v>
      </c>
      <c r="B27" s="310">
        <v>5</v>
      </c>
      <c r="C27" s="212" t="s">
        <v>404</v>
      </c>
      <c r="D27" s="213">
        <v>1580</v>
      </c>
      <c r="E27" s="218"/>
      <c r="F27" s="155"/>
      <c r="G27" s="155"/>
      <c r="H27" s="155"/>
      <c r="I27" s="78"/>
      <c r="J27" s="367"/>
      <c r="K27" s="155"/>
      <c r="L27" s="155"/>
      <c r="M27" s="155"/>
      <c r="N27" s="79"/>
      <c r="O27" s="218"/>
      <c r="P27" s="155"/>
      <c r="Q27" s="155"/>
      <c r="R27" s="155"/>
      <c r="S27" s="78"/>
      <c r="T27" s="217"/>
      <c r="U27" s="155"/>
      <c r="V27" s="155"/>
      <c r="W27" s="155"/>
      <c r="X27" s="79"/>
      <c r="Y27" s="218"/>
      <c r="Z27" s="155"/>
      <c r="AA27" s="155"/>
      <c r="AB27" s="155"/>
      <c r="AC27" s="78"/>
      <c r="AD27" s="217"/>
      <c r="AE27" s="155"/>
      <c r="AF27" s="155"/>
      <c r="AG27" s="155"/>
      <c r="AH27" s="79"/>
      <c r="AI27" s="218"/>
      <c r="AJ27" s="155"/>
      <c r="AK27" s="155"/>
      <c r="AL27" s="155"/>
      <c r="AM27" s="78"/>
      <c r="AN27" s="217"/>
      <c r="AO27" s="155"/>
      <c r="AP27" s="155"/>
      <c r="AQ27" s="155"/>
      <c r="AR27" s="79"/>
      <c r="AS27" s="80">
        <f t="shared" si="4"/>
        <v>0</v>
      </c>
      <c r="AT27" s="155"/>
      <c r="AU27" s="155"/>
      <c r="AV27" s="155"/>
      <c r="AW27" s="78">
        <f>AS27+AT27-AU27+AV27</f>
        <v>0</v>
      </c>
      <c r="AX27" s="81">
        <f t="shared" si="5"/>
        <v>0</v>
      </c>
      <c r="AY27" s="155"/>
      <c r="AZ27" s="155"/>
      <c r="BA27" s="155"/>
      <c r="BB27" s="79">
        <f t="shared" si="19"/>
        <v>0</v>
      </c>
      <c r="BC27" s="80">
        <f t="shared" si="6"/>
        <v>0</v>
      </c>
      <c r="BD27" s="155"/>
      <c r="BE27" s="155"/>
      <c r="BF27" s="155"/>
      <c r="BG27" s="78">
        <f t="shared" si="10"/>
        <v>0</v>
      </c>
      <c r="BH27" s="81">
        <f t="shared" si="7"/>
        <v>0</v>
      </c>
      <c r="BI27" s="155"/>
      <c r="BJ27" s="155"/>
      <c r="BK27" s="155"/>
      <c r="BL27" s="79">
        <f t="shared" si="20"/>
        <v>0</v>
      </c>
      <c r="BM27" s="76"/>
      <c r="BN27" s="155"/>
      <c r="BO27" s="81">
        <f t="shared" si="11"/>
        <v>0</v>
      </c>
      <c r="BP27" s="82">
        <f t="shared" si="12"/>
        <v>0</v>
      </c>
      <c r="BQ27" s="83"/>
      <c r="BR27" s="155"/>
      <c r="BS27" s="222">
        <f t="shared" si="8"/>
        <v>0</v>
      </c>
      <c r="BT27" s="254">
        <v>0</v>
      </c>
      <c r="BU27" s="398"/>
      <c r="BV27" s="156">
        <v>0</v>
      </c>
      <c r="BW27" s="72">
        <f>BV27-SUM(BG27,BL27)</f>
        <v>0</v>
      </c>
      <c r="BX27" s="395"/>
      <c r="CB27" s="122" t="s">
        <v>161</v>
      </c>
      <c r="CC27" s="299" t="b">
        <v>1</v>
      </c>
    </row>
    <row r="28" spans="1:86" s="75" customFormat="1" ht="17" hidden="1" thickBot="1" x14ac:dyDescent="0.35">
      <c r="A28" s="1">
        <v>3.2</v>
      </c>
      <c r="B28" s="310">
        <v>6</v>
      </c>
      <c r="C28" s="212" t="s">
        <v>405</v>
      </c>
      <c r="D28" s="213">
        <v>1580</v>
      </c>
      <c r="E28" s="218"/>
      <c r="F28" s="155"/>
      <c r="G28" s="155"/>
      <c r="H28" s="155"/>
      <c r="I28" s="78"/>
      <c r="J28" s="367"/>
      <c r="K28" s="155"/>
      <c r="L28" s="155"/>
      <c r="M28" s="155"/>
      <c r="N28" s="79"/>
      <c r="O28" s="218"/>
      <c r="P28" s="155"/>
      <c r="Q28" s="155"/>
      <c r="R28" s="155"/>
      <c r="S28" s="78"/>
      <c r="T28" s="217"/>
      <c r="U28" s="155"/>
      <c r="V28" s="155"/>
      <c r="W28" s="155"/>
      <c r="X28" s="79"/>
      <c r="Y28" s="218"/>
      <c r="Z28" s="155"/>
      <c r="AA28" s="155"/>
      <c r="AB28" s="155"/>
      <c r="AC28" s="78"/>
      <c r="AD28" s="217"/>
      <c r="AE28" s="155"/>
      <c r="AF28" s="155"/>
      <c r="AG28" s="155"/>
      <c r="AH28" s="79"/>
      <c r="AI28" s="218"/>
      <c r="AJ28" s="155"/>
      <c r="AK28" s="155"/>
      <c r="AL28" s="155"/>
      <c r="AM28" s="78"/>
      <c r="AN28" s="217"/>
      <c r="AO28" s="155"/>
      <c r="AP28" s="155"/>
      <c r="AQ28" s="155"/>
      <c r="AR28" s="79"/>
      <c r="AS28" s="80">
        <f t="shared" si="4"/>
        <v>0</v>
      </c>
      <c r="AT28" s="155"/>
      <c r="AU28" s="155"/>
      <c r="AV28" s="155"/>
      <c r="AW28" s="78">
        <f>AS28+AT28-AU28+AV28</f>
        <v>0</v>
      </c>
      <c r="AX28" s="81">
        <f t="shared" si="5"/>
        <v>0</v>
      </c>
      <c r="AY28" s="155"/>
      <c r="AZ28" s="155"/>
      <c r="BA28" s="155"/>
      <c r="BB28" s="79">
        <f t="shared" si="19"/>
        <v>0</v>
      </c>
      <c r="BC28" s="80">
        <f t="shared" si="6"/>
        <v>0</v>
      </c>
      <c r="BD28" s="155"/>
      <c r="BE28" s="155"/>
      <c r="BF28" s="155"/>
      <c r="BG28" s="78">
        <f t="shared" si="10"/>
        <v>0</v>
      </c>
      <c r="BH28" s="81">
        <f t="shared" si="7"/>
        <v>0</v>
      </c>
      <c r="BI28" s="155"/>
      <c r="BJ28" s="155"/>
      <c r="BK28" s="155"/>
      <c r="BL28" s="79">
        <f t="shared" si="20"/>
        <v>0</v>
      </c>
      <c r="BM28" s="76"/>
      <c r="BN28" s="155"/>
      <c r="BO28" s="81">
        <f t="shared" si="11"/>
        <v>0</v>
      </c>
      <c r="BP28" s="82">
        <f t="shared" si="12"/>
        <v>0</v>
      </c>
      <c r="BQ28" s="83"/>
      <c r="BR28" s="155"/>
      <c r="BS28" s="222">
        <f t="shared" si="8"/>
        <v>0</v>
      </c>
      <c r="BT28" s="254">
        <f>IF(CC28=TRUE, SUM(BO28:BR28), 0)</f>
        <v>0</v>
      </c>
      <c r="BU28" s="398"/>
      <c r="BV28" s="156">
        <v>0</v>
      </c>
      <c r="BW28" s="72">
        <f>BV28-SUM(BG28,BL28)</f>
        <v>0</v>
      </c>
      <c r="BX28" s="395"/>
      <c r="CB28" s="122" t="s">
        <v>162</v>
      </c>
      <c r="CC28" s="300" t="b">
        <v>1</v>
      </c>
    </row>
    <row r="29" spans="1:86" s="75" customFormat="1" ht="14.5" hidden="1" thickBot="1" x14ac:dyDescent="0.35">
      <c r="A29" s="1">
        <v>4</v>
      </c>
      <c r="B29" s="310">
        <v>7</v>
      </c>
      <c r="C29" s="212" t="s">
        <v>2</v>
      </c>
      <c r="D29" s="213">
        <v>1584</v>
      </c>
      <c r="E29" s="167"/>
      <c r="F29" s="168"/>
      <c r="G29" s="155"/>
      <c r="H29" s="155"/>
      <c r="I29" s="78">
        <f t="shared" ref="I29:I39" si="21">E29+F29-G29+H29</f>
        <v>0</v>
      </c>
      <c r="J29" s="169"/>
      <c r="K29" s="170"/>
      <c r="L29" s="155"/>
      <c r="M29" s="155"/>
      <c r="N29" s="79">
        <f t="shared" ref="N29:N39" si="22">J29+K29-L29+M29</f>
        <v>0</v>
      </c>
      <c r="O29" s="80">
        <f t="shared" si="14"/>
        <v>0</v>
      </c>
      <c r="P29" s="191"/>
      <c r="Q29" s="155"/>
      <c r="R29" s="155"/>
      <c r="S29" s="78">
        <f>O29+P29-Q29+R29</f>
        <v>0</v>
      </c>
      <c r="T29" s="81">
        <f t="shared" si="15"/>
        <v>0</v>
      </c>
      <c r="U29" s="194"/>
      <c r="V29" s="155"/>
      <c r="W29" s="155"/>
      <c r="X29" s="79">
        <f t="shared" si="16"/>
        <v>0</v>
      </c>
      <c r="Y29" s="80">
        <f t="shared" si="0"/>
        <v>0</v>
      </c>
      <c r="Z29" s="155"/>
      <c r="AA29" s="155"/>
      <c r="AB29" s="155"/>
      <c r="AC29" s="78">
        <f>Y29+Z29-AA29+AB29</f>
        <v>0</v>
      </c>
      <c r="AD29" s="81">
        <f t="shared" si="1"/>
        <v>0</v>
      </c>
      <c r="AE29" s="155"/>
      <c r="AF29" s="155"/>
      <c r="AG29" s="155"/>
      <c r="AH29" s="79">
        <f t="shared" si="17"/>
        <v>0</v>
      </c>
      <c r="AI29" s="80">
        <f t="shared" si="2"/>
        <v>0</v>
      </c>
      <c r="AJ29" s="155"/>
      <c r="AK29" s="155"/>
      <c r="AL29" s="155"/>
      <c r="AM29" s="78">
        <f t="shared" si="9"/>
        <v>0</v>
      </c>
      <c r="AN29" s="81">
        <f t="shared" si="3"/>
        <v>0</v>
      </c>
      <c r="AO29" s="155"/>
      <c r="AP29" s="155"/>
      <c r="AQ29" s="155"/>
      <c r="AR29" s="79">
        <f t="shared" si="18"/>
        <v>0</v>
      </c>
      <c r="AS29" s="80">
        <f t="shared" si="4"/>
        <v>0</v>
      </c>
      <c r="AT29" s="155"/>
      <c r="AU29" s="155"/>
      <c r="AV29" s="155"/>
      <c r="AW29" s="78">
        <f t="shared" ref="AW29:AW40" si="23">AS29+AT29-AU29+AV29</f>
        <v>0</v>
      </c>
      <c r="AX29" s="81">
        <f t="shared" si="5"/>
        <v>0</v>
      </c>
      <c r="AY29" s="155"/>
      <c r="AZ29" s="155"/>
      <c r="BA29" s="77"/>
      <c r="BB29" s="79">
        <f t="shared" si="19"/>
        <v>0</v>
      </c>
      <c r="BC29" s="80">
        <f t="shared" si="6"/>
        <v>0</v>
      </c>
      <c r="BD29" s="155"/>
      <c r="BE29" s="155"/>
      <c r="BF29" s="155"/>
      <c r="BG29" s="78">
        <f t="shared" ref="BG29:BG35" si="24">BC29+BD29-BE29+SUM(BF29:BF29)</f>
        <v>0</v>
      </c>
      <c r="BH29" s="81">
        <f t="shared" si="7"/>
        <v>0</v>
      </c>
      <c r="BI29" s="155"/>
      <c r="BJ29" s="155"/>
      <c r="BK29" s="155"/>
      <c r="BL29" s="79">
        <f t="shared" si="20"/>
        <v>0</v>
      </c>
      <c r="BM29" s="76"/>
      <c r="BN29" s="155"/>
      <c r="BO29" s="81">
        <f t="shared" si="11"/>
        <v>0</v>
      </c>
      <c r="BP29" s="82">
        <f t="shared" si="12"/>
        <v>0</v>
      </c>
      <c r="BQ29" s="83"/>
      <c r="BR29" s="155"/>
      <c r="BS29" s="222">
        <f t="shared" si="8"/>
        <v>0</v>
      </c>
      <c r="BT29" s="254">
        <f>SUM(BO29:BR29)</f>
        <v>0</v>
      </c>
      <c r="BU29" s="398"/>
      <c r="BV29" s="156"/>
      <c r="BW29" s="72">
        <f t="shared" si="13"/>
        <v>0</v>
      </c>
      <c r="BX29" s="395"/>
      <c r="CC29" s="300"/>
    </row>
    <row r="30" spans="1:86" s="75" customFormat="1" ht="14.5" hidden="1" thickBot="1" x14ac:dyDescent="0.35">
      <c r="A30" s="1">
        <v>5</v>
      </c>
      <c r="B30" s="310">
        <v>8</v>
      </c>
      <c r="C30" s="212" t="s">
        <v>3</v>
      </c>
      <c r="D30" s="213">
        <v>1586</v>
      </c>
      <c r="E30" s="167"/>
      <c r="F30" s="168"/>
      <c r="G30" s="155"/>
      <c r="H30" s="155"/>
      <c r="I30" s="78">
        <f t="shared" si="21"/>
        <v>0</v>
      </c>
      <c r="J30" s="169"/>
      <c r="K30" s="170"/>
      <c r="L30" s="155"/>
      <c r="M30" s="155"/>
      <c r="N30" s="79">
        <f t="shared" si="22"/>
        <v>0</v>
      </c>
      <c r="O30" s="80">
        <f t="shared" si="14"/>
        <v>0</v>
      </c>
      <c r="P30" s="191"/>
      <c r="Q30" s="155"/>
      <c r="R30" s="155"/>
      <c r="S30" s="78">
        <f t="shared" ref="S30:S40" si="25">O30+P30-Q30+R30</f>
        <v>0</v>
      </c>
      <c r="T30" s="81">
        <f t="shared" si="15"/>
        <v>0</v>
      </c>
      <c r="U30" s="194"/>
      <c r="V30" s="155"/>
      <c r="W30" s="155"/>
      <c r="X30" s="79">
        <f t="shared" si="16"/>
        <v>0</v>
      </c>
      <c r="Y30" s="80">
        <f t="shared" si="0"/>
        <v>0</v>
      </c>
      <c r="Z30" s="155"/>
      <c r="AA30" s="155"/>
      <c r="AB30" s="155"/>
      <c r="AC30" s="78">
        <f t="shared" ref="AC30:AC40" si="26">Y30+Z30-AA30+AB30</f>
        <v>0</v>
      </c>
      <c r="AD30" s="81">
        <f t="shared" si="1"/>
        <v>0</v>
      </c>
      <c r="AE30" s="155"/>
      <c r="AF30" s="155"/>
      <c r="AG30" s="155"/>
      <c r="AH30" s="79">
        <f t="shared" si="17"/>
        <v>0</v>
      </c>
      <c r="AI30" s="80">
        <f t="shared" si="2"/>
        <v>0</v>
      </c>
      <c r="AJ30" s="155"/>
      <c r="AK30" s="155"/>
      <c r="AL30" s="155"/>
      <c r="AM30" s="78">
        <f t="shared" si="9"/>
        <v>0</v>
      </c>
      <c r="AN30" s="81">
        <f t="shared" si="3"/>
        <v>0</v>
      </c>
      <c r="AO30" s="155"/>
      <c r="AP30" s="155"/>
      <c r="AQ30" s="155"/>
      <c r="AR30" s="79">
        <f t="shared" si="18"/>
        <v>0</v>
      </c>
      <c r="AS30" s="80">
        <f t="shared" si="4"/>
        <v>0</v>
      </c>
      <c r="AT30" s="155"/>
      <c r="AU30" s="155"/>
      <c r="AV30" s="155"/>
      <c r="AW30" s="78">
        <f t="shared" si="23"/>
        <v>0</v>
      </c>
      <c r="AX30" s="81">
        <f t="shared" si="5"/>
        <v>0</v>
      </c>
      <c r="AY30" s="155"/>
      <c r="AZ30" s="155"/>
      <c r="BA30" s="77"/>
      <c r="BB30" s="79">
        <f t="shared" si="19"/>
        <v>0</v>
      </c>
      <c r="BC30" s="80">
        <f t="shared" si="6"/>
        <v>0</v>
      </c>
      <c r="BD30" s="155"/>
      <c r="BE30" s="155"/>
      <c r="BF30" s="155"/>
      <c r="BG30" s="78">
        <f t="shared" si="24"/>
        <v>0</v>
      </c>
      <c r="BH30" s="81">
        <f t="shared" ref="BH30:BH39" si="27">BB30</f>
        <v>0</v>
      </c>
      <c r="BI30" s="155"/>
      <c r="BJ30" s="155"/>
      <c r="BK30" s="155"/>
      <c r="BL30" s="79">
        <f t="shared" si="20"/>
        <v>0</v>
      </c>
      <c r="BM30" s="76"/>
      <c r="BN30" s="155"/>
      <c r="BO30" s="81">
        <f t="shared" si="11"/>
        <v>0</v>
      </c>
      <c r="BP30" s="82">
        <f t="shared" si="12"/>
        <v>0</v>
      </c>
      <c r="BQ30" s="83"/>
      <c r="BR30" s="155"/>
      <c r="BS30" s="222">
        <f t="shared" si="8"/>
        <v>0</v>
      </c>
      <c r="BT30" s="254">
        <f>SUM(BO30:BR30)</f>
        <v>0</v>
      </c>
      <c r="BU30" s="398"/>
      <c r="BV30" s="156"/>
      <c r="BW30" s="72">
        <f t="shared" si="13"/>
        <v>0</v>
      </c>
      <c r="BX30" s="395"/>
      <c r="CC30" s="300"/>
    </row>
    <row r="31" spans="1:86" s="75" customFormat="1" ht="17" hidden="1" thickBot="1" x14ac:dyDescent="0.35">
      <c r="A31" s="1">
        <v>6</v>
      </c>
      <c r="B31" s="310">
        <v>9</v>
      </c>
      <c r="C31" s="212" t="s">
        <v>415</v>
      </c>
      <c r="D31" s="213">
        <v>1588</v>
      </c>
      <c r="E31" s="153"/>
      <c r="F31" s="168"/>
      <c r="G31" s="155"/>
      <c r="H31" s="155"/>
      <c r="I31" s="78">
        <f t="shared" si="21"/>
        <v>0</v>
      </c>
      <c r="J31" s="155"/>
      <c r="K31" s="155"/>
      <c r="L31" s="155"/>
      <c r="M31" s="155"/>
      <c r="N31" s="79">
        <f t="shared" si="22"/>
        <v>0</v>
      </c>
      <c r="O31" s="80">
        <f t="shared" si="14"/>
        <v>0</v>
      </c>
      <c r="P31" s="155"/>
      <c r="Q31" s="155"/>
      <c r="R31" s="155"/>
      <c r="S31" s="78">
        <f t="shared" si="25"/>
        <v>0</v>
      </c>
      <c r="T31" s="81">
        <f t="shared" si="15"/>
        <v>0</v>
      </c>
      <c r="U31" s="155"/>
      <c r="V31" s="155"/>
      <c r="W31" s="155"/>
      <c r="X31" s="79">
        <f t="shared" si="16"/>
        <v>0</v>
      </c>
      <c r="Y31" s="80">
        <f t="shared" si="0"/>
        <v>0</v>
      </c>
      <c r="Z31" s="155"/>
      <c r="AA31" s="155"/>
      <c r="AB31" s="155"/>
      <c r="AC31" s="78">
        <f t="shared" si="26"/>
        <v>0</v>
      </c>
      <c r="AD31" s="81">
        <f t="shared" si="1"/>
        <v>0</v>
      </c>
      <c r="AE31" s="155"/>
      <c r="AF31" s="155"/>
      <c r="AG31" s="155"/>
      <c r="AH31" s="79">
        <f t="shared" si="17"/>
        <v>0</v>
      </c>
      <c r="AI31" s="80">
        <f t="shared" si="2"/>
        <v>0</v>
      </c>
      <c r="AJ31" s="155"/>
      <c r="AK31" s="155"/>
      <c r="AL31" s="155"/>
      <c r="AM31" s="78">
        <f t="shared" si="9"/>
        <v>0</v>
      </c>
      <c r="AN31" s="81">
        <f t="shared" si="3"/>
        <v>0</v>
      </c>
      <c r="AO31" s="155"/>
      <c r="AP31" s="155"/>
      <c r="AQ31" s="155"/>
      <c r="AR31" s="79">
        <f t="shared" si="18"/>
        <v>0</v>
      </c>
      <c r="AS31" s="80">
        <f t="shared" si="4"/>
        <v>0</v>
      </c>
      <c r="AT31" s="155"/>
      <c r="AU31" s="155"/>
      <c r="AV31" s="155"/>
      <c r="AW31" s="78">
        <f t="shared" si="23"/>
        <v>0</v>
      </c>
      <c r="AX31" s="81">
        <f t="shared" si="5"/>
        <v>0</v>
      </c>
      <c r="AY31" s="155"/>
      <c r="AZ31" s="155"/>
      <c r="BA31" s="77"/>
      <c r="BB31" s="79">
        <f t="shared" si="19"/>
        <v>0</v>
      </c>
      <c r="BC31" s="80">
        <f t="shared" si="6"/>
        <v>0</v>
      </c>
      <c r="BD31" s="155"/>
      <c r="BE31" s="155"/>
      <c r="BF31" s="155"/>
      <c r="BG31" s="78">
        <f t="shared" si="24"/>
        <v>0</v>
      </c>
      <c r="BH31" s="81">
        <f t="shared" si="27"/>
        <v>0</v>
      </c>
      <c r="BI31" s="155"/>
      <c r="BJ31" s="155"/>
      <c r="BK31" s="155"/>
      <c r="BL31" s="79">
        <f t="shared" si="20"/>
        <v>0</v>
      </c>
      <c r="BM31" s="76"/>
      <c r="BN31" s="155"/>
      <c r="BO31" s="81">
        <f t="shared" si="11"/>
        <v>0</v>
      </c>
      <c r="BP31" s="82">
        <f t="shared" si="12"/>
        <v>0</v>
      </c>
      <c r="BQ31" s="83"/>
      <c r="BR31" s="155"/>
      <c r="BS31" s="222">
        <f t="shared" si="8"/>
        <v>0</v>
      </c>
      <c r="BT31" s="254">
        <f>SUM(BO31:BR31)</f>
        <v>0</v>
      </c>
      <c r="BU31" s="398"/>
      <c r="BV31" s="156"/>
      <c r="BW31" s="72">
        <f t="shared" si="13"/>
        <v>0</v>
      </c>
      <c r="BX31" s="395"/>
      <c r="CC31" s="300"/>
    </row>
    <row r="32" spans="1:86" s="75" customFormat="1" ht="17" hidden="1" thickBot="1" x14ac:dyDescent="0.35">
      <c r="A32" s="1">
        <v>7</v>
      </c>
      <c r="B32" s="310">
        <v>10</v>
      </c>
      <c r="C32" s="212" t="s">
        <v>416</v>
      </c>
      <c r="D32" s="213">
        <v>1589</v>
      </c>
      <c r="E32" s="167"/>
      <c r="F32" s="168"/>
      <c r="G32" s="155"/>
      <c r="H32" s="155"/>
      <c r="I32" s="78">
        <f t="shared" si="21"/>
        <v>0</v>
      </c>
      <c r="J32" s="171"/>
      <c r="K32" s="172"/>
      <c r="L32" s="155"/>
      <c r="M32" s="155"/>
      <c r="N32" s="79">
        <f t="shared" si="22"/>
        <v>0</v>
      </c>
      <c r="O32" s="80">
        <f t="shared" si="14"/>
        <v>0</v>
      </c>
      <c r="P32" s="192"/>
      <c r="Q32" s="155"/>
      <c r="R32" s="155"/>
      <c r="S32" s="78">
        <f t="shared" si="25"/>
        <v>0</v>
      </c>
      <c r="T32" s="81">
        <f t="shared" si="15"/>
        <v>0</v>
      </c>
      <c r="U32" s="195"/>
      <c r="V32" s="155"/>
      <c r="W32" s="155"/>
      <c r="X32" s="79">
        <f t="shared" si="16"/>
        <v>0</v>
      </c>
      <c r="Y32" s="80">
        <f t="shared" si="0"/>
        <v>0</v>
      </c>
      <c r="Z32" s="155"/>
      <c r="AA32" s="155"/>
      <c r="AB32" s="155"/>
      <c r="AC32" s="78">
        <f t="shared" si="26"/>
        <v>0</v>
      </c>
      <c r="AD32" s="81">
        <f t="shared" si="1"/>
        <v>0</v>
      </c>
      <c r="AE32" s="155"/>
      <c r="AF32" s="155"/>
      <c r="AG32" s="155"/>
      <c r="AH32" s="79">
        <f t="shared" si="17"/>
        <v>0</v>
      </c>
      <c r="AI32" s="80">
        <f t="shared" si="2"/>
        <v>0</v>
      </c>
      <c r="AJ32" s="155"/>
      <c r="AK32" s="155"/>
      <c r="AL32" s="155"/>
      <c r="AM32" s="78">
        <f t="shared" si="9"/>
        <v>0</v>
      </c>
      <c r="AN32" s="81">
        <f t="shared" si="3"/>
        <v>0</v>
      </c>
      <c r="AO32" s="155"/>
      <c r="AP32" s="155"/>
      <c r="AQ32" s="155"/>
      <c r="AR32" s="79">
        <f t="shared" si="18"/>
        <v>0</v>
      </c>
      <c r="AS32" s="80">
        <f t="shared" si="4"/>
        <v>0</v>
      </c>
      <c r="AT32" s="155"/>
      <c r="AU32" s="155"/>
      <c r="AV32" s="155"/>
      <c r="AW32" s="78">
        <f t="shared" si="23"/>
        <v>0</v>
      </c>
      <c r="AX32" s="81">
        <f t="shared" si="5"/>
        <v>0</v>
      </c>
      <c r="AY32" s="155"/>
      <c r="AZ32" s="155"/>
      <c r="BA32" s="77"/>
      <c r="BB32" s="79">
        <f t="shared" si="19"/>
        <v>0</v>
      </c>
      <c r="BC32" s="80">
        <f t="shared" si="6"/>
        <v>0</v>
      </c>
      <c r="BD32" s="155"/>
      <c r="BE32" s="155"/>
      <c r="BF32" s="155"/>
      <c r="BG32" s="78">
        <f t="shared" si="24"/>
        <v>0</v>
      </c>
      <c r="BH32" s="81">
        <f t="shared" si="27"/>
        <v>0</v>
      </c>
      <c r="BI32" s="155"/>
      <c r="BJ32" s="155"/>
      <c r="BK32" s="155"/>
      <c r="BL32" s="79">
        <f t="shared" si="20"/>
        <v>0</v>
      </c>
      <c r="BM32" s="76"/>
      <c r="BN32" s="155"/>
      <c r="BO32" s="81">
        <f t="shared" si="11"/>
        <v>0</v>
      </c>
      <c r="BP32" s="82">
        <f t="shared" si="12"/>
        <v>0</v>
      </c>
      <c r="BQ32" s="83"/>
      <c r="BR32" s="155"/>
      <c r="BS32" s="222">
        <f t="shared" si="8"/>
        <v>0</v>
      </c>
      <c r="BT32" s="254">
        <f>SUM(BO32:BR32)</f>
        <v>0</v>
      </c>
      <c r="BU32" s="398"/>
      <c r="BV32" s="156"/>
      <c r="BW32" s="72">
        <f t="shared" si="13"/>
        <v>0</v>
      </c>
      <c r="BX32" s="395"/>
      <c r="CC32" s="300"/>
    </row>
    <row r="33" spans="1:81" s="75" customFormat="1" ht="17" hidden="1" thickBot="1" x14ac:dyDescent="0.35">
      <c r="A33" s="1">
        <v>8</v>
      </c>
      <c r="B33" s="310">
        <v>11</v>
      </c>
      <c r="C33" s="214" t="s">
        <v>36</v>
      </c>
      <c r="D33" s="213">
        <v>1595</v>
      </c>
      <c r="E33" s="153"/>
      <c r="F33" s="168"/>
      <c r="G33" s="155"/>
      <c r="H33" s="155"/>
      <c r="I33" s="78">
        <f t="shared" si="21"/>
        <v>0</v>
      </c>
      <c r="J33" s="155"/>
      <c r="K33" s="155"/>
      <c r="L33" s="155"/>
      <c r="M33" s="155"/>
      <c r="N33" s="79">
        <f t="shared" si="22"/>
        <v>0</v>
      </c>
      <c r="O33" s="80">
        <f>I33</f>
        <v>0</v>
      </c>
      <c r="P33" s="193"/>
      <c r="Q33" s="155"/>
      <c r="R33" s="155"/>
      <c r="S33" s="78">
        <f t="shared" si="25"/>
        <v>0</v>
      </c>
      <c r="T33" s="81">
        <f>N33</f>
        <v>0</v>
      </c>
      <c r="U33" s="155"/>
      <c r="V33" s="155"/>
      <c r="W33" s="155"/>
      <c r="X33" s="79">
        <f t="shared" si="16"/>
        <v>0</v>
      </c>
      <c r="Y33" s="80">
        <f t="shared" ref="Y33:Y39" si="28">S33</f>
        <v>0</v>
      </c>
      <c r="Z33" s="155"/>
      <c r="AA33" s="155"/>
      <c r="AB33" s="155"/>
      <c r="AC33" s="78">
        <f t="shared" si="26"/>
        <v>0</v>
      </c>
      <c r="AD33" s="81">
        <f t="shared" si="1"/>
        <v>0</v>
      </c>
      <c r="AE33" s="155"/>
      <c r="AF33" s="155"/>
      <c r="AG33" s="155"/>
      <c r="AH33" s="79">
        <f t="shared" si="17"/>
        <v>0</v>
      </c>
      <c r="AI33" s="80">
        <f t="shared" si="2"/>
        <v>0</v>
      </c>
      <c r="AJ33" s="155"/>
      <c r="AK33" s="155"/>
      <c r="AL33" s="155"/>
      <c r="AM33" s="78">
        <f t="shared" si="9"/>
        <v>0</v>
      </c>
      <c r="AN33" s="81">
        <f t="shared" si="3"/>
        <v>0</v>
      </c>
      <c r="AO33" s="155"/>
      <c r="AP33" s="155"/>
      <c r="AQ33" s="155"/>
      <c r="AR33" s="79">
        <f t="shared" si="18"/>
        <v>0</v>
      </c>
      <c r="AS33" s="80">
        <f t="shared" ref="AS33:AS39" si="29">AM33</f>
        <v>0</v>
      </c>
      <c r="AT33" s="155"/>
      <c r="AU33" s="155"/>
      <c r="AV33" s="155"/>
      <c r="AW33" s="78">
        <f t="shared" si="23"/>
        <v>0</v>
      </c>
      <c r="AX33" s="81">
        <f t="shared" si="5"/>
        <v>0</v>
      </c>
      <c r="AY33" s="155"/>
      <c r="AZ33" s="155"/>
      <c r="BA33" s="77"/>
      <c r="BB33" s="79">
        <f t="shared" si="19"/>
        <v>0</v>
      </c>
      <c r="BC33" s="80">
        <f t="shared" ref="BC33:BC39" si="30">AW33</f>
        <v>0</v>
      </c>
      <c r="BD33" s="155"/>
      <c r="BE33" s="155"/>
      <c r="BF33" s="155"/>
      <c r="BG33" s="78">
        <f t="shared" si="24"/>
        <v>0</v>
      </c>
      <c r="BH33" s="81">
        <f t="shared" si="27"/>
        <v>0</v>
      </c>
      <c r="BI33" s="155"/>
      <c r="BJ33" s="155"/>
      <c r="BK33" s="155"/>
      <c r="BL33" s="79">
        <f t="shared" si="20"/>
        <v>0</v>
      </c>
      <c r="BM33" s="76"/>
      <c r="BN33" s="155"/>
      <c r="BO33" s="81">
        <f t="shared" si="11"/>
        <v>0</v>
      </c>
      <c r="BP33" s="82">
        <f t="shared" si="12"/>
        <v>0</v>
      </c>
      <c r="BQ33" s="83"/>
      <c r="BR33" s="155"/>
      <c r="BS33" s="222">
        <f t="shared" si="8"/>
        <v>0</v>
      </c>
      <c r="BT33" s="254">
        <f t="shared" ref="BT33:BT39" si="31">IF(CC33=TRUE, SUM(BO33:BR33), 0)</f>
        <v>0</v>
      </c>
      <c r="BU33" s="398"/>
      <c r="BV33" s="156"/>
      <c r="BW33" s="72">
        <f t="shared" si="13"/>
        <v>0</v>
      </c>
      <c r="BX33" s="395"/>
      <c r="CB33" s="249" t="s">
        <v>163</v>
      </c>
      <c r="CC33" s="300" t="b">
        <v>0</v>
      </c>
    </row>
    <row r="34" spans="1:81" s="75" customFormat="1" ht="17" hidden="1" thickBot="1" x14ac:dyDescent="0.35">
      <c r="A34" s="1">
        <v>9</v>
      </c>
      <c r="B34" s="310">
        <v>12</v>
      </c>
      <c r="C34" s="214" t="s">
        <v>37</v>
      </c>
      <c r="D34" s="213">
        <v>1595</v>
      </c>
      <c r="E34" s="153"/>
      <c r="F34" s="155"/>
      <c r="G34" s="155"/>
      <c r="H34" s="155"/>
      <c r="I34" s="78">
        <f t="shared" si="21"/>
        <v>0</v>
      </c>
      <c r="J34" s="155"/>
      <c r="K34" s="155"/>
      <c r="L34" s="155"/>
      <c r="M34" s="155"/>
      <c r="N34" s="79">
        <f t="shared" si="22"/>
        <v>0</v>
      </c>
      <c r="O34" s="80">
        <f t="shared" si="14"/>
        <v>0</v>
      </c>
      <c r="P34" s="155"/>
      <c r="Q34" s="155"/>
      <c r="R34" s="155"/>
      <c r="S34" s="78">
        <f t="shared" si="25"/>
        <v>0</v>
      </c>
      <c r="T34" s="81">
        <f t="shared" si="15"/>
        <v>0</v>
      </c>
      <c r="U34" s="155"/>
      <c r="V34" s="155"/>
      <c r="W34" s="155"/>
      <c r="X34" s="79">
        <f t="shared" si="16"/>
        <v>0</v>
      </c>
      <c r="Y34" s="80">
        <f t="shared" si="28"/>
        <v>0</v>
      </c>
      <c r="Z34" s="155"/>
      <c r="AA34" s="155"/>
      <c r="AB34" s="155"/>
      <c r="AC34" s="78">
        <f t="shared" si="26"/>
        <v>0</v>
      </c>
      <c r="AD34" s="81">
        <f t="shared" si="1"/>
        <v>0</v>
      </c>
      <c r="AE34" s="155"/>
      <c r="AF34" s="155"/>
      <c r="AG34" s="155"/>
      <c r="AH34" s="79">
        <f t="shared" si="17"/>
        <v>0</v>
      </c>
      <c r="AI34" s="80">
        <f t="shared" si="2"/>
        <v>0</v>
      </c>
      <c r="AJ34" s="155"/>
      <c r="AK34" s="155"/>
      <c r="AL34" s="155"/>
      <c r="AM34" s="78">
        <f t="shared" si="9"/>
        <v>0</v>
      </c>
      <c r="AN34" s="81">
        <f t="shared" si="3"/>
        <v>0</v>
      </c>
      <c r="AO34" s="155"/>
      <c r="AP34" s="155"/>
      <c r="AQ34" s="155"/>
      <c r="AR34" s="79">
        <f t="shared" si="18"/>
        <v>0</v>
      </c>
      <c r="AS34" s="80">
        <f t="shared" si="29"/>
        <v>0</v>
      </c>
      <c r="AT34" s="155"/>
      <c r="AU34" s="155"/>
      <c r="AV34" s="155"/>
      <c r="AW34" s="78">
        <f t="shared" si="23"/>
        <v>0</v>
      </c>
      <c r="AX34" s="81">
        <f t="shared" si="5"/>
        <v>0</v>
      </c>
      <c r="AY34" s="155"/>
      <c r="AZ34" s="155"/>
      <c r="BA34" s="77"/>
      <c r="BB34" s="79">
        <f t="shared" si="19"/>
        <v>0</v>
      </c>
      <c r="BC34" s="80">
        <f t="shared" si="30"/>
        <v>0</v>
      </c>
      <c r="BD34" s="155"/>
      <c r="BE34" s="155"/>
      <c r="BF34" s="155"/>
      <c r="BG34" s="78">
        <f t="shared" si="24"/>
        <v>0</v>
      </c>
      <c r="BH34" s="81">
        <f t="shared" si="27"/>
        <v>0</v>
      </c>
      <c r="BI34" s="155"/>
      <c r="BJ34" s="155"/>
      <c r="BK34" s="155"/>
      <c r="BL34" s="79">
        <f t="shared" si="20"/>
        <v>0</v>
      </c>
      <c r="BM34" s="76"/>
      <c r="BN34" s="155"/>
      <c r="BO34" s="81">
        <f t="shared" si="11"/>
        <v>0</v>
      </c>
      <c r="BP34" s="82">
        <f t="shared" si="12"/>
        <v>0</v>
      </c>
      <c r="BQ34" s="83"/>
      <c r="BR34" s="155"/>
      <c r="BS34" s="222">
        <f t="shared" si="8"/>
        <v>0</v>
      </c>
      <c r="BT34" s="254">
        <f t="shared" si="31"/>
        <v>0</v>
      </c>
      <c r="BU34" s="398"/>
      <c r="BV34" s="156"/>
      <c r="BW34" s="72">
        <f t="shared" si="13"/>
        <v>0</v>
      </c>
      <c r="BX34" s="395"/>
      <c r="CB34" s="249" t="s">
        <v>164</v>
      </c>
      <c r="CC34" s="300" t="b">
        <v>0</v>
      </c>
    </row>
    <row r="35" spans="1:81" s="75" customFormat="1" ht="17" hidden="1" thickBot="1" x14ac:dyDescent="0.35">
      <c r="A35" s="1">
        <v>10</v>
      </c>
      <c r="B35" s="310">
        <v>13</v>
      </c>
      <c r="C35" s="214" t="s">
        <v>69</v>
      </c>
      <c r="D35" s="213">
        <v>1595</v>
      </c>
      <c r="E35" s="153"/>
      <c r="F35" s="155"/>
      <c r="G35" s="155"/>
      <c r="H35" s="155"/>
      <c r="I35" s="78">
        <f t="shared" si="21"/>
        <v>0</v>
      </c>
      <c r="J35" s="155"/>
      <c r="K35" s="155"/>
      <c r="L35" s="155"/>
      <c r="M35" s="155"/>
      <c r="N35" s="79">
        <f t="shared" si="22"/>
        <v>0</v>
      </c>
      <c r="O35" s="80">
        <f t="shared" ref="O35:O40" si="32">I35</f>
        <v>0</v>
      </c>
      <c r="P35" s="155"/>
      <c r="Q35" s="155"/>
      <c r="R35" s="155"/>
      <c r="S35" s="78">
        <f t="shared" si="25"/>
        <v>0</v>
      </c>
      <c r="T35" s="81">
        <f t="shared" ref="T35:T40" si="33">N35</f>
        <v>0</v>
      </c>
      <c r="U35" s="155"/>
      <c r="V35" s="155"/>
      <c r="W35" s="155"/>
      <c r="X35" s="79">
        <f t="shared" ref="X35:X40" si="34">T35+U35-V35+W35</f>
        <v>0</v>
      </c>
      <c r="Y35" s="80">
        <f t="shared" si="28"/>
        <v>0</v>
      </c>
      <c r="Z35" s="155"/>
      <c r="AA35" s="155"/>
      <c r="AB35" s="155"/>
      <c r="AC35" s="78">
        <f t="shared" si="26"/>
        <v>0</v>
      </c>
      <c r="AD35" s="81">
        <f t="shared" si="1"/>
        <v>0</v>
      </c>
      <c r="AE35" s="155"/>
      <c r="AF35" s="155"/>
      <c r="AG35" s="155"/>
      <c r="AH35" s="79">
        <f t="shared" ref="AH35:AH40" si="35">AD35+AE35-AF35+AG35</f>
        <v>0</v>
      </c>
      <c r="AI35" s="80">
        <f t="shared" si="2"/>
        <v>0</v>
      </c>
      <c r="AJ35" s="155"/>
      <c r="AK35" s="155"/>
      <c r="AL35" s="155"/>
      <c r="AM35" s="78">
        <f t="shared" si="9"/>
        <v>0</v>
      </c>
      <c r="AN35" s="81">
        <f t="shared" si="3"/>
        <v>0</v>
      </c>
      <c r="AO35" s="155"/>
      <c r="AP35" s="155"/>
      <c r="AQ35" s="155"/>
      <c r="AR35" s="79">
        <f t="shared" ref="AR35:AR40" si="36">AN35+AO35-AP35+AQ35</f>
        <v>0</v>
      </c>
      <c r="AS35" s="80">
        <f t="shared" si="29"/>
        <v>0</v>
      </c>
      <c r="AT35" s="155"/>
      <c r="AU35" s="155"/>
      <c r="AV35" s="155"/>
      <c r="AW35" s="78">
        <f t="shared" si="23"/>
        <v>0</v>
      </c>
      <c r="AX35" s="81">
        <f t="shared" si="5"/>
        <v>0</v>
      </c>
      <c r="AY35" s="155"/>
      <c r="AZ35" s="155"/>
      <c r="BA35" s="77"/>
      <c r="BB35" s="79">
        <f t="shared" ref="BB35:BB40" si="37">AX35+AY35-AZ35+BA35</f>
        <v>0</v>
      </c>
      <c r="BC35" s="80">
        <f t="shared" si="30"/>
        <v>0</v>
      </c>
      <c r="BD35" s="155"/>
      <c r="BE35" s="155"/>
      <c r="BF35" s="155"/>
      <c r="BG35" s="78">
        <f t="shared" si="24"/>
        <v>0</v>
      </c>
      <c r="BH35" s="81">
        <f t="shared" si="27"/>
        <v>0</v>
      </c>
      <c r="BI35" s="155"/>
      <c r="BJ35" s="155"/>
      <c r="BK35" s="155"/>
      <c r="BL35" s="79">
        <f t="shared" ref="BL35:BL40" si="38">BH35+BI35-BJ35+BK35</f>
        <v>0</v>
      </c>
      <c r="BM35" s="76"/>
      <c r="BN35" s="155"/>
      <c r="BO35" s="81">
        <f t="shared" si="11"/>
        <v>0</v>
      </c>
      <c r="BP35" s="82">
        <f t="shared" si="12"/>
        <v>0</v>
      </c>
      <c r="BQ35" s="83"/>
      <c r="BR35" s="155"/>
      <c r="BS35" s="222">
        <f t="shared" si="8"/>
        <v>0</v>
      </c>
      <c r="BT35" s="254">
        <f t="shared" si="31"/>
        <v>0</v>
      </c>
      <c r="BU35" s="398"/>
      <c r="BV35" s="156"/>
      <c r="BW35" s="72">
        <f t="shared" si="13"/>
        <v>0</v>
      </c>
      <c r="BX35" s="395"/>
      <c r="CB35" s="249" t="s">
        <v>165</v>
      </c>
      <c r="CC35" s="300" t="b">
        <v>0</v>
      </c>
    </row>
    <row r="36" spans="1:81" s="75" customFormat="1" ht="17" hidden="1" thickBot="1" x14ac:dyDescent="0.35">
      <c r="A36" s="1">
        <v>11</v>
      </c>
      <c r="B36" s="310">
        <v>14</v>
      </c>
      <c r="C36" s="214" t="s">
        <v>130</v>
      </c>
      <c r="D36" s="213">
        <v>1595</v>
      </c>
      <c r="E36" s="153"/>
      <c r="F36" s="155"/>
      <c r="G36" s="155"/>
      <c r="H36" s="155"/>
      <c r="I36" s="78">
        <f t="shared" si="21"/>
        <v>0</v>
      </c>
      <c r="J36" s="155"/>
      <c r="K36" s="155"/>
      <c r="L36" s="155"/>
      <c r="M36" s="155"/>
      <c r="N36" s="79">
        <f t="shared" si="22"/>
        <v>0</v>
      </c>
      <c r="O36" s="80">
        <f t="shared" si="32"/>
        <v>0</v>
      </c>
      <c r="P36" s="155"/>
      <c r="Q36" s="155"/>
      <c r="R36" s="155"/>
      <c r="S36" s="78">
        <f t="shared" si="25"/>
        <v>0</v>
      </c>
      <c r="T36" s="81">
        <f t="shared" si="33"/>
        <v>0</v>
      </c>
      <c r="U36" s="155"/>
      <c r="V36" s="155"/>
      <c r="W36" s="155"/>
      <c r="X36" s="79">
        <f t="shared" si="34"/>
        <v>0</v>
      </c>
      <c r="Y36" s="80">
        <f t="shared" si="28"/>
        <v>0</v>
      </c>
      <c r="Z36" s="155"/>
      <c r="AA36" s="155"/>
      <c r="AB36" s="155"/>
      <c r="AC36" s="78">
        <f t="shared" si="26"/>
        <v>0</v>
      </c>
      <c r="AD36" s="81">
        <f>X36</f>
        <v>0</v>
      </c>
      <c r="AE36" s="155"/>
      <c r="AF36" s="155"/>
      <c r="AG36" s="155"/>
      <c r="AH36" s="79">
        <f t="shared" si="35"/>
        <v>0</v>
      </c>
      <c r="AI36" s="80">
        <f t="shared" si="2"/>
        <v>0</v>
      </c>
      <c r="AJ36" s="155"/>
      <c r="AK36" s="155"/>
      <c r="AL36" s="155"/>
      <c r="AM36" s="78">
        <f t="shared" si="9"/>
        <v>0</v>
      </c>
      <c r="AN36" s="81">
        <f t="shared" si="3"/>
        <v>0</v>
      </c>
      <c r="AO36" s="155"/>
      <c r="AP36" s="155"/>
      <c r="AQ36" s="155"/>
      <c r="AR36" s="79">
        <f t="shared" si="36"/>
        <v>0</v>
      </c>
      <c r="AS36" s="80">
        <f t="shared" si="29"/>
        <v>0</v>
      </c>
      <c r="AT36" s="155"/>
      <c r="AU36" s="155"/>
      <c r="AV36" s="155"/>
      <c r="AW36" s="78">
        <f t="shared" si="23"/>
        <v>0</v>
      </c>
      <c r="AX36" s="81">
        <f t="shared" si="5"/>
        <v>0</v>
      </c>
      <c r="AY36" s="155"/>
      <c r="AZ36" s="155"/>
      <c r="BA36" s="77"/>
      <c r="BB36" s="79">
        <f t="shared" si="37"/>
        <v>0</v>
      </c>
      <c r="BC36" s="80">
        <f t="shared" si="30"/>
        <v>0</v>
      </c>
      <c r="BD36" s="155"/>
      <c r="BE36" s="155"/>
      <c r="BF36" s="155"/>
      <c r="BG36" s="78">
        <f t="shared" si="10"/>
        <v>0</v>
      </c>
      <c r="BH36" s="81">
        <f t="shared" si="27"/>
        <v>0</v>
      </c>
      <c r="BI36" s="155"/>
      <c r="BJ36" s="155"/>
      <c r="BK36" s="155"/>
      <c r="BL36" s="79">
        <f t="shared" si="38"/>
        <v>0</v>
      </c>
      <c r="BM36" s="76"/>
      <c r="BN36" s="155"/>
      <c r="BO36" s="81">
        <f t="shared" si="11"/>
        <v>0</v>
      </c>
      <c r="BP36" s="82">
        <f t="shared" si="12"/>
        <v>0</v>
      </c>
      <c r="BQ36" s="83"/>
      <c r="BR36" s="155"/>
      <c r="BS36" s="222">
        <f t="shared" si="8"/>
        <v>0</v>
      </c>
      <c r="BT36" s="254">
        <f t="shared" si="31"/>
        <v>0</v>
      </c>
      <c r="BU36" s="398"/>
      <c r="BV36" s="156"/>
      <c r="BW36" s="72">
        <f t="shared" si="13"/>
        <v>0</v>
      </c>
      <c r="BX36" s="395"/>
      <c r="CB36" s="249" t="s">
        <v>166</v>
      </c>
      <c r="CC36" s="300" t="b">
        <v>0</v>
      </c>
    </row>
    <row r="37" spans="1:81" s="75" customFormat="1" ht="17" hidden="1" thickBot="1" x14ac:dyDescent="0.35">
      <c r="A37" s="1">
        <v>12</v>
      </c>
      <c r="B37" s="310">
        <v>15</v>
      </c>
      <c r="C37" s="214" t="s">
        <v>399</v>
      </c>
      <c r="D37" s="213">
        <v>1595</v>
      </c>
      <c r="E37" s="153"/>
      <c r="F37" s="155"/>
      <c r="G37" s="155"/>
      <c r="H37" s="155"/>
      <c r="I37" s="78">
        <f t="shared" si="21"/>
        <v>0</v>
      </c>
      <c r="J37" s="155"/>
      <c r="K37" s="155"/>
      <c r="L37" s="155"/>
      <c r="M37" s="155"/>
      <c r="N37" s="79">
        <f t="shared" si="22"/>
        <v>0</v>
      </c>
      <c r="O37" s="80">
        <f t="shared" si="32"/>
        <v>0</v>
      </c>
      <c r="P37" s="155"/>
      <c r="Q37" s="155"/>
      <c r="R37" s="155"/>
      <c r="S37" s="78">
        <f t="shared" si="25"/>
        <v>0</v>
      </c>
      <c r="T37" s="81">
        <f t="shared" si="33"/>
        <v>0</v>
      </c>
      <c r="U37" s="155"/>
      <c r="V37" s="155"/>
      <c r="W37" s="155"/>
      <c r="X37" s="79">
        <f t="shared" si="34"/>
        <v>0</v>
      </c>
      <c r="Y37" s="80">
        <f t="shared" si="28"/>
        <v>0</v>
      </c>
      <c r="Z37" s="155"/>
      <c r="AA37" s="155"/>
      <c r="AB37" s="155"/>
      <c r="AC37" s="78">
        <f t="shared" si="26"/>
        <v>0</v>
      </c>
      <c r="AD37" s="81">
        <f>X37</f>
        <v>0</v>
      </c>
      <c r="AE37" s="155"/>
      <c r="AF37" s="155"/>
      <c r="AG37" s="155"/>
      <c r="AH37" s="79">
        <f t="shared" si="35"/>
        <v>0</v>
      </c>
      <c r="AI37" s="80">
        <f t="shared" si="2"/>
        <v>0</v>
      </c>
      <c r="AJ37" s="155"/>
      <c r="AK37" s="155"/>
      <c r="AL37" s="155"/>
      <c r="AM37" s="78">
        <f t="shared" si="9"/>
        <v>0</v>
      </c>
      <c r="AN37" s="81">
        <f t="shared" si="3"/>
        <v>0</v>
      </c>
      <c r="AO37" s="155"/>
      <c r="AP37" s="155"/>
      <c r="AQ37" s="155"/>
      <c r="AR37" s="79">
        <f t="shared" si="36"/>
        <v>0</v>
      </c>
      <c r="AS37" s="80">
        <f t="shared" si="29"/>
        <v>0</v>
      </c>
      <c r="AT37" s="155"/>
      <c r="AU37" s="155"/>
      <c r="AV37" s="155"/>
      <c r="AW37" s="78">
        <f t="shared" si="23"/>
        <v>0</v>
      </c>
      <c r="AX37" s="81">
        <f t="shared" si="5"/>
        <v>0</v>
      </c>
      <c r="AY37" s="155"/>
      <c r="AZ37" s="155"/>
      <c r="BA37" s="77"/>
      <c r="BB37" s="79">
        <f t="shared" si="37"/>
        <v>0</v>
      </c>
      <c r="BC37" s="80">
        <f t="shared" si="30"/>
        <v>0</v>
      </c>
      <c r="BD37" s="155"/>
      <c r="BE37" s="155"/>
      <c r="BF37" s="155"/>
      <c r="BG37" s="78">
        <f t="shared" si="10"/>
        <v>0</v>
      </c>
      <c r="BH37" s="81">
        <f t="shared" si="27"/>
        <v>0</v>
      </c>
      <c r="BI37" s="155"/>
      <c r="BJ37" s="155"/>
      <c r="BK37" s="155"/>
      <c r="BL37" s="79">
        <f t="shared" si="38"/>
        <v>0</v>
      </c>
      <c r="BM37" s="76"/>
      <c r="BN37" s="155"/>
      <c r="BO37" s="81">
        <f t="shared" si="11"/>
        <v>0</v>
      </c>
      <c r="BP37" s="82">
        <f t="shared" si="12"/>
        <v>0</v>
      </c>
      <c r="BQ37" s="83"/>
      <c r="BR37" s="155"/>
      <c r="BS37" s="222">
        <f t="shared" si="8"/>
        <v>0</v>
      </c>
      <c r="BT37" s="254">
        <f t="shared" si="31"/>
        <v>0</v>
      </c>
      <c r="BU37" s="398"/>
      <c r="BV37" s="156"/>
      <c r="BW37" s="72">
        <f t="shared" si="13"/>
        <v>0</v>
      </c>
      <c r="BX37" s="395"/>
      <c r="CB37" s="249" t="s">
        <v>167</v>
      </c>
      <c r="CC37" s="300" t="b">
        <v>0</v>
      </c>
    </row>
    <row r="38" spans="1:81" s="75" customFormat="1" ht="17" hidden="1" thickBot="1" x14ac:dyDescent="0.35">
      <c r="A38" s="1">
        <v>13</v>
      </c>
      <c r="B38" s="310">
        <v>16</v>
      </c>
      <c r="C38" s="214" t="s">
        <v>400</v>
      </c>
      <c r="D38" s="213">
        <v>1595</v>
      </c>
      <c r="E38" s="153"/>
      <c r="F38" s="155"/>
      <c r="G38" s="155"/>
      <c r="H38" s="155"/>
      <c r="I38" s="78">
        <f t="shared" si="21"/>
        <v>0</v>
      </c>
      <c r="J38" s="155"/>
      <c r="K38" s="155"/>
      <c r="L38" s="155"/>
      <c r="M38" s="155"/>
      <c r="N38" s="79">
        <f t="shared" si="22"/>
        <v>0</v>
      </c>
      <c r="O38" s="80">
        <f t="shared" si="32"/>
        <v>0</v>
      </c>
      <c r="P38" s="155"/>
      <c r="Q38" s="155"/>
      <c r="R38" s="155"/>
      <c r="S38" s="78">
        <f t="shared" si="25"/>
        <v>0</v>
      </c>
      <c r="T38" s="81">
        <f t="shared" si="33"/>
        <v>0</v>
      </c>
      <c r="U38" s="155"/>
      <c r="V38" s="155"/>
      <c r="W38" s="155"/>
      <c r="X38" s="79">
        <f t="shared" si="34"/>
        <v>0</v>
      </c>
      <c r="Y38" s="80">
        <f t="shared" si="28"/>
        <v>0</v>
      </c>
      <c r="Z38" s="155"/>
      <c r="AA38" s="155"/>
      <c r="AB38" s="155"/>
      <c r="AC38" s="78">
        <f t="shared" si="26"/>
        <v>0</v>
      </c>
      <c r="AD38" s="81">
        <f>X38</f>
        <v>0</v>
      </c>
      <c r="AE38" s="155"/>
      <c r="AF38" s="155"/>
      <c r="AG38" s="155"/>
      <c r="AH38" s="79">
        <f t="shared" si="35"/>
        <v>0</v>
      </c>
      <c r="AI38" s="80">
        <f t="shared" si="2"/>
        <v>0</v>
      </c>
      <c r="AJ38" s="155"/>
      <c r="AK38" s="155"/>
      <c r="AL38" s="155"/>
      <c r="AM38" s="78">
        <f t="shared" si="9"/>
        <v>0</v>
      </c>
      <c r="AN38" s="81">
        <f t="shared" si="3"/>
        <v>0</v>
      </c>
      <c r="AO38" s="155"/>
      <c r="AP38" s="155"/>
      <c r="AQ38" s="155"/>
      <c r="AR38" s="79">
        <f t="shared" si="36"/>
        <v>0</v>
      </c>
      <c r="AS38" s="80">
        <f t="shared" si="29"/>
        <v>0</v>
      </c>
      <c r="AT38" s="155"/>
      <c r="AU38" s="155"/>
      <c r="AV38" s="155"/>
      <c r="AW38" s="78">
        <f t="shared" si="23"/>
        <v>0</v>
      </c>
      <c r="AX38" s="81">
        <f t="shared" si="5"/>
        <v>0</v>
      </c>
      <c r="AY38" s="155"/>
      <c r="AZ38" s="155"/>
      <c r="BA38" s="77"/>
      <c r="BB38" s="79">
        <f t="shared" si="37"/>
        <v>0</v>
      </c>
      <c r="BC38" s="80">
        <f t="shared" si="30"/>
        <v>0</v>
      </c>
      <c r="BD38" s="155"/>
      <c r="BE38" s="155"/>
      <c r="BF38" s="155"/>
      <c r="BG38" s="78">
        <f t="shared" si="10"/>
        <v>0</v>
      </c>
      <c r="BH38" s="81">
        <f t="shared" si="27"/>
        <v>0</v>
      </c>
      <c r="BI38" s="155"/>
      <c r="BJ38" s="155"/>
      <c r="BK38" s="155"/>
      <c r="BL38" s="79">
        <f t="shared" si="38"/>
        <v>0</v>
      </c>
      <c r="BM38" s="76"/>
      <c r="BN38" s="155"/>
      <c r="BO38" s="81">
        <f t="shared" si="11"/>
        <v>0</v>
      </c>
      <c r="BP38" s="82">
        <f t="shared" si="12"/>
        <v>0</v>
      </c>
      <c r="BQ38" s="83"/>
      <c r="BR38" s="155"/>
      <c r="BS38" s="222">
        <f t="shared" si="8"/>
        <v>0</v>
      </c>
      <c r="BT38" s="254">
        <f t="shared" si="31"/>
        <v>0</v>
      </c>
      <c r="BU38" s="398"/>
      <c r="BV38" s="156"/>
      <c r="BW38" s="72">
        <f t="shared" si="13"/>
        <v>0</v>
      </c>
      <c r="BX38" s="395"/>
      <c r="CB38" s="249" t="s">
        <v>169</v>
      </c>
      <c r="CC38" s="300" t="b">
        <v>0</v>
      </c>
    </row>
    <row r="39" spans="1:81" s="75" customFormat="1" ht="17" hidden="1" thickBot="1" x14ac:dyDescent="0.35">
      <c r="A39" s="1">
        <v>14</v>
      </c>
      <c r="B39" s="310">
        <v>17</v>
      </c>
      <c r="C39" s="215" t="s">
        <v>401</v>
      </c>
      <c r="D39" s="229">
        <v>1595</v>
      </c>
      <c r="E39" s="153"/>
      <c r="F39" s="155"/>
      <c r="G39" s="155"/>
      <c r="H39" s="155"/>
      <c r="I39" s="78">
        <f t="shared" si="21"/>
        <v>0</v>
      </c>
      <c r="J39" s="155"/>
      <c r="K39" s="155"/>
      <c r="L39" s="155"/>
      <c r="M39" s="155"/>
      <c r="N39" s="79">
        <f t="shared" si="22"/>
        <v>0</v>
      </c>
      <c r="O39" s="80">
        <f t="shared" si="32"/>
        <v>0</v>
      </c>
      <c r="P39" s="155"/>
      <c r="Q39" s="155"/>
      <c r="R39" s="155"/>
      <c r="S39" s="78">
        <f t="shared" si="25"/>
        <v>0</v>
      </c>
      <c r="T39" s="81">
        <f t="shared" si="33"/>
        <v>0</v>
      </c>
      <c r="U39" s="155"/>
      <c r="V39" s="155"/>
      <c r="W39" s="155"/>
      <c r="X39" s="79">
        <f t="shared" si="34"/>
        <v>0</v>
      </c>
      <c r="Y39" s="80">
        <f t="shared" si="28"/>
        <v>0</v>
      </c>
      <c r="Z39" s="155"/>
      <c r="AA39" s="155"/>
      <c r="AB39" s="155"/>
      <c r="AC39" s="78">
        <f t="shared" si="26"/>
        <v>0</v>
      </c>
      <c r="AD39" s="81">
        <f>X39</f>
        <v>0</v>
      </c>
      <c r="AE39" s="155"/>
      <c r="AF39" s="155"/>
      <c r="AG39" s="155"/>
      <c r="AH39" s="79">
        <f t="shared" si="35"/>
        <v>0</v>
      </c>
      <c r="AI39" s="80">
        <f t="shared" si="2"/>
        <v>0</v>
      </c>
      <c r="AJ39" s="155"/>
      <c r="AK39" s="155"/>
      <c r="AL39" s="155"/>
      <c r="AM39" s="78">
        <f t="shared" si="9"/>
        <v>0</v>
      </c>
      <c r="AN39" s="81">
        <f t="shared" si="3"/>
        <v>0</v>
      </c>
      <c r="AO39" s="155"/>
      <c r="AP39" s="155"/>
      <c r="AQ39" s="155"/>
      <c r="AR39" s="79">
        <f t="shared" si="36"/>
        <v>0</v>
      </c>
      <c r="AS39" s="80">
        <f t="shared" si="29"/>
        <v>0</v>
      </c>
      <c r="AT39" s="155"/>
      <c r="AU39" s="155"/>
      <c r="AV39" s="155"/>
      <c r="AW39" s="78">
        <f t="shared" si="23"/>
        <v>0</v>
      </c>
      <c r="AX39" s="81">
        <f t="shared" si="5"/>
        <v>0</v>
      </c>
      <c r="AY39" s="155"/>
      <c r="AZ39" s="155"/>
      <c r="BA39" s="77"/>
      <c r="BB39" s="79">
        <f t="shared" si="37"/>
        <v>0</v>
      </c>
      <c r="BC39" s="80">
        <f t="shared" si="30"/>
        <v>0</v>
      </c>
      <c r="BD39" s="155"/>
      <c r="BE39" s="155"/>
      <c r="BF39" s="155"/>
      <c r="BG39" s="78">
        <f t="shared" si="10"/>
        <v>0</v>
      </c>
      <c r="BH39" s="81">
        <f t="shared" si="27"/>
        <v>0</v>
      </c>
      <c r="BI39" s="155"/>
      <c r="BJ39" s="155"/>
      <c r="BK39" s="155"/>
      <c r="BL39" s="79">
        <f t="shared" si="38"/>
        <v>0</v>
      </c>
      <c r="BM39" s="76"/>
      <c r="BN39" s="155"/>
      <c r="BO39" s="81">
        <f t="shared" si="11"/>
        <v>0</v>
      </c>
      <c r="BP39" s="82">
        <f t="shared" si="12"/>
        <v>0</v>
      </c>
      <c r="BQ39" s="83"/>
      <c r="BR39" s="155"/>
      <c r="BS39" s="222">
        <f>BP39+BQ39+BR39</f>
        <v>0</v>
      </c>
      <c r="BT39" s="346">
        <f t="shared" si="31"/>
        <v>0</v>
      </c>
      <c r="BU39" s="527"/>
      <c r="BV39" s="156"/>
      <c r="BW39" s="72">
        <f t="shared" si="13"/>
        <v>0</v>
      </c>
      <c r="BX39" s="395"/>
      <c r="CB39" s="249" t="s">
        <v>168</v>
      </c>
      <c r="CC39" s="300" t="b">
        <v>0</v>
      </c>
    </row>
    <row r="40" spans="1:81" s="75" customFormat="1" ht="17" hidden="1" thickBot="1" x14ac:dyDescent="0.35">
      <c r="A40" s="1">
        <v>15</v>
      </c>
      <c r="B40" s="310">
        <v>18</v>
      </c>
      <c r="C40" s="215" t="s">
        <v>402</v>
      </c>
      <c r="D40" s="229">
        <v>1595</v>
      </c>
      <c r="E40" s="153"/>
      <c r="F40" s="155"/>
      <c r="G40" s="155"/>
      <c r="H40" s="155"/>
      <c r="I40" s="78">
        <f>E40+F40-G40+H40</f>
        <v>0</v>
      </c>
      <c r="J40" s="155"/>
      <c r="K40" s="155"/>
      <c r="L40" s="155"/>
      <c r="M40" s="155"/>
      <c r="N40" s="79">
        <f>J40+K40-L40+M40</f>
        <v>0</v>
      </c>
      <c r="O40" s="80">
        <f t="shared" si="32"/>
        <v>0</v>
      </c>
      <c r="P40" s="155"/>
      <c r="Q40" s="155"/>
      <c r="R40" s="155"/>
      <c r="S40" s="78">
        <f t="shared" si="25"/>
        <v>0</v>
      </c>
      <c r="T40" s="81">
        <f t="shared" si="33"/>
        <v>0</v>
      </c>
      <c r="U40" s="155"/>
      <c r="V40" s="155"/>
      <c r="W40" s="155"/>
      <c r="X40" s="79">
        <f t="shared" si="34"/>
        <v>0</v>
      </c>
      <c r="Y40" s="80">
        <f>S40</f>
        <v>0</v>
      </c>
      <c r="Z40" s="155"/>
      <c r="AA40" s="155"/>
      <c r="AB40" s="155"/>
      <c r="AC40" s="78">
        <f t="shared" si="26"/>
        <v>0</v>
      </c>
      <c r="AD40" s="81">
        <f>X40</f>
        <v>0</v>
      </c>
      <c r="AE40" s="155"/>
      <c r="AF40" s="155"/>
      <c r="AG40" s="155"/>
      <c r="AH40" s="79">
        <f t="shared" si="35"/>
        <v>0</v>
      </c>
      <c r="AI40" s="80">
        <f>AC40</f>
        <v>0</v>
      </c>
      <c r="AJ40" s="155"/>
      <c r="AK40" s="155"/>
      <c r="AL40" s="155"/>
      <c r="AM40" s="78">
        <f>AI40+AJ40-AK40+SUM(AL40:AL40)</f>
        <v>0</v>
      </c>
      <c r="AN40" s="81">
        <f>AH40</f>
        <v>0</v>
      </c>
      <c r="AO40" s="155"/>
      <c r="AP40" s="155"/>
      <c r="AQ40" s="155"/>
      <c r="AR40" s="79">
        <f t="shared" si="36"/>
        <v>0</v>
      </c>
      <c r="AS40" s="80">
        <f>AM40</f>
        <v>0</v>
      </c>
      <c r="AT40" s="155"/>
      <c r="AU40" s="155"/>
      <c r="AV40" s="155"/>
      <c r="AW40" s="78">
        <f t="shared" si="23"/>
        <v>0</v>
      </c>
      <c r="AX40" s="81">
        <f>AR40</f>
        <v>0</v>
      </c>
      <c r="AY40" s="155"/>
      <c r="AZ40" s="155"/>
      <c r="BA40" s="155"/>
      <c r="BB40" s="79">
        <f t="shared" si="37"/>
        <v>0</v>
      </c>
      <c r="BC40" s="80">
        <f>AW40</f>
        <v>0</v>
      </c>
      <c r="BD40" s="155"/>
      <c r="BE40" s="155"/>
      <c r="BF40" s="155"/>
      <c r="BG40" s="78">
        <f>BC40+BD40-BE40+SUM(BF40:BF40)</f>
        <v>0</v>
      </c>
      <c r="BH40" s="81">
        <f>BB40</f>
        <v>0</v>
      </c>
      <c r="BI40" s="155"/>
      <c r="BJ40" s="155"/>
      <c r="BK40" s="155"/>
      <c r="BL40" s="79">
        <f t="shared" si="38"/>
        <v>0</v>
      </c>
      <c r="BM40" s="76"/>
      <c r="BN40" s="155"/>
      <c r="BO40" s="81">
        <f>BG40-BM40</f>
        <v>0</v>
      </c>
      <c r="BP40" s="82">
        <f>BL40-BN40</f>
        <v>0</v>
      </c>
      <c r="BQ40" s="83"/>
      <c r="BR40" s="155"/>
      <c r="BS40" s="222">
        <f>BP40+BQ40+BR40</f>
        <v>0</v>
      </c>
      <c r="BT40" s="346">
        <f>IF(CC40=TRUE, SUM(BO40:BR40), 0)</f>
        <v>0</v>
      </c>
      <c r="BU40" s="527"/>
      <c r="BV40" s="156"/>
      <c r="BW40" s="72">
        <f t="shared" si="13"/>
        <v>0</v>
      </c>
      <c r="BX40" s="395"/>
      <c r="CB40" s="249"/>
      <c r="CC40" s="300" t="b">
        <v>0</v>
      </c>
    </row>
    <row r="41" spans="1:81" s="225" customFormat="1" ht="15" hidden="1" thickBot="1" x14ac:dyDescent="0.4">
      <c r="A41" s="219"/>
      <c r="B41" s="310">
        <v>19</v>
      </c>
      <c r="C41" s="283" t="s">
        <v>420</v>
      </c>
      <c r="D41" s="230"/>
      <c r="E41" s="220"/>
      <c r="F41" s="221"/>
      <c r="G41" s="221"/>
      <c r="H41" s="221"/>
      <c r="I41" s="78"/>
      <c r="J41" s="221"/>
      <c r="K41" s="221"/>
      <c r="L41" s="221"/>
      <c r="M41" s="221"/>
      <c r="N41" s="79"/>
      <c r="O41" s="93"/>
      <c r="P41" s="221"/>
      <c r="Q41" s="221"/>
      <c r="R41" s="221"/>
      <c r="S41" s="78"/>
      <c r="T41" s="78"/>
      <c r="U41" s="221"/>
      <c r="V41" s="221"/>
      <c r="W41" s="221"/>
      <c r="X41" s="79"/>
      <c r="Y41" s="93"/>
      <c r="Z41" s="221"/>
      <c r="AA41" s="221"/>
      <c r="AB41" s="221"/>
      <c r="AC41" s="78"/>
      <c r="AD41" s="78"/>
      <c r="AE41" s="221"/>
      <c r="AF41" s="221"/>
      <c r="AG41" s="221"/>
      <c r="AH41" s="79"/>
      <c r="AI41" s="93"/>
      <c r="AJ41" s="221"/>
      <c r="AK41" s="221"/>
      <c r="AL41" s="221"/>
      <c r="AM41" s="78"/>
      <c r="AN41" s="78"/>
      <c r="AO41" s="221"/>
      <c r="AP41" s="221"/>
      <c r="AQ41" s="221"/>
      <c r="AR41" s="79"/>
      <c r="AS41" s="93"/>
      <c r="AT41" s="221"/>
      <c r="AU41" s="221"/>
      <c r="AV41" s="221"/>
      <c r="AW41" s="78"/>
      <c r="AX41" s="78"/>
      <c r="AY41" s="221"/>
      <c r="AZ41" s="221"/>
      <c r="BA41" s="221"/>
      <c r="BB41" s="79"/>
      <c r="BC41" s="93"/>
      <c r="BD41" s="221"/>
      <c r="BE41" s="221"/>
      <c r="BF41" s="221"/>
      <c r="BG41" s="78"/>
      <c r="BH41" s="78"/>
      <c r="BI41" s="221"/>
      <c r="BJ41" s="221"/>
      <c r="BK41" s="221"/>
      <c r="BL41" s="79"/>
      <c r="BM41" s="220"/>
      <c r="BN41" s="221"/>
      <c r="BO41" s="78"/>
      <c r="BP41" s="79"/>
      <c r="BQ41" s="221"/>
      <c r="BR41" s="221"/>
      <c r="BS41" s="222"/>
      <c r="BT41" s="255"/>
      <c r="BU41" s="528"/>
      <c r="BV41" s="224"/>
      <c r="BW41" s="223"/>
      <c r="BX41" s="396"/>
      <c r="CC41" s="301"/>
    </row>
    <row r="42" spans="1:81" s="75" customFormat="1" ht="15" hidden="1" customHeight="1" x14ac:dyDescent="0.3">
      <c r="A42" s="1"/>
      <c r="B42" s="310">
        <v>20</v>
      </c>
      <c r="C42" s="228"/>
      <c r="D42" s="15"/>
      <c r="E42" s="93"/>
      <c r="F42" s="78"/>
      <c r="G42" s="78"/>
      <c r="H42" s="78"/>
      <c r="I42" s="78"/>
      <c r="J42" s="78"/>
      <c r="K42" s="78"/>
      <c r="L42" s="78"/>
      <c r="M42" s="78"/>
      <c r="N42" s="79"/>
      <c r="O42" s="84"/>
      <c r="P42" s="78"/>
      <c r="Q42" s="78"/>
      <c r="R42" s="78"/>
      <c r="S42" s="78"/>
      <c r="T42" s="78"/>
      <c r="U42" s="78"/>
      <c r="V42" s="78"/>
      <c r="W42" s="78"/>
      <c r="X42" s="79"/>
      <c r="Y42" s="84"/>
      <c r="Z42" s="78"/>
      <c r="AA42" s="78"/>
      <c r="AB42" s="78"/>
      <c r="AC42" s="78"/>
      <c r="AD42" s="78"/>
      <c r="AE42" s="78"/>
      <c r="AF42" s="78"/>
      <c r="AG42" s="78"/>
      <c r="AH42" s="79"/>
      <c r="AI42" s="84"/>
      <c r="AJ42" s="78"/>
      <c r="AK42" s="78"/>
      <c r="AL42" s="78"/>
      <c r="AM42" s="78"/>
      <c r="AN42" s="78"/>
      <c r="AO42" s="78"/>
      <c r="AP42" s="78"/>
      <c r="AQ42" s="78"/>
      <c r="AR42" s="79"/>
      <c r="AS42" s="84"/>
      <c r="AT42" s="78"/>
      <c r="AU42" s="78"/>
      <c r="AV42" s="78"/>
      <c r="AW42" s="78"/>
      <c r="AX42" s="78"/>
      <c r="AY42" s="78"/>
      <c r="AZ42" s="78"/>
      <c r="BA42" s="78"/>
      <c r="BB42" s="79"/>
      <c r="BC42" s="84"/>
      <c r="BD42" s="78"/>
      <c r="BE42" s="78"/>
      <c r="BF42" s="78"/>
      <c r="BG42" s="78"/>
      <c r="BH42" s="78"/>
      <c r="BI42" s="78"/>
      <c r="BJ42" s="78"/>
      <c r="BK42" s="78"/>
      <c r="BL42" s="79"/>
      <c r="BM42" s="84"/>
      <c r="BN42" s="78"/>
      <c r="BO42" s="78"/>
      <c r="BP42" s="79"/>
      <c r="BQ42" s="71"/>
      <c r="BR42" s="71"/>
      <c r="BS42" s="247"/>
      <c r="BT42" s="254"/>
      <c r="BU42" s="398"/>
      <c r="BV42" s="73"/>
      <c r="BW42" s="72"/>
      <c r="BX42" s="395"/>
      <c r="CC42" s="300"/>
    </row>
    <row r="43" spans="1:81" s="281" customFormat="1" ht="14" hidden="1" x14ac:dyDescent="0.3">
      <c r="A43" s="4"/>
      <c r="B43" s="4"/>
      <c r="C43" s="231" t="s">
        <v>67</v>
      </c>
      <c r="D43" s="349"/>
      <c r="E43" s="78">
        <f>SUM(E24:E40)</f>
        <v>0</v>
      </c>
      <c r="F43" s="78">
        <f t="shared" ref="F43:N43" si="39">SUM(F24:F40)</f>
        <v>0</v>
      </c>
      <c r="G43" s="78">
        <f t="shared" si="39"/>
        <v>0</v>
      </c>
      <c r="H43" s="78">
        <f t="shared" si="39"/>
        <v>0</v>
      </c>
      <c r="I43" s="78">
        <f t="shared" si="39"/>
        <v>0</v>
      </c>
      <c r="J43" s="78">
        <f t="shared" si="39"/>
        <v>0</v>
      </c>
      <c r="K43" s="78">
        <f t="shared" si="39"/>
        <v>0</v>
      </c>
      <c r="L43" s="78">
        <f t="shared" si="39"/>
        <v>0</v>
      </c>
      <c r="M43" s="78">
        <f t="shared" si="39"/>
        <v>0</v>
      </c>
      <c r="N43" s="78">
        <f t="shared" si="39"/>
        <v>0</v>
      </c>
      <c r="O43" s="84">
        <f>SUM(O24:O40)</f>
        <v>0</v>
      </c>
      <c r="P43" s="78">
        <f>SUM(P24:P40)</f>
        <v>0</v>
      </c>
      <c r="Q43" s="78">
        <f t="shared" ref="Q43:W43" si="40">SUM(Q24:Q40)</f>
        <v>0</v>
      </c>
      <c r="R43" s="78">
        <f t="shared" si="40"/>
        <v>0</v>
      </c>
      <c r="S43" s="78">
        <f t="shared" si="40"/>
        <v>0</v>
      </c>
      <c r="T43" s="78">
        <f t="shared" si="40"/>
        <v>0</v>
      </c>
      <c r="U43" s="78">
        <f t="shared" si="40"/>
        <v>0</v>
      </c>
      <c r="V43" s="78">
        <f t="shared" si="40"/>
        <v>0</v>
      </c>
      <c r="W43" s="78">
        <f t="shared" si="40"/>
        <v>0</v>
      </c>
      <c r="X43" s="78">
        <f>SUM(X24:X40)</f>
        <v>0</v>
      </c>
      <c r="Y43" s="84">
        <f>SUM(Y24:Y40)</f>
        <v>0</v>
      </c>
      <c r="Z43" s="78">
        <f>SUM(Z24:Z40)</f>
        <v>0</v>
      </c>
      <c r="AA43" s="78">
        <f t="shared" ref="AA43:AG43" si="41">SUM(AA24:AA40)</f>
        <v>0</v>
      </c>
      <c r="AB43" s="78">
        <f t="shared" si="41"/>
        <v>0</v>
      </c>
      <c r="AC43" s="78">
        <f t="shared" si="41"/>
        <v>0</v>
      </c>
      <c r="AD43" s="78">
        <f t="shared" si="41"/>
        <v>0</v>
      </c>
      <c r="AE43" s="78">
        <f t="shared" si="41"/>
        <v>0</v>
      </c>
      <c r="AF43" s="78">
        <f t="shared" si="41"/>
        <v>0</v>
      </c>
      <c r="AG43" s="78">
        <f t="shared" si="41"/>
        <v>0</v>
      </c>
      <c r="AH43" s="78">
        <f t="shared" ref="AH43:BS43" si="42">SUM(AH24:AH40)</f>
        <v>0</v>
      </c>
      <c r="AI43" s="78">
        <f t="shared" si="42"/>
        <v>0</v>
      </c>
      <c r="AJ43" s="78">
        <f t="shared" si="42"/>
        <v>0</v>
      </c>
      <c r="AK43" s="78">
        <f t="shared" si="42"/>
        <v>0</v>
      </c>
      <c r="AL43" s="78">
        <f t="shared" si="42"/>
        <v>0</v>
      </c>
      <c r="AM43" s="78">
        <f t="shared" si="42"/>
        <v>0</v>
      </c>
      <c r="AN43" s="78">
        <f t="shared" si="42"/>
        <v>0</v>
      </c>
      <c r="AO43" s="78">
        <f t="shared" si="42"/>
        <v>0</v>
      </c>
      <c r="AP43" s="78">
        <f t="shared" si="42"/>
        <v>0</v>
      </c>
      <c r="AQ43" s="78">
        <f t="shared" si="42"/>
        <v>0</v>
      </c>
      <c r="AR43" s="78">
        <f t="shared" si="42"/>
        <v>0</v>
      </c>
      <c r="AS43" s="78">
        <f t="shared" si="42"/>
        <v>0</v>
      </c>
      <c r="AT43" s="78">
        <f t="shared" si="42"/>
        <v>0</v>
      </c>
      <c r="AU43" s="78">
        <f t="shared" si="42"/>
        <v>0</v>
      </c>
      <c r="AV43" s="78">
        <f t="shared" si="42"/>
        <v>0</v>
      </c>
      <c r="AW43" s="78">
        <f t="shared" si="42"/>
        <v>0</v>
      </c>
      <c r="AX43" s="78">
        <f t="shared" si="42"/>
        <v>0</v>
      </c>
      <c r="AY43" s="78">
        <f t="shared" si="42"/>
        <v>0</v>
      </c>
      <c r="AZ43" s="78">
        <f t="shared" si="42"/>
        <v>0</v>
      </c>
      <c r="BA43" s="78">
        <f t="shared" si="42"/>
        <v>0</v>
      </c>
      <c r="BB43" s="78">
        <f t="shared" si="42"/>
        <v>0</v>
      </c>
      <c r="BC43" s="78">
        <f t="shared" si="42"/>
        <v>0</v>
      </c>
      <c r="BD43" s="78">
        <f t="shared" si="42"/>
        <v>0</v>
      </c>
      <c r="BE43" s="78">
        <f t="shared" si="42"/>
        <v>0</v>
      </c>
      <c r="BF43" s="78">
        <f t="shared" si="42"/>
        <v>0</v>
      </c>
      <c r="BG43" s="78">
        <f t="shared" si="42"/>
        <v>0</v>
      </c>
      <c r="BH43" s="78">
        <f t="shared" si="42"/>
        <v>0</v>
      </c>
      <c r="BI43" s="78">
        <f t="shared" si="42"/>
        <v>0</v>
      </c>
      <c r="BJ43" s="78">
        <f t="shared" si="42"/>
        <v>0</v>
      </c>
      <c r="BK43" s="78">
        <f t="shared" si="42"/>
        <v>0</v>
      </c>
      <c r="BL43" s="78">
        <f t="shared" si="42"/>
        <v>0</v>
      </c>
      <c r="BM43" s="78">
        <f t="shared" si="42"/>
        <v>0</v>
      </c>
      <c r="BN43" s="78">
        <f t="shared" si="42"/>
        <v>0</v>
      </c>
      <c r="BO43" s="78">
        <f t="shared" si="42"/>
        <v>0</v>
      </c>
      <c r="BP43" s="78">
        <f t="shared" si="42"/>
        <v>0</v>
      </c>
      <c r="BQ43" s="78">
        <f t="shared" si="42"/>
        <v>0</v>
      </c>
      <c r="BR43" s="78">
        <f t="shared" si="42"/>
        <v>0</v>
      </c>
      <c r="BS43" s="78">
        <f t="shared" si="42"/>
        <v>0</v>
      </c>
      <c r="BT43" s="279">
        <f>SUM(BT24:BT40)</f>
        <v>0</v>
      </c>
      <c r="BU43" s="529"/>
      <c r="BV43" s="309"/>
      <c r="BW43" s="280">
        <f t="shared" si="13"/>
        <v>0</v>
      </c>
      <c r="BX43" s="397"/>
      <c r="CC43" s="302"/>
    </row>
    <row r="44" spans="1:81" s="281" customFormat="1" ht="14" hidden="1" x14ac:dyDescent="0.3">
      <c r="A44" s="4"/>
      <c r="B44" s="4"/>
      <c r="C44" s="231" t="s">
        <v>68</v>
      </c>
      <c r="D44" s="232"/>
      <c r="E44" s="93">
        <f>E43-E45</f>
        <v>0</v>
      </c>
      <c r="F44" s="78">
        <f t="shared" ref="F44:AH44" si="43">F43-F45</f>
        <v>0</v>
      </c>
      <c r="G44" s="78">
        <f t="shared" si="43"/>
        <v>0</v>
      </c>
      <c r="H44" s="78">
        <f t="shared" si="43"/>
        <v>0</v>
      </c>
      <c r="I44" s="78">
        <f t="shared" si="43"/>
        <v>0</v>
      </c>
      <c r="J44" s="78">
        <f t="shared" si="43"/>
        <v>0</v>
      </c>
      <c r="K44" s="78">
        <f t="shared" si="43"/>
        <v>0</v>
      </c>
      <c r="L44" s="78">
        <f t="shared" si="43"/>
        <v>0</v>
      </c>
      <c r="M44" s="78">
        <f t="shared" si="43"/>
        <v>0</v>
      </c>
      <c r="N44" s="79">
        <f t="shared" si="43"/>
        <v>0</v>
      </c>
      <c r="O44" s="84">
        <f t="shared" si="43"/>
        <v>0</v>
      </c>
      <c r="P44" s="78">
        <f t="shared" si="43"/>
        <v>0</v>
      </c>
      <c r="Q44" s="78">
        <f t="shared" si="43"/>
        <v>0</v>
      </c>
      <c r="R44" s="78">
        <f t="shared" si="43"/>
        <v>0</v>
      </c>
      <c r="S44" s="78">
        <f t="shared" si="43"/>
        <v>0</v>
      </c>
      <c r="T44" s="78">
        <f t="shared" si="43"/>
        <v>0</v>
      </c>
      <c r="U44" s="78">
        <f t="shared" si="43"/>
        <v>0</v>
      </c>
      <c r="V44" s="78">
        <f t="shared" si="43"/>
        <v>0</v>
      </c>
      <c r="W44" s="78">
        <f t="shared" si="43"/>
        <v>0</v>
      </c>
      <c r="X44" s="79">
        <f t="shared" si="43"/>
        <v>0</v>
      </c>
      <c r="Y44" s="84">
        <f t="shared" si="43"/>
        <v>0</v>
      </c>
      <c r="Z44" s="78">
        <f t="shared" si="43"/>
        <v>0</v>
      </c>
      <c r="AA44" s="78">
        <f t="shared" si="43"/>
        <v>0</v>
      </c>
      <c r="AB44" s="78">
        <f t="shared" si="43"/>
        <v>0</v>
      </c>
      <c r="AC44" s="78">
        <f t="shared" si="43"/>
        <v>0</v>
      </c>
      <c r="AD44" s="78">
        <f t="shared" si="43"/>
        <v>0</v>
      </c>
      <c r="AE44" s="78">
        <f t="shared" si="43"/>
        <v>0</v>
      </c>
      <c r="AF44" s="78">
        <f t="shared" si="43"/>
        <v>0</v>
      </c>
      <c r="AG44" s="78">
        <f t="shared" si="43"/>
        <v>0</v>
      </c>
      <c r="AH44" s="79">
        <f t="shared" si="43"/>
        <v>0</v>
      </c>
      <c r="AI44" s="84">
        <f t="shared" ref="AI44:AR44" si="44">AI43-AI45</f>
        <v>0</v>
      </c>
      <c r="AJ44" s="78">
        <f t="shared" si="44"/>
        <v>0</v>
      </c>
      <c r="AK44" s="78">
        <f t="shared" si="44"/>
        <v>0</v>
      </c>
      <c r="AL44" s="78">
        <f t="shared" si="44"/>
        <v>0</v>
      </c>
      <c r="AM44" s="78">
        <f t="shared" si="44"/>
        <v>0</v>
      </c>
      <c r="AN44" s="78">
        <f t="shared" si="44"/>
        <v>0</v>
      </c>
      <c r="AO44" s="78">
        <f t="shared" si="44"/>
        <v>0</v>
      </c>
      <c r="AP44" s="78">
        <f t="shared" si="44"/>
        <v>0</v>
      </c>
      <c r="AQ44" s="78">
        <f t="shared" si="44"/>
        <v>0</v>
      </c>
      <c r="AR44" s="79">
        <f t="shared" si="44"/>
        <v>0</v>
      </c>
      <c r="AS44" s="84">
        <f t="shared" ref="AS44:BB44" si="45">AS43-AS45</f>
        <v>0</v>
      </c>
      <c r="AT44" s="78">
        <f t="shared" si="45"/>
        <v>0</v>
      </c>
      <c r="AU44" s="78">
        <f t="shared" si="45"/>
        <v>0</v>
      </c>
      <c r="AV44" s="78">
        <f t="shared" si="45"/>
        <v>0</v>
      </c>
      <c r="AW44" s="78">
        <f t="shared" si="45"/>
        <v>0</v>
      </c>
      <c r="AX44" s="78">
        <f t="shared" si="45"/>
        <v>0</v>
      </c>
      <c r="AY44" s="78">
        <f t="shared" si="45"/>
        <v>0</v>
      </c>
      <c r="AZ44" s="78">
        <f t="shared" si="45"/>
        <v>0</v>
      </c>
      <c r="BA44" s="78">
        <f t="shared" si="45"/>
        <v>0</v>
      </c>
      <c r="BB44" s="79">
        <f t="shared" si="45"/>
        <v>0</v>
      </c>
      <c r="BC44" s="84">
        <f t="shared" ref="BC44:BL44" si="46">BC43-BC45</f>
        <v>0</v>
      </c>
      <c r="BD44" s="78">
        <f t="shared" si="46"/>
        <v>0</v>
      </c>
      <c r="BE44" s="78">
        <f t="shared" si="46"/>
        <v>0</v>
      </c>
      <c r="BF44" s="78">
        <f t="shared" si="46"/>
        <v>0</v>
      </c>
      <c r="BG44" s="78">
        <f t="shared" si="46"/>
        <v>0</v>
      </c>
      <c r="BH44" s="78">
        <f t="shared" si="46"/>
        <v>0</v>
      </c>
      <c r="BI44" s="78">
        <f t="shared" si="46"/>
        <v>0</v>
      </c>
      <c r="BJ44" s="78">
        <f t="shared" si="46"/>
        <v>0</v>
      </c>
      <c r="BK44" s="78">
        <f t="shared" si="46"/>
        <v>0</v>
      </c>
      <c r="BL44" s="79">
        <f t="shared" si="46"/>
        <v>0</v>
      </c>
      <c r="BM44" s="84">
        <f t="shared" ref="BM44:BV44" si="47">BM43-BM45</f>
        <v>0</v>
      </c>
      <c r="BN44" s="78">
        <f t="shared" si="47"/>
        <v>0</v>
      </c>
      <c r="BO44" s="78">
        <f t="shared" si="47"/>
        <v>0</v>
      </c>
      <c r="BP44" s="79">
        <f t="shared" si="47"/>
        <v>0</v>
      </c>
      <c r="BQ44" s="78">
        <f t="shared" si="47"/>
        <v>0</v>
      </c>
      <c r="BR44" s="78">
        <f t="shared" si="47"/>
        <v>0</v>
      </c>
      <c r="BS44" s="78">
        <f t="shared" si="47"/>
        <v>0</v>
      </c>
      <c r="BT44" s="56">
        <f t="shared" si="47"/>
        <v>0</v>
      </c>
      <c r="BU44" s="56"/>
      <c r="BV44" s="85">
        <f t="shared" si="47"/>
        <v>0</v>
      </c>
      <c r="BW44" s="280">
        <f t="shared" si="13"/>
        <v>0</v>
      </c>
      <c r="BX44" s="397"/>
      <c r="CC44" s="302"/>
    </row>
    <row r="45" spans="1:81" s="281" customFormat="1" ht="14.25" hidden="1" customHeight="1" x14ac:dyDescent="0.3">
      <c r="A45" s="4"/>
      <c r="B45" s="4"/>
      <c r="C45" s="233" t="str">
        <f>C32</f>
        <v>RSVA - Global Adjustment 12</v>
      </c>
      <c r="D45" s="234">
        <v>1589</v>
      </c>
      <c r="E45" s="93">
        <f>E32</f>
        <v>0</v>
      </c>
      <c r="F45" s="78">
        <f t="shared" ref="F45:AJ45" si="48">F32</f>
        <v>0</v>
      </c>
      <c r="G45" s="78">
        <f t="shared" si="48"/>
        <v>0</v>
      </c>
      <c r="H45" s="78">
        <f t="shared" si="48"/>
        <v>0</v>
      </c>
      <c r="I45" s="78">
        <f t="shared" si="48"/>
        <v>0</v>
      </c>
      <c r="J45" s="78">
        <f t="shared" si="48"/>
        <v>0</v>
      </c>
      <c r="K45" s="78">
        <f t="shared" si="48"/>
        <v>0</v>
      </c>
      <c r="L45" s="78">
        <f t="shared" si="48"/>
        <v>0</v>
      </c>
      <c r="M45" s="78">
        <f t="shared" si="48"/>
        <v>0</v>
      </c>
      <c r="N45" s="79">
        <f t="shared" si="48"/>
        <v>0</v>
      </c>
      <c r="O45" s="84">
        <f t="shared" si="48"/>
        <v>0</v>
      </c>
      <c r="P45" s="78">
        <f t="shared" si="48"/>
        <v>0</v>
      </c>
      <c r="Q45" s="78">
        <f t="shared" si="48"/>
        <v>0</v>
      </c>
      <c r="R45" s="78">
        <f t="shared" si="48"/>
        <v>0</v>
      </c>
      <c r="S45" s="78">
        <f t="shared" si="48"/>
        <v>0</v>
      </c>
      <c r="T45" s="78">
        <f t="shared" si="48"/>
        <v>0</v>
      </c>
      <c r="U45" s="78">
        <f t="shared" si="48"/>
        <v>0</v>
      </c>
      <c r="V45" s="78">
        <f t="shared" si="48"/>
        <v>0</v>
      </c>
      <c r="W45" s="78">
        <f t="shared" si="48"/>
        <v>0</v>
      </c>
      <c r="X45" s="79">
        <f t="shared" si="48"/>
        <v>0</v>
      </c>
      <c r="Y45" s="84">
        <f t="shared" si="48"/>
        <v>0</v>
      </c>
      <c r="Z45" s="78">
        <f t="shared" si="48"/>
        <v>0</v>
      </c>
      <c r="AA45" s="78">
        <f t="shared" si="48"/>
        <v>0</v>
      </c>
      <c r="AB45" s="78">
        <f t="shared" si="48"/>
        <v>0</v>
      </c>
      <c r="AC45" s="78">
        <f t="shared" si="48"/>
        <v>0</v>
      </c>
      <c r="AD45" s="78">
        <f t="shared" si="48"/>
        <v>0</v>
      </c>
      <c r="AE45" s="78">
        <f t="shared" si="48"/>
        <v>0</v>
      </c>
      <c r="AF45" s="78">
        <f t="shared" si="48"/>
        <v>0</v>
      </c>
      <c r="AG45" s="78">
        <f t="shared" si="48"/>
        <v>0</v>
      </c>
      <c r="AH45" s="79">
        <f t="shared" si="48"/>
        <v>0</v>
      </c>
      <c r="AI45" s="84">
        <f t="shared" si="48"/>
        <v>0</v>
      </c>
      <c r="AJ45" s="78">
        <f t="shared" si="48"/>
        <v>0</v>
      </c>
      <c r="AK45" s="78">
        <f t="shared" ref="AK45:BQ45" si="49">AK32</f>
        <v>0</v>
      </c>
      <c r="AL45" s="78">
        <f t="shared" si="49"/>
        <v>0</v>
      </c>
      <c r="AM45" s="78">
        <f t="shared" si="49"/>
        <v>0</v>
      </c>
      <c r="AN45" s="78">
        <f t="shared" si="49"/>
        <v>0</v>
      </c>
      <c r="AO45" s="78">
        <f t="shared" si="49"/>
        <v>0</v>
      </c>
      <c r="AP45" s="78">
        <f t="shared" si="49"/>
        <v>0</v>
      </c>
      <c r="AQ45" s="78">
        <f t="shared" si="49"/>
        <v>0</v>
      </c>
      <c r="AR45" s="79">
        <f t="shared" si="49"/>
        <v>0</v>
      </c>
      <c r="AS45" s="84">
        <f t="shared" si="49"/>
        <v>0</v>
      </c>
      <c r="AT45" s="78">
        <f t="shared" si="49"/>
        <v>0</v>
      </c>
      <c r="AU45" s="78">
        <f t="shared" si="49"/>
        <v>0</v>
      </c>
      <c r="AV45" s="78">
        <f t="shared" si="49"/>
        <v>0</v>
      </c>
      <c r="AW45" s="78">
        <f t="shared" si="49"/>
        <v>0</v>
      </c>
      <c r="AX45" s="78">
        <f t="shared" si="49"/>
        <v>0</v>
      </c>
      <c r="AY45" s="78">
        <f t="shared" si="49"/>
        <v>0</v>
      </c>
      <c r="AZ45" s="78">
        <f t="shared" si="49"/>
        <v>0</v>
      </c>
      <c r="BA45" s="78">
        <f t="shared" si="49"/>
        <v>0</v>
      </c>
      <c r="BB45" s="79">
        <f t="shared" si="49"/>
        <v>0</v>
      </c>
      <c r="BC45" s="84">
        <f t="shared" ref="BC45:BL45" si="50">BC32</f>
        <v>0</v>
      </c>
      <c r="BD45" s="78">
        <f>BD32</f>
        <v>0</v>
      </c>
      <c r="BE45" s="78">
        <f t="shared" si="50"/>
        <v>0</v>
      </c>
      <c r="BF45" s="78">
        <f t="shared" si="50"/>
        <v>0</v>
      </c>
      <c r="BG45" s="78">
        <f t="shared" si="50"/>
        <v>0</v>
      </c>
      <c r="BH45" s="78">
        <f t="shared" si="50"/>
        <v>0</v>
      </c>
      <c r="BI45" s="78">
        <f t="shared" si="50"/>
        <v>0</v>
      </c>
      <c r="BJ45" s="78">
        <f t="shared" si="50"/>
        <v>0</v>
      </c>
      <c r="BK45" s="78">
        <f t="shared" si="50"/>
        <v>0</v>
      </c>
      <c r="BL45" s="79">
        <f t="shared" si="50"/>
        <v>0</v>
      </c>
      <c r="BM45" s="84">
        <f t="shared" si="49"/>
        <v>0</v>
      </c>
      <c r="BN45" s="78">
        <f t="shared" si="49"/>
        <v>0</v>
      </c>
      <c r="BO45" s="78">
        <f t="shared" si="49"/>
        <v>0</v>
      </c>
      <c r="BP45" s="79">
        <f t="shared" si="49"/>
        <v>0</v>
      </c>
      <c r="BQ45" s="78">
        <f t="shared" si="49"/>
        <v>0</v>
      </c>
      <c r="BR45" s="78">
        <f>BR32</f>
        <v>0</v>
      </c>
      <c r="BS45" s="78">
        <f>BS32</f>
        <v>0</v>
      </c>
      <c r="BT45" s="279">
        <f>SUM(BO45:BR45)</f>
        <v>0</v>
      </c>
      <c r="BU45" s="530"/>
      <c r="BV45" s="85">
        <f>BV32</f>
        <v>0</v>
      </c>
      <c r="BW45" s="280">
        <f t="shared" si="13"/>
        <v>0</v>
      </c>
      <c r="BX45" s="397"/>
      <c r="CC45" s="302"/>
    </row>
    <row r="46" spans="1:81" s="75" customFormat="1" ht="14" hidden="1" x14ac:dyDescent="0.3">
      <c r="A46" s="1"/>
      <c r="B46" s="1"/>
      <c r="C46" s="233"/>
      <c r="D46" s="235"/>
      <c r="E46" s="93"/>
      <c r="F46" s="78"/>
      <c r="G46" s="78"/>
      <c r="H46" s="78"/>
      <c r="I46" s="78"/>
      <c r="J46" s="78"/>
      <c r="K46" s="78"/>
      <c r="L46" s="78"/>
      <c r="M46" s="78"/>
      <c r="N46" s="79"/>
      <c r="O46" s="84"/>
      <c r="P46" s="78"/>
      <c r="Q46" s="78"/>
      <c r="R46" s="78"/>
      <c r="S46" s="78"/>
      <c r="T46" s="78"/>
      <c r="U46" s="78"/>
      <c r="V46" s="78"/>
      <c r="W46" s="78"/>
      <c r="X46" s="79"/>
      <c r="Y46" s="84"/>
      <c r="Z46" s="78"/>
      <c r="AA46" s="78"/>
      <c r="AB46" s="78"/>
      <c r="AC46" s="78"/>
      <c r="AD46" s="78"/>
      <c r="AE46" s="78"/>
      <c r="AF46" s="78"/>
      <c r="AG46" s="78"/>
      <c r="AH46" s="79"/>
      <c r="AI46" s="84"/>
      <c r="AJ46" s="78"/>
      <c r="AK46" s="78"/>
      <c r="AL46" s="78"/>
      <c r="AM46" s="78"/>
      <c r="AN46" s="78"/>
      <c r="AO46" s="78"/>
      <c r="AP46" s="78"/>
      <c r="AQ46" s="78"/>
      <c r="AR46" s="79"/>
      <c r="AS46" s="84"/>
      <c r="AT46" s="78"/>
      <c r="AU46" s="78"/>
      <c r="AV46" s="78"/>
      <c r="AW46" s="78"/>
      <c r="AX46" s="78"/>
      <c r="AY46" s="78"/>
      <c r="AZ46" s="78"/>
      <c r="BA46" s="78"/>
      <c r="BB46" s="79"/>
      <c r="BC46" s="84"/>
      <c r="BD46" s="78"/>
      <c r="BE46" s="78"/>
      <c r="BF46" s="78"/>
      <c r="BG46" s="78"/>
      <c r="BH46" s="78"/>
      <c r="BI46" s="78"/>
      <c r="BJ46" s="78"/>
      <c r="BK46" s="78"/>
      <c r="BL46" s="79"/>
      <c r="BM46" s="84"/>
      <c r="BN46" s="78"/>
      <c r="BO46" s="78"/>
      <c r="BP46" s="79"/>
      <c r="BQ46" s="71"/>
      <c r="BR46" s="71"/>
      <c r="BS46" s="247"/>
      <c r="BT46" s="254"/>
      <c r="BU46" s="398"/>
      <c r="BV46" s="73"/>
      <c r="BW46" s="72"/>
      <c r="BX46" s="395"/>
      <c r="CC46" s="300"/>
    </row>
    <row r="47" spans="1:81" s="75" customFormat="1" ht="35.25" customHeight="1" thickBot="1" x14ac:dyDescent="0.35">
      <c r="A47" s="1"/>
      <c r="B47" s="1"/>
      <c r="C47" s="226" t="s">
        <v>22</v>
      </c>
      <c r="D47" s="227"/>
      <c r="E47" s="93"/>
      <c r="F47" s="78"/>
      <c r="G47" s="78"/>
      <c r="H47" s="78"/>
      <c r="I47" s="78"/>
      <c r="J47" s="78"/>
      <c r="K47" s="78"/>
      <c r="L47" s="78"/>
      <c r="M47" s="78"/>
      <c r="N47" s="79"/>
      <c r="O47" s="84"/>
      <c r="P47" s="78"/>
      <c r="Q47" s="78"/>
      <c r="R47" s="78"/>
      <c r="S47" s="78"/>
      <c r="T47" s="78"/>
      <c r="U47" s="78"/>
      <c r="V47" s="78"/>
      <c r="W47" s="78"/>
      <c r="X47" s="79"/>
      <c r="Y47" s="84"/>
      <c r="Z47" s="78"/>
      <c r="AA47" s="78"/>
      <c r="AB47" s="78"/>
      <c r="AC47" s="78"/>
      <c r="AD47" s="78"/>
      <c r="AE47" s="78"/>
      <c r="AF47" s="78"/>
      <c r="AG47" s="78"/>
      <c r="AH47" s="79"/>
      <c r="AI47" s="84"/>
      <c r="AJ47" s="78"/>
      <c r="AK47" s="78"/>
      <c r="AL47" s="78"/>
      <c r="AM47" s="78"/>
      <c r="AN47" s="78"/>
      <c r="AO47" s="78"/>
      <c r="AP47" s="78"/>
      <c r="AQ47" s="78"/>
      <c r="AR47" s="79"/>
      <c r="AS47" s="84"/>
      <c r="AT47" s="78"/>
      <c r="AU47" s="78"/>
      <c r="AV47" s="78"/>
      <c r="AW47" s="78"/>
      <c r="AX47" s="78"/>
      <c r="AY47" s="78"/>
      <c r="AZ47" s="78"/>
      <c r="BA47" s="78"/>
      <c r="BB47" s="79"/>
      <c r="BC47" s="84"/>
      <c r="BD47" s="78"/>
      <c r="BE47" s="78"/>
      <c r="BF47" s="78"/>
      <c r="BG47" s="78"/>
      <c r="BH47" s="78"/>
      <c r="BI47" s="78"/>
      <c r="BJ47" s="78"/>
      <c r="BK47" s="78"/>
      <c r="BL47" s="79"/>
      <c r="BM47" s="84"/>
      <c r="BN47" s="78"/>
      <c r="BO47" s="78"/>
      <c r="BP47" s="79"/>
      <c r="BQ47" s="71"/>
      <c r="BR47" s="71"/>
      <c r="BS47" s="247"/>
      <c r="BT47" s="254"/>
      <c r="BU47" s="398"/>
      <c r="BV47" s="644"/>
      <c r="BW47" s="72"/>
      <c r="BX47" s="395"/>
      <c r="CC47" s="300"/>
    </row>
    <row r="48" spans="1:81" s="75" customFormat="1" ht="14.5" thickBot="1" x14ac:dyDescent="0.35">
      <c r="A48" s="1">
        <v>16</v>
      </c>
      <c r="B48" s="1"/>
      <c r="C48" s="228" t="s">
        <v>3067</v>
      </c>
      <c r="D48" s="213">
        <v>1508</v>
      </c>
      <c r="E48" s="153"/>
      <c r="F48" s="155"/>
      <c r="G48" s="155"/>
      <c r="H48" s="155"/>
      <c r="I48" s="78">
        <f t="shared" ref="I48:I78" si="51">E48+F48-G48+H48</f>
        <v>0</v>
      </c>
      <c r="J48" s="155"/>
      <c r="K48" s="185"/>
      <c r="L48" s="155"/>
      <c r="M48" s="155"/>
      <c r="N48" s="79">
        <f t="shared" ref="N48:N78" si="52">J48+K48-L48+M48</f>
        <v>0</v>
      </c>
      <c r="O48" s="80">
        <f t="shared" ref="O48:O74" si="53">I48</f>
        <v>0</v>
      </c>
      <c r="P48" s="196"/>
      <c r="Q48" s="155"/>
      <c r="R48" s="155"/>
      <c r="S48" s="78">
        <f t="shared" ref="S48:S78" si="54">O48+P48-Q48+R48</f>
        <v>0</v>
      </c>
      <c r="T48" s="81">
        <f t="shared" ref="T48:T78" si="55">N48</f>
        <v>0</v>
      </c>
      <c r="U48" s="202"/>
      <c r="V48" s="155"/>
      <c r="W48" s="155"/>
      <c r="X48" s="79">
        <f t="shared" ref="X48:X78" si="56">T48+U48-V48+W48</f>
        <v>0</v>
      </c>
      <c r="Y48" s="80">
        <f t="shared" ref="Y48:Y78" si="57">S48</f>
        <v>0</v>
      </c>
      <c r="Z48" s="155"/>
      <c r="AA48" s="155"/>
      <c r="AB48" s="155"/>
      <c r="AC48" s="78">
        <f t="shared" ref="AC48:AC78" si="58">Y48+Z48-AA48+AB48</f>
        <v>0</v>
      </c>
      <c r="AD48" s="81">
        <f t="shared" ref="AD48:AD78" si="59">X48</f>
        <v>0</v>
      </c>
      <c r="AE48" s="155"/>
      <c r="AF48" s="155"/>
      <c r="AG48" s="155"/>
      <c r="AH48" s="79">
        <f t="shared" ref="AH48:AH78" si="60">AD48+AE48-AF48+AG48</f>
        <v>0</v>
      </c>
      <c r="AI48" s="80">
        <f t="shared" ref="AI48:AI74" si="61">AC48</f>
        <v>0</v>
      </c>
      <c r="AJ48" s="155"/>
      <c r="AK48" s="155"/>
      <c r="AL48" s="155"/>
      <c r="AM48" s="78">
        <f t="shared" ref="AM48:AM78" si="62">AI48+AJ48-AK48+SUM(AL48:AL48)</f>
        <v>0</v>
      </c>
      <c r="AN48" s="81">
        <f t="shared" ref="AN48:AN78" si="63">AH48</f>
        <v>0</v>
      </c>
      <c r="AO48" s="155"/>
      <c r="AP48" s="155"/>
      <c r="AQ48" s="155"/>
      <c r="AR48" s="79">
        <f t="shared" ref="AR48:AR72" si="64">AN48+AO48-AP48+AQ48</f>
        <v>0</v>
      </c>
      <c r="AS48" s="80">
        <f t="shared" ref="AS48:AS74" si="65">AM48</f>
        <v>0</v>
      </c>
      <c r="AT48" s="155"/>
      <c r="AU48" s="155"/>
      <c r="AV48" s="155"/>
      <c r="AW48" s="78">
        <f t="shared" ref="AW48:AW78" si="66">AS48+AT48-AU48+AV48</f>
        <v>0</v>
      </c>
      <c r="AX48" s="81">
        <f t="shared" ref="AX48:AX78" si="67">AR48</f>
        <v>0</v>
      </c>
      <c r="AY48" s="155"/>
      <c r="AZ48" s="155"/>
      <c r="BA48" s="155"/>
      <c r="BB48" s="79">
        <f>AX48+AY48-AZ48+BA48</f>
        <v>0</v>
      </c>
      <c r="BC48" s="80">
        <f t="shared" ref="BC48:BC74" si="68">AW48</f>
        <v>0</v>
      </c>
      <c r="BD48" s="155"/>
      <c r="BE48" s="155"/>
      <c r="BF48" s="155"/>
      <c r="BG48" s="78">
        <f>BC48+BD48-BE48+SUM(BF48:BF48)</f>
        <v>0</v>
      </c>
      <c r="BH48" s="81">
        <f>BB48</f>
        <v>0</v>
      </c>
      <c r="BI48" s="155"/>
      <c r="BJ48" s="155"/>
      <c r="BK48" s="155"/>
      <c r="BL48" s="79">
        <f t="shared" ref="BL48:BL72" si="69">BH48+BI48-BJ48+BK48</f>
        <v>0</v>
      </c>
      <c r="BM48" s="76"/>
      <c r="BN48" s="155"/>
      <c r="BO48" s="81">
        <f>BG48-BM48</f>
        <v>0</v>
      </c>
      <c r="BP48" s="82">
        <f>BL48-BN48</f>
        <v>0</v>
      </c>
      <c r="BQ48" s="83"/>
      <c r="BR48" s="155"/>
      <c r="BS48" s="222">
        <f>BP48+BQ48+BR48</f>
        <v>0</v>
      </c>
      <c r="BT48" s="254">
        <f t="shared" ref="BT48:BT53" si="70">SUM(BO48:BR48)</f>
        <v>0</v>
      </c>
      <c r="BU48" s="398"/>
      <c r="BV48" s="681">
        <v>-115161483.5</v>
      </c>
      <c r="BW48" s="681">
        <f t="shared" ref="BW48:BW78" si="71">BV48-SUM(BG48,BL48)</f>
        <v>-115161483.5</v>
      </c>
      <c r="BX48" s="392" t="str">
        <f>IF(ABS(BW48)&gt;1,"Please provide an explanation of the variance in the tab 3 - Appendix A","")</f>
        <v>Please provide an explanation of the variance in the tab 3 - Appendix A</v>
      </c>
      <c r="CC48" s="300"/>
    </row>
    <row r="49" spans="1:81" s="75" customFormat="1" ht="17" thickBot="1" x14ac:dyDescent="0.35">
      <c r="A49" s="1">
        <v>17</v>
      </c>
      <c r="B49" s="1"/>
      <c r="C49" s="228" t="s">
        <v>2923</v>
      </c>
      <c r="D49" s="213">
        <v>1508</v>
      </c>
      <c r="E49" s="583"/>
      <c r="F49" s="583"/>
      <c r="G49" s="583"/>
      <c r="H49" s="583"/>
      <c r="I49" s="78">
        <f>E49+F49-G49+H49</f>
        <v>0</v>
      </c>
      <c r="J49" s="583"/>
      <c r="K49" s="583"/>
      <c r="L49" s="583"/>
      <c r="M49" s="583"/>
      <c r="N49" s="79">
        <f>J49+K49-L49+M49</f>
        <v>0</v>
      </c>
      <c r="O49" s="80">
        <f>I49</f>
        <v>0</v>
      </c>
      <c r="P49" s="196"/>
      <c r="Q49" s="155"/>
      <c r="R49" s="155"/>
      <c r="S49" s="78">
        <f t="shared" si="54"/>
        <v>0</v>
      </c>
      <c r="T49" s="81">
        <f t="shared" si="55"/>
        <v>0</v>
      </c>
      <c r="U49" s="196"/>
      <c r="V49" s="155"/>
      <c r="W49" s="155"/>
      <c r="X49" s="79">
        <f>T49+U49-V49+W49</f>
        <v>0</v>
      </c>
      <c r="Y49" s="80">
        <f t="shared" si="57"/>
        <v>0</v>
      </c>
      <c r="Z49" s="155"/>
      <c r="AA49" s="155"/>
      <c r="AB49" s="155"/>
      <c r="AC49" s="78">
        <f t="shared" si="58"/>
        <v>0</v>
      </c>
      <c r="AD49" s="81">
        <f t="shared" si="59"/>
        <v>0</v>
      </c>
      <c r="AE49" s="155"/>
      <c r="AF49" s="155"/>
      <c r="AG49" s="155"/>
      <c r="AH49" s="79">
        <f t="shared" si="60"/>
        <v>0</v>
      </c>
      <c r="AI49" s="80">
        <f t="shared" si="61"/>
        <v>0</v>
      </c>
      <c r="AJ49" s="155"/>
      <c r="AK49" s="155"/>
      <c r="AL49" s="155"/>
      <c r="AM49" s="78">
        <f t="shared" si="62"/>
        <v>0</v>
      </c>
      <c r="AN49" s="81">
        <f t="shared" si="63"/>
        <v>0</v>
      </c>
      <c r="AO49" s="155"/>
      <c r="AP49" s="155"/>
      <c r="AQ49" s="155"/>
      <c r="AR49" s="79">
        <f t="shared" si="64"/>
        <v>0</v>
      </c>
      <c r="AS49" s="80">
        <f t="shared" si="65"/>
        <v>0</v>
      </c>
      <c r="AT49" s="155"/>
      <c r="AU49" s="155"/>
      <c r="AV49" s="155"/>
      <c r="AW49" s="78">
        <f t="shared" si="66"/>
        <v>0</v>
      </c>
      <c r="AX49" s="81">
        <f t="shared" si="67"/>
        <v>0</v>
      </c>
      <c r="AY49" s="366"/>
      <c r="AZ49" s="366"/>
      <c r="BA49" s="366"/>
      <c r="BB49" s="79">
        <f t="shared" ref="BB49:BB72" si="72">AX49+AY49-AZ49+BA49</f>
        <v>0</v>
      </c>
      <c r="BC49" s="80">
        <f t="shared" si="68"/>
        <v>0</v>
      </c>
      <c r="BD49" s="155"/>
      <c r="BE49" s="155"/>
      <c r="BF49" s="155"/>
      <c r="BG49" s="78">
        <f>BC49+BD49-BE49+SUM(BF49:BF49)</f>
        <v>0</v>
      </c>
      <c r="BH49" s="81">
        <f>BB49</f>
        <v>0</v>
      </c>
      <c r="BI49" s="155"/>
      <c r="BJ49" s="155"/>
      <c r="BK49" s="155"/>
      <c r="BL49" s="79">
        <f t="shared" si="69"/>
        <v>0</v>
      </c>
      <c r="BM49" s="76"/>
      <c r="BN49" s="155"/>
      <c r="BO49" s="81">
        <f>BG49-BM49</f>
        <v>0</v>
      </c>
      <c r="BP49" s="82">
        <f>BL49-BN49</f>
        <v>0</v>
      </c>
      <c r="BQ49" s="83"/>
      <c r="BR49" s="155"/>
      <c r="BS49" s="222">
        <f>BP49+BQ49+BR49</f>
        <v>0</v>
      </c>
      <c r="BT49" s="254">
        <f t="shared" si="70"/>
        <v>0</v>
      </c>
      <c r="BU49" s="398"/>
      <c r="BV49" s="681"/>
      <c r="BW49" s="681">
        <f t="shared" si="71"/>
        <v>0</v>
      </c>
      <c r="BX49" s="392"/>
      <c r="CC49" s="300"/>
    </row>
    <row r="50" spans="1:81" s="75" customFormat="1" ht="17" thickBot="1" x14ac:dyDescent="0.35">
      <c r="A50" s="1">
        <v>18</v>
      </c>
      <c r="B50" s="1"/>
      <c r="C50" s="236" t="s">
        <v>2920</v>
      </c>
      <c r="D50" s="213">
        <v>1508</v>
      </c>
      <c r="E50" s="583"/>
      <c r="F50" s="583"/>
      <c r="G50" s="583"/>
      <c r="H50" s="583"/>
      <c r="I50" s="78">
        <f>E50+F50-G50+H50</f>
        <v>0</v>
      </c>
      <c r="J50" s="583"/>
      <c r="K50" s="583"/>
      <c r="L50" s="583"/>
      <c r="M50" s="583"/>
      <c r="N50" s="79">
        <f>J50+K50-L50+M50</f>
        <v>0</v>
      </c>
      <c r="O50" s="80">
        <f>I50</f>
        <v>0</v>
      </c>
      <c r="P50" s="583"/>
      <c r="Q50" s="583"/>
      <c r="R50" s="583"/>
      <c r="S50" s="78">
        <f t="shared" si="54"/>
        <v>0</v>
      </c>
      <c r="T50" s="81">
        <f>N50</f>
        <v>0</v>
      </c>
      <c r="U50" s="583"/>
      <c r="V50" s="583"/>
      <c r="W50" s="583"/>
      <c r="X50" s="79">
        <f>T50+U50-V50+W50</f>
        <v>0</v>
      </c>
      <c r="Y50" s="80">
        <f>S50</f>
        <v>0</v>
      </c>
      <c r="Z50" s="155"/>
      <c r="AA50" s="155"/>
      <c r="AB50" s="155"/>
      <c r="AC50" s="78">
        <f t="shared" si="58"/>
        <v>0</v>
      </c>
      <c r="AD50" s="81">
        <f t="shared" si="59"/>
        <v>0</v>
      </c>
      <c r="AE50" s="155"/>
      <c r="AF50" s="155"/>
      <c r="AG50" s="155"/>
      <c r="AH50" s="79">
        <f t="shared" si="60"/>
        <v>0</v>
      </c>
      <c r="AI50" s="80">
        <f t="shared" si="61"/>
        <v>0</v>
      </c>
      <c r="AJ50" s="155"/>
      <c r="AK50" s="155"/>
      <c r="AL50" s="155"/>
      <c r="AM50" s="78">
        <f t="shared" si="62"/>
        <v>0</v>
      </c>
      <c r="AN50" s="81">
        <f t="shared" si="63"/>
        <v>0</v>
      </c>
      <c r="AO50" s="155"/>
      <c r="AP50" s="155"/>
      <c r="AQ50" s="155"/>
      <c r="AR50" s="79">
        <f t="shared" si="64"/>
        <v>0</v>
      </c>
      <c r="AS50" s="80">
        <f t="shared" si="65"/>
        <v>0</v>
      </c>
      <c r="AT50" s="155"/>
      <c r="AU50" s="155"/>
      <c r="AV50" s="155"/>
      <c r="AW50" s="78">
        <f t="shared" si="66"/>
        <v>0</v>
      </c>
      <c r="AX50" s="81">
        <f t="shared" si="67"/>
        <v>0</v>
      </c>
      <c r="AY50" s="366"/>
      <c r="AZ50" s="366"/>
      <c r="BA50" s="366"/>
      <c r="BB50" s="79">
        <f t="shared" si="72"/>
        <v>0</v>
      </c>
      <c r="BC50" s="80">
        <f t="shared" si="68"/>
        <v>0</v>
      </c>
      <c r="BD50" s="155"/>
      <c r="BE50" s="155"/>
      <c r="BF50" s="155"/>
      <c r="BG50" s="78">
        <f>BC50+BD50-BE50+SUM(BF50:BF50)</f>
        <v>0</v>
      </c>
      <c r="BH50" s="81">
        <f>BB50</f>
        <v>0</v>
      </c>
      <c r="BI50" s="155"/>
      <c r="BJ50" s="155"/>
      <c r="BK50" s="155"/>
      <c r="BL50" s="79">
        <f t="shared" si="69"/>
        <v>0</v>
      </c>
      <c r="BM50" s="76"/>
      <c r="BN50" s="155"/>
      <c r="BO50" s="81">
        <f>BG50-BM50</f>
        <v>0</v>
      </c>
      <c r="BP50" s="82">
        <f>BL50-BN50</f>
        <v>0</v>
      </c>
      <c r="BQ50" s="83"/>
      <c r="BR50" s="155"/>
      <c r="BS50" s="222">
        <f>BP50+BQ50+BR50</f>
        <v>0</v>
      </c>
      <c r="BT50" s="254">
        <f t="shared" si="70"/>
        <v>0</v>
      </c>
      <c r="BU50" s="398"/>
      <c r="BV50" s="681"/>
      <c r="BW50" s="681">
        <f t="shared" si="71"/>
        <v>0</v>
      </c>
      <c r="BX50" s="392"/>
      <c r="CC50" s="300"/>
    </row>
    <row r="51" spans="1:81" s="75" customFormat="1" ht="17" thickBot="1" x14ac:dyDescent="0.35">
      <c r="A51" s="1">
        <v>19</v>
      </c>
      <c r="B51" s="1"/>
      <c r="C51" s="236" t="s">
        <v>3042</v>
      </c>
      <c r="D51" s="213">
        <v>1508</v>
      </c>
      <c r="E51" s="583"/>
      <c r="F51" s="583"/>
      <c r="G51" s="583"/>
      <c r="H51" s="583"/>
      <c r="I51" s="78">
        <f t="shared" si="51"/>
        <v>0</v>
      </c>
      <c r="J51" s="583"/>
      <c r="K51" s="583"/>
      <c r="L51" s="583"/>
      <c r="M51" s="583"/>
      <c r="N51" s="79">
        <f t="shared" si="52"/>
        <v>0</v>
      </c>
      <c r="O51" s="80">
        <f t="shared" si="53"/>
        <v>0</v>
      </c>
      <c r="P51" s="583"/>
      <c r="Q51" s="583"/>
      <c r="R51" s="583"/>
      <c r="S51" s="78">
        <f t="shared" si="54"/>
        <v>0</v>
      </c>
      <c r="T51" s="81">
        <f t="shared" si="55"/>
        <v>0</v>
      </c>
      <c r="U51" s="583"/>
      <c r="V51" s="583"/>
      <c r="W51" s="583"/>
      <c r="X51" s="79">
        <f t="shared" si="56"/>
        <v>0</v>
      </c>
      <c r="Y51" s="80">
        <f t="shared" si="57"/>
        <v>0</v>
      </c>
      <c r="Z51" s="583"/>
      <c r="AA51" s="583"/>
      <c r="AB51" s="583"/>
      <c r="AC51" s="78">
        <f t="shared" si="58"/>
        <v>0</v>
      </c>
      <c r="AD51" s="81">
        <f t="shared" si="59"/>
        <v>0</v>
      </c>
      <c r="AE51" s="583"/>
      <c r="AF51" s="583"/>
      <c r="AG51" s="583"/>
      <c r="AH51" s="79">
        <f t="shared" si="60"/>
        <v>0</v>
      </c>
      <c r="AI51" s="80">
        <f t="shared" si="61"/>
        <v>0</v>
      </c>
      <c r="AJ51" s="155"/>
      <c r="AK51" s="155"/>
      <c r="AL51" s="155"/>
      <c r="AM51" s="78">
        <f t="shared" si="62"/>
        <v>0</v>
      </c>
      <c r="AN51" s="81">
        <f t="shared" si="63"/>
        <v>0</v>
      </c>
      <c r="AO51" s="155"/>
      <c r="AP51" s="155"/>
      <c r="AQ51" s="155"/>
      <c r="AR51" s="79">
        <f t="shared" si="64"/>
        <v>0</v>
      </c>
      <c r="AS51" s="80">
        <f t="shared" si="65"/>
        <v>0</v>
      </c>
      <c r="AT51" s="155"/>
      <c r="AU51" s="155"/>
      <c r="AV51" s="155"/>
      <c r="AW51" s="78">
        <f t="shared" si="66"/>
        <v>0</v>
      </c>
      <c r="AX51" s="81">
        <f t="shared" si="67"/>
        <v>0</v>
      </c>
      <c r="AY51" s="155"/>
      <c r="AZ51" s="155"/>
      <c r="BA51" s="155"/>
      <c r="BB51" s="79">
        <f t="shared" si="72"/>
        <v>0</v>
      </c>
      <c r="BC51" s="80">
        <f t="shared" si="68"/>
        <v>0</v>
      </c>
      <c r="BD51" s="155"/>
      <c r="BE51" s="155"/>
      <c r="BF51" s="155"/>
      <c r="BG51" s="78">
        <f>BC51+BD51-BE51+SUM(BF51:BF51)</f>
        <v>0</v>
      </c>
      <c r="BH51" s="81">
        <f>BB51</f>
        <v>0</v>
      </c>
      <c r="BI51" s="155"/>
      <c r="BJ51" s="155"/>
      <c r="BK51" s="155"/>
      <c r="BL51" s="79">
        <f t="shared" si="69"/>
        <v>0</v>
      </c>
      <c r="BM51" s="76"/>
      <c r="BN51" s="155"/>
      <c r="BO51" s="81">
        <f>BG51-BM51</f>
        <v>0</v>
      </c>
      <c r="BP51" s="82">
        <f>BL51-BN51</f>
        <v>0</v>
      </c>
      <c r="BQ51" s="83"/>
      <c r="BR51" s="155"/>
      <c r="BS51" s="222">
        <f>BP51+BQ51+BR51</f>
        <v>0</v>
      </c>
      <c r="BT51" s="254">
        <f t="shared" si="70"/>
        <v>0</v>
      </c>
      <c r="BU51" s="731"/>
      <c r="BV51" s="681"/>
      <c r="BW51" s="681">
        <f t="shared" si="71"/>
        <v>0</v>
      </c>
      <c r="BX51" s="392"/>
      <c r="CB51" s="251">
        <v>1508</v>
      </c>
      <c r="CC51" s="300" t="b">
        <v>0</v>
      </c>
    </row>
    <row r="52" spans="1:81" s="75" customFormat="1" ht="17" thickBot="1" x14ac:dyDescent="0.35">
      <c r="A52" s="1">
        <v>20</v>
      </c>
      <c r="B52" s="1"/>
      <c r="C52" s="236" t="s">
        <v>3444</v>
      </c>
      <c r="D52" s="213">
        <v>1508</v>
      </c>
      <c r="E52" s="583"/>
      <c r="F52" s="583"/>
      <c r="G52" s="583"/>
      <c r="H52" s="583"/>
      <c r="I52" s="78">
        <f t="shared" si="51"/>
        <v>0</v>
      </c>
      <c r="J52" s="583"/>
      <c r="K52" s="583"/>
      <c r="L52" s="583"/>
      <c r="M52" s="583"/>
      <c r="N52" s="79">
        <f t="shared" si="52"/>
        <v>0</v>
      </c>
      <c r="O52" s="80">
        <f t="shared" si="53"/>
        <v>0</v>
      </c>
      <c r="P52" s="583"/>
      <c r="Q52" s="583"/>
      <c r="R52" s="583"/>
      <c r="S52" s="78">
        <f t="shared" si="54"/>
        <v>0</v>
      </c>
      <c r="T52" s="81">
        <f t="shared" si="55"/>
        <v>0</v>
      </c>
      <c r="U52" s="583"/>
      <c r="V52" s="583"/>
      <c r="W52" s="583"/>
      <c r="X52" s="79">
        <f t="shared" si="56"/>
        <v>0</v>
      </c>
      <c r="Y52" s="80">
        <f t="shared" si="57"/>
        <v>0</v>
      </c>
      <c r="Z52" s="583"/>
      <c r="AA52" s="583"/>
      <c r="AB52" s="583"/>
      <c r="AC52" s="78">
        <f t="shared" si="58"/>
        <v>0</v>
      </c>
      <c r="AD52" s="81">
        <f t="shared" si="59"/>
        <v>0</v>
      </c>
      <c r="AE52" s="583"/>
      <c r="AF52" s="583"/>
      <c r="AG52" s="583"/>
      <c r="AH52" s="79">
        <f t="shared" si="60"/>
        <v>0</v>
      </c>
      <c r="AI52" s="80">
        <f t="shared" si="61"/>
        <v>0</v>
      </c>
      <c r="AJ52" s="583"/>
      <c r="AK52" s="583"/>
      <c r="AL52" s="583"/>
      <c r="AM52" s="78">
        <f t="shared" si="62"/>
        <v>0</v>
      </c>
      <c r="AN52" s="81">
        <f t="shared" si="63"/>
        <v>0</v>
      </c>
      <c r="AO52" s="583"/>
      <c r="AP52" s="583"/>
      <c r="AQ52" s="583"/>
      <c r="AR52" s="79">
        <f t="shared" si="64"/>
        <v>0</v>
      </c>
      <c r="AS52" s="80">
        <f t="shared" si="65"/>
        <v>0</v>
      </c>
      <c r="AT52" s="155"/>
      <c r="AU52" s="155"/>
      <c r="AV52" s="155"/>
      <c r="AW52" s="78">
        <f t="shared" si="66"/>
        <v>0</v>
      </c>
      <c r="AX52" s="81">
        <f t="shared" si="67"/>
        <v>0</v>
      </c>
      <c r="AY52" s="155"/>
      <c r="AZ52" s="155"/>
      <c r="BA52" s="155"/>
      <c r="BB52" s="79">
        <f t="shared" si="72"/>
        <v>0</v>
      </c>
      <c r="BC52" s="80">
        <f t="shared" si="68"/>
        <v>0</v>
      </c>
      <c r="BD52" s="155"/>
      <c r="BE52" s="155"/>
      <c r="BF52" s="155"/>
      <c r="BG52" s="78">
        <f t="shared" ref="BG52:BG70" si="73">BC52+BD52-BE52+SUM(BF52:BF52)</f>
        <v>0</v>
      </c>
      <c r="BH52" s="81">
        <f t="shared" ref="BH52:BH70" si="74">BB52</f>
        <v>0</v>
      </c>
      <c r="BI52" s="155"/>
      <c r="BJ52" s="155"/>
      <c r="BK52" s="155"/>
      <c r="BL52" s="79">
        <f t="shared" si="69"/>
        <v>0</v>
      </c>
      <c r="BM52" s="76"/>
      <c r="BN52" s="155"/>
      <c r="BO52" s="81">
        <f t="shared" ref="BO52:BO70" si="75">BG52-BM52</f>
        <v>0</v>
      </c>
      <c r="BP52" s="82">
        <f t="shared" ref="BP52:BP70" si="76">BL52-BN52</f>
        <v>0</v>
      </c>
      <c r="BQ52" s="83"/>
      <c r="BR52" s="155"/>
      <c r="BS52" s="222">
        <f t="shared" ref="BS52:BS70" si="77">BP52+BQ52+BR52</f>
        <v>0</v>
      </c>
      <c r="BT52" s="254">
        <f t="shared" si="70"/>
        <v>0</v>
      </c>
      <c r="BU52" s="731"/>
      <c r="BV52" s="681"/>
      <c r="BW52" s="681">
        <f t="shared" si="71"/>
        <v>0</v>
      </c>
      <c r="BX52" s="392"/>
      <c r="CB52" s="251">
        <v>1508</v>
      </c>
      <c r="CC52" s="300" t="b">
        <v>0</v>
      </c>
    </row>
    <row r="53" spans="1:81" s="75" customFormat="1" ht="17" thickBot="1" x14ac:dyDescent="0.35">
      <c r="A53" s="1">
        <v>21</v>
      </c>
      <c r="B53" s="1"/>
      <c r="C53" s="236" t="s">
        <v>3446</v>
      </c>
      <c r="D53" s="213">
        <v>1508</v>
      </c>
      <c r="E53" s="583"/>
      <c r="F53" s="583"/>
      <c r="G53" s="583"/>
      <c r="H53" s="583"/>
      <c r="I53" s="78">
        <f t="shared" si="51"/>
        <v>0</v>
      </c>
      <c r="J53" s="583"/>
      <c r="K53" s="583"/>
      <c r="L53" s="583"/>
      <c r="M53" s="583"/>
      <c r="N53" s="79">
        <f t="shared" si="52"/>
        <v>0</v>
      </c>
      <c r="O53" s="80">
        <f t="shared" si="53"/>
        <v>0</v>
      </c>
      <c r="P53" s="583"/>
      <c r="Q53" s="583"/>
      <c r="R53" s="583"/>
      <c r="S53" s="78">
        <f t="shared" si="54"/>
        <v>0</v>
      </c>
      <c r="T53" s="81">
        <f t="shared" si="55"/>
        <v>0</v>
      </c>
      <c r="U53" s="583"/>
      <c r="V53" s="583"/>
      <c r="W53" s="583"/>
      <c r="X53" s="79">
        <f t="shared" si="56"/>
        <v>0</v>
      </c>
      <c r="Y53" s="80">
        <f t="shared" si="57"/>
        <v>0</v>
      </c>
      <c r="Z53" s="583"/>
      <c r="AA53" s="583"/>
      <c r="AB53" s="583"/>
      <c r="AC53" s="78">
        <f t="shared" si="58"/>
        <v>0</v>
      </c>
      <c r="AD53" s="81">
        <f t="shared" si="59"/>
        <v>0</v>
      </c>
      <c r="AE53" s="583"/>
      <c r="AF53" s="583"/>
      <c r="AG53" s="583"/>
      <c r="AH53" s="79">
        <f t="shared" si="60"/>
        <v>0</v>
      </c>
      <c r="AI53" s="80">
        <f t="shared" si="61"/>
        <v>0</v>
      </c>
      <c r="AJ53" s="583"/>
      <c r="AK53" s="583"/>
      <c r="AL53" s="583"/>
      <c r="AM53" s="78">
        <f t="shared" si="62"/>
        <v>0</v>
      </c>
      <c r="AN53" s="81">
        <f t="shared" si="63"/>
        <v>0</v>
      </c>
      <c r="AO53" s="583"/>
      <c r="AP53" s="583"/>
      <c r="AQ53" s="583"/>
      <c r="AR53" s="79">
        <f t="shared" si="64"/>
        <v>0</v>
      </c>
      <c r="AS53" s="80">
        <f t="shared" si="65"/>
        <v>0</v>
      </c>
      <c r="AT53" s="155"/>
      <c r="AU53" s="155"/>
      <c r="AV53" s="155"/>
      <c r="AW53" s="78">
        <f t="shared" si="66"/>
        <v>0</v>
      </c>
      <c r="AX53" s="81">
        <f t="shared" si="67"/>
        <v>0</v>
      </c>
      <c r="AY53" s="155"/>
      <c r="AZ53" s="155"/>
      <c r="BA53" s="155"/>
      <c r="BB53" s="79">
        <f t="shared" si="72"/>
        <v>0</v>
      </c>
      <c r="BC53" s="80">
        <f t="shared" si="68"/>
        <v>0</v>
      </c>
      <c r="BD53" s="155"/>
      <c r="BE53" s="155"/>
      <c r="BF53" s="155"/>
      <c r="BG53" s="78">
        <f t="shared" si="73"/>
        <v>0</v>
      </c>
      <c r="BH53" s="81">
        <f t="shared" si="74"/>
        <v>0</v>
      </c>
      <c r="BI53" s="155"/>
      <c r="BJ53" s="155"/>
      <c r="BK53" s="155"/>
      <c r="BL53" s="79">
        <f t="shared" si="69"/>
        <v>0</v>
      </c>
      <c r="BM53" s="76"/>
      <c r="BN53" s="155"/>
      <c r="BO53" s="81">
        <f t="shared" si="75"/>
        <v>0</v>
      </c>
      <c r="BP53" s="82">
        <f t="shared" si="76"/>
        <v>0</v>
      </c>
      <c r="BQ53" s="83"/>
      <c r="BR53" s="155"/>
      <c r="BS53" s="222">
        <f t="shared" si="77"/>
        <v>0</v>
      </c>
      <c r="BT53" s="254">
        <f t="shared" si="70"/>
        <v>0</v>
      </c>
      <c r="BU53" s="740"/>
      <c r="BV53" s="681"/>
      <c r="BW53" s="681">
        <f t="shared" si="71"/>
        <v>0</v>
      </c>
      <c r="BX53" s="392"/>
      <c r="CB53" s="251">
        <v>1508</v>
      </c>
      <c r="CC53" s="300" t="b">
        <v>0</v>
      </c>
    </row>
    <row r="54" spans="1:81" s="75" customFormat="1" ht="17" thickBot="1" x14ac:dyDescent="0.35">
      <c r="A54" s="1">
        <v>22</v>
      </c>
      <c r="B54" s="1"/>
      <c r="C54" s="236" t="s">
        <v>3678</v>
      </c>
      <c r="D54" s="213">
        <v>1508</v>
      </c>
      <c r="E54" s="584"/>
      <c r="F54" s="584"/>
      <c r="G54" s="584"/>
      <c r="H54" s="584"/>
      <c r="I54" s="78">
        <f t="shared" si="51"/>
        <v>0</v>
      </c>
      <c r="J54" s="584"/>
      <c r="K54" s="584"/>
      <c r="L54" s="584"/>
      <c r="M54" s="584"/>
      <c r="N54" s="79">
        <f t="shared" si="52"/>
        <v>0</v>
      </c>
      <c r="O54" s="80">
        <f t="shared" si="53"/>
        <v>0</v>
      </c>
      <c r="P54" s="584"/>
      <c r="Q54" s="584"/>
      <c r="R54" s="584"/>
      <c r="S54" s="78">
        <f t="shared" si="54"/>
        <v>0</v>
      </c>
      <c r="T54" s="81">
        <f t="shared" si="55"/>
        <v>0</v>
      </c>
      <c r="U54" s="584"/>
      <c r="V54" s="584"/>
      <c r="W54" s="584"/>
      <c r="X54" s="79">
        <f t="shared" si="56"/>
        <v>0</v>
      </c>
      <c r="Y54" s="80">
        <f t="shared" si="57"/>
        <v>0</v>
      </c>
      <c r="Z54" s="584"/>
      <c r="AA54" s="584"/>
      <c r="AB54" s="584"/>
      <c r="AC54" s="78">
        <f t="shared" si="58"/>
        <v>0</v>
      </c>
      <c r="AD54" s="81">
        <f t="shared" si="59"/>
        <v>0</v>
      </c>
      <c r="AE54" s="584"/>
      <c r="AF54" s="584"/>
      <c r="AG54" s="584"/>
      <c r="AH54" s="79">
        <f t="shared" si="60"/>
        <v>0</v>
      </c>
      <c r="AI54" s="80">
        <f t="shared" si="61"/>
        <v>0</v>
      </c>
      <c r="AJ54" s="584"/>
      <c r="AK54" s="584"/>
      <c r="AL54" s="584"/>
      <c r="AM54" s="78">
        <f t="shared" si="62"/>
        <v>0</v>
      </c>
      <c r="AN54" s="81">
        <f t="shared" si="63"/>
        <v>0</v>
      </c>
      <c r="AO54" s="584"/>
      <c r="AP54" s="584"/>
      <c r="AQ54" s="584"/>
      <c r="AR54" s="79">
        <f t="shared" si="64"/>
        <v>0</v>
      </c>
      <c r="AS54" s="80">
        <f t="shared" si="65"/>
        <v>0</v>
      </c>
      <c r="AT54" s="584"/>
      <c r="AU54" s="584"/>
      <c r="AV54" s="584"/>
      <c r="AW54" s="78">
        <f t="shared" si="66"/>
        <v>0</v>
      </c>
      <c r="AX54" s="81">
        <f t="shared" si="67"/>
        <v>0</v>
      </c>
      <c r="AY54" s="584"/>
      <c r="AZ54" s="584"/>
      <c r="BA54" s="584"/>
      <c r="BB54" s="79">
        <f t="shared" si="72"/>
        <v>0</v>
      </c>
      <c r="BC54" s="80">
        <f t="shared" si="68"/>
        <v>0</v>
      </c>
      <c r="BD54" s="155"/>
      <c r="BE54" s="155"/>
      <c r="BF54" s="155"/>
      <c r="BG54" s="78">
        <f t="shared" si="73"/>
        <v>0</v>
      </c>
      <c r="BH54" s="81">
        <f t="shared" si="74"/>
        <v>0</v>
      </c>
      <c r="BI54" s="155"/>
      <c r="BJ54" s="155"/>
      <c r="BK54" s="155"/>
      <c r="BL54" s="79">
        <f t="shared" si="69"/>
        <v>0</v>
      </c>
      <c r="BM54" s="76"/>
      <c r="BN54" s="155"/>
      <c r="BO54" s="81">
        <f t="shared" si="75"/>
        <v>0</v>
      </c>
      <c r="BP54" s="82">
        <f t="shared" si="76"/>
        <v>0</v>
      </c>
      <c r="BQ54" s="83"/>
      <c r="BR54" s="155"/>
      <c r="BS54" s="222">
        <f t="shared" si="77"/>
        <v>0</v>
      </c>
      <c r="BT54" s="254">
        <f t="shared" ref="BT54:BT70" si="78">IF(BU54="Yes", SUM(BO54:BR54), 0)</f>
        <v>0</v>
      </c>
      <c r="BU54" s="717"/>
      <c r="BV54" s="681"/>
      <c r="BW54" s="681">
        <f t="shared" si="71"/>
        <v>0</v>
      </c>
      <c r="BX54" s="392"/>
      <c r="CB54" s="251">
        <v>1508</v>
      </c>
      <c r="CC54" s="300" t="b">
        <v>0</v>
      </c>
    </row>
    <row r="55" spans="1:81" s="75" customFormat="1" ht="14.5" thickBot="1" x14ac:dyDescent="0.35">
      <c r="A55" s="1">
        <v>23</v>
      </c>
      <c r="B55" s="1"/>
      <c r="C55" s="153" t="s">
        <v>3677</v>
      </c>
      <c r="D55" s="213">
        <v>1508</v>
      </c>
      <c r="E55" s="153"/>
      <c r="F55" s="155"/>
      <c r="G55" s="155"/>
      <c r="H55" s="155"/>
      <c r="I55" s="78">
        <f t="shared" si="51"/>
        <v>0</v>
      </c>
      <c r="J55" s="155"/>
      <c r="K55" s="155"/>
      <c r="L55" s="155"/>
      <c r="M55" s="155"/>
      <c r="N55" s="79">
        <f t="shared" si="52"/>
        <v>0</v>
      </c>
      <c r="O55" s="80">
        <f t="shared" si="53"/>
        <v>0</v>
      </c>
      <c r="P55" s="317"/>
      <c r="Q55" s="155"/>
      <c r="R55" s="155"/>
      <c r="S55" s="78">
        <f t="shared" si="54"/>
        <v>0</v>
      </c>
      <c r="T55" s="81">
        <f t="shared" si="55"/>
        <v>0</v>
      </c>
      <c r="U55" s="155"/>
      <c r="V55" s="155"/>
      <c r="W55" s="155"/>
      <c r="X55" s="79">
        <f t="shared" si="56"/>
        <v>0</v>
      </c>
      <c r="Y55" s="80">
        <f t="shared" si="57"/>
        <v>0</v>
      </c>
      <c r="Z55" s="155"/>
      <c r="AA55" s="155"/>
      <c r="AB55" s="155"/>
      <c r="AC55" s="78">
        <f t="shared" si="58"/>
        <v>0</v>
      </c>
      <c r="AD55" s="81">
        <f t="shared" si="59"/>
        <v>0</v>
      </c>
      <c r="AE55" s="155"/>
      <c r="AF55" s="155"/>
      <c r="AG55" s="155"/>
      <c r="AH55" s="79">
        <f t="shared" si="60"/>
        <v>0</v>
      </c>
      <c r="AI55" s="80">
        <f t="shared" si="61"/>
        <v>0</v>
      </c>
      <c r="AJ55" s="155"/>
      <c r="AK55" s="155"/>
      <c r="AL55" s="155"/>
      <c r="AM55" s="78">
        <f t="shared" si="62"/>
        <v>0</v>
      </c>
      <c r="AN55" s="81">
        <f t="shared" si="63"/>
        <v>0</v>
      </c>
      <c r="AO55" s="155"/>
      <c r="AP55" s="155"/>
      <c r="AQ55" s="155"/>
      <c r="AR55" s="79">
        <f t="shared" si="64"/>
        <v>0</v>
      </c>
      <c r="AS55" s="80">
        <f t="shared" si="65"/>
        <v>0</v>
      </c>
      <c r="AT55" s="155"/>
      <c r="AU55" s="155"/>
      <c r="AV55" s="155"/>
      <c r="AW55" s="78">
        <f t="shared" si="66"/>
        <v>0</v>
      </c>
      <c r="AX55" s="81">
        <f t="shared" si="67"/>
        <v>0</v>
      </c>
      <c r="AY55" s="155"/>
      <c r="AZ55" s="155"/>
      <c r="BA55" s="155"/>
      <c r="BB55" s="79">
        <f t="shared" si="72"/>
        <v>0</v>
      </c>
      <c r="BC55" s="80">
        <f t="shared" si="68"/>
        <v>0</v>
      </c>
      <c r="BD55" s="155"/>
      <c r="BE55" s="155"/>
      <c r="BF55" s="155"/>
      <c r="BG55" s="78">
        <f t="shared" si="73"/>
        <v>0</v>
      </c>
      <c r="BH55" s="81">
        <f t="shared" si="74"/>
        <v>0</v>
      </c>
      <c r="BI55" s="155"/>
      <c r="BJ55" s="155"/>
      <c r="BK55" s="155"/>
      <c r="BL55" s="79">
        <f t="shared" si="69"/>
        <v>0</v>
      </c>
      <c r="BM55" s="76"/>
      <c r="BN55" s="155"/>
      <c r="BO55" s="81">
        <f t="shared" si="75"/>
        <v>0</v>
      </c>
      <c r="BP55" s="82">
        <f t="shared" si="76"/>
        <v>0</v>
      </c>
      <c r="BQ55" s="83"/>
      <c r="BR55" s="155"/>
      <c r="BS55" s="222">
        <f t="shared" si="77"/>
        <v>0</v>
      </c>
      <c r="BT55" s="254">
        <f t="shared" si="78"/>
        <v>0</v>
      </c>
      <c r="BU55" s="717"/>
      <c r="BV55" s="681"/>
      <c r="BW55" s="72">
        <f t="shared" si="71"/>
        <v>0</v>
      </c>
      <c r="BX55" s="392"/>
      <c r="CB55" s="251">
        <v>1508</v>
      </c>
      <c r="CC55" s="300" t="b">
        <v>0</v>
      </c>
    </row>
    <row r="56" spans="1:81" s="75" customFormat="1" ht="14.5" thickBot="1" x14ac:dyDescent="0.35">
      <c r="A56" s="1">
        <v>24</v>
      </c>
      <c r="B56" s="1"/>
      <c r="C56" s="153"/>
      <c r="D56" s="213">
        <v>1508</v>
      </c>
      <c r="E56" s="153"/>
      <c r="F56" s="155"/>
      <c r="G56" s="155"/>
      <c r="H56" s="155"/>
      <c r="I56" s="78">
        <f t="shared" si="51"/>
        <v>0</v>
      </c>
      <c r="J56" s="155"/>
      <c r="K56" s="155"/>
      <c r="L56" s="155"/>
      <c r="M56" s="155"/>
      <c r="N56" s="79">
        <f t="shared" si="52"/>
        <v>0</v>
      </c>
      <c r="O56" s="80">
        <f t="shared" si="53"/>
        <v>0</v>
      </c>
      <c r="P56" s="317"/>
      <c r="Q56" s="155"/>
      <c r="R56" s="155"/>
      <c r="S56" s="78">
        <f t="shared" si="54"/>
        <v>0</v>
      </c>
      <c r="T56" s="81">
        <f t="shared" si="55"/>
        <v>0</v>
      </c>
      <c r="U56" s="155"/>
      <c r="V56" s="155"/>
      <c r="W56" s="155"/>
      <c r="X56" s="79">
        <f t="shared" si="56"/>
        <v>0</v>
      </c>
      <c r="Y56" s="80">
        <f t="shared" si="57"/>
        <v>0</v>
      </c>
      <c r="Z56" s="155"/>
      <c r="AA56" s="155"/>
      <c r="AB56" s="155"/>
      <c r="AC56" s="78">
        <f t="shared" si="58"/>
        <v>0</v>
      </c>
      <c r="AD56" s="81">
        <f t="shared" si="59"/>
        <v>0</v>
      </c>
      <c r="AE56" s="155"/>
      <c r="AF56" s="155"/>
      <c r="AG56" s="155"/>
      <c r="AH56" s="79">
        <f t="shared" si="60"/>
        <v>0</v>
      </c>
      <c r="AI56" s="80">
        <f t="shared" si="61"/>
        <v>0</v>
      </c>
      <c r="AJ56" s="155"/>
      <c r="AK56" s="155"/>
      <c r="AL56" s="155"/>
      <c r="AM56" s="78">
        <f t="shared" si="62"/>
        <v>0</v>
      </c>
      <c r="AN56" s="81">
        <f t="shared" si="63"/>
        <v>0</v>
      </c>
      <c r="AO56" s="155"/>
      <c r="AP56" s="155"/>
      <c r="AQ56" s="155"/>
      <c r="AR56" s="79">
        <f t="shared" si="64"/>
        <v>0</v>
      </c>
      <c r="AS56" s="80">
        <f t="shared" si="65"/>
        <v>0</v>
      </c>
      <c r="AT56" s="155"/>
      <c r="AU56" s="155"/>
      <c r="AV56" s="155"/>
      <c r="AW56" s="78">
        <f t="shared" si="66"/>
        <v>0</v>
      </c>
      <c r="AX56" s="81">
        <f t="shared" si="67"/>
        <v>0</v>
      </c>
      <c r="AY56" s="155"/>
      <c r="AZ56" s="155"/>
      <c r="BA56" s="155"/>
      <c r="BB56" s="79">
        <f t="shared" si="72"/>
        <v>0</v>
      </c>
      <c r="BC56" s="80">
        <f t="shared" si="68"/>
        <v>0</v>
      </c>
      <c r="BD56" s="155"/>
      <c r="BE56" s="155"/>
      <c r="BF56" s="155"/>
      <c r="BG56" s="78">
        <f t="shared" si="73"/>
        <v>0</v>
      </c>
      <c r="BH56" s="81">
        <f t="shared" si="74"/>
        <v>0</v>
      </c>
      <c r="BI56" s="155"/>
      <c r="BJ56" s="155"/>
      <c r="BK56" s="155"/>
      <c r="BL56" s="79">
        <f t="shared" si="69"/>
        <v>0</v>
      </c>
      <c r="BM56" s="76"/>
      <c r="BN56" s="155"/>
      <c r="BO56" s="81">
        <f t="shared" si="75"/>
        <v>0</v>
      </c>
      <c r="BP56" s="82">
        <f t="shared" si="76"/>
        <v>0</v>
      </c>
      <c r="BQ56" s="83"/>
      <c r="BR56" s="155"/>
      <c r="BS56" s="222">
        <f t="shared" si="77"/>
        <v>0</v>
      </c>
      <c r="BT56" s="254">
        <f t="shared" si="78"/>
        <v>0</v>
      </c>
      <c r="BU56" s="717"/>
      <c r="BV56" s="681"/>
      <c r="BW56" s="72">
        <f t="shared" si="71"/>
        <v>0</v>
      </c>
      <c r="BX56" s="392"/>
      <c r="CB56" s="251">
        <v>1508</v>
      </c>
      <c r="CC56" s="300" t="b">
        <v>0</v>
      </c>
    </row>
    <row r="57" spans="1:81" s="75" customFormat="1" ht="14.5" thickBot="1" x14ac:dyDescent="0.35">
      <c r="A57" s="1">
        <v>25</v>
      </c>
      <c r="B57" s="1"/>
      <c r="C57" s="153"/>
      <c r="D57" s="213">
        <v>1508</v>
      </c>
      <c r="E57" s="153"/>
      <c r="F57" s="155"/>
      <c r="G57" s="155"/>
      <c r="H57" s="155"/>
      <c r="I57" s="78">
        <f t="shared" si="51"/>
        <v>0</v>
      </c>
      <c r="J57" s="155"/>
      <c r="K57" s="155"/>
      <c r="L57" s="155"/>
      <c r="M57" s="155"/>
      <c r="N57" s="79">
        <f t="shared" si="52"/>
        <v>0</v>
      </c>
      <c r="O57" s="80">
        <f t="shared" si="53"/>
        <v>0</v>
      </c>
      <c r="P57" s="317"/>
      <c r="Q57" s="155"/>
      <c r="R57" s="155"/>
      <c r="S57" s="78">
        <f t="shared" si="54"/>
        <v>0</v>
      </c>
      <c r="T57" s="81">
        <f t="shared" si="55"/>
        <v>0</v>
      </c>
      <c r="U57" s="155"/>
      <c r="V57" s="155"/>
      <c r="W57" s="155"/>
      <c r="X57" s="79">
        <f t="shared" si="56"/>
        <v>0</v>
      </c>
      <c r="Y57" s="80">
        <f t="shared" si="57"/>
        <v>0</v>
      </c>
      <c r="Z57" s="155"/>
      <c r="AA57" s="155"/>
      <c r="AB57" s="155"/>
      <c r="AC57" s="78">
        <f t="shared" si="58"/>
        <v>0</v>
      </c>
      <c r="AD57" s="81">
        <f t="shared" si="59"/>
        <v>0</v>
      </c>
      <c r="AE57" s="155"/>
      <c r="AF57" s="155"/>
      <c r="AG57" s="155"/>
      <c r="AH57" s="79">
        <f t="shared" si="60"/>
        <v>0</v>
      </c>
      <c r="AI57" s="80">
        <f t="shared" si="61"/>
        <v>0</v>
      </c>
      <c r="AJ57" s="155"/>
      <c r="AK57" s="155"/>
      <c r="AL57" s="155"/>
      <c r="AM57" s="78">
        <f t="shared" si="62"/>
        <v>0</v>
      </c>
      <c r="AN57" s="81">
        <f t="shared" si="63"/>
        <v>0</v>
      </c>
      <c r="AO57" s="155"/>
      <c r="AP57" s="155"/>
      <c r="AQ57" s="155"/>
      <c r="AR57" s="79">
        <f t="shared" si="64"/>
        <v>0</v>
      </c>
      <c r="AS57" s="80">
        <f t="shared" si="65"/>
        <v>0</v>
      </c>
      <c r="AT57" s="155"/>
      <c r="AU57" s="155"/>
      <c r="AV57" s="155"/>
      <c r="AW57" s="78">
        <f t="shared" si="66"/>
        <v>0</v>
      </c>
      <c r="AX57" s="81">
        <f t="shared" si="67"/>
        <v>0</v>
      </c>
      <c r="AY57" s="155"/>
      <c r="AZ57" s="155"/>
      <c r="BA57" s="155"/>
      <c r="BB57" s="79">
        <f t="shared" si="72"/>
        <v>0</v>
      </c>
      <c r="BC57" s="80">
        <f t="shared" si="68"/>
        <v>0</v>
      </c>
      <c r="BD57" s="155"/>
      <c r="BE57" s="155"/>
      <c r="BF57" s="155"/>
      <c r="BG57" s="78">
        <f t="shared" si="73"/>
        <v>0</v>
      </c>
      <c r="BH57" s="81">
        <f t="shared" si="74"/>
        <v>0</v>
      </c>
      <c r="BI57" s="155"/>
      <c r="BJ57" s="155"/>
      <c r="BK57" s="155"/>
      <c r="BL57" s="79">
        <f t="shared" si="69"/>
        <v>0</v>
      </c>
      <c r="BM57" s="76"/>
      <c r="BN57" s="155"/>
      <c r="BO57" s="81">
        <f t="shared" si="75"/>
        <v>0</v>
      </c>
      <c r="BP57" s="82">
        <f t="shared" si="76"/>
        <v>0</v>
      </c>
      <c r="BQ57" s="83"/>
      <c r="BR57" s="155"/>
      <c r="BS57" s="222">
        <f t="shared" si="77"/>
        <v>0</v>
      </c>
      <c r="BT57" s="254">
        <f t="shared" si="78"/>
        <v>0</v>
      </c>
      <c r="BU57" s="717"/>
      <c r="BV57" s="681"/>
      <c r="BW57" s="72">
        <f t="shared" si="71"/>
        <v>0</v>
      </c>
      <c r="BX57" s="392"/>
      <c r="CB57" s="251">
        <v>1508</v>
      </c>
      <c r="CC57" s="300" t="b">
        <v>0</v>
      </c>
    </row>
    <row r="58" spans="1:81" s="75" customFormat="1" ht="14.5" thickBot="1" x14ac:dyDescent="0.35">
      <c r="A58" s="1">
        <v>26</v>
      </c>
      <c r="B58" s="1"/>
      <c r="C58" s="153"/>
      <c r="D58" s="213">
        <v>1508</v>
      </c>
      <c r="E58" s="153"/>
      <c r="F58" s="155"/>
      <c r="G58" s="155"/>
      <c r="H58" s="155"/>
      <c r="I58" s="78">
        <f t="shared" si="51"/>
        <v>0</v>
      </c>
      <c r="J58" s="155"/>
      <c r="K58" s="155"/>
      <c r="L58" s="155"/>
      <c r="M58" s="155"/>
      <c r="N58" s="79">
        <f t="shared" si="52"/>
        <v>0</v>
      </c>
      <c r="O58" s="80">
        <f t="shared" si="53"/>
        <v>0</v>
      </c>
      <c r="P58" s="317"/>
      <c r="Q58" s="155"/>
      <c r="R58" s="155"/>
      <c r="S58" s="78">
        <f t="shared" si="54"/>
        <v>0</v>
      </c>
      <c r="T58" s="81">
        <f t="shared" si="55"/>
        <v>0</v>
      </c>
      <c r="U58" s="155"/>
      <c r="V58" s="155"/>
      <c r="W58" s="155"/>
      <c r="X58" s="79">
        <f t="shared" si="56"/>
        <v>0</v>
      </c>
      <c r="Y58" s="80">
        <f t="shared" si="57"/>
        <v>0</v>
      </c>
      <c r="Z58" s="155"/>
      <c r="AA58" s="155"/>
      <c r="AB58" s="155"/>
      <c r="AC58" s="78">
        <f t="shared" si="58"/>
        <v>0</v>
      </c>
      <c r="AD58" s="81">
        <f t="shared" si="59"/>
        <v>0</v>
      </c>
      <c r="AE58" s="155"/>
      <c r="AF58" s="155"/>
      <c r="AG58" s="155"/>
      <c r="AH58" s="79">
        <f t="shared" si="60"/>
        <v>0</v>
      </c>
      <c r="AI58" s="80">
        <f t="shared" si="61"/>
        <v>0</v>
      </c>
      <c r="AJ58" s="155"/>
      <c r="AK58" s="155"/>
      <c r="AL58" s="155"/>
      <c r="AM58" s="78">
        <f t="shared" si="62"/>
        <v>0</v>
      </c>
      <c r="AN58" s="81">
        <f t="shared" si="63"/>
        <v>0</v>
      </c>
      <c r="AO58" s="155"/>
      <c r="AP58" s="155"/>
      <c r="AQ58" s="155"/>
      <c r="AR58" s="79">
        <f t="shared" si="64"/>
        <v>0</v>
      </c>
      <c r="AS58" s="80">
        <f t="shared" si="65"/>
        <v>0</v>
      </c>
      <c r="AT58" s="155"/>
      <c r="AU58" s="155"/>
      <c r="AV58" s="155"/>
      <c r="AW58" s="78">
        <f t="shared" si="66"/>
        <v>0</v>
      </c>
      <c r="AX58" s="81">
        <f t="shared" si="67"/>
        <v>0</v>
      </c>
      <c r="AY58" s="155"/>
      <c r="AZ58" s="155"/>
      <c r="BA58" s="155"/>
      <c r="BB58" s="79">
        <f t="shared" si="72"/>
        <v>0</v>
      </c>
      <c r="BC58" s="80">
        <f t="shared" si="68"/>
        <v>0</v>
      </c>
      <c r="BD58" s="155"/>
      <c r="BE58" s="155"/>
      <c r="BF58" s="155"/>
      <c r="BG58" s="78">
        <f t="shared" si="73"/>
        <v>0</v>
      </c>
      <c r="BH58" s="81">
        <f t="shared" si="74"/>
        <v>0</v>
      </c>
      <c r="BI58" s="155"/>
      <c r="BJ58" s="155"/>
      <c r="BK58" s="155"/>
      <c r="BL58" s="79">
        <f t="shared" si="69"/>
        <v>0</v>
      </c>
      <c r="BM58" s="76"/>
      <c r="BN58" s="155"/>
      <c r="BO58" s="81">
        <f t="shared" si="75"/>
        <v>0</v>
      </c>
      <c r="BP58" s="82">
        <f t="shared" si="76"/>
        <v>0</v>
      </c>
      <c r="BQ58" s="83"/>
      <c r="BR58" s="155"/>
      <c r="BS58" s="222">
        <f t="shared" si="77"/>
        <v>0</v>
      </c>
      <c r="BT58" s="254">
        <f t="shared" si="78"/>
        <v>0</v>
      </c>
      <c r="BU58" s="717"/>
      <c r="BV58" s="681"/>
      <c r="BW58" s="72">
        <f t="shared" si="71"/>
        <v>0</v>
      </c>
      <c r="BX58" s="392"/>
      <c r="CB58" s="251">
        <v>1508</v>
      </c>
      <c r="CC58" s="300" t="b">
        <v>0</v>
      </c>
    </row>
    <row r="59" spans="1:81" s="75" customFormat="1" ht="14.5" thickBot="1" x14ac:dyDescent="0.35">
      <c r="A59" s="1">
        <v>27</v>
      </c>
      <c r="B59" s="1"/>
      <c r="C59" s="153"/>
      <c r="D59" s="213">
        <v>1508</v>
      </c>
      <c r="E59" s="153"/>
      <c r="F59" s="155"/>
      <c r="G59" s="155"/>
      <c r="H59" s="155"/>
      <c r="I59" s="78">
        <f t="shared" si="51"/>
        <v>0</v>
      </c>
      <c r="J59" s="155"/>
      <c r="K59" s="155"/>
      <c r="L59" s="155"/>
      <c r="M59" s="155"/>
      <c r="N59" s="79">
        <f t="shared" si="52"/>
        <v>0</v>
      </c>
      <c r="O59" s="80">
        <f t="shared" si="53"/>
        <v>0</v>
      </c>
      <c r="P59" s="317"/>
      <c r="Q59" s="155"/>
      <c r="R59" s="155"/>
      <c r="S59" s="78">
        <f t="shared" si="54"/>
        <v>0</v>
      </c>
      <c r="T59" s="81">
        <f t="shared" si="55"/>
        <v>0</v>
      </c>
      <c r="U59" s="155"/>
      <c r="V59" s="155"/>
      <c r="W59" s="155"/>
      <c r="X59" s="79">
        <f t="shared" si="56"/>
        <v>0</v>
      </c>
      <c r="Y59" s="80">
        <f t="shared" si="57"/>
        <v>0</v>
      </c>
      <c r="Z59" s="155"/>
      <c r="AA59" s="155"/>
      <c r="AB59" s="155"/>
      <c r="AC59" s="78">
        <f t="shared" si="58"/>
        <v>0</v>
      </c>
      <c r="AD59" s="81">
        <f t="shared" si="59"/>
        <v>0</v>
      </c>
      <c r="AE59" s="155"/>
      <c r="AF59" s="155"/>
      <c r="AG59" s="155"/>
      <c r="AH59" s="79">
        <f t="shared" si="60"/>
        <v>0</v>
      </c>
      <c r="AI59" s="80">
        <f t="shared" si="61"/>
        <v>0</v>
      </c>
      <c r="AJ59" s="155"/>
      <c r="AK59" s="155"/>
      <c r="AL59" s="155"/>
      <c r="AM59" s="78">
        <f t="shared" si="62"/>
        <v>0</v>
      </c>
      <c r="AN59" s="81">
        <f t="shared" si="63"/>
        <v>0</v>
      </c>
      <c r="AO59" s="155"/>
      <c r="AP59" s="155"/>
      <c r="AQ59" s="155"/>
      <c r="AR59" s="79">
        <f t="shared" si="64"/>
        <v>0</v>
      </c>
      <c r="AS59" s="80">
        <f t="shared" si="65"/>
        <v>0</v>
      </c>
      <c r="AT59" s="155"/>
      <c r="AU59" s="155"/>
      <c r="AV59" s="155"/>
      <c r="AW59" s="78">
        <f t="shared" si="66"/>
        <v>0</v>
      </c>
      <c r="AX59" s="81">
        <f t="shared" si="67"/>
        <v>0</v>
      </c>
      <c r="AY59" s="155"/>
      <c r="AZ59" s="155"/>
      <c r="BA59" s="155"/>
      <c r="BB59" s="79">
        <f t="shared" si="72"/>
        <v>0</v>
      </c>
      <c r="BC59" s="80">
        <f t="shared" si="68"/>
        <v>0</v>
      </c>
      <c r="BD59" s="155"/>
      <c r="BE59" s="155"/>
      <c r="BF59" s="155"/>
      <c r="BG59" s="78">
        <f t="shared" si="73"/>
        <v>0</v>
      </c>
      <c r="BH59" s="81">
        <f t="shared" si="74"/>
        <v>0</v>
      </c>
      <c r="BI59" s="155"/>
      <c r="BJ59" s="155"/>
      <c r="BK59" s="155"/>
      <c r="BL59" s="79">
        <f t="shared" si="69"/>
        <v>0</v>
      </c>
      <c r="BM59" s="76"/>
      <c r="BN59" s="155"/>
      <c r="BO59" s="81">
        <f t="shared" si="75"/>
        <v>0</v>
      </c>
      <c r="BP59" s="82">
        <f t="shared" si="76"/>
        <v>0</v>
      </c>
      <c r="BQ59" s="83"/>
      <c r="BR59" s="155"/>
      <c r="BS59" s="222">
        <f t="shared" si="77"/>
        <v>0</v>
      </c>
      <c r="BT59" s="254">
        <f t="shared" si="78"/>
        <v>0</v>
      </c>
      <c r="BU59" s="717"/>
      <c r="BV59" s="681"/>
      <c r="BW59" s="72">
        <f t="shared" si="71"/>
        <v>0</v>
      </c>
      <c r="BX59" s="392"/>
      <c r="CB59" s="251">
        <v>1508</v>
      </c>
      <c r="CC59" s="300" t="b">
        <v>0</v>
      </c>
    </row>
    <row r="60" spans="1:81" s="75" customFormat="1" ht="14.5" thickBot="1" x14ac:dyDescent="0.35">
      <c r="A60" s="1">
        <v>28</v>
      </c>
      <c r="B60" s="1"/>
      <c r="C60" s="153"/>
      <c r="D60" s="213">
        <v>1508</v>
      </c>
      <c r="E60" s="153"/>
      <c r="F60" s="155"/>
      <c r="G60" s="155"/>
      <c r="H60" s="155"/>
      <c r="I60" s="78">
        <f t="shared" si="51"/>
        <v>0</v>
      </c>
      <c r="J60" s="155"/>
      <c r="K60" s="155"/>
      <c r="L60" s="155"/>
      <c r="M60" s="155"/>
      <c r="N60" s="79">
        <f t="shared" si="52"/>
        <v>0</v>
      </c>
      <c r="O60" s="80">
        <f t="shared" si="53"/>
        <v>0</v>
      </c>
      <c r="P60" s="317"/>
      <c r="Q60" s="155"/>
      <c r="R60" s="155"/>
      <c r="S60" s="78">
        <f t="shared" si="54"/>
        <v>0</v>
      </c>
      <c r="T60" s="81">
        <f t="shared" si="55"/>
        <v>0</v>
      </c>
      <c r="U60" s="155"/>
      <c r="V60" s="155"/>
      <c r="W60" s="155"/>
      <c r="X60" s="79">
        <f t="shared" si="56"/>
        <v>0</v>
      </c>
      <c r="Y60" s="80">
        <f t="shared" si="57"/>
        <v>0</v>
      </c>
      <c r="Z60" s="155"/>
      <c r="AA60" s="155"/>
      <c r="AB60" s="155"/>
      <c r="AC60" s="78">
        <f t="shared" si="58"/>
        <v>0</v>
      </c>
      <c r="AD60" s="81">
        <f t="shared" si="59"/>
        <v>0</v>
      </c>
      <c r="AE60" s="155"/>
      <c r="AF60" s="155"/>
      <c r="AG60" s="155"/>
      <c r="AH60" s="79">
        <f t="shared" si="60"/>
        <v>0</v>
      </c>
      <c r="AI60" s="80">
        <f t="shared" si="61"/>
        <v>0</v>
      </c>
      <c r="AJ60" s="155"/>
      <c r="AK60" s="155"/>
      <c r="AL60" s="155"/>
      <c r="AM60" s="78">
        <f t="shared" si="62"/>
        <v>0</v>
      </c>
      <c r="AN60" s="81">
        <f t="shared" si="63"/>
        <v>0</v>
      </c>
      <c r="AO60" s="155"/>
      <c r="AP60" s="155"/>
      <c r="AQ60" s="155"/>
      <c r="AR60" s="79">
        <f t="shared" si="64"/>
        <v>0</v>
      </c>
      <c r="AS60" s="80">
        <f t="shared" si="65"/>
        <v>0</v>
      </c>
      <c r="AT60" s="155"/>
      <c r="AU60" s="155"/>
      <c r="AV60" s="155"/>
      <c r="AW60" s="78">
        <f t="shared" si="66"/>
        <v>0</v>
      </c>
      <c r="AX60" s="81">
        <f t="shared" si="67"/>
        <v>0</v>
      </c>
      <c r="AY60" s="155"/>
      <c r="AZ60" s="155"/>
      <c r="BA60" s="155"/>
      <c r="BB60" s="79">
        <f t="shared" si="72"/>
        <v>0</v>
      </c>
      <c r="BC60" s="80">
        <f t="shared" si="68"/>
        <v>0</v>
      </c>
      <c r="BD60" s="155"/>
      <c r="BE60" s="155"/>
      <c r="BF60" s="155"/>
      <c r="BG60" s="78">
        <f t="shared" si="73"/>
        <v>0</v>
      </c>
      <c r="BH60" s="81">
        <f t="shared" si="74"/>
        <v>0</v>
      </c>
      <c r="BI60" s="155"/>
      <c r="BJ60" s="155"/>
      <c r="BK60" s="155"/>
      <c r="BL60" s="79">
        <f t="shared" si="69"/>
        <v>0</v>
      </c>
      <c r="BM60" s="76"/>
      <c r="BN60" s="155"/>
      <c r="BO60" s="81">
        <f t="shared" si="75"/>
        <v>0</v>
      </c>
      <c r="BP60" s="82">
        <f t="shared" si="76"/>
        <v>0</v>
      </c>
      <c r="BQ60" s="83"/>
      <c r="BR60" s="155"/>
      <c r="BS60" s="222">
        <f t="shared" si="77"/>
        <v>0</v>
      </c>
      <c r="BT60" s="254">
        <f t="shared" si="78"/>
        <v>0</v>
      </c>
      <c r="BU60" s="717"/>
      <c r="BV60" s="681"/>
      <c r="BW60" s="72">
        <f t="shared" si="71"/>
        <v>0</v>
      </c>
      <c r="BX60" s="392"/>
      <c r="CB60" s="251">
        <v>1508</v>
      </c>
      <c r="CC60" s="300" t="b">
        <v>0</v>
      </c>
    </row>
    <row r="61" spans="1:81" s="75" customFormat="1" ht="14.5" thickBot="1" x14ac:dyDescent="0.35">
      <c r="A61" s="1">
        <v>29</v>
      </c>
      <c r="B61" s="1"/>
      <c r="C61" s="153"/>
      <c r="D61" s="213">
        <v>1508</v>
      </c>
      <c r="E61" s="153"/>
      <c r="F61" s="155"/>
      <c r="G61" s="155"/>
      <c r="H61" s="155"/>
      <c r="I61" s="78">
        <f t="shared" si="51"/>
        <v>0</v>
      </c>
      <c r="J61" s="155"/>
      <c r="K61" s="155"/>
      <c r="L61" s="155"/>
      <c r="M61" s="155"/>
      <c r="N61" s="79">
        <f t="shared" si="52"/>
        <v>0</v>
      </c>
      <c r="O61" s="80">
        <f t="shared" si="53"/>
        <v>0</v>
      </c>
      <c r="P61" s="317"/>
      <c r="Q61" s="155"/>
      <c r="R61" s="155"/>
      <c r="S61" s="78">
        <f t="shared" si="54"/>
        <v>0</v>
      </c>
      <c r="T61" s="81">
        <f t="shared" si="55"/>
        <v>0</v>
      </c>
      <c r="U61" s="155"/>
      <c r="V61" s="155"/>
      <c r="W61" s="155"/>
      <c r="X61" s="79">
        <f t="shared" si="56"/>
        <v>0</v>
      </c>
      <c r="Y61" s="80">
        <f t="shared" si="57"/>
        <v>0</v>
      </c>
      <c r="Z61" s="155"/>
      <c r="AA61" s="155"/>
      <c r="AB61" s="155"/>
      <c r="AC61" s="78">
        <f t="shared" si="58"/>
        <v>0</v>
      </c>
      <c r="AD61" s="81">
        <f t="shared" si="59"/>
        <v>0</v>
      </c>
      <c r="AE61" s="155"/>
      <c r="AF61" s="155"/>
      <c r="AG61" s="155"/>
      <c r="AH61" s="79">
        <f t="shared" si="60"/>
        <v>0</v>
      </c>
      <c r="AI61" s="80">
        <f t="shared" si="61"/>
        <v>0</v>
      </c>
      <c r="AJ61" s="155"/>
      <c r="AK61" s="155"/>
      <c r="AL61" s="155"/>
      <c r="AM61" s="78">
        <f t="shared" si="62"/>
        <v>0</v>
      </c>
      <c r="AN61" s="81">
        <f t="shared" si="63"/>
        <v>0</v>
      </c>
      <c r="AO61" s="155"/>
      <c r="AP61" s="155"/>
      <c r="AQ61" s="155"/>
      <c r="AR61" s="79">
        <f t="shared" si="64"/>
        <v>0</v>
      </c>
      <c r="AS61" s="80">
        <f t="shared" si="65"/>
        <v>0</v>
      </c>
      <c r="AT61" s="155"/>
      <c r="AU61" s="155"/>
      <c r="AV61" s="155"/>
      <c r="AW61" s="78">
        <f t="shared" si="66"/>
        <v>0</v>
      </c>
      <c r="AX61" s="81">
        <f t="shared" si="67"/>
        <v>0</v>
      </c>
      <c r="AY61" s="155"/>
      <c r="AZ61" s="155"/>
      <c r="BA61" s="155"/>
      <c r="BB61" s="79">
        <f t="shared" si="72"/>
        <v>0</v>
      </c>
      <c r="BC61" s="80">
        <f t="shared" si="68"/>
        <v>0</v>
      </c>
      <c r="BD61" s="155"/>
      <c r="BE61" s="155"/>
      <c r="BF61" s="155"/>
      <c r="BG61" s="78">
        <f t="shared" si="73"/>
        <v>0</v>
      </c>
      <c r="BH61" s="81">
        <f t="shared" si="74"/>
        <v>0</v>
      </c>
      <c r="BI61" s="155"/>
      <c r="BJ61" s="155"/>
      <c r="BK61" s="155"/>
      <c r="BL61" s="79">
        <f t="shared" si="69"/>
        <v>0</v>
      </c>
      <c r="BM61" s="76"/>
      <c r="BN61" s="155"/>
      <c r="BO61" s="81">
        <f t="shared" si="75"/>
        <v>0</v>
      </c>
      <c r="BP61" s="82">
        <f t="shared" si="76"/>
        <v>0</v>
      </c>
      <c r="BQ61" s="83"/>
      <c r="BR61" s="155"/>
      <c r="BS61" s="222">
        <f t="shared" si="77"/>
        <v>0</v>
      </c>
      <c r="BT61" s="254">
        <f t="shared" si="78"/>
        <v>0</v>
      </c>
      <c r="BU61" s="717"/>
      <c r="BV61" s="681"/>
      <c r="BW61" s="72">
        <f t="shared" si="71"/>
        <v>0</v>
      </c>
      <c r="BX61" s="392"/>
      <c r="CB61" s="251">
        <v>1508</v>
      </c>
      <c r="CC61" s="300" t="b">
        <v>0</v>
      </c>
    </row>
    <row r="62" spans="1:81" s="75" customFormat="1" ht="14.5" thickBot="1" x14ac:dyDescent="0.35">
      <c r="A62" s="1">
        <v>30</v>
      </c>
      <c r="B62" s="1"/>
      <c r="C62" s="153"/>
      <c r="D62" s="213">
        <v>1508</v>
      </c>
      <c r="E62" s="153"/>
      <c r="F62" s="155"/>
      <c r="G62" s="155"/>
      <c r="H62" s="155"/>
      <c r="I62" s="78">
        <f t="shared" si="51"/>
        <v>0</v>
      </c>
      <c r="J62" s="155"/>
      <c r="K62" s="155"/>
      <c r="L62" s="155"/>
      <c r="M62" s="155"/>
      <c r="N62" s="79">
        <f t="shared" si="52"/>
        <v>0</v>
      </c>
      <c r="O62" s="80">
        <f t="shared" si="53"/>
        <v>0</v>
      </c>
      <c r="P62" s="317"/>
      <c r="Q62" s="155"/>
      <c r="R62" s="155"/>
      <c r="S62" s="78">
        <f t="shared" si="54"/>
        <v>0</v>
      </c>
      <c r="T62" s="81">
        <f t="shared" si="55"/>
        <v>0</v>
      </c>
      <c r="U62" s="155"/>
      <c r="V62" s="155"/>
      <c r="W62" s="155"/>
      <c r="X62" s="79">
        <f t="shared" si="56"/>
        <v>0</v>
      </c>
      <c r="Y62" s="80">
        <f t="shared" si="57"/>
        <v>0</v>
      </c>
      <c r="Z62" s="155"/>
      <c r="AA62" s="155"/>
      <c r="AB62" s="155"/>
      <c r="AC62" s="78">
        <f t="shared" si="58"/>
        <v>0</v>
      </c>
      <c r="AD62" s="81">
        <f t="shared" si="59"/>
        <v>0</v>
      </c>
      <c r="AE62" s="155"/>
      <c r="AF62" s="155"/>
      <c r="AG62" s="155"/>
      <c r="AH62" s="79">
        <f t="shared" si="60"/>
        <v>0</v>
      </c>
      <c r="AI62" s="80">
        <f t="shared" si="61"/>
        <v>0</v>
      </c>
      <c r="AJ62" s="155"/>
      <c r="AK62" s="155"/>
      <c r="AL62" s="155"/>
      <c r="AM62" s="78">
        <f t="shared" si="62"/>
        <v>0</v>
      </c>
      <c r="AN62" s="81">
        <f t="shared" si="63"/>
        <v>0</v>
      </c>
      <c r="AO62" s="155"/>
      <c r="AP62" s="155"/>
      <c r="AQ62" s="155"/>
      <c r="AR62" s="79">
        <f t="shared" si="64"/>
        <v>0</v>
      </c>
      <c r="AS62" s="80">
        <f t="shared" si="65"/>
        <v>0</v>
      </c>
      <c r="AT62" s="155"/>
      <c r="AU62" s="155"/>
      <c r="AV62" s="155"/>
      <c r="AW62" s="78">
        <f t="shared" si="66"/>
        <v>0</v>
      </c>
      <c r="AX62" s="81">
        <f t="shared" si="67"/>
        <v>0</v>
      </c>
      <c r="AY62" s="155"/>
      <c r="AZ62" s="155"/>
      <c r="BA62" s="155"/>
      <c r="BB62" s="79">
        <f t="shared" si="72"/>
        <v>0</v>
      </c>
      <c r="BC62" s="80">
        <f t="shared" si="68"/>
        <v>0</v>
      </c>
      <c r="BD62" s="155"/>
      <c r="BE62" s="155"/>
      <c r="BF62" s="155"/>
      <c r="BG62" s="78">
        <f t="shared" si="73"/>
        <v>0</v>
      </c>
      <c r="BH62" s="81">
        <f t="shared" si="74"/>
        <v>0</v>
      </c>
      <c r="BI62" s="155"/>
      <c r="BJ62" s="155"/>
      <c r="BK62" s="155"/>
      <c r="BL62" s="79">
        <f t="shared" si="69"/>
        <v>0</v>
      </c>
      <c r="BM62" s="76"/>
      <c r="BN62" s="155"/>
      <c r="BO62" s="81">
        <f t="shared" si="75"/>
        <v>0</v>
      </c>
      <c r="BP62" s="82">
        <f t="shared" si="76"/>
        <v>0</v>
      </c>
      <c r="BQ62" s="83"/>
      <c r="BR62" s="155"/>
      <c r="BS62" s="222">
        <f t="shared" si="77"/>
        <v>0</v>
      </c>
      <c r="BT62" s="254">
        <f t="shared" si="78"/>
        <v>0</v>
      </c>
      <c r="BU62" s="717"/>
      <c r="BV62" s="681"/>
      <c r="BW62" s="72">
        <f t="shared" si="71"/>
        <v>0</v>
      </c>
      <c r="BX62" s="392"/>
      <c r="CB62" s="251">
        <v>1508</v>
      </c>
      <c r="CC62" s="300" t="b">
        <v>0</v>
      </c>
    </row>
    <row r="63" spans="1:81" s="75" customFormat="1" ht="14.5" thickBot="1" x14ac:dyDescent="0.35">
      <c r="A63" s="1">
        <v>31</v>
      </c>
      <c r="B63" s="1"/>
      <c r="C63" s="153"/>
      <c r="D63" s="213">
        <v>1508</v>
      </c>
      <c r="E63" s="153"/>
      <c r="F63" s="155"/>
      <c r="G63" s="155"/>
      <c r="H63" s="155"/>
      <c r="I63" s="78">
        <f t="shared" si="51"/>
        <v>0</v>
      </c>
      <c r="J63" s="155"/>
      <c r="K63" s="155"/>
      <c r="L63" s="155"/>
      <c r="M63" s="155"/>
      <c r="N63" s="79">
        <f t="shared" si="52"/>
        <v>0</v>
      </c>
      <c r="O63" s="80">
        <f t="shared" si="53"/>
        <v>0</v>
      </c>
      <c r="P63" s="317"/>
      <c r="Q63" s="155"/>
      <c r="R63" s="155"/>
      <c r="S63" s="78">
        <f t="shared" si="54"/>
        <v>0</v>
      </c>
      <c r="T63" s="81">
        <f t="shared" si="55"/>
        <v>0</v>
      </c>
      <c r="U63" s="155"/>
      <c r="V63" s="155"/>
      <c r="W63" s="155"/>
      <c r="X63" s="79">
        <f t="shared" si="56"/>
        <v>0</v>
      </c>
      <c r="Y63" s="80">
        <f t="shared" si="57"/>
        <v>0</v>
      </c>
      <c r="Z63" s="155"/>
      <c r="AA63" s="155"/>
      <c r="AB63" s="155"/>
      <c r="AC63" s="78">
        <f t="shared" si="58"/>
        <v>0</v>
      </c>
      <c r="AD63" s="81">
        <f t="shared" si="59"/>
        <v>0</v>
      </c>
      <c r="AE63" s="155"/>
      <c r="AF63" s="155"/>
      <c r="AG63" s="155"/>
      <c r="AH63" s="79">
        <f t="shared" si="60"/>
        <v>0</v>
      </c>
      <c r="AI63" s="80">
        <f t="shared" si="61"/>
        <v>0</v>
      </c>
      <c r="AJ63" s="155"/>
      <c r="AK63" s="155"/>
      <c r="AL63" s="155"/>
      <c r="AM63" s="78">
        <f t="shared" si="62"/>
        <v>0</v>
      </c>
      <c r="AN63" s="81">
        <f t="shared" si="63"/>
        <v>0</v>
      </c>
      <c r="AO63" s="155"/>
      <c r="AP63" s="155"/>
      <c r="AQ63" s="155"/>
      <c r="AR63" s="79">
        <f t="shared" si="64"/>
        <v>0</v>
      </c>
      <c r="AS63" s="80">
        <f t="shared" si="65"/>
        <v>0</v>
      </c>
      <c r="AT63" s="155"/>
      <c r="AU63" s="155"/>
      <c r="AV63" s="155"/>
      <c r="AW63" s="78">
        <f t="shared" si="66"/>
        <v>0</v>
      </c>
      <c r="AX63" s="81">
        <f t="shared" si="67"/>
        <v>0</v>
      </c>
      <c r="AY63" s="155"/>
      <c r="AZ63" s="155"/>
      <c r="BA63" s="155"/>
      <c r="BB63" s="79">
        <f t="shared" si="72"/>
        <v>0</v>
      </c>
      <c r="BC63" s="80">
        <f t="shared" si="68"/>
        <v>0</v>
      </c>
      <c r="BD63" s="155"/>
      <c r="BE63" s="155"/>
      <c r="BF63" s="155"/>
      <c r="BG63" s="78">
        <f t="shared" si="73"/>
        <v>0</v>
      </c>
      <c r="BH63" s="81">
        <f t="shared" si="74"/>
        <v>0</v>
      </c>
      <c r="BI63" s="155"/>
      <c r="BJ63" s="155"/>
      <c r="BK63" s="155"/>
      <c r="BL63" s="79">
        <f t="shared" si="69"/>
        <v>0</v>
      </c>
      <c r="BM63" s="76"/>
      <c r="BN63" s="155"/>
      <c r="BO63" s="81">
        <f t="shared" si="75"/>
        <v>0</v>
      </c>
      <c r="BP63" s="82">
        <f t="shared" si="76"/>
        <v>0</v>
      </c>
      <c r="BQ63" s="83"/>
      <c r="BR63" s="155"/>
      <c r="BS63" s="222">
        <f t="shared" si="77"/>
        <v>0</v>
      </c>
      <c r="BT63" s="254">
        <f t="shared" si="78"/>
        <v>0</v>
      </c>
      <c r="BU63" s="717"/>
      <c r="BV63" s="681"/>
      <c r="BW63" s="72">
        <f t="shared" si="71"/>
        <v>0</v>
      </c>
      <c r="BX63" s="392"/>
      <c r="CB63" s="251">
        <v>1508</v>
      </c>
      <c r="CC63" s="300" t="b">
        <v>0</v>
      </c>
    </row>
    <row r="64" spans="1:81" s="75" customFormat="1" ht="14.5" thickBot="1" x14ac:dyDescent="0.35">
      <c r="A64" s="1">
        <v>32</v>
      </c>
      <c r="B64" s="1"/>
      <c r="C64" s="153"/>
      <c r="D64" s="213">
        <v>1508</v>
      </c>
      <c r="E64" s="153"/>
      <c r="F64" s="155"/>
      <c r="G64" s="155"/>
      <c r="H64" s="155"/>
      <c r="I64" s="78">
        <f t="shared" si="51"/>
        <v>0</v>
      </c>
      <c r="J64" s="155"/>
      <c r="K64" s="155"/>
      <c r="L64" s="155"/>
      <c r="M64" s="155"/>
      <c r="N64" s="79">
        <f t="shared" si="52"/>
        <v>0</v>
      </c>
      <c r="O64" s="80">
        <f t="shared" si="53"/>
        <v>0</v>
      </c>
      <c r="P64" s="317"/>
      <c r="Q64" s="155"/>
      <c r="R64" s="155"/>
      <c r="S64" s="78">
        <f t="shared" si="54"/>
        <v>0</v>
      </c>
      <c r="T64" s="81">
        <f t="shared" si="55"/>
        <v>0</v>
      </c>
      <c r="U64" s="155"/>
      <c r="V64" s="155"/>
      <c r="W64" s="155"/>
      <c r="X64" s="79">
        <f t="shared" si="56"/>
        <v>0</v>
      </c>
      <c r="Y64" s="80">
        <f t="shared" si="57"/>
        <v>0</v>
      </c>
      <c r="Z64" s="155"/>
      <c r="AA64" s="155"/>
      <c r="AB64" s="155"/>
      <c r="AC64" s="78">
        <f t="shared" si="58"/>
        <v>0</v>
      </c>
      <c r="AD64" s="81">
        <f t="shared" si="59"/>
        <v>0</v>
      </c>
      <c r="AE64" s="155"/>
      <c r="AF64" s="155"/>
      <c r="AG64" s="155"/>
      <c r="AH64" s="79">
        <f t="shared" si="60"/>
        <v>0</v>
      </c>
      <c r="AI64" s="80">
        <f t="shared" si="61"/>
        <v>0</v>
      </c>
      <c r="AJ64" s="155"/>
      <c r="AK64" s="155"/>
      <c r="AL64" s="155"/>
      <c r="AM64" s="78">
        <f t="shared" si="62"/>
        <v>0</v>
      </c>
      <c r="AN64" s="81">
        <f t="shared" si="63"/>
        <v>0</v>
      </c>
      <c r="AO64" s="155"/>
      <c r="AP64" s="155"/>
      <c r="AQ64" s="155"/>
      <c r="AR64" s="79">
        <f t="shared" si="64"/>
        <v>0</v>
      </c>
      <c r="AS64" s="80">
        <f t="shared" si="65"/>
        <v>0</v>
      </c>
      <c r="AT64" s="155"/>
      <c r="AU64" s="155"/>
      <c r="AV64" s="155"/>
      <c r="AW64" s="78">
        <f t="shared" si="66"/>
        <v>0</v>
      </c>
      <c r="AX64" s="81">
        <f t="shared" si="67"/>
        <v>0</v>
      </c>
      <c r="AY64" s="155"/>
      <c r="AZ64" s="155"/>
      <c r="BA64" s="155"/>
      <c r="BB64" s="79">
        <f t="shared" si="72"/>
        <v>0</v>
      </c>
      <c r="BC64" s="80">
        <f t="shared" si="68"/>
        <v>0</v>
      </c>
      <c r="BD64" s="155"/>
      <c r="BE64" s="155"/>
      <c r="BF64" s="155"/>
      <c r="BG64" s="78">
        <f t="shared" si="73"/>
        <v>0</v>
      </c>
      <c r="BH64" s="81">
        <f t="shared" si="74"/>
        <v>0</v>
      </c>
      <c r="BI64" s="155"/>
      <c r="BJ64" s="155"/>
      <c r="BK64" s="155"/>
      <c r="BL64" s="79">
        <f t="shared" si="69"/>
        <v>0</v>
      </c>
      <c r="BM64" s="76"/>
      <c r="BN64" s="155"/>
      <c r="BO64" s="81">
        <f t="shared" si="75"/>
        <v>0</v>
      </c>
      <c r="BP64" s="82">
        <f t="shared" si="76"/>
        <v>0</v>
      </c>
      <c r="BQ64" s="83"/>
      <c r="BR64" s="155"/>
      <c r="BS64" s="222">
        <f t="shared" si="77"/>
        <v>0</v>
      </c>
      <c r="BT64" s="254">
        <f t="shared" si="78"/>
        <v>0</v>
      </c>
      <c r="BU64" s="717"/>
      <c r="BV64" s="681"/>
      <c r="BW64" s="72">
        <f t="shared" si="71"/>
        <v>0</v>
      </c>
      <c r="BX64" s="392"/>
      <c r="CB64" s="251">
        <v>1508</v>
      </c>
      <c r="CC64" s="300" t="b">
        <v>0</v>
      </c>
    </row>
    <row r="65" spans="1:81" s="75" customFormat="1" ht="14.5" thickBot="1" x14ac:dyDescent="0.35">
      <c r="A65" s="1">
        <v>33</v>
      </c>
      <c r="B65" s="1"/>
      <c r="C65" s="153"/>
      <c r="D65" s="213">
        <v>1508</v>
      </c>
      <c r="E65" s="153"/>
      <c r="F65" s="155"/>
      <c r="G65" s="155"/>
      <c r="H65" s="155"/>
      <c r="I65" s="78">
        <f t="shared" si="51"/>
        <v>0</v>
      </c>
      <c r="J65" s="155"/>
      <c r="K65" s="155"/>
      <c r="L65" s="155"/>
      <c r="M65" s="155"/>
      <c r="N65" s="79">
        <f t="shared" si="52"/>
        <v>0</v>
      </c>
      <c r="O65" s="80">
        <f t="shared" si="53"/>
        <v>0</v>
      </c>
      <c r="P65" s="317"/>
      <c r="Q65" s="155"/>
      <c r="R65" s="155"/>
      <c r="S65" s="78">
        <f t="shared" si="54"/>
        <v>0</v>
      </c>
      <c r="T65" s="81">
        <f t="shared" si="55"/>
        <v>0</v>
      </c>
      <c r="U65" s="155"/>
      <c r="V65" s="155"/>
      <c r="W65" s="155"/>
      <c r="X65" s="79">
        <f t="shared" si="56"/>
        <v>0</v>
      </c>
      <c r="Y65" s="80">
        <f t="shared" si="57"/>
        <v>0</v>
      </c>
      <c r="Z65" s="155"/>
      <c r="AA65" s="155"/>
      <c r="AB65" s="155"/>
      <c r="AC65" s="78">
        <f t="shared" si="58"/>
        <v>0</v>
      </c>
      <c r="AD65" s="81">
        <f t="shared" si="59"/>
        <v>0</v>
      </c>
      <c r="AE65" s="155"/>
      <c r="AF65" s="155"/>
      <c r="AG65" s="155"/>
      <c r="AH65" s="79">
        <f t="shared" si="60"/>
        <v>0</v>
      </c>
      <c r="AI65" s="80">
        <f t="shared" si="61"/>
        <v>0</v>
      </c>
      <c r="AJ65" s="155"/>
      <c r="AK65" s="155"/>
      <c r="AL65" s="155"/>
      <c r="AM65" s="78">
        <f t="shared" si="62"/>
        <v>0</v>
      </c>
      <c r="AN65" s="81">
        <f t="shared" si="63"/>
        <v>0</v>
      </c>
      <c r="AO65" s="155"/>
      <c r="AP65" s="155"/>
      <c r="AQ65" s="155"/>
      <c r="AR65" s="79">
        <f t="shared" si="64"/>
        <v>0</v>
      </c>
      <c r="AS65" s="80">
        <f t="shared" si="65"/>
        <v>0</v>
      </c>
      <c r="AT65" s="155"/>
      <c r="AU65" s="155"/>
      <c r="AV65" s="155"/>
      <c r="AW65" s="78">
        <f t="shared" si="66"/>
        <v>0</v>
      </c>
      <c r="AX65" s="81">
        <f t="shared" si="67"/>
        <v>0</v>
      </c>
      <c r="AY65" s="155"/>
      <c r="AZ65" s="155"/>
      <c r="BA65" s="155"/>
      <c r="BB65" s="79">
        <f t="shared" si="72"/>
        <v>0</v>
      </c>
      <c r="BC65" s="80">
        <f t="shared" si="68"/>
        <v>0</v>
      </c>
      <c r="BD65" s="155"/>
      <c r="BE65" s="155"/>
      <c r="BF65" s="155"/>
      <c r="BG65" s="78">
        <f t="shared" si="73"/>
        <v>0</v>
      </c>
      <c r="BH65" s="81">
        <f t="shared" si="74"/>
        <v>0</v>
      </c>
      <c r="BI65" s="155"/>
      <c r="BJ65" s="155"/>
      <c r="BK65" s="155"/>
      <c r="BL65" s="79">
        <f t="shared" si="69"/>
        <v>0</v>
      </c>
      <c r="BM65" s="76"/>
      <c r="BN65" s="155"/>
      <c r="BO65" s="81">
        <f t="shared" si="75"/>
        <v>0</v>
      </c>
      <c r="BP65" s="82">
        <f t="shared" si="76"/>
        <v>0</v>
      </c>
      <c r="BQ65" s="83"/>
      <c r="BR65" s="155"/>
      <c r="BS65" s="222">
        <f t="shared" si="77"/>
        <v>0</v>
      </c>
      <c r="BT65" s="254">
        <f t="shared" si="78"/>
        <v>0</v>
      </c>
      <c r="BU65" s="717"/>
      <c r="BV65" s="681"/>
      <c r="BW65" s="72">
        <f t="shared" si="71"/>
        <v>0</v>
      </c>
      <c r="BX65" s="392"/>
      <c r="CB65" s="251">
        <v>1508</v>
      </c>
      <c r="CC65" s="300" t="b">
        <v>0</v>
      </c>
    </row>
    <row r="66" spans="1:81" s="75" customFormat="1" ht="14.5" thickBot="1" x14ac:dyDescent="0.35">
      <c r="A66" s="1">
        <v>34</v>
      </c>
      <c r="B66" s="1"/>
      <c r="C66" s="153"/>
      <c r="D66" s="213">
        <v>1508</v>
      </c>
      <c r="E66" s="153"/>
      <c r="F66" s="155"/>
      <c r="G66" s="155"/>
      <c r="H66" s="155"/>
      <c r="I66" s="78">
        <f t="shared" si="51"/>
        <v>0</v>
      </c>
      <c r="J66" s="155"/>
      <c r="K66" s="155"/>
      <c r="L66" s="155"/>
      <c r="M66" s="155"/>
      <c r="N66" s="79">
        <f t="shared" si="52"/>
        <v>0</v>
      </c>
      <c r="O66" s="80">
        <f t="shared" si="53"/>
        <v>0</v>
      </c>
      <c r="P66" s="317"/>
      <c r="Q66" s="155"/>
      <c r="R66" s="155"/>
      <c r="S66" s="78">
        <f t="shared" si="54"/>
        <v>0</v>
      </c>
      <c r="T66" s="81">
        <f t="shared" si="55"/>
        <v>0</v>
      </c>
      <c r="U66" s="155"/>
      <c r="V66" s="155"/>
      <c r="W66" s="155"/>
      <c r="X66" s="79">
        <f t="shared" si="56"/>
        <v>0</v>
      </c>
      <c r="Y66" s="80">
        <f t="shared" si="57"/>
        <v>0</v>
      </c>
      <c r="Z66" s="155"/>
      <c r="AA66" s="155"/>
      <c r="AB66" s="155"/>
      <c r="AC66" s="78">
        <f t="shared" si="58"/>
        <v>0</v>
      </c>
      <c r="AD66" s="81">
        <f t="shared" si="59"/>
        <v>0</v>
      </c>
      <c r="AE66" s="155"/>
      <c r="AF66" s="155"/>
      <c r="AG66" s="155"/>
      <c r="AH66" s="79">
        <f t="shared" si="60"/>
        <v>0</v>
      </c>
      <c r="AI66" s="80">
        <f t="shared" si="61"/>
        <v>0</v>
      </c>
      <c r="AJ66" s="155"/>
      <c r="AK66" s="155"/>
      <c r="AL66" s="155"/>
      <c r="AM66" s="78">
        <f t="shared" si="62"/>
        <v>0</v>
      </c>
      <c r="AN66" s="81">
        <f t="shared" si="63"/>
        <v>0</v>
      </c>
      <c r="AO66" s="155"/>
      <c r="AP66" s="155"/>
      <c r="AQ66" s="155"/>
      <c r="AR66" s="79">
        <f t="shared" si="64"/>
        <v>0</v>
      </c>
      <c r="AS66" s="80">
        <f t="shared" si="65"/>
        <v>0</v>
      </c>
      <c r="AT66" s="155"/>
      <c r="AU66" s="155"/>
      <c r="AV66" s="155"/>
      <c r="AW66" s="78">
        <f t="shared" si="66"/>
        <v>0</v>
      </c>
      <c r="AX66" s="81">
        <f t="shared" si="67"/>
        <v>0</v>
      </c>
      <c r="AY66" s="155"/>
      <c r="AZ66" s="155"/>
      <c r="BA66" s="155"/>
      <c r="BB66" s="79">
        <f t="shared" si="72"/>
        <v>0</v>
      </c>
      <c r="BC66" s="80">
        <f t="shared" si="68"/>
        <v>0</v>
      </c>
      <c r="BD66" s="155"/>
      <c r="BE66" s="155"/>
      <c r="BF66" s="155"/>
      <c r="BG66" s="78">
        <f t="shared" si="73"/>
        <v>0</v>
      </c>
      <c r="BH66" s="81">
        <f t="shared" si="74"/>
        <v>0</v>
      </c>
      <c r="BI66" s="155"/>
      <c r="BJ66" s="155"/>
      <c r="BK66" s="155"/>
      <c r="BL66" s="79">
        <f t="shared" si="69"/>
        <v>0</v>
      </c>
      <c r="BM66" s="76"/>
      <c r="BN66" s="155"/>
      <c r="BO66" s="81">
        <f t="shared" si="75"/>
        <v>0</v>
      </c>
      <c r="BP66" s="82">
        <f t="shared" si="76"/>
        <v>0</v>
      </c>
      <c r="BQ66" s="83"/>
      <c r="BR66" s="155"/>
      <c r="BS66" s="222">
        <f t="shared" si="77"/>
        <v>0</v>
      </c>
      <c r="BT66" s="254">
        <f t="shared" si="78"/>
        <v>0</v>
      </c>
      <c r="BU66" s="717"/>
      <c r="BV66" s="681"/>
      <c r="BW66" s="72">
        <f t="shared" si="71"/>
        <v>0</v>
      </c>
      <c r="BX66" s="392"/>
      <c r="CB66" s="251">
        <v>1508</v>
      </c>
      <c r="CC66" s="300" t="b">
        <v>0</v>
      </c>
    </row>
    <row r="67" spans="1:81" s="75" customFormat="1" ht="14.5" thickBot="1" x14ac:dyDescent="0.35">
      <c r="A67" s="1">
        <v>35</v>
      </c>
      <c r="B67" s="1"/>
      <c r="C67" s="153"/>
      <c r="D67" s="213">
        <v>1508</v>
      </c>
      <c r="E67" s="153"/>
      <c r="F67" s="155"/>
      <c r="G67" s="155"/>
      <c r="H67" s="155"/>
      <c r="I67" s="78">
        <f t="shared" si="51"/>
        <v>0</v>
      </c>
      <c r="J67" s="155"/>
      <c r="K67" s="155"/>
      <c r="L67" s="155"/>
      <c r="M67" s="155"/>
      <c r="N67" s="79">
        <f t="shared" si="52"/>
        <v>0</v>
      </c>
      <c r="O67" s="80">
        <f t="shared" si="53"/>
        <v>0</v>
      </c>
      <c r="P67" s="317"/>
      <c r="Q67" s="155"/>
      <c r="R67" s="155"/>
      <c r="S67" s="78">
        <f t="shared" si="54"/>
        <v>0</v>
      </c>
      <c r="T67" s="81">
        <f t="shared" si="55"/>
        <v>0</v>
      </c>
      <c r="U67" s="155"/>
      <c r="V67" s="155"/>
      <c r="W67" s="155"/>
      <c r="X67" s="79">
        <f t="shared" si="56"/>
        <v>0</v>
      </c>
      <c r="Y67" s="80">
        <f t="shared" si="57"/>
        <v>0</v>
      </c>
      <c r="Z67" s="155"/>
      <c r="AA67" s="155"/>
      <c r="AB67" s="155"/>
      <c r="AC67" s="78">
        <f t="shared" si="58"/>
        <v>0</v>
      </c>
      <c r="AD67" s="81">
        <f t="shared" si="59"/>
        <v>0</v>
      </c>
      <c r="AE67" s="155"/>
      <c r="AF67" s="155"/>
      <c r="AG67" s="155"/>
      <c r="AH67" s="79">
        <f t="shared" si="60"/>
        <v>0</v>
      </c>
      <c r="AI67" s="80">
        <f t="shared" si="61"/>
        <v>0</v>
      </c>
      <c r="AJ67" s="155"/>
      <c r="AK67" s="155"/>
      <c r="AL67" s="155"/>
      <c r="AM67" s="78">
        <f t="shared" si="62"/>
        <v>0</v>
      </c>
      <c r="AN67" s="81">
        <f t="shared" si="63"/>
        <v>0</v>
      </c>
      <c r="AO67" s="155"/>
      <c r="AP67" s="155"/>
      <c r="AQ67" s="155"/>
      <c r="AR67" s="79">
        <f t="shared" si="64"/>
        <v>0</v>
      </c>
      <c r="AS67" s="80">
        <f t="shared" si="65"/>
        <v>0</v>
      </c>
      <c r="AT67" s="155"/>
      <c r="AU67" s="155"/>
      <c r="AV67" s="155"/>
      <c r="AW67" s="78">
        <f t="shared" si="66"/>
        <v>0</v>
      </c>
      <c r="AX67" s="81">
        <f t="shared" si="67"/>
        <v>0</v>
      </c>
      <c r="AY67" s="155"/>
      <c r="AZ67" s="155"/>
      <c r="BA67" s="155"/>
      <c r="BB67" s="79">
        <f t="shared" si="72"/>
        <v>0</v>
      </c>
      <c r="BC67" s="80">
        <f t="shared" si="68"/>
        <v>0</v>
      </c>
      <c r="BD67" s="155"/>
      <c r="BE67" s="155"/>
      <c r="BF67" s="155"/>
      <c r="BG67" s="78">
        <f t="shared" si="73"/>
        <v>0</v>
      </c>
      <c r="BH67" s="81">
        <f t="shared" si="74"/>
        <v>0</v>
      </c>
      <c r="BI67" s="155"/>
      <c r="BJ67" s="155"/>
      <c r="BK67" s="155"/>
      <c r="BL67" s="79">
        <f t="shared" si="69"/>
        <v>0</v>
      </c>
      <c r="BM67" s="76"/>
      <c r="BN67" s="155"/>
      <c r="BO67" s="81">
        <f t="shared" si="75"/>
        <v>0</v>
      </c>
      <c r="BP67" s="82">
        <f t="shared" si="76"/>
        <v>0</v>
      </c>
      <c r="BQ67" s="83"/>
      <c r="BR67" s="155"/>
      <c r="BS67" s="222">
        <f t="shared" si="77"/>
        <v>0</v>
      </c>
      <c r="BT67" s="254">
        <f t="shared" si="78"/>
        <v>0</v>
      </c>
      <c r="BU67" s="717"/>
      <c r="BV67" s="681"/>
      <c r="BW67" s="72">
        <f t="shared" si="71"/>
        <v>0</v>
      </c>
      <c r="BX67" s="392"/>
      <c r="CB67" s="251">
        <v>1508</v>
      </c>
      <c r="CC67" s="300" t="b">
        <v>0</v>
      </c>
    </row>
    <row r="68" spans="1:81" s="75" customFormat="1" ht="14.5" thickBot="1" x14ac:dyDescent="0.35">
      <c r="A68" s="1">
        <v>36</v>
      </c>
      <c r="B68" s="1"/>
      <c r="C68" s="153"/>
      <c r="D68" s="213">
        <v>1508</v>
      </c>
      <c r="E68" s="153"/>
      <c r="F68" s="155"/>
      <c r="G68" s="155"/>
      <c r="H68" s="155"/>
      <c r="I68" s="78">
        <f t="shared" si="51"/>
        <v>0</v>
      </c>
      <c r="J68" s="155"/>
      <c r="K68" s="155"/>
      <c r="L68" s="155"/>
      <c r="M68" s="155"/>
      <c r="N68" s="79">
        <f t="shared" si="52"/>
        <v>0</v>
      </c>
      <c r="O68" s="80">
        <f t="shared" si="53"/>
        <v>0</v>
      </c>
      <c r="P68" s="317"/>
      <c r="Q68" s="155"/>
      <c r="R68" s="155"/>
      <c r="S68" s="78">
        <f t="shared" si="54"/>
        <v>0</v>
      </c>
      <c r="T68" s="81">
        <f t="shared" si="55"/>
        <v>0</v>
      </c>
      <c r="U68" s="155"/>
      <c r="V68" s="155"/>
      <c r="W68" s="155"/>
      <c r="X68" s="79">
        <f t="shared" si="56"/>
        <v>0</v>
      </c>
      <c r="Y68" s="80">
        <f t="shared" si="57"/>
        <v>0</v>
      </c>
      <c r="Z68" s="155"/>
      <c r="AA68" s="155"/>
      <c r="AB68" s="155"/>
      <c r="AC68" s="78">
        <f t="shared" si="58"/>
        <v>0</v>
      </c>
      <c r="AD68" s="81">
        <f t="shared" si="59"/>
        <v>0</v>
      </c>
      <c r="AE68" s="155"/>
      <c r="AF68" s="155"/>
      <c r="AG68" s="155"/>
      <c r="AH68" s="79">
        <f t="shared" si="60"/>
        <v>0</v>
      </c>
      <c r="AI68" s="80">
        <f t="shared" si="61"/>
        <v>0</v>
      </c>
      <c r="AJ68" s="155"/>
      <c r="AK68" s="155"/>
      <c r="AL68" s="155"/>
      <c r="AM68" s="78">
        <f t="shared" si="62"/>
        <v>0</v>
      </c>
      <c r="AN68" s="81">
        <f t="shared" si="63"/>
        <v>0</v>
      </c>
      <c r="AO68" s="155"/>
      <c r="AP68" s="155"/>
      <c r="AQ68" s="155"/>
      <c r="AR68" s="79">
        <f t="shared" si="64"/>
        <v>0</v>
      </c>
      <c r="AS68" s="80">
        <f t="shared" si="65"/>
        <v>0</v>
      </c>
      <c r="AT68" s="155"/>
      <c r="AU68" s="155"/>
      <c r="AV68" s="155"/>
      <c r="AW68" s="78">
        <f t="shared" si="66"/>
        <v>0</v>
      </c>
      <c r="AX68" s="81">
        <f t="shared" si="67"/>
        <v>0</v>
      </c>
      <c r="AY68" s="155"/>
      <c r="AZ68" s="155"/>
      <c r="BA68" s="155"/>
      <c r="BB68" s="79">
        <f t="shared" si="72"/>
        <v>0</v>
      </c>
      <c r="BC68" s="80">
        <f t="shared" si="68"/>
        <v>0</v>
      </c>
      <c r="BD68" s="155"/>
      <c r="BE68" s="155"/>
      <c r="BF68" s="155"/>
      <c r="BG68" s="78">
        <f t="shared" si="73"/>
        <v>0</v>
      </c>
      <c r="BH68" s="81">
        <f t="shared" si="74"/>
        <v>0</v>
      </c>
      <c r="BI68" s="155"/>
      <c r="BJ68" s="155"/>
      <c r="BK68" s="155"/>
      <c r="BL68" s="79">
        <f t="shared" si="69"/>
        <v>0</v>
      </c>
      <c r="BM68" s="76"/>
      <c r="BN68" s="155"/>
      <c r="BO68" s="81">
        <f t="shared" si="75"/>
        <v>0</v>
      </c>
      <c r="BP68" s="82">
        <f t="shared" si="76"/>
        <v>0</v>
      </c>
      <c r="BQ68" s="83"/>
      <c r="BR68" s="155"/>
      <c r="BS68" s="222">
        <f t="shared" si="77"/>
        <v>0</v>
      </c>
      <c r="BT68" s="254">
        <f t="shared" si="78"/>
        <v>0</v>
      </c>
      <c r="BU68" s="717"/>
      <c r="BV68" s="681"/>
      <c r="BW68" s="72">
        <f t="shared" si="71"/>
        <v>0</v>
      </c>
      <c r="BX68" s="392"/>
      <c r="CB68" s="251">
        <v>1508</v>
      </c>
      <c r="CC68" s="300" t="b">
        <v>0</v>
      </c>
    </row>
    <row r="69" spans="1:81" s="75" customFormat="1" ht="14.5" thickBot="1" x14ac:dyDescent="0.35">
      <c r="A69" s="1">
        <v>37</v>
      </c>
      <c r="B69" s="1"/>
      <c r="C69" s="153"/>
      <c r="D69" s="213">
        <v>1508</v>
      </c>
      <c r="E69" s="153"/>
      <c r="F69" s="155"/>
      <c r="G69" s="155"/>
      <c r="H69" s="155"/>
      <c r="I69" s="78">
        <f t="shared" si="51"/>
        <v>0</v>
      </c>
      <c r="J69" s="155"/>
      <c r="K69" s="155"/>
      <c r="L69" s="155"/>
      <c r="M69" s="155"/>
      <c r="N69" s="79">
        <f t="shared" si="52"/>
        <v>0</v>
      </c>
      <c r="O69" s="80">
        <f t="shared" si="53"/>
        <v>0</v>
      </c>
      <c r="P69" s="317"/>
      <c r="Q69" s="155"/>
      <c r="R69" s="155"/>
      <c r="S69" s="78">
        <f t="shared" si="54"/>
        <v>0</v>
      </c>
      <c r="T69" s="81">
        <f t="shared" si="55"/>
        <v>0</v>
      </c>
      <c r="U69" s="155"/>
      <c r="V69" s="155"/>
      <c r="W69" s="155"/>
      <c r="X69" s="79">
        <f t="shared" si="56"/>
        <v>0</v>
      </c>
      <c r="Y69" s="80">
        <f t="shared" si="57"/>
        <v>0</v>
      </c>
      <c r="Z69" s="155"/>
      <c r="AA69" s="155"/>
      <c r="AB69" s="155"/>
      <c r="AC69" s="78">
        <f t="shared" si="58"/>
        <v>0</v>
      </c>
      <c r="AD69" s="81">
        <f t="shared" si="59"/>
        <v>0</v>
      </c>
      <c r="AE69" s="155"/>
      <c r="AF69" s="155"/>
      <c r="AG69" s="155"/>
      <c r="AH69" s="79">
        <f t="shared" si="60"/>
        <v>0</v>
      </c>
      <c r="AI69" s="80">
        <f t="shared" si="61"/>
        <v>0</v>
      </c>
      <c r="AJ69" s="155"/>
      <c r="AK69" s="155"/>
      <c r="AL69" s="155"/>
      <c r="AM69" s="78">
        <f t="shared" si="62"/>
        <v>0</v>
      </c>
      <c r="AN69" s="81">
        <f t="shared" si="63"/>
        <v>0</v>
      </c>
      <c r="AO69" s="155"/>
      <c r="AP69" s="155"/>
      <c r="AQ69" s="155"/>
      <c r="AR69" s="79">
        <f t="shared" si="64"/>
        <v>0</v>
      </c>
      <c r="AS69" s="80">
        <f t="shared" si="65"/>
        <v>0</v>
      </c>
      <c r="AT69" s="155"/>
      <c r="AU69" s="155"/>
      <c r="AV69" s="155"/>
      <c r="AW69" s="78">
        <f t="shared" si="66"/>
        <v>0</v>
      </c>
      <c r="AX69" s="81">
        <f t="shared" si="67"/>
        <v>0</v>
      </c>
      <c r="AY69" s="155"/>
      <c r="AZ69" s="155"/>
      <c r="BA69" s="155"/>
      <c r="BB69" s="79">
        <f t="shared" si="72"/>
        <v>0</v>
      </c>
      <c r="BC69" s="80">
        <f t="shared" si="68"/>
        <v>0</v>
      </c>
      <c r="BD69" s="155"/>
      <c r="BE69" s="155"/>
      <c r="BF69" s="155"/>
      <c r="BG69" s="78">
        <f t="shared" si="73"/>
        <v>0</v>
      </c>
      <c r="BH69" s="81">
        <f t="shared" si="74"/>
        <v>0</v>
      </c>
      <c r="BI69" s="155"/>
      <c r="BJ69" s="155"/>
      <c r="BK69" s="155"/>
      <c r="BL69" s="79">
        <f t="shared" si="69"/>
        <v>0</v>
      </c>
      <c r="BM69" s="76"/>
      <c r="BN69" s="155"/>
      <c r="BO69" s="81">
        <f t="shared" si="75"/>
        <v>0</v>
      </c>
      <c r="BP69" s="82">
        <f t="shared" si="76"/>
        <v>0</v>
      </c>
      <c r="BQ69" s="83"/>
      <c r="BR69" s="155"/>
      <c r="BS69" s="222">
        <f t="shared" si="77"/>
        <v>0</v>
      </c>
      <c r="BT69" s="254">
        <f t="shared" si="78"/>
        <v>0</v>
      </c>
      <c r="BU69" s="717"/>
      <c r="BV69" s="681"/>
      <c r="BW69" s="72">
        <f t="shared" si="71"/>
        <v>0</v>
      </c>
      <c r="BX69" s="392"/>
      <c r="CB69" s="251">
        <v>1508</v>
      </c>
      <c r="CC69" s="300" t="b">
        <v>0</v>
      </c>
    </row>
    <row r="70" spans="1:81" s="75" customFormat="1" ht="14.5" thickBot="1" x14ac:dyDescent="0.35">
      <c r="A70" s="1">
        <v>38</v>
      </c>
      <c r="B70" s="1"/>
      <c r="C70" s="153"/>
      <c r="D70" s="213">
        <v>1508</v>
      </c>
      <c r="E70" s="153"/>
      <c r="F70" s="155"/>
      <c r="G70" s="155"/>
      <c r="H70" s="155"/>
      <c r="I70" s="78">
        <f t="shared" si="51"/>
        <v>0</v>
      </c>
      <c r="J70" s="155"/>
      <c r="K70" s="155"/>
      <c r="L70" s="155"/>
      <c r="M70" s="155"/>
      <c r="N70" s="79">
        <f t="shared" si="52"/>
        <v>0</v>
      </c>
      <c r="O70" s="80">
        <f t="shared" si="53"/>
        <v>0</v>
      </c>
      <c r="P70" s="317"/>
      <c r="Q70" s="155"/>
      <c r="R70" s="155"/>
      <c r="S70" s="78">
        <f t="shared" si="54"/>
        <v>0</v>
      </c>
      <c r="T70" s="81">
        <f t="shared" si="55"/>
        <v>0</v>
      </c>
      <c r="U70" s="155"/>
      <c r="V70" s="155"/>
      <c r="W70" s="155"/>
      <c r="X70" s="79">
        <f t="shared" si="56"/>
        <v>0</v>
      </c>
      <c r="Y70" s="80">
        <f t="shared" si="57"/>
        <v>0</v>
      </c>
      <c r="Z70" s="155"/>
      <c r="AA70" s="155"/>
      <c r="AB70" s="155"/>
      <c r="AC70" s="78">
        <f t="shared" si="58"/>
        <v>0</v>
      </c>
      <c r="AD70" s="81">
        <f t="shared" si="59"/>
        <v>0</v>
      </c>
      <c r="AE70" s="155"/>
      <c r="AF70" s="155"/>
      <c r="AG70" s="155"/>
      <c r="AH70" s="79">
        <f t="shared" si="60"/>
        <v>0</v>
      </c>
      <c r="AI70" s="80">
        <f t="shared" si="61"/>
        <v>0</v>
      </c>
      <c r="AJ70" s="155"/>
      <c r="AK70" s="155"/>
      <c r="AL70" s="155"/>
      <c r="AM70" s="78">
        <f t="shared" si="62"/>
        <v>0</v>
      </c>
      <c r="AN70" s="81">
        <f t="shared" si="63"/>
        <v>0</v>
      </c>
      <c r="AO70" s="155"/>
      <c r="AP70" s="155"/>
      <c r="AQ70" s="155"/>
      <c r="AR70" s="79">
        <f t="shared" si="64"/>
        <v>0</v>
      </c>
      <c r="AS70" s="80">
        <f t="shared" si="65"/>
        <v>0</v>
      </c>
      <c r="AT70" s="155"/>
      <c r="AU70" s="155"/>
      <c r="AV70" s="155"/>
      <c r="AW70" s="78">
        <f t="shared" si="66"/>
        <v>0</v>
      </c>
      <c r="AX70" s="81">
        <f t="shared" si="67"/>
        <v>0</v>
      </c>
      <c r="AY70" s="155"/>
      <c r="AZ70" s="155"/>
      <c r="BA70" s="155"/>
      <c r="BB70" s="79">
        <f t="shared" si="72"/>
        <v>0</v>
      </c>
      <c r="BC70" s="80">
        <f t="shared" si="68"/>
        <v>0</v>
      </c>
      <c r="BD70" s="155"/>
      <c r="BE70" s="155"/>
      <c r="BF70" s="155"/>
      <c r="BG70" s="78">
        <f t="shared" si="73"/>
        <v>0</v>
      </c>
      <c r="BH70" s="81">
        <f t="shared" si="74"/>
        <v>0</v>
      </c>
      <c r="BI70" s="155"/>
      <c r="BJ70" s="155"/>
      <c r="BK70" s="155"/>
      <c r="BL70" s="79">
        <f t="shared" si="69"/>
        <v>0</v>
      </c>
      <c r="BM70" s="76"/>
      <c r="BN70" s="155"/>
      <c r="BO70" s="81">
        <f t="shared" si="75"/>
        <v>0</v>
      </c>
      <c r="BP70" s="82">
        <f t="shared" si="76"/>
        <v>0</v>
      </c>
      <c r="BQ70" s="83"/>
      <c r="BR70" s="155"/>
      <c r="BS70" s="222">
        <f t="shared" si="77"/>
        <v>0</v>
      </c>
      <c r="BT70" s="254">
        <f t="shared" si="78"/>
        <v>0</v>
      </c>
      <c r="BU70" s="717"/>
      <c r="BV70" s="681"/>
      <c r="BW70" s="72">
        <f t="shared" si="71"/>
        <v>0</v>
      </c>
      <c r="BX70" s="392"/>
      <c r="CB70" s="251">
        <v>1508</v>
      </c>
      <c r="CC70" s="300" t="b">
        <v>0</v>
      </c>
    </row>
    <row r="71" spans="1:81" s="75" customFormat="1" ht="17" thickBot="1" x14ac:dyDescent="0.35">
      <c r="A71" s="1">
        <v>39</v>
      </c>
      <c r="B71" s="1"/>
      <c r="C71" s="709" t="s">
        <v>2921</v>
      </c>
      <c r="D71" s="213">
        <v>1518</v>
      </c>
      <c r="E71" s="173"/>
      <c r="F71" s="174"/>
      <c r="G71" s="155"/>
      <c r="H71" s="155"/>
      <c r="I71" s="78">
        <f t="shared" si="51"/>
        <v>0</v>
      </c>
      <c r="J71" s="186"/>
      <c r="K71" s="187"/>
      <c r="L71" s="155"/>
      <c r="M71" s="155"/>
      <c r="N71" s="79">
        <f t="shared" si="52"/>
        <v>0</v>
      </c>
      <c r="O71" s="80">
        <f t="shared" si="53"/>
        <v>0</v>
      </c>
      <c r="P71" s="155"/>
      <c r="Q71" s="155"/>
      <c r="R71" s="155"/>
      <c r="S71" s="78">
        <f t="shared" si="54"/>
        <v>0</v>
      </c>
      <c r="T71" s="81">
        <f t="shared" si="55"/>
        <v>0</v>
      </c>
      <c r="U71" s="203"/>
      <c r="V71" s="155"/>
      <c r="W71" s="155"/>
      <c r="X71" s="79">
        <f t="shared" si="56"/>
        <v>0</v>
      </c>
      <c r="Y71" s="80">
        <f t="shared" si="57"/>
        <v>0</v>
      </c>
      <c r="Z71" s="155"/>
      <c r="AA71" s="155"/>
      <c r="AB71" s="155"/>
      <c r="AC71" s="78">
        <f t="shared" si="58"/>
        <v>0</v>
      </c>
      <c r="AD71" s="81">
        <f t="shared" si="59"/>
        <v>0</v>
      </c>
      <c r="AE71" s="155"/>
      <c r="AF71" s="155"/>
      <c r="AG71" s="155"/>
      <c r="AH71" s="79">
        <f t="shared" si="60"/>
        <v>0</v>
      </c>
      <c r="AI71" s="80">
        <f t="shared" si="61"/>
        <v>0</v>
      </c>
      <c r="AJ71" s="155"/>
      <c r="AK71" s="155"/>
      <c r="AL71" s="155"/>
      <c r="AM71" s="78">
        <f t="shared" si="62"/>
        <v>0</v>
      </c>
      <c r="AN71" s="81">
        <f t="shared" si="63"/>
        <v>0</v>
      </c>
      <c r="AO71" s="155"/>
      <c r="AP71" s="155"/>
      <c r="AQ71" s="155"/>
      <c r="AR71" s="79">
        <f t="shared" si="64"/>
        <v>0</v>
      </c>
      <c r="AS71" s="80">
        <f t="shared" si="65"/>
        <v>0</v>
      </c>
      <c r="AT71" s="155"/>
      <c r="AU71" s="155"/>
      <c r="AV71" s="155"/>
      <c r="AW71" s="78">
        <f t="shared" si="66"/>
        <v>0</v>
      </c>
      <c r="AX71" s="81">
        <f t="shared" si="67"/>
        <v>0</v>
      </c>
      <c r="AY71" s="155"/>
      <c r="AZ71" s="155"/>
      <c r="BA71" s="155"/>
      <c r="BB71" s="79">
        <f t="shared" si="72"/>
        <v>0</v>
      </c>
      <c r="BC71" s="80">
        <f t="shared" si="68"/>
        <v>0</v>
      </c>
      <c r="BD71" s="155"/>
      <c r="BE71" s="155"/>
      <c r="BF71" s="155"/>
      <c r="BG71" s="78">
        <f t="shared" ref="BG71:BG78" si="79">BC71+BD71-BE71+SUM(BF71:BF71)</f>
        <v>0</v>
      </c>
      <c r="BH71" s="81">
        <f t="shared" ref="BH71:BH78" si="80">BB71</f>
        <v>0</v>
      </c>
      <c r="BI71" s="155"/>
      <c r="BJ71" s="155"/>
      <c r="BK71" s="155"/>
      <c r="BL71" s="79">
        <f t="shared" si="69"/>
        <v>0</v>
      </c>
      <c r="BM71" s="76"/>
      <c r="BN71" s="155"/>
      <c r="BO71" s="81">
        <f t="shared" ref="BO71:BO78" si="81">BG71-BM71</f>
        <v>0</v>
      </c>
      <c r="BP71" s="82">
        <f t="shared" ref="BP71:BP78" si="82">BL71-BN71</f>
        <v>0</v>
      </c>
      <c r="BQ71" s="83"/>
      <c r="BR71" s="155"/>
      <c r="BS71" s="222">
        <f t="shared" ref="BS71:BS78" si="83">BP71+BQ71+BR71</f>
        <v>0</v>
      </c>
      <c r="BT71" s="254">
        <f>SUM(BO71:BR71)</f>
        <v>0</v>
      </c>
      <c r="BU71" s="718"/>
      <c r="BV71" s="681">
        <v>0</v>
      </c>
      <c r="BW71" s="72">
        <f t="shared" si="71"/>
        <v>0</v>
      </c>
      <c r="BX71" s="392" t="str">
        <f t="shared" ref="BX71:BX78" si="84">IF(ABS(BW71)&gt;1,"Please provide an explanation of the variance in the tab 3 - Appendix A","")</f>
        <v/>
      </c>
      <c r="CC71" s="300"/>
    </row>
    <row r="72" spans="1:81" s="75" customFormat="1" ht="17" thickBot="1" x14ac:dyDescent="0.35">
      <c r="A72" s="1">
        <v>40</v>
      </c>
      <c r="B72" s="1"/>
      <c r="C72" s="709" t="s">
        <v>3044</v>
      </c>
      <c r="D72" s="213">
        <v>1522</v>
      </c>
      <c r="E72" s="583"/>
      <c r="F72" s="583"/>
      <c r="G72" s="583"/>
      <c r="H72" s="583"/>
      <c r="I72" s="78">
        <f t="shared" si="51"/>
        <v>0</v>
      </c>
      <c r="J72" s="583"/>
      <c r="K72" s="583"/>
      <c r="L72" s="583"/>
      <c r="M72" s="583"/>
      <c r="N72" s="79">
        <f t="shared" si="52"/>
        <v>0</v>
      </c>
      <c r="O72" s="80">
        <f t="shared" si="53"/>
        <v>0</v>
      </c>
      <c r="P72" s="155"/>
      <c r="Q72" s="155"/>
      <c r="R72" s="155"/>
      <c r="S72" s="78">
        <f t="shared" si="54"/>
        <v>0</v>
      </c>
      <c r="T72" s="81">
        <f t="shared" si="55"/>
        <v>0</v>
      </c>
      <c r="U72" s="155"/>
      <c r="V72" s="155"/>
      <c r="W72" s="155"/>
      <c r="X72" s="79">
        <f t="shared" si="56"/>
        <v>0</v>
      </c>
      <c r="Y72" s="80">
        <f t="shared" si="57"/>
        <v>0</v>
      </c>
      <c r="Z72" s="155"/>
      <c r="AA72" s="155"/>
      <c r="AB72" s="155"/>
      <c r="AC72" s="78">
        <f t="shared" si="58"/>
        <v>0</v>
      </c>
      <c r="AD72" s="81">
        <f t="shared" si="59"/>
        <v>0</v>
      </c>
      <c r="AE72" s="155"/>
      <c r="AF72" s="155"/>
      <c r="AG72" s="155"/>
      <c r="AH72" s="79">
        <f t="shared" si="60"/>
        <v>0</v>
      </c>
      <c r="AI72" s="80">
        <f t="shared" si="61"/>
        <v>0</v>
      </c>
      <c r="AJ72" s="155"/>
      <c r="AK72" s="155"/>
      <c r="AL72" s="155"/>
      <c r="AM72" s="78">
        <f t="shared" si="62"/>
        <v>0</v>
      </c>
      <c r="AN72" s="81">
        <f t="shared" si="63"/>
        <v>0</v>
      </c>
      <c r="AO72" s="155"/>
      <c r="AP72" s="155"/>
      <c r="AQ72" s="155"/>
      <c r="AR72" s="79">
        <f t="shared" si="64"/>
        <v>0</v>
      </c>
      <c r="AS72" s="80">
        <f t="shared" si="65"/>
        <v>0</v>
      </c>
      <c r="AT72" s="155"/>
      <c r="AU72" s="155"/>
      <c r="AV72" s="155"/>
      <c r="AW72" s="78">
        <f t="shared" si="66"/>
        <v>0</v>
      </c>
      <c r="AX72" s="81">
        <f t="shared" si="67"/>
        <v>0</v>
      </c>
      <c r="AY72" s="366"/>
      <c r="AZ72" s="366"/>
      <c r="BA72" s="366"/>
      <c r="BB72" s="79">
        <f t="shared" si="72"/>
        <v>0</v>
      </c>
      <c r="BC72" s="80">
        <f t="shared" si="68"/>
        <v>0</v>
      </c>
      <c r="BD72" s="155"/>
      <c r="BE72" s="155"/>
      <c r="BF72" s="155"/>
      <c r="BG72" s="78">
        <f t="shared" si="79"/>
        <v>0</v>
      </c>
      <c r="BH72" s="81">
        <f t="shared" si="80"/>
        <v>0</v>
      </c>
      <c r="BI72" s="155"/>
      <c r="BJ72" s="154"/>
      <c r="BK72" s="154"/>
      <c r="BL72" s="79">
        <f t="shared" si="69"/>
        <v>0</v>
      </c>
      <c r="BM72" s="76"/>
      <c r="BN72" s="155"/>
      <c r="BO72" s="81">
        <f t="shared" si="81"/>
        <v>0</v>
      </c>
      <c r="BP72" s="82">
        <f t="shared" si="82"/>
        <v>0</v>
      </c>
      <c r="BQ72" s="83"/>
      <c r="BR72" s="155"/>
      <c r="BS72" s="222">
        <f t="shared" si="83"/>
        <v>0</v>
      </c>
      <c r="BT72" s="346">
        <f xml:space="preserve"> SUM(BO72:BR72)</f>
        <v>0</v>
      </c>
      <c r="BU72" s="741"/>
      <c r="BV72" s="681">
        <v>-42158.55</v>
      </c>
      <c r="BW72" s="72">
        <f t="shared" si="71"/>
        <v>-42158.55</v>
      </c>
      <c r="BX72" s="392" t="str">
        <f t="shared" si="84"/>
        <v>Please provide an explanation of the variance in the tab 3 - Appendix A</v>
      </c>
      <c r="CB72" s="57">
        <v>1525</v>
      </c>
      <c r="CC72" s="300" t="b">
        <v>0</v>
      </c>
    </row>
    <row r="73" spans="1:81" s="75" customFormat="1" ht="14.5" thickBot="1" x14ac:dyDescent="0.35">
      <c r="A73" s="1">
        <v>41</v>
      </c>
      <c r="B73" s="1"/>
      <c r="C73" s="709" t="s">
        <v>9</v>
      </c>
      <c r="D73" s="537">
        <v>1525</v>
      </c>
      <c r="E73" s="153"/>
      <c r="F73" s="155"/>
      <c r="G73" s="155"/>
      <c r="H73" s="155"/>
      <c r="I73" s="78">
        <f>E73+F73-G73+H73</f>
        <v>0</v>
      </c>
      <c r="J73" s="188"/>
      <c r="K73" s="155"/>
      <c r="L73" s="155"/>
      <c r="M73" s="155"/>
      <c r="N73" s="79">
        <f>J73+K73-L73+M73</f>
        <v>0</v>
      </c>
      <c r="O73" s="80">
        <f>I73</f>
        <v>0</v>
      </c>
      <c r="P73" s="317"/>
      <c r="Q73" s="155"/>
      <c r="R73" s="155"/>
      <c r="S73" s="78">
        <f t="shared" si="54"/>
        <v>0</v>
      </c>
      <c r="T73" s="81">
        <f>N73</f>
        <v>0</v>
      </c>
      <c r="U73" s="155"/>
      <c r="V73" s="155"/>
      <c r="W73" s="155"/>
      <c r="X73" s="79">
        <f>T73+U73-V73+W73</f>
        <v>0</v>
      </c>
      <c r="Y73" s="80">
        <f>S73</f>
        <v>0</v>
      </c>
      <c r="Z73" s="155"/>
      <c r="AA73" s="155"/>
      <c r="AB73" s="155"/>
      <c r="AC73" s="78">
        <f t="shared" si="58"/>
        <v>0</v>
      </c>
      <c r="AD73" s="81">
        <f>X73</f>
        <v>0</v>
      </c>
      <c r="AE73" s="155"/>
      <c r="AF73" s="155"/>
      <c r="AG73" s="155"/>
      <c r="AH73" s="79">
        <f>AD73+AE73-AF73+AG73</f>
        <v>0</v>
      </c>
      <c r="AI73" s="80">
        <f>AC73</f>
        <v>0</v>
      </c>
      <c r="AJ73" s="155"/>
      <c r="AK73" s="155"/>
      <c r="AL73" s="155"/>
      <c r="AM73" s="78">
        <f>AI73+AJ73-AK73+SUM(AL73:AL73)</f>
        <v>0</v>
      </c>
      <c r="AN73" s="81">
        <f>AH73</f>
        <v>0</v>
      </c>
      <c r="AO73" s="155"/>
      <c r="AP73" s="155"/>
      <c r="AQ73" s="155"/>
      <c r="AR73" s="79">
        <f t="shared" ref="AR73:AR78" si="85">AN73+AO73-AP73+AQ73</f>
        <v>0</v>
      </c>
      <c r="AS73" s="80">
        <f>AM73</f>
        <v>0</v>
      </c>
      <c r="AT73" s="155"/>
      <c r="AU73" s="155"/>
      <c r="AV73" s="155"/>
      <c r="AW73" s="78">
        <f t="shared" si="66"/>
        <v>0</v>
      </c>
      <c r="AX73" s="81">
        <f>AR73</f>
        <v>0</v>
      </c>
      <c r="AY73" s="155"/>
      <c r="AZ73" s="155"/>
      <c r="BA73" s="155"/>
      <c r="BB73" s="79">
        <f t="shared" ref="BB73:BB78" si="86">AX73+AY73-AZ73+BA73</f>
        <v>0</v>
      </c>
      <c r="BC73" s="80">
        <f>AW73</f>
        <v>0</v>
      </c>
      <c r="BD73" s="155"/>
      <c r="BE73" s="155"/>
      <c r="BF73" s="155"/>
      <c r="BG73" s="78">
        <f t="shared" si="79"/>
        <v>0</v>
      </c>
      <c r="BH73" s="81">
        <f t="shared" si="80"/>
        <v>0</v>
      </c>
      <c r="BI73" s="155"/>
      <c r="BJ73" s="88"/>
      <c r="BK73" s="154"/>
      <c r="BL73" s="79">
        <f t="shared" ref="BL73:BL78" si="87">BH73+BI73-BJ73+BK73</f>
        <v>0</v>
      </c>
      <c r="BM73" s="76"/>
      <c r="BN73" s="155"/>
      <c r="BO73" s="81">
        <f t="shared" si="81"/>
        <v>0</v>
      </c>
      <c r="BP73" s="82">
        <f t="shared" si="82"/>
        <v>0</v>
      </c>
      <c r="BQ73" s="83"/>
      <c r="BR73" s="155"/>
      <c r="BS73" s="222">
        <f t="shared" si="83"/>
        <v>0</v>
      </c>
      <c r="BT73" s="254">
        <f>IF(BU73="Yes", SUM(BO73:BR73), 0)</f>
        <v>0</v>
      </c>
      <c r="BU73" s="717"/>
      <c r="BV73" s="681">
        <v>0</v>
      </c>
      <c r="BW73" s="72">
        <f>BV73-SUM(BG73,BL73)</f>
        <v>0</v>
      </c>
      <c r="BX73" s="392" t="str">
        <f t="shared" si="84"/>
        <v/>
      </c>
      <c r="CC73" s="300"/>
    </row>
    <row r="74" spans="1:81" s="75" customFormat="1" ht="17" thickBot="1" x14ac:dyDescent="0.35">
      <c r="A74" s="1">
        <v>42</v>
      </c>
      <c r="B74" s="1"/>
      <c r="C74" s="709" t="s">
        <v>2922</v>
      </c>
      <c r="D74" s="537">
        <v>1548</v>
      </c>
      <c r="E74" s="152"/>
      <c r="F74" s="154"/>
      <c r="G74" s="154"/>
      <c r="H74" s="154"/>
      <c r="I74" s="78">
        <f>E74+F74-G74+H74</f>
        <v>0</v>
      </c>
      <c r="J74" s="188"/>
      <c r="K74" s="154"/>
      <c r="L74" s="154"/>
      <c r="M74" s="154"/>
      <c r="N74" s="79">
        <f>J74+K74-L74+M74</f>
        <v>0</v>
      </c>
      <c r="O74" s="80">
        <f t="shared" si="53"/>
        <v>0</v>
      </c>
      <c r="P74" s="155"/>
      <c r="Q74" s="155"/>
      <c r="R74" s="155"/>
      <c r="S74" s="78">
        <f t="shared" si="54"/>
        <v>0</v>
      </c>
      <c r="T74" s="81">
        <f t="shared" si="55"/>
        <v>0</v>
      </c>
      <c r="U74" s="155"/>
      <c r="V74" s="155"/>
      <c r="W74" s="155"/>
      <c r="X74" s="79">
        <f>T74+U74-V74+W74</f>
        <v>0</v>
      </c>
      <c r="Y74" s="80">
        <f t="shared" si="57"/>
        <v>0</v>
      </c>
      <c r="Z74" s="155"/>
      <c r="AA74" s="155"/>
      <c r="AB74" s="155"/>
      <c r="AC74" s="78">
        <f t="shared" si="58"/>
        <v>0</v>
      </c>
      <c r="AD74" s="81">
        <f t="shared" si="59"/>
        <v>0</v>
      </c>
      <c r="AE74" s="155"/>
      <c r="AF74" s="155"/>
      <c r="AG74" s="155"/>
      <c r="AH74" s="79">
        <f t="shared" si="60"/>
        <v>0</v>
      </c>
      <c r="AI74" s="80">
        <f t="shared" si="61"/>
        <v>0</v>
      </c>
      <c r="AJ74" s="155"/>
      <c r="AK74" s="155"/>
      <c r="AL74" s="155"/>
      <c r="AM74" s="78">
        <f t="shared" si="62"/>
        <v>0</v>
      </c>
      <c r="AN74" s="81">
        <f t="shared" si="63"/>
        <v>0</v>
      </c>
      <c r="AO74" s="155"/>
      <c r="AP74" s="155"/>
      <c r="AQ74" s="155"/>
      <c r="AR74" s="79">
        <f t="shared" si="85"/>
        <v>0</v>
      </c>
      <c r="AS74" s="80">
        <f t="shared" si="65"/>
        <v>0</v>
      </c>
      <c r="AT74" s="155"/>
      <c r="AU74" s="155"/>
      <c r="AV74" s="155"/>
      <c r="AW74" s="78">
        <f t="shared" si="66"/>
        <v>0</v>
      </c>
      <c r="AX74" s="81">
        <f t="shared" si="67"/>
        <v>0</v>
      </c>
      <c r="AY74" s="155"/>
      <c r="AZ74" s="155"/>
      <c r="BA74" s="155"/>
      <c r="BB74" s="79">
        <f t="shared" si="86"/>
        <v>0</v>
      </c>
      <c r="BC74" s="80">
        <f t="shared" si="68"/>
        <v>0</v>
      </c>
      <c r="BD74" s="155"/>
      <c r="BE74" s="155"/>
      <c r="BF74" s="155"/>
      <c r="BG74" s="78">
        <f t="shared" si="79"/>
        <v>0</v>
      </c>
      <c r="BH74" s="81">
        <f t="shared" si="80"/>
        <v>0</v>
      </c>
      <c r="BI74" s="155"/>
      <c r="BJ74" s="155"/>
      <c r="BK74" s="155"/>
      <c r="BL74" s="79">
        <f t="shared" si="87"/>
        <v>0</v>
      </c>
      <c r="BM74" s="76"/>
      <c r="BN74" s="155"/>
      <c r="BO74" s="81">
        <f t="shared" si="81"/>
        <v>0</v>
      </c>
      <c r="BP74" s="82">
        <f t="shared" si="82"/>
        <v>0</v>
      </c>
      <c r="BQ74" s="83"/>
      <c r="BR74" s="155"/>
      <c r="BS74" s="222">
        <f t="shared" si="83"/>
        <v>0</v>
      </c>
      <c r="BT74" s="254">
        <f>SUM(BO74:BR74)</f>
        <v>0</v>
      </c>
      <c r="BU74" s="718"/>
      <c r="BV74" s="681">
        <v>0</v>
      </c>
      <c r="BW74" s="72">
        <f t="shared" si="71"/>
        <v>0</v>
      </c>
      <c r="BX74" s="392" t="str">
        <f t="shared" si="84"/>
        <v/>
      </c>
      <c r="CC74" s="300"/>
    </row>
    <row r="75" spans="1:81" s="75" customFormat="1" ht="14.5" thickBot="1" x14ac:dyDescent="0.35">
      <c r="A75" s="1">
        <v>43</v>
      </c>
      <c r="B75" s="1"/>
      <c r="C75" s="709" t="s">
        <v>10</v>
      </c>
      <c r="D75" s="213">
        <v>1572</v>
      </c>
      <c r="E75" s="153"/>
      <c r="F75" s="155"/>
      <c r="G75" s="155"/>
      <c r="H75" s="155"/>
      <c r="I75" s="78">
        <f t="shared" si="51"/>
        <v>0</v>
      </c>
      <c r="J75" s="154"/>
      <c r="K75" s="155"/>
      <c r="L75" s="155"/>
      <c r="M75" s="155"/>
      <c r="N75" s="79">
        <f t="shared" si="52"/>
        <v>0</v>
      </c>
      <c r="O75" s="80">
        <f>I75</f>
        <v>0</v>
      </c>
      <c r="P75" s="155"/>
      <c r="Q75" s="155"/>
      <c r="R75" s="155"/>
      <c r="S75" s="78">
        <f t="shared" si="54"/>
        <v>0</v>
      </c>
      <c r="T75" s="81">
        <f t="shared" si="55"/>
        <v>0</v>
      </c>
      <c r="U75" s="155"/>
      <c r="V75" s="155"/>
      <c r="W75" s="155"/>
      <c r="X75" s="79">
        <f t="shared" si="56"/>
        <v>0</v>
      </c>
      <c r="Y75" s="80">
        <f t="shared" si="57"/>
        <v>0</v>
      </c>
      <c r="Z75" s="155"/>
      <c r="AA75" s="155"/>
      <c r="AB75" s="155"/>
      <c r="AC75" s="78">
        <f t="shared" si="58"/>
        <v>0</v>
      </c>
      <c r="AD75" s="81">
        <f t="shared" si="59"/>
        <v>0</v>
      </c>
      <c r="AE75" s="155"/>
      <c r="AF75" s="155"/>
      <c r="AG75" s="155"/>
      <c r="AH75" s="79">
        <f t="shared" si="60"/>
        <v>0</v>
      </c>
      <c r="AI75" s="80">
        <f>AC75</f>
        <v>0</v>
      </c>
      <c r="AJ75" s="155"/>
      <c r="AK75" s="155"/>
      <c r="AL75" s="155"/>
      <c r="AM75" s="78">
        <f t="shared" si="62"/>
        <v>0</v>
      </c>
      <c r="AN75" s="81">
        <f t="shared" si="63"/>
        <v>0</v>
      </c>
      <c r="AO75" s="155"/>
      <c r="AP75" s="155"/>
      <c r="AQ75" s="155"/>
      <c r="AR75" s="79">
        <f t="shared" si="85"/>
        <v>0</v>
      </c>
      <c r="AS75" s="80">
        <f>AM75</f>
        <v>0</v>
      </c>
      <c r="AT75" s="155"/>
      <c r="AU75" s="155"/>
      <c r="AV75" s="155"/>
      <c r="AW75" s="78">
        <f t="shared" si="66"/>
        <v>0</v>
      </c>
      <c r="AX75" s="81">
        <f t="shared" si="67"/>
        <v>0</v>
      </c>
      <c r="AY75" s="155"/>
      <c r="AZ75" s="155"/>
      <c r="BA75" s="155"/>
      <c r="BB75" s="79">
        <f t="shared" si="86"/>
        <v>0</v>
      </c>
      <c r="BC75" s="80">
        <f>AW75</f>
        <v>0</v>
      </c>
      <c r="BD75" s="155"/>
      <c r="BE75" s="155"/>
      <c r="BF75" s="155"/>
      <c r="BG75" s="78">
        <f t="shared" si="79"/>
        <v>0</v>
      </c>
      <c r="BH75" s="81">
        <f t="shared" si="80"/>
        <v>0</v>
      </c>
      <c r="BI75" s="155"/>
      <c r="BJ75" s="155"/>
      <c r="BK75" s="155"/>
      <c r="BL75" s="79">
        <f t="shared" si="87"/>
        <v>0</v>
      </c>
      <c r="BM75" s="76"/>
      <c r="BN75" s="155"/>
      <c r="BO75" s="81">
        <f t="shared" si="81"/>
        <v>0</v>
      </c>
      <c r="BP75" s="82">
        <f t="shared" si="82"/>
        <v>0</v>
      </c>
      <c r="BQ75" s="83"/>
      <c r="BR75" s="155"/>
      <c r="BS75" s="222">
        <f t="shared" si="83"/>
        <v>0</v>
      </c>
      <c r="BT75" s="254">
        <f>SUM(BO75:BR75)</f>
        <v>0</v>
      </c>
      <c r="BU75" s="718"/>
      <c r="BV75" s="681">
        <v>0</v>
      </c>
      <c r="BW75" s="72">
        <f t="shared" si="71"/>
        <v>0</v>
      </c>
      <c r="BX75" s="392" t="str">
        <f t="shared" si="84"/>
        <v/>
      </c>
      <c r="CC75" s="300"/>
    </row>
    <row r="76" spans="1:81" s="75" customFormat="1" ht="14.5" thickBot="1" x14ac:dyDescent="0.35">
      <c r="A76" s="1">
        <v>44</v>
      </c>
      <c r="B76" s="1"/>
      <c r="C76" s="709" t="s">
        <v>6</v>
      </c>
      <c r="D76" s="213">
        <v>1574</v>
      </c>
      <c r="E76" s="153"/>
      <c r="F76" s="155"/>
      <c r="G76" s="155"/>
      <c r="H76" s="155"/>
      <c r="I76" s="78">
        <f t="shared" si="51"/>
        <v>0</v>
      </c>
      <c r="J76" s="154"/>
      <c r="K76" s="155"/>
      <c r="L76" s="155"/>
      <c r="M76" s="155"/>
      <c r="N76" s="79">
        <f t="shared" si="52"/>
        <v>0</v>
      </c>
      <c r="O76" s="80">
        <f>I76</f>
        <v>0</v>
      </c>
      <c r="P76" s="155"/>
      <c r="Q76" s="155"/>
      <c r="R76" s="155"/>
      <c r="S76" s="78">
        <f t="shared" si="54"/>
        <v>0</v>
      </c>
      <c r="T76" s="81">
        <f t="shared" si="55"/>
        <v>0</v>
      </c>
      <c r="U76" s="155"/>
      <c r="V76" s="155"/>
      <c r="W76" s="155"/>
      <c r="X76" s="79">
        <f t="shared" si="56"/>
        <v>0</v>
      </c>
      <c r="Y76" s="80">
        <f t="shared" si="57"/>
        <v>0</v>
      </c>
      <c r="Z76" s="155"/>
      <c r="AA76" s="155"/>
      <c r="AB76" s="155"/>
      <c r="AC76" s="78">
        <f t="shared" si="58"/>
        <v>0</v>
      </c>
      <c r="AD76" s="81">
        <f t="shared" si="59"/>
        <v>0</v>
      </c>
      <c r="AE76" s="155"/>
      <c r="AF76" s="155"/>
      <c r="AG76" s="155"/>
      <c r="AH76" s="79">
        <f t="shared" si="60"/>
        <v>0</v>
      </c>
      <c r="AI76" s="80">
        <f>AC76</f>
        <v>0</v>
      </c>
      <c r="AJ76" s="155"/>
      <c r="AK76" s="155"/>
      <c r="AL76" s="155"/>
      <c r="AM76" s="78">
        <f t="shared" si="62"/>
        <v>0</v>
      </c>
      <c r="AN76" s="81">
        <f t="shared" si="63"/>
        <v>0</v>
      </c>
      <c r="AO76" s="155"/>
      <c r="AP76" s="155"/>
      <c r="AQ76" s="155"/>
      <c r="AR76" s="79">
        <f t="shared" si="85"/>
        <v>0</v>
      </c>
      <c r="AS76" s="80">
        <f>AM76</f>
        <v>0</v>
      </c>
      <c r="AT76" s="155"/>
      <c r="AU76" s="155"/>
      <c r="AV76" s="155"/>
      <c r="AW76" s="78">
        <f t="shared" si="66"/>
        <v>0</v>
      </c>
      <c r="AX76" s="81">
        <f t="shared" si="67"/>
        <v>0</v>
      </c>
      <c r="AY76" s="155"/>
      <c r="AZ76" s="155"/>
      <c r="BA76" s="155"/>
      <c r="BB76" s="79">
        <f t="shared" si="86"/>
        <v>0</v>
      </c>
      <c r="BC76" s="80">
        <f>AW76</f>
        <v>0</v>
      </c>
      <c r="BD76" s="155"/>
      <c r="BE76" s="155"/>
      <c r="BF76" s="155"/>
      <c r="BG76" s="78">
        <f t="shared" si="79"/>
        <v>0</v>
      </c>
      <c r="BH76" s="81">
        <f t="shared" si="80"/>
        <v>0</v>
      </c>
      <c r="BI76" s="155"/>
      <c r="BJ76" s="155"/>
      <c r="BK76" s="155"/>
      <c r="BL76" s="79">
        <f t="shared" si="87"/>
        <v>0</v>
      </c>
      <c r="BM76" s="76"/>
      <c r="BN76" s="155"/>
      <c r="BO76" s="81">
        <f t="shared" si="81"/>
        <v>0</v>
      </c>
      <c r="BP76" s="82">
        <f t="shared" si="82"/>
        <v>0</v>
      </c>
      <c r="BQ76" s="83"/>
      <c r="BR76" s="155"/>
      <c r="BS76" s="222">
        <f t="shared" si="83"/>
        <v>0</v>
      </c>
      <c r="BT76" s="254">
        <f>SUM(BO76:BR76)</f>
        <v>0</v>
      </c>
      <c r="BU76" s="718"/>
      <c r="BV76" s="681">
        <v>0</v>
      </c>
      <c r="BW76" s="72">
        <f t="shared" si="71"/>
        <v>0</v>
      </c>
      <c r="BX76" s="392" t="str">
        <f t="shared" si="84"/>
        <v/>
      </c>
      <c r="CC76" s="300"/>
    </row>
    <row r="77" spans="1:81" s="75" customFormat="1" ht="14.5" thickBot="1" x14ac:dyDescent="0.35">
      <c r="A77" s="1">
        <v>45</v>
      </c>
      <c r="B77" s="1"/>
      <c r="C77" s="709" t="s">
        <v>24</v>
      </c>
      <c r="D77" s="213">
        <v>1582</v>
      </c>
      <c r="E77" s="175"/>
      <c r="F77" s="176"/>
      <c r="G77" s="155"/>
      <c r="H77" s="155"/>
      <c r="I77" s="78">
        <f t="shared" si="51"/>
        <v>0</v>
      </c>
      <c r="J77" s="189"/>
      <c r="K77" s="155"/>
      <c r="L77" s="155"/>
      <c r="M77" s="155"/>
      <c r="N77" s="79">
        <f t="shared" si="52"/>
        <v>0</v>
      </c>
      <c r="O77" s="80">
        <f>I77</f>
        <v>0</v>
      </c>
      <c r="P77" s="155"/>
      <c r="Q77" s="155"/>
      <c r="R77" s="155"/>
      <c r="S77" s="78">
        <f t="shared" si="54"/>
        <v>0</v>
      </c>
      <c r="T77" s="81">
        <f t="shared" si="55"/>
        <v>0</v>
      </c>
      <c r="U77" s="204"/>
      <c r="V77" s="155"/>
      <c r="W77" s="155"/>
      <c r="X77" s="79">
        <f t="shared" si="56"/>
        <v>0</v>
      </c>
      <c r="Y77" s="80">
        <f t="shared" si="57"/>
        <v>0</v>
      </c>
      <c r="Z77" s="155"/>
      <c r="AA77" s="155"/>
      <c r="AB77" s="155"/>
      <c r="AC77" s="78">
        <f t="shared" si="58"/>
        <v>0</v>
      </c>
      <c r="AD77" s="81">
        <f t="shared" si="59"/>
        <v>0</v>
      </c>
      <c r="AE77" s="155"/>
      <c r="AF77" s="155"/>
      <c r="AG77" s="155"/>
      <c r="AH77" s="79">
        <f t="shared" si="60"/>
        <v>0</v>
      </c>
      <c r="AI77" s="80">
        <f>AC77</f>
        <v>0</v>
      </c>
      <c r="AJ77" s="155"/>
      <c r="AK77" s="155"/>
      <c r="AL77" s="155"/>
      <c r="AM77" s="78">
        <f t="shared" si="62"/>
        <v>0</v>
      </c>
      <c r="AN77" s="81">
        <f t="shared" si="63"/>
        <v>0</v>
      </c>
      <c r="AO77" s="155"/>
      <c r="AP77" s="155"/>
      <c r="AQ77" s="155"/>
      <c r="AR77" s="79">
        <f t="shared" si="85"/>
        <v>0</v>
      </c>
      <c r="AS77" s="80">
        <f>AM77</f>
        <v>0</v>
      </c>
      <c r="AT77" s="155"/>
      <c r="AU77" s="155"/>
      <c r="AV77" s="155"/>
      <c r="AW77" s="78">
        <f t="shared" si="66"/>
        <v>0</v>
      </c>
      <c r="AX77" s="81">
        <f t="shared" si="67"/>
        <v>0</v>
      </c>
      <c r="AY77" s="155"/>
      <c r="AZ77" s="155"/>
      <c r="BA77" s="155"/>
      <c r="BB77" s="79">
        <f t="shared" si="86"/>
        <v>0</v>
      </c>
      <c r="BC77" s="80">
        <f>AW77</f>
        <v>0</v>
      </c>
      <c r="BD77" s="155"/>
      <c r="BE77" s="155"/>
      <c r="BF77" s="155"/>
      <c r="BG77" s="78">
        <f t="shared" si="79"/>
        <v>0</v>
      </c>
      <c r="BH77" s="81">
        <f t="shared" si="80"/>
        <v>0</v>
      </c>
      <c r="BI77" s="155"/>
      <c r="BJ77" s="155"/>
      <c r="BK77" s="155"/>
      <c r="BL77" s="79">
        <f t="shared" si="87"/>
        <v>0</v>
      </c>
      <c r="BM77" s="76"/>
      <c r="BN77" s="155"/>
      <c r="BO77" s="81">
        <f t="shared" si="81"/>
        <v>0</v>
      </c>
      <c r="BP77" s="82">
        <f t="shared" si="82"/>
        <v>0</v>
      </c>
      <c r="BQ77" s="83"/>
      <c r="BR77" s="155"/>
      <c r="BS77" s="222">
        <f t="shared" si="83"/>
        <v>0</v>
      </c>
      <c r="BT77" s="254">
        <f>SUM(BO77:BR77)</f>
        <v>0</v>
      </c>
      <c r="BU77" s="718"/>
      <c r="BV77" s="681">
        <v>0</v>
      </c>
      <c r="BW77" s="72">
        <f t="shared" si="71"/>
        <v>0</v>
      </c>
      <c r="BX77" s="392" t="str">
        <f t="shared" si="84"/>
        <v/>
      </c>
      <c r="CC77" s="300"/>
    </row>
    <row r="78" spans="1:81" s="75" customFormat="1" ht="14.5" thickBot="1" x14ac:dyDescent="0.35">
      <c r="A78" s="1">
        <v>46</v>
      </c>
      <c r="B78" s="1"/>
      <c r="C78" s="709" t="s">
        <v>7</v>
      </c>
      <c r="D78" s="213">
        <v>2425</v>
      </c>
      <c r="E78" s="153"/>
      <c r="F78" s="155"/>
      <c r="G78" s="155"/>
      <c r="H78" s="155"/>
      <c r="I78" s="78">
        <f t="shared" si="51"/>
        <v>0</v>
      </c>
      <c r="J78" s="154"/>
      <c r="K78" s="155"/>
      <c r="L78" s="155"/>
      <c r="M78" s="155"/>
      <c r="N78" s="79">
        <f t="shared" si="52"/>
        <v>0</v>
      </c>
      <c r="O78" s="80">
        <f>I78</f>
        <v>0</v>
      </c>
      <c r="P78" s="155"/>
      <c r="Q78" s="155"/>
      <c r="R78" s="155"/>
      <c r="S78" s="78">
        <f t="shared" si="54"/>
        <v>0</v>
      </c>
      <c r="T78" s="81">
        <f t="shared" si="55"/>
        <v>0</v>
      </c>
      <c r="U78" s="155"/>
      <c r="V78" s="155"/>
      <c r="W78" s="155"/>
      <c r="X78" s="79">
        <f t="shared" si="56"/>
        <v>0</v>
      </c>
      <c r="Y78" s="80">
        <f t="shared" si="57"/>
        <v>0</v>
      </c>
      <c r="Z78" s="155"/>
      <c r="AA78" s="155"/>
      <c r="AB78" s="155"/>
      <c r="AC78" s="78">
        <f t="shared" si="58"/>
        <v>0</v>
      </c>
      <c r="AD78" s="81">
        <f t="shared" si="59"/>
        <v>0</v>
      </c>
      <c r="AE78" s="155"/>
      <c r="AF78" s="155"/>
      <c r="AG78" s="155"/>
      <c r="AH78" s="79">
        <f t="shared" si="60"/>
        <v>0</v>
      </c>
      <c r="AI78" s="80">
        <f>AC78</f>
        <v>0</v>
      </c>
      <c r="AJ78" s="155"/>
      <c r="AK78" s="155"/>
      <c r="AL78" s="155"/>
      <c r="AM78" s="78">
        <f t="shared" si="62"/>
        <v>0</v>
      </c>
      <c r="AN78" s="81">
        <f t="shared" si="63"/>
        <v>0</v>
      </c>
      <c r="AO78" s="155"/>
      <c r="AP78" s="155"/>
      <c r="AQ78" s="155"/>
      <c r="AR78" s="79">
        <f t="shared" si="85"/>
        <v>0</v>
      </c>
      <c r="AS78" s="80">
        <f>AM78</f>
        <v>0</v>
      </c>
      <c r="AT78" s="155"/>
      <c r="AU78" s="155"/>
      <c r="AV78" s="155"/>
      <c r="AW78" s="78">
        <f t="shared" si="66"/>
        <v>0</v>
      </c>
      <c r="AX78" s="81">
        <f t="shared" si="67"/>
        <v>0</v>
      </c>
      <c r="AY78" s="155"/>
      <c r="AZ78" s="155"/>
      <c r="BA78" s="155"/>
      <c r="BB78" s="79">
        <f t="shared" si="86"/>
        <v>0</v>
      </c>
      <c r="BC78" s="80">
        <f>AW78</f>
        <v>0</v>
      </c>
      <c r="BD78" s="155"/>
      <c r="BE78" s="155"/>
      <c r="BF78" s="155"/>
      <c r="BG78" s="78">
        <f t="shared" si="79"/>
        <v>0</v>
      </c>
      <c r="BH78" s="81">
        <f t="shared" si="80"/>
        <v>0</v>
      </c>
      <c r="BI78" s="155"/>
      <c r="BJ78" s="155"/>
      <c r="BK78" s="155"/>
      <c r="BL78" s="79">
        <f t="shared" si="87"/>
        <v>0</v>
      </c>
      <c r="BM78" s="76"/>
      <c r="BN78" s="155"/>
      <c r="BO78" s="81">
        <f t="shared" si="81"/>
        <v>0</v>
      </c>
      <c r="BP78" s="82">
        <f t="shared" si="82"/>
        <v>0</v>
      </c>
      <c r="BQ78" s="83"/>
      <c r="BR78" s="155"/>
      <c r="BS78" s="222">
        <f t="shared" si="83"/>
        <v>0</v>
      </c>
      <c r="BT78" s="254">
        <f>IF(BU78="Yes", SUM(BO78:BR78), 0)</f>
        <v>0</v>
      </c>
      <c r="BU78" s="717"/>
      <c r="BV78" s="681">
        <v>0</v>
      </c>
      <c r="BW78" s="72">
        <f t="shared" si="71"/>
        <v>0</v>
      </c>
      <c r="BX78" s="392" t="str">
        <f t="shared" si="84"/>
        <v/>
      </c>
      <c r="CB78" s="57">
        <v>2425</v>
      </c>
      <c r="CC78" s="300" t="b">
        <v>0</v>
      </c>
    </row>
    <row r="79" spans="1:81" s="75" customFormat="1" ht="14" x14ac:dyDescent="0.3">
      <c r="A79" s="1"/>
      <c r="B79" s="1"/>
      <c r="C79" s="228"/>
      <c r="D79" s="15"/>
      <c r="E79" s="93"/>
      <c r="F79" s="78"/>
      <c r="G79" s="78"/>
      <c r="H79" s="78"/>
      <c r="I79" s="78"/>
      <c r="J79" s="78"/>
      <c r="K79" s="78"/>
      <c r="L79" s="78"/>
      <c r="M79" s="78"/>
      <c r="N79" s="79"/>
      <c r="O79" s="84"/>
      <c r="P79" s="78"/>
      <c r="Q79" s="78"/>
      <c r="R79" s="78"/>
      <c r="S79" s="78"/>
      <c r="T79" s="78"/>
      <c r="U79" s="78"/>
      <c r="V79" s="78"/>
      <c r="W79" s="78"/>
      <c r="X79" s="79"/>
      <c r="Y79" s="84"/>
      <c r="Z79" s="78"/>
      <c r="AA79" s="78"/>
      <c r="AB79" s="78"/>
      <c r="AC79" s="78"/>
      <c r="AD79" s="78"/>
      <c r="AE79" s="78"/>
      <c r="AF79" s="78"/>
      <c r="AG79" s="78"/>
      <c r="AH79" s="79"/>
      <c r="AI79" s="84"/>
      <c r="AJ79" s="78"/>
      <c r="AK79" s="78"/>
      <c r="AL79" s="78"/>
      <c r="AM79" s="78"/>
      <c r="AN79" s="78"/>
      <c r="AO79" s="78"/>
      <c r="AP79" s="78"/>
      <c r="AQ79" s="78"/>
      <c r="AR79" s="79"/>
      <c r="AS79" s="84"/>
      <c r="AT79" s="78"/>
      <c r="AU79" s="78"/>
      <c r="AV79" s="78"/>
      <c r="AW79" s="78"/>
      <c r="AX79" s="78"/>
      <c r="AY79" s="78"/>
      <c r="AZ79" s="78"/>
      <c r="BA79" s="78"/>
      <c r="BB79" s="79"/>
      <c r="BC79" s="84"/>
      <c r="BD79" s="78"/>
      <c r="BE79" s="78"/>
      <c r="BF79" s="78"/>
      <c r="BG79" s="78"/>
      <c r="BH79" s="78"/>
      <c r="BI79" s="78"/>
      <c r="BJ79" s="78"/>
      <c r="BK79" s="78"/>
      <c r="BL79" s="79"/>
      <c r="BM79" s="84"/>
      <c r="BN79" s="78"/>
      <c r="BO79" s="78"/>
      <c r="BP79" s="79"/>
      <c r="BQ79" s="71"/>
      <c r="BR79" s="71"/>
      <c r="BS79" s="247"/>
      <c r="BT79" s="254"/>
      <c r="BU79" s="718"/>
      <c r="BV79" s="681"/>
      <c r="BW79" s="72"/>
      <c r="BX79" s="392" t="str">
        <f t="shared" ref="BX79:BX87" si="88">IF(ABS(BW79)&gt;1,"Please provide an explanation of the variance in the Manager's Summary","")</f>
        <v/>
      </c>
      <c r="CC79" s="300"/>
    </row>
    <row r="80" spans="1:81" s="281" customFormat="1" ht="14" hidden="1" x14ac:dyDescent="0.3">
      <c r="A80" s="4"/>
      <c r="B80" s="4"/>
      <c r="C80" s="237" t="s">
        <v>14</v>
      </c>
      <c r="D80" s="15"/>
      <c r="E80" s="78">
        <f t="shared" ref="E80:AK80" si="89">SUM(E48:E78)</f>
        <v>0</v>
      </c>
      <c r="F80" s="78">
        <f t="shared" si="89"/>
        <v>0</v>
      </c>
      <c r="G80" s="78">
        <f t="shared" si="89"/>
        <v>0</v>
      </c>
      <c r="H80" s="78">
        <f t="shared" si="89"/>
        <v>0</v>
      </c>
      <c r="I80" s="78">
        <f t="shared" si="89"/>
        <v>0</v>
      </c>
      <c r="J80" s="78">
        <f t="shared" si="89"/>
        <v>0</v>
      </c>
      <c r="K80" s="78">
        <f t="shared" si="89"/>
        <v>0</v>
      </c>
      <c r="L80" s="78">
        <f t="shared" si="89"/>
        <v>0</v>
      </c>
      <c r="M80" s="78">
        <f t="shared" si="89"/>
        <v>0</v>
      </c>
      <c r="N80" s="79">
        <f t="shared" si="89"/>
        <v>0</v>
      </c>
      <c r="O80" s="84">
        <f t="shared" si="89"/>
        <v>0</v>
      </c>
      <c r="P80" s="78">
        <f t="shared" si="89"/>
        <v>0</v>
      </c>
      <c r="Q80" s="78">
        <f t="shared" si="89"/>
        <v>0</v>
      </c>
      <c r="R80" s="78">
        <f t="shared" si="89"/>
        <v>0</v>
      </c>
      <c r="S80" s="78">
        <f t="shared" si="89"/>
        <v>0</v>
      </c>
      <c r="T80" s="78">
        <f t="shared" si="89"/>
        <v>0</v>
      </c>
      <c r="U80" s="78">
        <f t="shared" si="89"/>
        <v>0</v>
      </c>
      <c r="V80" s="78">
        <f t="shared" si="89"/>
        <v>0</v>
      </c>
      <c r="W80" s="78">
        <f t="shared" si="89"/>
        <v>0</v>
      </c>
      <c r="X80" s="79">
        <f t="shared" si="89"/>
        <v>0</v>
      </c>
      <c r="Y80" s="84">
        <f t="shared" si="89"/>
        <v>0</v>
      </c>
      <c r="Z80" s="78">
        <f t="shared" si="89"/>
        <v>0</v>
      </c>
      <c r="AA80" s="78">
        <f t="shared" si="89"/>
        <v>0</v>
      </c>
      <c r="AB80" s="78">
        <f t="shared" si="89"/>
        <v>0</v>
      </c>
      <c r="AC80" s="78">
        <f t="shared" si="89"/>
        <v>0</v>
      </c>
      <c r="AD80" s="78">
        <f t="shared" si="89"/>
        <v>0</v>
      </c>
      <c r="AE80" s="78">
        <f t="shared" si="89"/>
        <v>0</v>
      </c>
      <c r="AF80" s="78">
        <f t="shared" si="89"/>
        <v>0</v>
      </c>
      <c r="AG80" s="78">
        <f t="shared" si="89"/>
        <v>0</v>
      </c>
      <c r="AH80" s="79">
        <f t="shared" si="89"/>
        <v>0</v>
      </c>
      <c r="AI80" s="84">
        <f t="shared" si="89"/>
        <v>0</v>
      </c>
      <c r="AJ80" s="78">
        <f t="shared" si="89"/>
        <v>0</v>
      </c>
      <c r="AK80" s="78">
        <f t="shared" si="89"/>
        <v>0</v>
      </c>
      <c r="AL80" s="78">
        <f t="shared" ref="AL80:BT80" si="90">SUM(AL48:AL78)</f>
        <v>0</v>
      </c>
      <c r="AM80" s="78">
        <f t="shared" si="90"/>
        <v>0</v>
      </c>
      <c r="AN80" s="78">
        <f t="shared" si="90"/>
        <v>0</v>
      </c>
      <c r="AO80" s="78">
        <f t="shared" si="90"/>
        <v>0</v>
      </c>
      <c r="AP80" s="78">
        <f t="shared" si="90"/>
        <v>0</v>
      </c>
      <c r="AQ80" s="78">
        <f t="shared" si="90"/>
        <v>0</v>
      </c>
      <c r="AR80" s="79">
        <f t="shared" si="90"/>
        <v>0</v>
      </c>
      <c r="AS80" s="84">
        <f t="shared" si="90"/>
        <v>0</v>
      </c>
      <c r="AT80" s="78">
        <f t="shared" si="90"/>
        <v>0</v>
      </c>
      <c r="AU80" s="78">
        <f t="shared" si="90"/>
        <v>0</v>
      </c>
      <c r="AV80" s="78">
        <f t="shared" si="90"/>
        <v>0</v>
      </c>
      <c r="AW80" s="78">
        <f t="shared" si="90"/>
        <v>0</v>
      </c>
      <c r="AX80" s="78">
        <f t="shared" si="90"/>
        <v>0</v>
      </c>
      <c r="AY80" s="78">
        <f t="shared" si="90"/>
        <v>0</v>
      </c>
      <c r="AZ80" s="78">
        <f t="shared" si="90"/>
        <v>0</v>
      </c>
      <c r="BA80" s="78">
        <f t="shared" si="90"/>
        <v>0</v>
      </c>
      <c r="BB80" s="79">
        <f t="shared" si="90"/>
        <v>0</v>
      </c>
      <c r="BC80" s="84">
        <f t="shared" si="90"/>
        <v>0</v>
      </c>
      <c r="BD80" s="78">
        <f t="shared" si="90"/>
        <v>0</v>
      </c>
      <c r="BE80" s="78">
        <f t="shared" si="90"/>
        <v>0</v>
      </c>
      <c r="BF80" s="78">
        <f t="shared" si="90"/>
        <v>0</v>
      </c>
      <c r="BG80" s="78">
        <f t="shared" si="90"/>
        <v>0</v>
      </c>
      <c r="BH80" s="78">
        <f t="shared" si="90"/>
        <v>0</v>
      </c>
      <c r="BI80" s="78">
        <f t="shared" si="90"/>
        <v>0</v>
      </c>
      <c r="BJ80" s="78">
        <f t="shared" si="90"/>
        <v>0</v>
      </c>
      <c r="BK80" s="78">
        <f t="shared" si="90"/>
        <v>0</v>
      </c>
      <c r="BL80" s="79">
        <f t="shared" si="90"/>
        <v>0</v>
      </c>
      <c r="BM80" s="84">
        <f t="shared" si="90"/>
        <v>0</v>
      </c>
      <c r="BN80" s="78">
        <f t="shared" si="90"/>
        <v>0</v>
      </c>
      <c r="BO80" s="78">
        <f t="shared" si="90"/>
        <v>0</v>
      </c>
      <c r="BP80" s="79">
        <f t="shared" si="90"/>
        <v>0</v>
      </c>
      <c r="BQ80" s="78">
        <f t="shared" si="90"/>
        <v>0</v>
      </c>
      <c r="BR80" s="78">
        <f t="shared" si="90"/>
        <v>0</v>
      </c>
      <c r="BS80" s="78">
        <f t="shared" si="90"/>
        <v>0</v>
      </c>
      <c r="BT80" s="254">
        <f t="shared" si="90"/>
        <v>0</v>
      </c>
      <c r="BU80" s="718"/>
      <c r="BV80" s="681"/>
      <c r="BW80" s="280">
        <f>BV80-SUM(BG80,BL80)</f>
        <v>0</v>
      </c>
      <c r="BX80" s="392"/>
      <c r="CC80" s="302"/>
    </row>
    <row r="81" spans="1:81" s="75" customFormat="1" ht="14.5" thickBot="1" x14ac:dyDescent="0.35">
      <c r="A81" s="1"/>
      <c r="B81" s="1"/>
      <c r="C81" s="228"/>
      <c r="D81" s="15"/>
      <c r="E81" s="93"/>
      <c r="F81" s="78"/>
      <c r="G81" s="78"/>
      <c r="H81" s="78"/>
      <c r="I81" s="78"/>
      <c r="J81" s="78"/>
      <c r="K81" s="78"/>
      <c r="L81" s="78"/>
      <c r="M81" s="78"/>
      <c r="N81" s="79"/>
      <c r="O81" s="84"/>
      <c r="P81" s="78"/>
      <c r="Q81" s="78"/>
      <c r="R81" s="78"/>
      <c r="S81" s="78"/>
      <c r="T81" s="78"/>
      <c r="U81" s="78"/>
      <c r="V81" s="78"/>
      <c r="W81" s="78"/>
      <c r="X81" s="79"/>
      <c r="Y81" s="84"/>
      <c r="Z81" s="78"/>
      <c r="AA81" s="78"/>
      <c r="AB81" s="78"/>
      <c r="AC81" s="78"/>
      <c r="AD81" s="78"/>
      <c r="AE81" s="78"/>
      <c r="AF81" s="78"/>
      <c r="AG81" s="78"/>
      <c r="AH81" s="79"/>
      <c r="AI81" s="84"/>
      <c r="AJ81" s="78"/>
      <c r="AK81" s="78"/>
      <c r="AL81" s="78"/>
      <c r="AM81" s="78"/>
      <c r="AN81" s="78"/>
      <c r="AO81" s="78"/>
      <c r="AP81" s="78"/>
      <c r="AQ81" s="78"/>
      <c r="AR81" s="79"/>
      <c r="AS81" s="84"/>
      <c r="AT81" s="78"/>
      <c r="AU81" s="78"/>
      <c r="AV81" s="78"/>
      <c r="AW81" s="78"/>
      <c r="AX81" s="78"/>
      <c r="AY81" s="78"/>
      <c r="AZ81" s="78"/>
      <c r="BA81" s="78"/>
      <c r="BB81" s="79"/>
      <c r="BC81" s="84"/>
      <c r="BD81" s="78"/>
      <c r="BE81" s="78"/>
      <c r="BF81" s="78"/>
      <c r="BG81" s="78"/>
      <c r="BH81" s="78"/>
      <c r="BI81" s="78"/>
      <c r="BJ81" s="78"/>
      <c r="BK81" s="78"/>
      <c r="BL81" s="79"/>
      <c r="BM81" s="84"/>
      <c r="BN81" s="78"/>
      <c r="BO81" s="78"/>
      <c r="BP81" s="79"/>
      <c r="BQ81" s="71"/>
      <c r="BR81" s="71"/>
      <c r="BS81" s="247"/>
      <c r="BT81" s="254"/>
      <c r="BU81" s="718"/>
      <c r="BV81" s="681"/>
      <c r="BW81" s="72"/>
      <c r="BX81" s="392" t="str">
        <f t="shared" si="88"/>
        <v/>
      </c>
      <c r="CC81" s="300"/>
    </row>
    <row r="82" spans="1:81" s="75" customFormat="1" ht="28.5" thickBot="1" x14ac:dyDescent="0.35">
      <c r="A82" s="1">
        <v>47</v>
      </c>
      <c r="B82" s="1"/>
      <c r="C82" s="238" t="s">
        <v>31</v>
      </c>
      <c r="D82" s="239">
        <v>1592</v>
      </c>
      <c r="E82" s="177"/>
      <c r="F82" s="155"/>
      <c r="G82" s="155"/>
      <c r="H82" s="155"/>
      <c r="I82" s="78">
        <f>E82+F82-G82+H82</f>
        <v>0</v>
      </c>
      <c r="J82" s="183"/>
      <c r="K82" s="184"/>
      <c r="L82" s="155"/>
      <c r="M82" s="155"/>
      <c r="N82" s="79">
        <f>J82+K82-L82+M82</f>
        <v>0</v>
      </c>
      <c r="O82" s="80">
        <f>I82</f>
        <v>0</v>
      </c>
      <c r="P82" s="155"/>
      <c r="Q82" s="155"/>
      <c r="R82" s="155"/>
      <c r="S82" s="78">
        <f>O82+P82-Q82+R82</f>
        <v>0</v>
      </c>
      <c r="T82" s="81">
        <f>N82</f>
        <v>0</v>
      </c>
      <c r="U82" s="201"/>
      <c r="V82" s="155"/>
      <c r="W82" s="155"/>
      <c r="X82" s="79">
        <f>T82+U82-V82+W82</f>
        <v>0</v>
      </c>
      <c r="Y82" s="80">
        <f>S82</f>
        <v>0</v>
      </c>
      <c r="Z82" s="155"/>
      <c r="AA82" s="155"/>
      <c r="AB82" s="155"/>
      <c r="AC82" s="78">
        <f>Y82+Z82-AA82+AB82</f>
        <v>0</v>
      </c>
      <c r="AD82" s="81">
        <f>X82</f>
        <v>0</v>
      </c>
      <c r="AE82" s="155"/>
      <c r="AF82" s="155"/>
      <c r="AG82" s="155"/>
      <c r="AH82" s="79">
        <f>AD82+AE82-AF82+AG82</f>
        <v>0</v>
      </c>
      <c r="AI82" s="80">
        <f>AC82</f>
        <v>0</v>
      </c>
      <c r="AJ82" s="155"/>
      <c r="AK82" s="155"/>
      <c r="AL82" s="155"/>
      <c r="AM82" s="78">
        <f>AI82+AJ82-AK82+SUM(AL82:AL82)</f>
        <v>0</v>
      </c>
      <c r="AN82" s="81">
        <f>AH82</f>
        <v>0</v>
      </c>
      <c r="AO82" s="155"/>
      <c r="AP82" s="155"/>
      <c r="AQ82" s="155"/>
      <c r="AR82" s="79">
        <f>AN82+AO82-AP82+AQ82</f>
        <v>0</v>
      </c>
      <c r="AS82" s="80">
        <f>AM82</f>
        <v>0</v>
      </c>
      <c r="AT82" s="155"/>
      <c r="AU82" s="155"/>
      <c r="AV82" s="155"/>
      <c r="AW82" s="78">
        <f>AS82+AT82-AU82+AV82</f>
        <v>0</v>
      </c>
      <c r="AX82" s="81">
        <f>AR82</f>
        <v>0</v>
      </c>
      <c r="AY82" s="155"/>
      <c r="AZ82" s="155"/>
      <c r="BA82" s="155"/>
      <c r="BB82" s="79">
        <f>AX82+AY82-AZ82+BA82</f>
        <v>0</v>
      </c>
      <c r="BC82" s="80">
        <f>AW82</f>
        <v>0</v>
      </c>
      <c r="BD82" s="155"/>
      <c r="BE82" s="155"/>
      <c r="BF82" s="155"/>
      <c r="BG82" s="78">
        <f>BC82+BD82-BE82+SUM(BF82:BF82)</f>
        <v>0</v>
      </c>
      <c r="BH82" s="81">
        <f>BB82</f>
        <v>0</v>
      </c>
      <c r="BI82" s="155"/>
      <c r="BJ82" s="155"/>
      <c r="BK82" s="155"/>
      <c r="BL82" s="79">
        <f>BH82+BI82-BJ82+BK82</f>
        <v>0</v>
      </c>
      <c r="BM82" s="76"/>
      <c r="BN82" s="155"/>
      <c r="BO82" s="81">
        <f>BG82-BM82</f>
        <v>0</v>
      </c>
      <c r="BP82" s="82">
        <f>BL82-BN82</f>
        <v>0</v>
      </c>
      <c r="BQ82" s="83"/>
      <c r="BR82" s="155"/>
      <c r="BS82" s="222">
        <f>BP82+BQ82+BR82</f>
        <v>0</v>
      </c>
      <c r="BT82" s="254">
        <f>SUM(BO82:BR82)</f>
        <v>0</v>
      </c>
      <c r="BU82" s="398"/>
      <c r="BV82" s="681">
        <v>-1081632</v>
      </c>
      <c r="BW82" s="72">
        <f>BV82-SUM(BG82,BL82)</f>
        <v>-1081632</v>
      </c>
      <c r="BX82" s="392" t="str">
        <f>IF(ABS(BW82)&gt;1,"Please provide an explanation of the variance in the tab 3 - Appendix A","")</f>
        <v>Please provide an explanation of the variance in the tab 3 - Appendix A</v>
      </c>
      <c r="CC82" s="300"/>
    </row>
    <row r="83" spans="1:81" s="75" customFormat="1" ht="17" thickBot="1" x14ac:dyDescent="0.35">
      <c r="A83" s="1">
        <v>48</v>
      </c>
      <c r="B83" s="1"/>
      <c r="C83" s="238" t="s">
        <v>3457</v>
      </c>
      <c r="D83" s="239">
        <v>1592</v>
      </c>
      <c r="E83" s="583"/>
      <c r="F83" s="583"/>
      <c r="G83" s="583"/>
      <c r="H83" s="583"/>
      <c r="I83" s="78">
        <f>E83+F83-G83+H83</f>
        <v>0</v>
      </c>
      <c r="J83" s="583"/>
      <c r="K83" s="583"/>
      <c r="L83" s="583"/>
      <c r="M83" s="583"/>
      <c r="N83" s="79">
        <f>J83+K83-L83+M83</f>
        <v>0</v>
      </c>
      <c r="O83" s="80">
        <f>I83</f>
        <v>0</v>
      </c>
      <c r="P83" s="155"/>
      <c r="Q83" s="155"/>
      <c r="R83" s="155"/>
      <c r="S83" s="78">
        <f>O83+P83-Q83+R83</f>
        <v>0</v>
      </c>
      <c r="T83" s="81">
        <f>N83</f>
        <v>0</v>
      </c>
      <c r="U83" s="155"/>
      <c r="V83" s="155"/>
      <c r="W83" s="155"/>
      <c r="X83" s="79">
        <f>T83+U83-V83+W83</f>
        <v>0</v>
      </c>
      <c r="Y83" s="80">
        <f>S83</f>
        <v>0</v>
      </c>
      <c r="Z83" s="155"/>
      <c r="AA83" s="155"/>
      <c r="AB83" s="155"/>
      <c r="AC83" s="78">
        <f>Y83+Z83-AA83+AB83</f>
        <v>0</v>
      </c>
      <c r="AD83" s="81">
        <f>X83</f>
        <v>0</v>
      </c>
      <c r="AE83" s="155"/>
      <c r="AF83" s="155"/>
      <c r="AG83" s="155"/>
      <c r="AH83" s="79">
        <f>AD83+AE83-AF83+AG83</f>
        <v>0</v>
      </c>
      <c r="AI83" s="80">
        <f>AC83</f>
        <v>0</v>
      </c>
      <c r="AJ83" s="155"/>
      <c r="AK83" s="155"/>
      <c r="AL83" s="155"/>
      <c r="AM83" s="78">
        <f>AI83+AJ83-AK83+SUM(AL83:AL83)</f>
        <v>0</v>
      </c>
      <c r="AN83" s="81">
        <f>AH83</f>
        <v>0</v>
      </c>
      <c r="AO83" s="155"/>
      <c r="AP83" s="155"/>
      <c r="AQ83" s="155"/>
      <c r="AR83" s="79">
        <f>AN83+AO83-AP83+AQ83</f>
        <v>0</v>
      </c>
      <c r="AS83" s="80">
        <f>AM83</f>
        <v>0</v>
      </c>
      <c r="AT83" s="155"/>
      <c r="AU83" s="155"/>
      <c r="AV83" s="155"/>
      <c r="AW83" s="78">
        <f>AS83+AT83-AU83+AV83</f>
        <v>0</v>
      </c>
      <c r="AX83" s="81">
        <f>AR83</f>
        <v>0</v>
      </c>
      <c r="AY83" s="155"/>
      <c r="AZ83" s="155"/>
      <c r="BA83" s="155"/>
      <c r="BB83" s="79">
        <f>AX83+AY83-AZ83+BA83</f>
        <v>0</v>
      </c>
      <c r="BC83" s="80">
        <f>AW83</f>
        <v>0</v>
      </c>
      <c r="BD83" s="155"/>
      <c r="BE83" s="155"/>
      <c r="BF83" s="155"/>
      <c r="BG83" s="78">
        <f>BC83+BD83-BE83+SUM(BF83:BF83)</f>
        <v>0</v>
      </c>
      <c r="BH83" s="81">
        <f>BB83</f>
        <v>0</v>
      </c>
      <c r="BI83" s="155"/>
      <c r="BJ83" s="155"/>
      <c r="BK83" s="155"/>
      <c r="BL83" s="79">
        <f>BH83+BI83-BJ83+BK83</f>
        <v>0</v>
      </c>
      <c r="BM83" s="76"/>
      <c r="BN83" s="155"/>
      <c r="BO83" s="81">
        <f>BG83-BM83</f>
        <v>0</v>
      </c>
      <c r="BP83" s="82">
        <f>BL83-BN83</f>
        <v>0</v>
      </c>
      <c r="BQ83" s="83"/>
      <c r="BR83" s="155"/>
      <c r="BS83" s="222">
        <f>BP83+BQ83+BR83</f>
        <v>0</v>
      </c>
      <c r="BT83" s="254">
        <f>SUM(BO83:BR83)</f>
        <v>0</v>
      </c>
      <c r="BU83" s="398"/>
      <c r="BV83" s="681"/>
      <c r="BW83" s="72">
        <f>BV83-SUM(BG83,BL83)</f>
        <v>0</v>
      </c>
      <c r="BX83" s="392"/>
      <c r="CC83" s="300"/>
    </row>
    <row r="84" spans="1:81" s="75" customFormat="1" ht="14" x14ac:dyDescent="0.3">
      <c r="A84" s="1"/>
      <c r="B84" s="1"/>
      <c r="C84" s="228"/>
      <c r="D84" s="15"/>
      <c r="E84" s="93"/>
      <c r="F84" s="78"/>
      <c r="G84" s="78"/>
      <c r="H84" s="78"/>
      <c r="I84" s="78"/>
      <c r="J84" s="78"/>
      <c r="K84" s="78"/>
      <c r="L84" s="78"/>
      <c r="M84" s="78"/>
      <c r="N84" s="78"/>
      <c r="O84" s="84"/>
      <c r="P84" s="78"/>
      <c r="Q84" s="78"/>
      <c r="R84" s="78"/>
      <c r="S84" s="78"/>
      <c r="T84" s="78"/>
      <c r="U84" s="78"/>
      <c r="V84" s="78"/>
      <c r="W84" s="78"/>
      <c r="X84" s="78"/>
      <c r="Y84" s="84"/>
      <c r="Z84" s="78"/>
      <c r="AA84" s="78"/>
      <c r="AB84" s="78"/>
      <c r="AC84" s="78"/>
      <c r="AD84" s="78"/>
      <c r="AE84" s="78"/>
      <c r="AF84" s="78"/>
      <c r="AG84" s="78"/>
      <c r="AH84" s="78"/>
      <c r="AI84" s="84"/>
      <c r="AJ84" s="78"/>
      <c r="AK84" s="78"/>
      <c r="AL84" s="78"/>
      <c r="AM84" s="78"/>
      <c r="AN84" s="78"/>
      <c r="AO84" s="78"/>
      <c r="AP84" s="78"/>
      <c r="AQ84" s="78"/>
      <c r="AR84" s="78"/>
      <c r="AS84" s="84"/>
      <c r="AT84" s="78"/>
      <c r="AU84" s="78"/>
      <c r="AV84" s="78"/>
      <c r="AW84" s="78"/>
      <c r="AX84" s="78"/>
      <c r="AY84" s="78"/>
      <c r="AZ84" s="78"/>
      <c r="BA84" s="78"/>
      <c r="BB84" s="78"/>
      <c r="BC84" s="84"/>
      <c r="BD84" s="78"/>
      <c r="BE84" s="78"/>
      <c r="BF84" s="78"/>
      <c r="BG84" s="78"/>
      <c r="BH84" s="78"/>
      <c r="BI84" s="78"/>
      <c r="BJ84" s="78"/>
      <c r="BK84" s="78"/>
      <c r="BL84" s="78"/>
      <c r="BM84" s="84"/>
      <c r="BN84" s="78"/>
      <c r="BO84" s="78"/>
      <c r="BP84" s="78"/>
      <c r="BQ84" s="84"/>
      <c r="BR84" s="78"/>
      <c r="BS84" s="78"/>
      <c r="BT84" s="254"/>
      <c r="BU84" s="398"/>
      <c r="BV84" s="681"/>
      <c r="BW84" s="85"/>
      <c r="BX84" s="392"/>
      <c r="CC84" s="300"/>
    </row>
    <row r="85" spans="1:81" s="281" customFormat="1" ht="14.5" hidden="1" thickBot="1" x14ac:dyDescent="0.35">
      <c r="A85" s="4"/>
      <c r="B85" s="4"/>
      <c r="C85" s="237" t="s">
        <v>178</v>
      </c>
      <c r="D85" s="15"/>
      <c r="E85" s="93">
        <f t="shared" ref="E85:AJ85" si="91">SUM(E82:E83,E80, E43)</f>
        <v>0</v>
      </c>
      <c r="F85" s="78">
        <f t="shared" si="91"/>
        <v>0</v>
      </c>
      <c r="G85" s="78">
        <f t="shared" si="91"/>
        <v>0</v>
      </c>
      <c r="H85" s="78">
        <f t="shared" si="91"/>
        <v>0</v>
      </c>
      <c r="I85" s="78">
        <f t="shared" si="91"/>
        <v>0</v>
      </c>
      <c r="J85" s="78">
        <f t="shared" si="91"/>
        <v>0</v>
      </c>
      <c r="K85" s="78">
        <f t="shared" si="91"/>
        <v>0</v>
      </c>
      <c r="L85" s="78">
        <f t="shared" si="91"/>
        <v>0</v>
      </c>
      <c r="M85" s="78">
        <f t="shared" si="91"/>
        <v>0</v>
      </c>
      <c r="N85" s="78">
        <f t="shared" si="91"/>
        <v>0</v>
      </c>
      <c r="O85" s="80">
        <f t="shared" si="91"/>
        <v>0</v>
      </c>
      <c r="P85" s="78">
        <f t="shared" si="91"/>
        <v>0</v>
      </c>
      <c r="Q85" s="78">
        <f t="shared" si="91"/>
        <v>0</v>
      </c>
      <c r="R85" s="78">
        <f t="shared" si="91"/>
        <v>0</v>
      </c>
      <c r="S85" s="78">
        <f t="shared" si="91"/>
        <v>0</v>
      </c>
      <c r="T85" s="78">
        <f t="shared" si="91"/>
        <v>0</v>
      </c>
      <c r="U85" s="78">
        <f t="shared" si="91"/>
        <v>0</v>
      </c>
      <c r="V85" s="78">
        <f t="shared" si="91"/>
        <v>0</v>
      </c>
      <c r="W85" s="78">
        <f t="shared" si="91"/>
        <v>0</v>
      </c>
      <c r="X85" s="78">
        <f t="shared" si="91"/>
        <v>0</v>
      </c>
      <c r="Y85" s="80">
        <f t="shared" si="91"/>
        <v>0</v>
      </c>
      <c r="Z85" s="78">
        <f t="shared" si="91"/>
        <v>0</v>
      </c>
      <c r="AA85" s="78">
        <f t="shared" si="91"/>
        <v>0</v>
      </c>
      <c r="AB85" s="78">
        <f t="shared" si="91"/>
        <v>0</v>
      </c>
      <c r="AC85" s="78">
        <f t="shared" si="91"/>
        <v>0</v>
      </c>
      <c r="AD85" s="78">
        <f t="shared" si="91"/>
        <v>0</v>
      </c>
      <c r="AE85" s="78">
        <f t="shared" si="91"/>
        <v>0</v>
      </c>
      <c r="AF85" s="78">
        <f t="shared" si="91"/>
        <v>0</v>
      </c>
      <c r="AG85" s="78">
        <f t="shared" si="91"/>
        <v>0</v>
      </c>
      <c r="AH85" s="78">
        <f t="shared" si="91"/>
        <v>0</v>
      </c>
      <c r="AI85" s="80">
        <f t="shared" si="91"/>
        <v>0</v>
      </c>
      <c r="AJ85" s="78">
        <f t="shared" si="91"/>
        <v>0</v>
      </c>
      <c r="AK85" s="78">
        <f t="shared" ref="AK85:BT85" si="92">SUM(AK82:AK83,AK80, AK43)</f>
        <v>0</v>
      </c>
      <c r="AL85" s="78">
        <f t="shared" si="92"/>
        <v>0</v>
      </c>
      <c r="AM85" s="78">
        <f t="shared" si="92"/>
        <v>0</v>
      </c>
      <c r="AN85" s="78">
        <f t="shared" si="92"/>
        <v>0</v>
      </c>
      <c r="AO85" s="78">
        <f t="shared" si="92"/>
        <v>0</v>
      </c>
      <c r="AP85" s="78">
        <f t="shared" si="92"/>
        <v>0</v>
      </c>
      <c r="AQ85" s="78">
        <f t="shared" si="92"/>
        <v>0</v>
      </c>
      <c r="AR85" s="78">
        <f t="shared" si="92"/>
        <v>0</v>
      </c>
      <c r="AS85" s="80">
        <f t="shared" si="92"/>
        <v>0</v>
      </c>
      <c r="AT85" s="78">
        <f t="shared" si="92"/>
        <v>0</v>
      </c>
      <c r="AU85" s="78">
        <f t="shared" si="92"/>
        <v>0</v>
      </c>
      <c r="AV85" s="78">
        <f t="shared" si="92"/>
        <v>0</v>
      </c>
      <c r="AW85" s="78">
        <f t="shared" si="92"/>
        <v>0</v>
      </c>
      <c r="AX85" s="78">
        <f t="shared" si="92"/>
        <v>0</v>
      </c>
      <c r="AY85" s="78">
        <f t="shared" si="92"/>
        <v>0</v>
      </c>
      <c r="AZ85" s="78">
        <f t="shared" si="92"/>
        <v>0</v>
      </c>
      <c r="BA85" s="78">
        <f t="shared" si="92"/>
        <v>0</v>
      </c>
      <c r="BB85" s="78">
        <f t="shared" si="92"/>
        <v>0</v>
      </c>
      <c r="BC85" s="80">
        <f t="shared" si="92"/>
        <v>0</v>
      </c>
      <c r="BD85" s="78">
        <f t="shared" si="92"/>
        <v>0</v>
      </c>
      <c r="BE85" s="78">
        <f t="shared" si="92"/>
        <v>0</v>
      </c>
      <c r="BF85" s="78">
        <f t="shared" si="92"/>
        <v>0</v>
      </c>
      <c r="BG85" s="78">
        <f t="shared" si="92"/>
        <v>0</v>
      </c>
      <c r="BH85" s="78">
        <f t="shared" si="92"/>
        <v>0</v>
      </c>
      <c r="BI85" s="78">
        <f t="shared" si="92"/>
        <v>0</v>
      </c>
      <c r="BJ85" s="78">
        <f t="shared" si="92"/>
        <v>0</v>
      </c>
      <c r="BK85" s="78">
        <f t="shared" si="92"/>
        <v>0</v>
      </c>
      <c r="BL85" s="78">
        <f t="shared" si="92"/>
        <v>0</v>
      </c>
      <c r="BM85" s="80">
        <f t="shared" si="92"/>
        <v>0</v>
      </c>
      <c r="BN85" s="78">
        <f t="shared" si="92"/>
        <v>0</v>
      </c>
      <c r="BO85" s="78">
        <f t="shared" si="92"/>
        <v>0</v>
      </c>
      <c r="BP85" s="78">
        <f t="shared" si="92"/>
        <v>0</v>
      </c>
      <c r="BQ85" s="80">
        <f t="shared" si="92"/>
        <v>0</v>
      </c>
      <c r="BR85" s="78">
        <f t="shared" si="92"/>
        <v>0</v>
      </c>
      <c r="BS85" s="78">
        <f t="shared" si="92"/>
        <v>0</v>
      </c>
      <c r="BT85" s="56">
        <f t="shared" si="92"/>
        <v>0</v>
      </c>
      <c r="BU85" s="56"/>
      <c r="BV85" s="681"/>
      <c r="BW85" s="280">
        <f>BV85-SUM(BG85,BL85)</f>
        <v>0</v>
      </c>
      <c r="BX85" s="392" t="str">
        <f t="shared" si="88"/>
        <v/>
      </c>
      <c r="CC85" s="302"/>
    </row>
    <row r="86" spans="1:81" s="707" customFormat="1" ht="14" x14ac:dyDescent="0.3">
      <c r="A86" s="2"/>
      <c r="B86" s="2"/>
      <c r="C86" s="244" t="s">
        <v>3443</v>
      </c>
      <c r="D86" s="696"/>
      <c r="E86" s="697">
        <f>SUM(E48:E78)+E82+E83</f>
        <v>0</v>
      </c>
      <c r="F86" s="698">
        <f t="shared" ref="F86:BQ86" si="93">SUM(F48:F78)+F82+F83</f>
        <v>0</v>
      </c>
      <c r="G86" s="698">
        <f t="shared" si="93"/>
        <v>0</v>
      </c>
      <c r="H86" s="698">
        <f t="shared" si="93"/>
        <v>0</v>
      </c>
      <c r="I86" s="698">
        <f t="shared" si="93"/>
        <v>0</v>
      </c>
      <c r="J86" s="698">
        <f t="shared" si="93"/>
        <v>0</v>
      </c>
      <c r="K86" s="698">
        <f t="shared" si="93"/>
        <v>0</v>
      </c>
      <c r="L86" s="698">
        <f t="shared" si="93"/>
        <v>0</v>
      </c>
      <c r="M86" s="698">
        <f t="shared" si="93"/>
        <v>0</v>
      </c>
      <c r="N86" s="699">
        <f>SUM(N48:N78)+N82+N83</f>
        <v>0</v>
      </c>
      <c r="O86" s="700">
        <f t="shared" si="93"/>
        <v>0</v>
      </c>
      <c r="P86" s="698">
        <f t="shared" si="93"/>
        <v>0</v>
      </c>
      <c r="Q86" s="698">
        <f t="shared" si="93"/>
        <v>0</v>
      </c>
      <c r="R86" s="698">
        <f t="shared" si="93"/>
        <v>0</v>
      </c>
      <c r="S86" s="698">
        <f t="shared" si="93"/>
        <v>0</v>
      </c>
      <c r="T86" s="698">
        <f t="shared" si="93"/>
        <v>0</v>
      </c>
      <c r="U86" s="698">
        <f t="shared" si="93"/>
        <v>0</v>
      </c>
      <c r="V86" s="698">
        <f t="shared" si="93"/>
        <v>0</v>
      </c>
      <c r="W86" s="698">
        <f t="shared" si="93"/>
        <v>0</v>
      </c>
      <c r="X86" s="699">
        <f t="shared" si="93"/>
        <v>0</v>
      </c>
      <c r="Y86" s="700">
        <f t="shared" si="93"/>
        <v>0</v>
      </c>
      <c r="Z86" s="698">
        <f t="shared" si="93"/>
        <v>0</v>
      </c>
      <c r="AA86" s="698">
        <f t="shared" si="93"/>
        <v>0</v>
      </c>
      <c r="AB86" s="698">
        <f t="shared" si="93"/>
        <v>0</v>
      </c>
      <c r="AC86" s="698">
        <f t="shared" si="93"/>
        <v>0</v>
      </c>
      <c r="AD86" s="698">
        <f t="shared" si="93"/>
        <v>0</v>
      </c>
      <c r="AE86" s="698">
        <f t="shared" si="93"/>
        <v>0</v>
      </c>
      <c r="AF86" s="698">
        <f t="shared" si="93"/>
        <v>0</v>
      </c>
      <c r="AG86" s="698">
        <f t="shared" si="93"/>
        <v>0</v>
      </c>
      <c r="AH86" s="699">
        <f t="shared" si="93"/>
        <v>0</v>
      </c>
      <c r="AI86" s="700">
        <f t="shared" si="93"/>
        <v>0</v>
      </c>
      <c r="AJ86" s="698">
        <f t="shared" si="93"/>
        <v>0</v>
      </c>
      <c r="AK86" s="698">
        <f t="shared" si="93"/>
        <v>0</v>
      </c>
      <c r="AL86" s="698">
        <f t="shared" si="93"/>
        <v>0</v>
      </c>
      <c r="AM86" s="698">
        <f t="shared" si="93"/>
        <v>0</v>
      </c>
      <c r="AN86" s="698">
        <f t="shared" si="93"/>
        <v>0</v>
      </c>
      <c r="AO86" s="698">
        <f t="shared" si="93"/>
        <v>0</v>
      </c>
      <c r="AP86" s="698">
        <f t="shared" si="93"/>
        <v>0</v>
      </c>
      <c r="AQ86" s="698">
        <f t="shared" si="93"/>
        <v>0</v>
      </c>
      <c r="AR86" s="699">
        <f t="shared" si="93"/>
        <v>0</v>
      </c>
      <c r="AS86" s="700">
        <f t="shared" si="93"/>
        <v>0</v>
      </c>
      <c r="AT86" s="698">
        <f t="shared" si="93"/>
        <v>0</v>
      </c>
      <c r="AU86" s="698">
        <f t="shared" si="93"/>
        <v>0</v>
      </c>
      <c r="AV86" s="698">
        <f t="shared" si="93"/>
        <v>0</v>
      </c>
      <c r="AW86" s="698">
        <f t="shared" si="93"/>
        <v>0</v>
      </c>
      <c r="AX86" s="698">
        <f t="shared" si="93"/>
        <v>0</v>
      </c>
      <c r="AY86" s="698">
        <f t="shared" si="93"/>
        <v>0</v>
      </c>
      <c r="AZ86" s="698">
        <f t="shared" si="93"/>
        <v>0</v>
      </c>
      <c r="BA86" s="698">
        <f t="shared" si="93"/>
        <v>0</v>
      </c>
      <c r="BB86" s="699">
        <f t="shared" si="93"/>
        <v>0</v>
      </c>
      <c r="BC86" s="700">
        <f t="shared" si="93"/>
        <v>0</v>
      </c>
      <c r="BD86" s="698">
        <f t="shared" si="93"/>
        <v>0</v>
      </c>
      <c r="BE86" s="698">
        <f t="shared" si="93"/>
        <v>0</v>
      </c>
      <c r="BF86" s="698">
        <f t="shared" si="93"/>
        <v>0</v>
      </c>
      <c r="BG86" s="698">
        <f t="shared" si="93"/>
        <v>0</v>
      </c>
      <c r="BH86" s="698">
        <f t="shared" si="93"/>
        <v>0</v>
      </c>
      <c r="BI86" s="698">
        <f t="shared" si="93"/>
        <v>0</v>
      </c>
      <c r="BJ86" s="698">
        <f t="shared" si="93"/>
        <v>0</v>
      </c>
      <c r="BK86" s="698">
        <f t="shared" si="93"/>
        <v>0</v>
      </c>
      <c r="BL86" s="699">
        <f t="shared" si="93"/>
        <v>0</v>
      </c>
      <c r="BM86" s="700">
        <f t="shared" si="93"/>
        <v>0</v>
      </c>
      <c r="BN86" s="698">
        <f t="shared" si="93"/>
        <v>0</v>
      </c>
      <c r="BO86" s="698">
        <f t="shared" si="93"/>
        <v>0</v>
      </c>
      <c r="BP86" s="699">
        <f t="shared" si="93"/>
        <v>0</v>
      </c>
      <c r="BQ86" s="701">
        <f t="shared" si="93"/>
        <v>0</v>
      </c>
      <c r="BR86" s="701">
        <f>SUM(BR48:BR78)+BR82+BR83</f>
        <v>0</v>
      </c>
      <c r="BS86" s="702">
        <f>SUM(BS48:BS78)+BS82+BS83</f>
        <v>0</v>
      </c>
      <c r="BT86" s="703">
        <f>SUM(BT48:BT78)+BT82+BT83</f>
        <v>0</v>
      </c>
      <c r="BU86" s="704"/>
      <c r="BV86" s="681"/>
      <c r="BW86" s="705"/>
      <c r="BX86" s="706" t="str">
        <f t="shared" si="88"/>
        <v/>
      </c>
      <c r="CC86" s="708"/>
    </row>
    <row r="87" spans="1:81" s="75" customFormat="1" ht="14.5" thickBot="1" x14ac:dyDescent="0.35">
      <c r="A87" s="1"/>
      <c r="B87" s="1"/>
      <c r="C87" s="240"/>
      <c r="D87" s="241"/>
      <c r="E87" s="93"/>
      <c r="F87" s="78"/>
      <c r="G87" s="78"/>
      <c r="H87" s="78"/>
      <c r="I87" s="78"/>
      <c r="J87" s="78"/>
      <c r="K87" s="78"/>
      <c r="L87" s="78"/>
      <c r="M87" s="78"/>
      <c r="N87" s="79"/>
      <c r="O87" s="84"/>
      <c r="P87" s="78"/>
      <c r="Q87" s="78"/>
      <c r="R87" s="78"/>
      <c r="S87" s="78"/>
      <c r="T87" s="78"/>
      <c r="U87" s="78"/>
      <c r="V87" s="78"/>
      <c r="W87" s="78"/>
      <c r="X87" s="79"/>
      <c r="Y87" s="84"/>
      <c r="Z87" s="78"/>
      <c r="AA87" s="78"/>
      <c r="AB87" s="78"/>
      <c r="AC87" s="78"/>
      <c r="AD87" s="78"/>
      <c r="AE87" s="78"/>
      <c r="AF87" s="78"/>
      <c r="AG87" s="78"/>
      <c r="AH87" s="79"/>
      <c r="AI87" s="84"/>
      <c r="AJ87" s="78"/>
      <c r="AK87" s="78"/>
      <c r="AL87" s="78"/>
      <c r="AM87" s="78"/>
      <c r="AN87" s="78"/>
      <c r="AO87" s="78"/>
      <c r="AP87" s="78"/>
      <c r="AQ87" s="78"/>
      <c r="AR87" s="79"/>
      <c r="AS87" s="84"/>
      <c r="AT87" s="78"/>
      <c r="AU87" s="78"/>
      <c r="AV87" s="78"/>
      <c r="AW87" s="78"/>
      <c r="AX87" s="78"/>
      <c r="AY87" s="78"/>
      <c r="AZ87" s="78"/>
      <c r="BA87" s="78"/>
      <c r="BB87" s="79"/>
      <c r="BC87" s="84"/>
      <c r="BD87" s="78"/>
      <c r="BE87" s="78"/>
      <c r="BF87" s="78"/>
      <c r="BG87" s="78"/>
      <c r="BH87" s="78"/>
      <c r="BI87" s="78"/>
      <c r="BJ87" s="78"/>
      <c r="BK87" s="78"/>
      <c r="BL87" s="79"/>
      <c r="BM87" s="84"/>
      <c r="BN87" s="78"/>
      <c r="BO87" s="78"/>
      <c r="BP87" s="79"/>
      <c r="BQ87" s="71"/>
      <c r="BR87" s="71"/>
      <c r="BS87" s="247"/>
      <c r="BT87" s="254"/>
      <c r="BU87" s="398"/>
      <c r="BV87" s="681"/>
      <c r="BW87" s="72"/>
      <c r="BX87" s="392" t="str">
        <f t="shared" si="88"/>
        <v/>
      </c>
      <c r="CC87" s="300"/>
    </row>
    <row r="88" spans="1:81" s="75" customFormat="1" ht="16.5" thickBot="1" x14ac:dyDescent="0.35">
      <c r="A88" s="1">
        <v>49</v>
      </c>
      <c r="B88" s="1"/>
      <c r="C88" s="238" t="s">
        <v>2924</v>
      </c>
      <c r="D88" s="213">
        <v>1568</v>
      </c>
      <c r="E88" s="152"/>
      <c r="F88" s="154"/>
      <c r="G88" s="154"/>
      <c r="H88" s="154"/>
      <c r="I88" s="78">
        <f>E88+F88-G88+H88</f>
        <v>0</v>
      </c>
      <c r="J88" s="188"/>
      <c r="K88" s="154"/>
      <c r="L88" s="154"/>
      <c r="M88" s="154"/>
      <c r="N88" s="79">
        <f>J88+K88-L88+M88</f>
        <v>0</v>
      </c>
      <c r="O88" s="80">
        <f>I88</f>
        <v>0</v>
      </c>
      <c r="P88" s="89"/>
      <c r="Q88" s="89"/>
      <c r="R88" s="89"/>
      <c r="S88" s="78">
        <f>O88+P88-Q88+R88</f>
        <v>0</v>
      </c>
      <c r="T88" s="81">
        <f>N88</f>
        <v>0</v>
      </c>
      <c r="U88" s="89"/>
      <c r="V88" s="89"/>
      <c r="W88" s="89"/>
      <c r="X88" s="79">
        <f>T88+U88-V88+W88</f>
        <v>0</v>
      </c>
      <c r="Y88" s="80">
        <f>S88</f>
        <v>0</v>
      </c>
      <c r="Z88" s="89"/>
      <c r="AA88" s="89"/>
      <c r="AB88" s="89"/>
      <c r="AC88" s="78">
        <f>Y88+Z88-AA88+AB88</f>
        <v>0</v>
      </c>
      <c r="AD88" s="78">
        <f>X88</f>
        <v>0</v>
      </c>
      <c r="AE88" s="89"/>
      <c r="AF88" s="89"/>
      <c r="AG88" s="155"/>
      <c r="AH88" s="79">
        <f>AD88+AE88-AF88+AG88</f>
        <v>0</v>
      </c>
      <c r="AI88" s="80">
        <f>AC88</f>
        <v>0</v>
      </c>
      <c r="AJ88" s="89"/>
      <c r="AK88" s="89"/>
      <c r="AL88" s="89"/>
      <c r="AM88" s="78">
        <f>AI88+AJ88-AK88+SUM(AL88:AL88)</f>
        <v>0</v>
      </c>
      <c r="AN88" s="78">
        <f>AH88</f>
        <v>0</v>
      </c>
      <c r="AO88" s="89"/>
      <c r="AP88" s="89"/>
      <c r="AQ88" s="155"/>
      <c r="AR88" s="79">
        <f>AN88+AO88-AP88+AQ88</f>
        <v>0</v>
      </c>
      <c r="AS88" s="80">
        <f>AM88</f>
        <v>0</v>
      </c>
      <c r="AT88" s="89"/>
      <c r="AU88" s="89"/>
      <c r="AV88" s="89"/>
      <c r="AW88" s="78">
        <f>AS88+AT88-AU88+AV88</f>
        <v>0</v>
      </c>
      <c r="AX88" s="78">
        <f>AR88</f>
        <v>0</v>
      </c>
      <c r="AY88" s="89"/>
      <c r="AZ88" s="89"/>
      <c r="BA88" s="155"/>
      <c r="BB88" s="79">
        <f>AX88+AY88-AZ88+BA88</f>
        <v>0</v>
      </c>
      <c r="BC88" s="80">
        <f>AW88</f>
        <v>0</v>
      </c>
      <c r="BD88" s="155"/>
      <c r="BE88" s="89"/>
      <c r="BF88" s="89"/>
      <c r="BG88" s="78">
        <f>BC88+BD88-BE88+SUM(BF88:BF88)</f>
        <v>0</v>
      </c>
      <c r="BH88" s="78">
        <f>BB88</f>
        <v>0</v>
      </c>
      <c r="BI88" s="89">
        <v>0</v>
      </c>
      <c r="BJ88" s="89"/>
      <c r="BK88" s="89"/>
      <c r="BL88" s="79">
        <f>BH88+BI88-BJ88+BK88</f>
        <v>0</v>
      </c>
      <c r="BM88" s="89"/>
      <c r="BN88" s="89"/>
      <c r="BO88" s="81">
        <f>BG88-BM88</f>
        <v>0</v>
      </c>
      <c r="BP88" s="82">
        <f>BL88-BN88</f>
        <v>0</v>
      </c>
      <c r="BQ88" s="83"/>
      <c r="BR88" s="89"/>
      <c r="BS88" s="222">
        <f>BP88+BQ88+BR88</f>
        <v>0</v>
      </c>
      <c r="BT88" s="254">
        <f>SUM(BO88:BR88)</f>
        <v>0</v>
      </c>
      <c r="BU88" s="398"/>
      <c r="BV88" s="681">
        <v>0</v>
      </c>
      <c r="BW88" s="72">
        <f>BV88-SUM(BG88,BL88)</f>
        <v>0</v>
      </c>
      <c r="BX88" s="392" t="str">
        <f>IF(ABS(BW88)&gt;1,"Please provide an explanation of the variance in the tab 3 - Appendix A","")</f>
        <v/>
      </c>
      <c r="CC88" s="300"/>
    </row>
    <row r="89" spans="1:81" s="75" customFormat="1" ht="14" x14ac:dyDescent="0.3">
      <c r="A89" s="1"/>
      <c r="B89" s="1"/>
      <c r="C89" s="242"/>
      <c r="D89" s="243"/>
      <c r="E89" s="93"/>
      <c r="F89" s="78"/>
      <c r="G89" s="78"/>
      <c r="H89" s="78"/>
      <c r="I89" s="78"/>
      <c r="J89" s="78"/>
      <c r="K89" s="78"/>
      <c r="L89" s="78"/>
      <c r="M89" s="78"/>
      <c r="N89" s="78"/>
      <c r="O89" s="84"/>
      <c r="P89" s="78"/>
      <c r="Q89" s="78"/>
      <c r="R89" s="78"/>
      <c r="S89" s="78"/>
      <c r="T89" s="78"/>
      <c r="U89" s="78"/>
      <c r="V89" s="78"/>
      <c r="W89" s="78"/>
      <c r="X89" s="78"/>
      <c r="Y89" s="84"/>
      <c r="Z89" s="78"/>
      <c r="AA89" s="78"/>
      <c r="AB89" s="78"/>
      <c r="AC89" s="78"/>
      <c r="AD89" s="78"/>
      <c r="AE89" s="78"/>
      <c r="AF89" s="78"/>
      <c r="AG89" s="78"/>
      <c r="AH89" s="78"/>
      <c r="AI89" s="84"/>
      <c r="AJ89" s="78"/>
      <c r="AK89" s="78"/>
      <c r="AL89" s="78"/>
      <c r="AM89" s="78"/>
      <c r="AN89" s="78"/>
      <c r="AO89" s="78"/>
      <c r="AP89" s="78"/>
      <c r="AQ89" s="78"/>
      <c r="AR89" s="78"/>
      <c r="AS89" s="84"/>
      <c r="AT89" s="78"/>
      <c r="AU89" s="78"/>
      <c r="AV89" s="78"/>
      <c r="AW89" s="78"/>
      <c r="AX89" s="78"/>
      <c r="AY89" s="78"/>
      <c r="AZ89" s="78"/>
      <c r="BA89" s="78"/>
      <c r="BB89" s="78"/>
      <c r="BC89" s="84"/>
      <c r="BD89" s="78"/>
      <c r="BE89" s="78"/>
      <c r="BF89" s="78"/>
      <c r="BG89" s="78"/>
      <c r="BH89" s="78"/>
      <c r="BI89" s="78"/>
      <c r="BJ89" s="78"/>
      <c r="BK89" s="78"/>
      <c r="BL89" s="78"/>
      <c r="BM89" s="84"/>
      <c r="BN89" s="78"/>
      <c r="BO89" s="78"/>
      <c r="BP89" s="79"/>
      <c r="BQ89" s="71"/>
      <c r="BR89" s="71"/>
      <c r="BS89" s="247"/>
      <c r="BT89" s="254"/>
      <c r="BU89" s="398"/>
      <c r="BV89" s="681"/>
      <c r="BW89" s="72"/>
      <c r="BX89" s="395"/>
      <c r="CC89" s="300"/>
    </row>
    <row r="90" spans="1:81" s="75" customFormat="1" ht="14" x14ac:dyDescent="0.3">
      <c r="A90" s="1"/>
      <c r="B90" s="1"/>
      <c r="C90" s="242"/>
      <c r="D90" s="243"/>
      <c r="E90" s="93"/>
      <c r="F90" s="78"/>
      <c r="G90" s="78"/>
      <c r="H90" s="78"/>
      <c r="I90" s="78"/>
      <c r="J90" s="78"/>
      <c r="K90" s="78"/>
      <c r="L90" s="78"/>
      <c r="M90" s="78"/>
      <c r="N90" s="78"/>
      <c r="O90" s="84"/>
      <c r="P90" s="78"/>
      <c r="Q90" s="78"/>
      <c r="R90" s="78"/>
      <c r="S90" s="78"/>
      <c r="T90" s="78"/>
      <c r="U90" s="78"/>
      <c r="V90" s="78"/>
      <c r="W90" s="78"/>
      <c r="X90" s="78"/>
      <c r="Y90" s="84"/>
      <c r="Z90" s="78"/>
      <c r="AA90" s="78"/>
      <c r="AB90" s="78"/>
      <c r="AC90" s="78"/>
      <c r="AD90" s="78"/>
      <c r="AE90" s="78"/>
      <c r="AF90" s="78"/>
      <c r="AG90" s="78"/>
      <c r="AH90" s="78"/>
      <c r="AI90" s="84"/>
      <c r="AJ90" s="78"/>
      <c r="AK90" s="78"/>
      <c r="AL90" s="78"/>
      <c r="AM90" s="78"/>
      <c r="AN90" s="78"/>
      <c r="AO90" s="78"/>
      <c r="AP90" s="78"/>
      <c r="AQ90" s="78"/>
      <c r="AR90" s="78"/>
      <c r="AS90" s="84"/>
      <c r="AT90" s="78"/>
      <c r="AU90" s="78"/>
      <c r="AV90" s="78"/>
      <c r="AW90" s="78"/>
      <c r="AX90" s="78"/>
      <c r="AY90" s="78"/>
      <c r="AZ90" s="78"/>
      <c r="BA90" s="78"/>
      <c r="BB90" s="78"/>
      <c r="BC90" s="84"/>
      <c r="BD90" s="78"/>
      <c r="BE90" s="78"/>
      <c r="BF90" s="78"/>
      <c r="BG90" s="78"/>
      <c r="BH90" s="78"/>
      <c r="BI90" s="78"/>
      <c r="BJ90" s="78"/>
      <c r="BK90" s="78"/>
      <c r="BL90" s="78"/>
      <c r="BM90" s="84"/>
      <c r="BN90" s="78"/>
      <c r="BO90" s="78"/>
      <c r="BP90" s="699"/>
      <c r="BQ90" s="71"/>
      <c r="BR90" s="71"/>
      <c r="BS90" s="247"/>
      <c r="BT90" s="254"/>
      <c r="BU90" s="398"/>
      <c r="BV90" s="681"/>
      <c r="BW90" s="72"/>
      <c r="BX90" s="395"/>
      <c r="CC90" s="300"/>
    </row>
    <row r="91" spans="1:81" s="726" customFormat="1" ht="14" x14ac:dyDescent="0.3">
      <c r="A91" s="721"/>
      <c r="B91" s="721"/>
      <c r="C91" s="244" t="s">
        <v>74</v>
      </c>
      <c r="D91" s="696"/>
      <c r="E91" s="698">
        <f t="shared" ref="E91:AJ91" si="94">E86+E88</f>
        <v>0</v>
      </c>
      <c r="F91" s="698">
        <f t="shared" si="94"/>
        <v>0</v>
      </c>
      <c r="G91" s="698">
        <f t="shared" si="94"/>
        <v>0</v>
      </c>
      <c r="H91" s="698">
        <f t="shared" si="94"/>
        <v>0</v>
      </c>
      <c r="I91" s="698">
        <f t="shared" si="94"/>
        <v>0</v>
      </c>
      <c r="J91" s="698">
        <f t="shared" si="94"/>
        <v>0</v>
      </c>
      <c r="K91" s="698">
        <f t="shared" si="94"/>
        <v>0</v>
      </c>
      <c r="L91" s="698">
        <f t="shared" si="94"/>
        <v>0</v>
      </c>
      <c r="M91" s="698">
        <f t="shared" si="94"/>
        <v>0</v>
      </c>
      <c r="N91" s="699">
        <f t="shared" si="94"/>
        <v>0</v>
      </c>
      <c r="O91" s="698">
        <f t="shared" si="94"/>
        <v>0</v>
      </c>
      <c r="P91" s="698">
        <f t="shared" si="94"/>
        <v>0</v>
      </c>
      <c r="Q91" s="698">
        <f t="shared" si="94"/>
        <v>0</v>
      </c>
      <c r="R91" s="698">
        <f t="shared" si="94"/>
        <v>0</v>
      </c>
      <c r="S91" s="698">
        <f t="shared" si="94"/>
        <v>0</v>
      </c>
      <c r="T91" s="698">
        <f t="shared" si="94"/>
        <v>0</v>
      </c>
      <c r="U91" s="698">
        <f t="shared" si="94"/>
        <v>0</v>
      </c>
      <c r="V91" s="698">
        <f t="shared" si="94"/>
        <v>0</v>
      </c>
      <c r="W91" s="698">
        <f t="shared" si="94"/>
        <v>0</v>
      </c>
      <c r="X91" s="699">
        <f t="shared" si="94"/>
        <v>0</v>
      </c>
      <c r="Y91" s="698">
        <f t="shared" si="94"/>
        <v>0</v>
      </c>
      <c r="Z91" s="698">
        <f t="shared" si="94"/>
        <v>0</v>
      </c>
      <c r="AA91" s="698">
        <f t="shared" si="94"/>
        <v>0</v>
      </c>
      <c r="AB91" s="698">
        <f t="shared" si="94"/>
        <v>0</v>
      </c>
      <c r="AC91" s="698">
        <f t="shared" si="94"/>
        <v>0</v>
      </c>
      <c r="AD91" s="698">
        <f t="shared" si="94"/>
        <v>0</v>
      </c>
      <c r="AE91" s="698">
        <f t="shared" si="94"/>
        <v>0</v>
      </c>
      <c r="AF91" s="698">
        <f t="shared" si="94"/>
        <v>0</v>
      </c>
      <c r="AG91" s="698">
        <f t="shared" si="94"/>
        <v>0</v>
      </c>
      <c r="AH91" s="699">
        <f t="shared" si="94"/>
        <v>0</v>
      </c>
      <c r="AI91" s="698">
        <f t="shared" si="94"/>
        <v>0</v>
      </c>
      <c r="AJ91" s="698">
        <f t="shared" si="94"/>
        <v>0</v>
      </c>
      <c r="AK91" s="698">
        <f t="shared" ref="AK91:BT91" si="95">AK86+AK88</f>
        <v>0</v>
      </c>
      <c r="AL91" s="698">
        <f t="shared" si="95"/>
        <v>0</v>
      </c>
      <c r="AM91" s="698">
        <f t="shared" si="95"/>
        <v>0</v>
      </c>
      <c r="AN91" s="698">
        <f t="shared" si="95"/>
        <v>0</v>
      </c>
      <c r="AO91" s="698">
        <f t="shared" si="95"/>
        <v>0</v>
      </c>
      <c r="AP91" s="698">
        <f t="shared" si="95"/>
        <v>0</v>
      </c>
      <c r="AQ91" s="698">
        <f t="shared" si="95"/>
        <v>0</v>
      </c>
      <c r="AR91" s="699">
        <f t="shared" si="95"/>
        <v>0</v>
      </c>
      <c r="AS91" s="698">
        <f t="shared" si="95"/>
        <v>0</v>
      </c>
      <c r="AT91" s="698">
        <f t="shared" si="95"/>
        <v>0</v>
      </c>
      <c r="AU91" s="698">
        <f t="shared" si="95"/>
        <v>0</v>
      </c>
      <c r="AV91" s="698">
        <f t="shared" si="95"/>
        <v>0</v>
      </c>
      <c r="AW91" s="698">
        <f t="shared" si="95"/>
        <v>0</v>
      </c>
      <c r="AX91" s="698">
        <f t="shared" si="95"/>
        <v>0</v>
      </c>
      <c r="AY91" s="698">
        <f t="shared" si="95"/>
        <v>0</v>
      </c>
      <c r="AZ91" s="698">
        <f t="shared" si="95"/>
        <v>0</v>
      </c>
      <c r="BA91" s="698">
        <f t="shared" si="95"/>
        <v>0</v>
      </c>
      <c r="BB91" s="699">
        <f t="shared" si="95"/>
        <v>0</v>
      </c>
      <c r="BC91" s="698">
        <f t="shared" si="95"/>
        <v>0</v>
      </c>
      <c r="BD91" s="698">
        <f t="shared" si="95"/>
        <v>0</v>
      </c>
      <c r="BE91" s="698">
        <f t="shared" si="95"/>
        <v>0</v>
      </c>
      <c r="BF91" s="698">
        <f t="shared" si="95"/>
        <v>0</v>
      </c>
      <c r="BG91" s="698">
        <f t="shared" si="95"/>
        <v>0</v>
      </c>
      <c r="BH91" s="698">
        <f t="shared" si="95"/>
        <v>0</v>
      </c>
      <c r="BI91" s="698">
        <f t="shared" si="95"/>
        <v>0</v>
      </c>
      <c r="BJ91" s="698">
        <f t="shared" si="95"/>
        <v>0</v>
      </c>
      <c r="BK91" s="698">
        <f t="shared" si="95"/>
        <v>0</v>
      </c>
      <c r="BL91" s="699">
        <f t="shared" si="95"/>
        <v>0</v>
      </c>
      <c r="BM91" s="698">
        <f t="shared" si="95"/>
        <v>0</v>
      </c>
      <c r="BN91" s="698">
        <f t="shared" si="95"/>
        <v>0</v>
      </c>
      <c r="BO91" s="698">
        <f t="shared" si="95"/>
        <v>0</v>
      </c>
      <c r="BP91" s="699">
        <f t="shared" si="95"/>
        <v>0</v>
      </c>
      <c r="BQ91" s="698">
        <f t="shared" si="95"/>
        <v>0</v>
      </c>
      <c r="BR91" s="698">
        <f t="shared" si="95"/>
        <v>0</v>
      </c>
      <c r="BS91" s="698">
        <f t="shared" si="95"/>
        <v>0</v>
      </c>
      <c r="BT91" s="722">
        <f t="shared" si="95"/>
        <v>0</v>
      </c>
      <c r="BU91" s="723"/>
      <c r="BV91" s="681"/>
      <c r="BW91" s="724">
        <f>BV91-SUM(BG91,BL91)</f>
        <v>0</v>
      </c>
      <c r="BX91" s="725"/>
      <c r="CC91" s="727"/>
    </row>
    <row r="92" spans="1:81" s="75" customFormat="1" ht="14.5" thickBot="1" x14ac:dyDescent="0.35">
      <c r="A92" s="1"/>
      <c r="B92" s="1"/>
      <c r="C92" s="240"/>
      <c r="D92" s="241"/>
      <c r="E92" s="93"/>
      <c r="F92" s="78"/>
      <c r="G92" s="78"/>
      <c r="H92" s="78"/>
      <c r="I92" s="78"/>
      <c r="J92" s="78"/>
      <c r="K92" s="78"/>
      <c r="L92" s="78"/>
      <c r="M92" s="78"/>
      <c r="N92" s="79"/>
      <c r="O92" s="84"/>
      <c r="P92" s="78"/>
      <c r="Q92" s="78"/>
      <c r="R92" s="78"/>
      <c r="S92" s="78"/>
      <c r="T92" s="78"/>
      <c r="U92" s="78"/>
      <c r="V92" s="78"/>
      <c r="W92" s="78"/>
      <c r="X92" s="79"/>
      <c r="Y92" s="84"/>
      <c r="Z92" s="78"/>
      <c r="AA92" s="78"/>
      <c r="AB92" s="78"/>
      <c r="AC92" s="78"/>
      <c r="AD92" s="78"/>
      <c r="AE92" s="78"/>
      <c r="AF92" s="78"/>
      <c r="AG92" s="78"/>
      <c r="AH92" s="79"/>
      <c r="AI92" s="84"/>
      <c r="AJ92" s="78"/>
      <c r="AK92" s="78"/>
      <c r="AL92" s="78"/>
      <c r="AM92" s="78"/>
      <c r="AN92" s="78"/>
      <c r="AO92" s="78"/>
      <c r="AP92" s="78"/>
      <c r="AQ92" s="78"/>
      <c r="AR92" s="79"/>
      <c r="AS92" s="84"/>
      <c r="AT92" s="78"/>
      <c r="AU92" s="78"/>
      <c r="AV92" s="78"/>
      <c r="AW92" s="78"/>
      <c r="AX92" s="78"/>
      <c r="AY92" s="78"/>
      <c r="AZ92" s="78"/>
      <c r="BA92" s="78"/>
      <c r="BB92" s="79"/>
      <c r="BC92" s="84"/>
      <c r="BD92" s="78"/>
      <c r="BE92" s="78"/>
      <c r="BF92" s="78"/>
      <c r="BG92" s="78"/>
      <c r="BH92" s="78"/>
      <c r="BI92" s="78"/>
      <c r="BJ92" s="78"/>
      <c r="BK92" s="78"/>
      <c r="BL92" s="79"/>
      <c r="BM92" s="84"/>
      <c r="BN92" s="78"/>
      <c r="BO92" s="78"/>
      <c r="BP92" s="79"/>
      <c r="BQ92" s="71"/>
      <c r="BR92" s="71"/>
      <c r="BS92" s="247"/>
      <c r="BT92" s="254"/>
      <c r="BU92" s="398"/>
      <c r="BV92" s="681"/>
      <c r="BW92" s="72"/>
      <c r="BX92" s="395"/>
      <c r="CC92" s="300"/>
    </row>
    <row r="93" spans="1:81" s="75" customFormat="1" ht="17" thickBot="1" x14ac:dyDescent="0.35">
      <c r="A93" s="1"/>
      <c r="B93" s="1"/>
      <c r="C93" s="240" t="s">
        <v>3045</v>
      </c>
      <c r="D93" s="213">
        <v>1522</v>
      </c>
      <c r="E93" s="583"/>
      <c r="F93" s="583"/>
      <c r="G93" s="583"/>
      <c r="H93" s="583"/>
      <c r="I93" s="78">
        <f>E93+F93-G93+H93</f>
        <v>0</v>
      </c>
      <c r="J93" s="583"/>
      <c r="K93" s="583"/>
      <c r="L93" s="583"/>
      <c r="M93" s="583"/>
      <c r="N93" s="79">
        <f>J93+K93-L93+M93</f>
        <v>0</v>
      </c>
      <c r="O93" s="80">
        <f>I93</f>
        <v>0</v>
      </c>
      <c r="P93" s="583"/>
      <c r="Q93" s="583"/>
      <c r="R93" s="583"/>
      <c r="S93" s="78">
        <f>O93+P93-Q93+R93</f>
        <v>0</v>
      </c>
      <c r="T93" s="81">
        <f>N93</f>
        <v>0</v>
      </c>
      <c r="U93" s="583"/>
      <c r="V93" s="583"/>
      <c r="W93" s="583"/>
      <c r="X93" s="79">
        <f>T93+U93-V93+W93</f>
        <v>0</v>
      </c>
      <c r="Y93" s="80">
        <f>S93</f>
        <v>0</v>
      </c>
      <c r="Z93" s="155"/>
      <c r="AA93" s="155"/>
      <c r="AB93" s="155"/>
      <c r="AC93" s="78">
        <f>Y93+Z93-AA93+AB93</f>
        <v>0</v>
      </c>
      <c r="AD93" s="81">
        <f>X93</f>
        <v>0</v>
      </c>
      <c r="AE93" s="155"/>
      <c r="AF93" s="155"/>
      <c r="AG93" s="155"/>
      <c r="AH93" s="79">
        <f>AD93+AE93-AF93+AG93</f>
        <v>0</v>
      </c>
      <c r="AI93" s="80">
        <f>AC93</f>
        <v>0</v>
      </c>
      <c r="AJ93" s="155"/>
      <c r="AK93" s="155"/>
      <c r="AL93" s="155"/>
      <c r="AM93" s="78">
        <f>AI93+AJ93-AK93+SUM(AL93:AL93)</f>
        <v>0</v>
      </c>
      <c r="AN93" s="81">
        <f>AH93</f>
        <v>0</v>
      </c>
      <c r="AO93" s="155"/>
      <c r="AP93" s="155"/>
      <c r="AQ93" s="154"/>
      <c r="AR93" s="79">
        <f>AN93+AO93-AP93+AQ93</f>
        <v>0</v>
      </c>
      <c r="AS93" s="80">
        <f>AM93</f>
        <v>0</v>
      </c>
      <c r="AT93" s="155"/>
      <c r="AU93" s="155"/>
      <c r="AV93" s="155"/>
      <c r="AW93" s="78">
        <f>AS93+AT93-AU93+AV93</f>
        <v>0</v>
      </c>
      <c r="AX93" s="81">
        <f>AR93</f>
        <v>0</v>
      </c>
      <c r="AY93" s="155"/>
      <c r="AZ93" s="155"/>
      <c r="BA93" s="154"/>
      <c r="BB93" s="79">
        <f>AX93+AY93-AZ93+BA93</f>
        <v>0</v>
      </c>
      <c r="BC93" s="80">
        <v>0</v>
      </c>
      <c r="BD93" s="155"/>
      <c r="BE93" s="155"/>
      <c r="BF93" s="155"/>
      <c r="BG93" s="78">
        <f>BC93+BD93-BE93+SUM(BF93:BF93)</f>
        <v>0</v>
      </c>
      <c r="BH93" s="81">
        <f>BB93</f>
        <v>0</v>
      </c>
      <c r="BI93" s="155"/>
      <c r="BJ93" s="155"/>
      <c r="BK93" s="154"/>
      <c r="BL93" s="79">
        <f>BH93+BI93-BJ93+BK93</f>
        <v>0</v>
      </c>
      <c r="BM93" s="155"/>
      <c r="BN93" s="155"/>
      <c r="BO93" s="81">
        <f>BG93-BM93</f>
        <v>0</v>
      </c>
      <c r="BP93" s="82">
        <f>BL93-BN93</f>
        <v>0</v>
      </c>
      <c r="BQ93" s="83"/>
      <c r="BR93" s="155"/>
      <c r="BS93" s="222">
        <f>BP93+BQ93+BR93</f>
        <v>0</v>
      </c>
      <c r="BT93" s="254">
        <f>SUM(BO93:BR93)</f>
        <v>0</v>
      </c>
      <c r="BU93" s="398"/>
      <c r="BV93" s="681"/>
      <c r="BW93" s="72">
        <f>BV93-SUM(BG93,BL93)</f>
        <v>0</v>
      </c>
      <c r="BX93" s="392"/>
      <c r="CC93" s="300"/>
    </row>
    <row r="94" spans="1:81" s="75" customFormat="1" ht="17" thickBot="1" x14ac:dyDescent="0.35">
      <c r="A94" s="1"/>
      <c r="B94" s="1"/>
      <c r="C94" s="240" t="s">
        <v>3046</v>
      </c>
      <c r="D94" s="213">
        <v>1522</v>
      </c>
      <c r="E94" s="583"/>
      <c r="F94" s="583"/>
      <c r="G94" s="583"/>
      <c r="H94" s="583"/>
      <c r="I94" s="78">
        <f>E94+F94-G94+H94</f>
        <v>0</v>
      </c>
      <c r="J94" s="583"/>
      <c r="K94" s="583"/>
      <c r="L94" s="583"/>
      <c r="M94" s="583"/>
      <c r="N94" s="79">
        <f>J94+K94-L94+M94</f>
        <v>0</v>
      </c>
      <c r="O94" s="80">
        <f>I94</f>
        <v>0</v>
      </c>
      <c r="P94" s="583"/>
      <c r="Q94" s="583"/>
      <c r="R94" s="583"/>
      <c r="S94" s="78">
        <f>O94+P94-Q94+R94</f>
        <v>0</v>
      </c>
      <c r="T94" s="81">
        <f>N94</f>
        <v>0</v>
      </c>
      <c r="U94" s="583"/>
      <c r="V94" s="583"/>
      <c r="W94" s="583"/>
      <c r="X94" s="79">
        <f>T94+U94-V94+W94</f>
        <v>0</v>
      </c>
      <c r="Y94" s="80">
        <f>S94</f>
        <v>0</v>
      </c>
      <c r="Z94" s="155"/>
      <c r="AA94" s="155"/>
      <c r="AB94" s="155"/>
      <c r="AC94" s="78">
        <f>Y94+Z94-AA94+AB94</f>
        <v>0</v>
      </c>
      <c r="AD94" s="81">
        <f>X94</f>
        <v>0</v>
      </c>
      <c r="AE94" s="155"/>
      <c r="AF94" s="155"/>
      <c r="AG94" s="155"/>
      <c r="AH94" s="79">
        <f>AD94+AE94-AF94+AG94</f>
        <v>0</v>
      </c>
      <c r="AI94" s="80">
        <f>AC94</f>
        <v>0</v>
      </c>
      <c r="AJ94" s="155"/>
      <c r="AK94" s="155"/>
      <c r="AL94" s="155"/>
      <c r="AM94" s="78">
        <f>AI94+AJ94-AK94+SUM(AL94:AL94)</f>
        <v>0</v>
      </c>
      <c r="AN94" s="81">
        <f>AH94</f>
        <v>0</v>
      </c>
      <c r="AO94" s="155"/>
      <c r="AP94" s="155"/>
      <c r="AQ94" s="154"/>
      <c r="AR94" s="79">
        <f>AN94+AO94-AP94+AQ94</f>
        <v>0</v>
      </c>
      <c r="AS94" s="80">
        <f>AM94</f>
        <v>0</v>
      </c>
      <c r="AT94" s="155"/>
      <c r="AU94" s="155"/>
      <c r="AV94" s="155"/>
      <c r="AW94" s="78">
        <f>AS94+AT94-AU94+AV94</f>
        <v>0</v>
      </c>
      <c r="AX94" s="81">
        <f>AR94</f>
        <v>0</v>
      </c>
      <c r="AY94" s="155"/>
      <c r="AZ94" s="155"/>
      <c r="BA94" s="154"/>
      <c r="BB94" s="79">
        <f>AX94+AY94-AZ94+BA94</f>
        <v>0</v>
      </c>
      <c r="BC94" s="80">
        <v>0</v>
      </c>
      <c r="BD94" s="155"/>
      <c r="BE94" s="155"/>
      <c r="BF94" s="155"/>
      <c r="BG94" s="78">
        <f>BC94+BD94-BE94+SUM(BF94:BF94)</f>
        <v>0</v>
      </c>
      <c r="BH94" s="81">
        <f>BB94</f>
        <v>0</v>
      </c>
      <c r="BI94" s="155"/>
      <c r="BJ94" s="155"/>
      <c r="BK94" s="154"/>
      <c r="BL94" s="79">
        <f>BH94+BI94-BJ94+BK94</f>
        <v>0</v>
      </c>
      <c r="BM94" s="155"/>
      <c r="BN94" s="155"/>
      <c r="BO94" s="81">
        <f>BG94-BM94</f>
        <v>0</v>
      </c>
      <c r="BP94" s="82">
        <f>BL94-BN94</f>
        <v>0</v>
      </c>
      <c r="BQ94" s="83"/>
      <c r="BR94" s="155"/>
      <c r="BS94" s="222">
        <f>BP94+BQ94+BR94</f>
        <v>0</v>
      </c>
      <c r="BT94" s="254">
        <f>SUM(BO94:BR94)</f>
        <v>0</v>
      </c>
      <c r="BU94" s="398"/>
      <c r="BV94" s="681"/>
      <c r="BW94" s="72">
        <f>BV94-SUM(BG94,BL94)</f>
        <v>0</v>
      </c>
      <c r="BX94" s="392"/>
      <c r="CC94" s="300"/>
    </row>
    <row r="95" spans="1:81" s="75" customFormat="1" ht="14.5" thickBot="1" x14ac:dyDescent="0.35">
      <c r="A95" s="1">
        <v>50</v>
      </c>
      <c r="B95" s="1"/>
      <c r="C95" s="228" t="s">
        <v>25</v>
      </c>
      <c r="D95" s="213">
        <v>1531</v>
      </c>
      <c r="E95" s="180"/>
      <c r="F95" s="154"/>
      <c r="G95" s="154"/>
      <c r="H95" s="154"/>
      <c r="I95" s="78">
        <f t="shared" ref="I95:I104" si="96">E95+F95-G95+H95</f>
        <v>0</v>
      </c>
      <c r="J95" s="154"/>
      <c r="K95" s="154"/>
      <c r="L95" s="154"/>
      <c r="M95" s="154"/>
      <c r="N95" s="79">
        <f t="shared" ref="N95:N104" si="97">J95+K95-L95+M95</f>
        <v>0</v>
      </c>
      <c r="O95" s="80">
        <f t="shared" ref="O95:O104" si="98">I95</f>
        <v>0</v>
      </c>
      <c r="P95" s="155"/>
      <c r="Q95" s="155"/>
      <c r="R95" s="155"/>
      <c r="S95" s="78">
        <f t="shared" ref="S95:S105" si="99">O95+P95-Q95+R95</f>
        <v>0</v>
      </c>
      <c r="T95" s="81">
        <f t="shared" ref="T95:T104" si="100">N95</f>
        <v>0</v>
      </c>
      <c r="U95" s="155"/>
      <c r="V95" s="155"/>
      <c r="W95" s="155"/>
      <c r="X95" s="79">
        <f t="shared" ref="X95:X105" si="101">T95+U95-V95+W95</f>
        <v>0</v>
      </c>
      <c r="Y95" s="80">
        <f t="shared" ref="Y95:Y105" si="102">S95</f>
        <v>0</v>
      </c>
      <c r="Z95" s="155"/>
      <c r="AA95" s="155"/>
      <c r="AB95" s="155"/>
      <c r="AC95" s="78">
        <f t="shared" ref="AC95:AC104" si="103">Y95+Z95-AA95+AB95</f>
        <v>0</v>
      </c>
      <c r="AD95" s="81">
        <f t="shared" ref="AD95:AD104" si="104">X95</f>
        <v>0</v>
      </c>
      <c r="AE95" s="155"/>
      <c r="AF95" s="155"/>
      <c r="AG95" s="154"/>
      <c r="AH95" s="79">
        <f t="shared" ref="AH95:AH105" si="105">AD95+AE95-AF95+AG95</f>
        <v>0</v>
      </c>
      <c r="AI95" s="80">
        <f t="shared" ref="AI95:AI108" si="106">AC95</f>
        <v>0</v>
      </c>
      <c r="AJ95" s="155"/>
      <c r="AK95" s="155"/>
      <c r="AL95" s="155"/>
      <c r="AM95" s="78">
        <f t="shared" ref="AM95:AM104" si="107">AI95+AJ95-AK95+SUM(AL95:AL95)</f>
        <v>0</v>
      </c>
      <c r="AN95" s="81">
        <f t="shared" ref="AN95:AN105" si="108">AH95</f>
        <v>0</v>
      </c>
      <c r="AO95" s="155"/>
      <c r="AP95" s="155"/>
      <c r="AQ95" s="154"/>
      <c r="AR95" s="79">
        <f t="shared" ref="AR95:AR105" si="109">AN95+AO95-AP95+AQ95</f>
        <v>0</v>
      </c>
      <c r="AS95" s="80">
        <f t="shared" ref="AS95:AS104" si="110">AM95</f>
        <v>0</v>
      </c>
      <c r="AT95" s="155"/>
      <c r="AU95" s="155"/>
      <c r="AV95" s="155"/>
      <c r="AW95" s="78">
        <f t="shared" ref="AW95:AW108" si="111">AS95+AT95-AU95+AV95</f>
        <v>0</v>
      </c>
      <c r="AX95" s="81">
        <f t="shared" ref="AX95:AX104" si="112">AR95</f>
        <v>0</v>
      </c>
      <c r="AY95" s="155"/>
      <c r="AZ95" s="155"/>
      <c r="BA95" s="154"/>
      <c r="BB95" s="79">
        <f t="shared" ref="BB95:BB104" si="113">AX95+AY95-AZ95+BA95</f>
        <v>0</v>
      </c>
      <c r="BC95" s="80">
        <f t="shared" ref="BC95:BC105" si="114">AW95</f>
        <v>0</v>
      </c>
      <c r="BD95" s="155"/>
      <c r="BE95" s="155"/>
      <c r="BF95" s="155"/>
      <c r="BG95" s="78">
        <f t="shared" ref="BG95:BG105" si="115">BC95+BD95-BE95+SUM(BF95:BF95)</f>
        <v>0</v>
      </c>
      <c r="BH95" s="81">
        <f t="shared" ref="BH95:BH105" si="116">BB95</f>
        <v>0</v>
      </c>
      <c r="BI95" s="155"/>
      <c r="BJ95" s="155"/>
      <c r="BK95" s="154"/>
      <c r="BL95" s="79">
        <f t="shared" ref="BL95:BL105" si="117">BH95+BI95-BJ95+BK95</f>
        <v>0</v>
      </c>
      <c r="BM95" s="155"/>
      <c r="BN95" s="155"/>
      <c r="BO95" s="81">
        <f t="shared" ref="BO95:BO105" si="118">BG95-BM95</f>
        <v>0</v>
      </c>
      <c r="BP95" s="82">
        <f t="shared" ref="BP95:BP105" si="119">BL95-BN95</f>
        <v>0</v>
      </c>
      <c r="BQ95" s="83"/>
      <c r="BR95" s="155"/>
      <c r="BS95" s="222">
        <f t="shared" ref="BS95:BS105" si="120">BP95+BQ95+BR95</f>
        <v>0</v>
      </c>
      <c r="BT95" s="254">
        <f t="shared" ref="BT95:BT100" si="121">SUM(BO95:BR95)</f>
        <v>0</v>
      </c>
      <c r="BU95" s="398"/>
      <c r="BV95" s="681">
        <v>0</v>
      </c>
      <c r="BW95" s="72">
        <f>BV95-SUM(BG95,BL95)</f>
        <v>0</v>
      </c>
      <c r="BX95" s="392" t="str">
        <f t="shared" ref="BX95:BX100" si="122">IF(ABS(BW95)&gt;1,"Please provide an explanation of the variance in the tab 3 - Appendix A","")</f>
        <v/>
      </c>
      <c r="CC95" s="300"/>
    </row>
    <row r="96" spans="1:81" s="75" customFormat="1" ht="14.5" thickBot="1" x14ac:dyDescent="0.35">
      <c r="A96" s="1">
        <v>51</v>
      </c>
      <c r="B96" s="1"/>
      <c r="C96" s="228" t="s">
        <v>26</v>
      </c>
      <c r="D96" s="213">
        <v>1532</v>
      </c>
      <c r="E96" s="180"/>
      <c r="F96" s="154"/>
      <c r="G96" s="154"/>
      <c r="H96" s="154"/>
      <c r="I96" s="78">
        <f t="shared" si="96"/>
        <v>0</v>
      </c>
      <c r="J96" s="154"/>
      <c r="K96" s="154"/>
      <c r="L96" s="154"/>
      <c r="M96" s="154"/>
      <c r="N96" s="79">
        <f t="shared" si="97"/>
        <v>0</v>
      </c>
      <c r="O96" s="80">
        <f t="shared" si="98"/>
        <v>0</v>
      </c>
      <c r="P96" s="197"/>
      <c r="Q96" s="155"/>
      <c r="R96" s="155"/>
      <c r="S96" s="78">
        <f t="shared" si="99"/>
        <v>0</v>
      </c>
      <c r="T96" s="81">
        <f t="shared" si="100"/>
        <v>0</v>
      </c>
      <c r="U96" s="199"/>
      <c r="V96" s="155"/>
      <c r="W96" s="155"/>
      <c r="X96" s="79">
        <f t="shared" si="101"/>
        <v>0</v>
      </c>
      <c r="Y96" s="80">
        <f t="shared" si="102"/>
        <v>0</v>
      </c>
      <c r="Z96" s="155"/>
      <c r="AA96" s="155"/>
      <c r="AB96" s="155"/>
      <c r="AC96" s="78">
        <f t="shared" si="103"/>
        <v>0</v>
      </c>
      <c r="AD96" s="81">
        <f t="shared" si="104"/>
        <v>0</v>
      </c>
      <c r="AE96" s="155"/>
      <c r="AF96" s="155"/>
      <c r="AG96" s="154"/>
      <c r="AH96" s="79">
        <f t="shared" si="105"/>
        <v>0</v>
      </c>
      <c r="AI96" s="80">
        <f t="shared" si="106"/>
        <v>0</v>
      </c>
      <c r="AJ96" s="155"/>
      <c r="AK96" s="155"/>
      <c r="AL96" s="155"/>
      <c r="AM96" s="78">
        <f t="shared" si="107"/>
        <v>0</v>
      </c>
      <c r="AN96" s="81">
        <f t="shared" si="108"/>
        <v>0</v>
      </c>
      <c r="AO96" s="155"/>
      <c r="AP96" s="155"/>
      <c r="AQ96" s="154"/>
      <c r="AR96" s="79">
        <f t="shared" si="109"/>
        <v>0</v>
      </c>
      <c r="AS96" s="80">
        <f t="shared" si="110"/>
        <v>0</v>
      </c>
      <c r="AT96" s="155"/>
      <c r="AU96" s="155"/>
      <c r="AV96" s="155"/>
      <c r="AW96" s="78">
        <f t="shared" si="111"/>
        <v>0</v>
      </c>
      <c r="AX96" s="81">
        <f t="shared" si="112"/>
        <v>0</v>
      </c>
      <c r="AY96" s="155"/>
      <c r="AZ96" s="155"/>
      <c r="BA96" s="154"/>
      <c r="BB96" s="79">
        <f t="shared" si="113"/>
        <v>0</v>
      </c>
      <c r="BC96" s="80">
        <f t="shared" si="114"/>
        <v>0</v>
      </c>
      <c r="BD96" s="155"/>
      <c r="BE96" s="155"/>
      <c r="BF96" s="155"/>
      <c r="BG96" s="78">
        <f t="shared" si="115"/>
        <v>0</v>
      </c>
      <c r="BH96" s="81">
        <f t="shared" si="116"/>
        <v>0</v>
      </c>
      <c r="BI96" s="155"/>
      <c r="BJ96" s="155"/>
      <c r="BK96" s="154"/>
      <c r="BL96" s="79">
        <f t="shared" si="117"/>
        <v>0</v>
      </c>
      <c r="BM96" s="155"/>
      <c r="BN96" s="155"/>
      <c r="BO96" s="81">
        <f t="shared" si="118"/>
        <v>0</v>
      </c>
      <c r="BP96" s="82">
        <f t="shared" si="119"/>
        <v>0</v>
      </c>
      <c r="BQ96" s="83"/>
      <c r="BR96" s="155"/>
      <c r="BS96" s="222">
        <f t="shared" si="120"/>
        <v>0</v>
      </c>
      <c r="BT96" s="254">
        <f>IF(BU96="Yes", SUM(BO96:BR96), 0)</f>
        <v>0</v>
      </c>
      <c r="BU96" s="717"/>
      <c r="BV96" s="681">
        <v>0</v>
      </c>
      <c r="BW96" s="72">
        <f t="shared" ref="BW96:BW105" si="123">BV96-SUM(BG96,BL96)</f>
        <v>0</v>
      </c>
      <c r="BX96" s="392" t="str">
        <f t="shared" si="122"/>
        <v/>
      </c>
      <c r="CC96" s="300"/>
    </row>
    <row r="97" spans="1:81" s="75" customFormat="1" ht="14.5" thickBot="1" x14ac:dyDescent="0.35">
      <c r="A97" s="1">
        <v>52</v>
      </c>
      <c r="B97" s="1"/>
      <c r="C97" s="212" t="s">
        <v>17</v>
      </c>
      <c r="D97" s="213">
        <v>1533</v>
      </c>
      <c r="E97" s="180"/>
      <c r="F97" s="154"/>
      <c r="G97" s="154"/>
      <c r="H97" s="154"/>
      <c r="I97" s="78">
        <f t="shared" si="96"/>
        <v>0</v>
      </c>
      <c r="J97" s="154"/>
      <c r="K97" s="154"/>
      <c r="L97" s="154"/>
      <c r="M97" s="154"/>
      <c r="N97" s="79">
        <f t="shared" si="97"/>
        <v>0</v>
      </c>
      <c r="O97" s="80">
        <f t="shared" si="98"/>
        <v>0</v>
      </c>
      <c r="P97" s="155"/>
      <c r="Q97" s="155"/>
      <c r="R97" s="155"/>
      <c r="S97" s="78">
        <f t="shared" si="99"/>
        <v>0</v>
      </c>
      <c r="T97" s="81">
        <f t="shared" si="100"/>
        <v>0</v>
      </c>
      <c r="U97" s="155"/>
      <c r="V97" s="155"/>
      <c r="W97" s="155"/>
      <c r="X97" s="79">
        <f t="shared" si="101"/>
        <v>0</v>
      </c>
      <c r="Y97" s="80">
        <f t="shared" si="102"/>
        <v>0</v>
      </c>
      <c r="Z97" s="155"/>
      <c r="AA97" s="155"/>
      <c r="AB97" s="155"/>
      <c r="AC97" s="78">
        <f t="shared" si="103"/>
        <v>0</v>
      </c>
      <c r="AD97" s="81">
        <f t="shared" si="104"/>
        <v>0</v>
      </c>
      <c r="AE97" s="155"/>
      <c r="AF97" s="155"/>
      <c r="AG97" s="154"/>
      <c r="AH97" s="79">
        <f t="shared" si="105"/>
        <v>0</v>
      </c>
      <c r="AI97" s="80">
        <f t="shared" si="106"/>
        <v>0</v>
      </c>
      <c r="AJ97" s="155"/>
      <c r="AK97" s="155"/>
      <c r="AL97" s="155"/>
      <c r="AM97" s="78">
        <f t="shared" si="107"/>
        <v>0</v>
      </c>
      <c r="AN97" s="81">
        <f t="shared" si="108"/>
        <v>0</v>
      </c>
      <c r="AO97" s="155"/>
      <c r="AP97" s="155"/>
      <c r="AQ97" s="154"/>
      <c r="AR97" s="79">
        <f t="shared" si="109"/>
        <v>0</v>
      </c>
      <c r="AS97" s="80">
        <f t="shared" si="110"/>
        <v>0</v>
      </c>
      <c r="AT97" s="155"/>
      <c r="AU97" s="155"/>
      <c r="AV97" s="155"/>
      <c r="AW97" s="78">
        <f t="shared" si="111"/>
        <v>0</v>
      </c>
      <c r="AX97" s="81">
        <f t="shared" si="112"/>
        <v>0</v>
      </c>
      <c r="AY97" s="155"/>
      <c r="AZ97" s="155"/>
      <c r="BA97" s="154"/>
      <c r="BB97" s="79">
        <f t="shared" si="113"/>
        <v>0</v>
      </c>
      <c r="BC97" s="80">
        <f t="shared" si="114"/>
        <v>0</v>
      </c>
      <c r="BD97" s="155"/>
      <c r="BE97" s="155"/>
      <c r="BF97" s="155"/>
      <c r="BG97" s="78">
        <f t="shared" si="115"/>
        <v>0</v>
      </c>
      <c r="BH97" s="81">
        <f t="shared" si="116"/>
        <v>0</v>
      </c>
      <c r="BI97" s="155"/>
      <c r="BJ97" s="155"/>
      <c r="BK97" s="154"/>
      <c r="BL97" s="79">
        <f t="shared" si="117"/>
        <v>0</v>
      </c>
      <c r="BM97" s="155"/>
      <c r="BN97" s="155"/>
      <c r="BO97" s="81">
        <f t="shared" si="118"/>
        <v>0</v>
      </c>
      <c r="BP97" s="82">
        <f t="shared" si="119"/>
        <v>0</v>
      </c>
      <c r="BQ97" s="83"/>
      <c r="BR97" s="155"/>
      <c r="BS97" s="222">
        <f t="shared" si="120"/>
        <v>0</v>
      </c>
      <c r="BT97" s="254">
        <f t="shared" si="121"/>
        <v>0</v>
      </c>
      <c r="BU97" s="718"/>
      <c r="BV97" s="681">
        <v>-3046986.07</v>
      </c>
      <c r="BW97" s="72">
        <f t="shared" si="123"/>
        <v>-3046986.07</v>
      </c>
      <c r="BX97" s="392" t="str">
        <f t="shared" si="122"/>
        <v>Please provide an explanation of the variance in the tab 3 - Appendix A</v>
      </c>
      <c r="CC97" s="300"/>
    </row>
    <row r="98" spans="1:81" s="75" customFormat="1" ht="14.5" thickBot="1" x14ac:dyDescent="0.35">
      <c r="A98" s="1">
        <v>53</v>
      </c>
      <c r="B98" s="1"/>
      <c r="C98" s="228" t="s">
        <v>12</v>
      </c>
      <c r="D98" s="213">
        <v>1534</v>
      </c>
      <c r="E98" s="180"/>
      <c r="F98" s="154"/>
      <c r="G98" s="154"/>
      <c r="H98" s="154"/>
      <c r="I98" s="78">
        <f t="shared" si="96"/>
        <v>0</v>
      </c>
      <c r="J98" s="154"/>
      <c r="K98" s="154"/>
      <c r="L98" s="154"/>
      <c r="M98" s="154"/>
      <c r="N98" s="79">
        <f t="shared" si="97"/>
        <v>0</v>
      </c>
      <c r="O98" s="80">
        <f t="shared" si="98"/>
        <v>0</v>
      </c>
      <c r="P98" s="155"/>
      <c r="Q98" s="155"/>
      <c r="R98" s="155"/>
      <c r="S98" s="78">
        <f t="shared" si="99"/>
        <v>0</v>
      </c>
      <c r="T98" s="81">
        <f t="shared" si="100"/>
        <v>0</v>
      </c>
      <c r="U98" s="155"/>
      <c r="V98" s="155"/>
      <c r="W98" s="155"/>
      <c r="X98" s="79">
        <f t="shared" si="101"/>
        <v>0</v>
      </c>
      <c r="Y98" s="80">
        <f t="shared" si="102"/>
        <v>0</v>
      </c>
      <c r="Z98" s="155"/>
      <c r="AA98" s="155"/>
      <c r="AB98" s="155"/>
      <c r="AC98" s="78">
        <f t="shared" si="103"/>
        <v>0</v>
      </c>
      <c r="AD98" s="81">
        <f t="shared" si="104"/>
        <v>0</v>
      </c>
      <c r="AE98" s="155"/>
      <c r="AF98" s="155"/>
      <c r="AG98" s="154"/>
      <c r="AH98" s="79">
        <f t="shared" si="105"/>
        <v>0</v>
      </c>
      <c r="AI98" s="80">
        <f t="shared" si="106"/>
        <v>0</v>
      </c>
      <c r="AJ98" s="155"/>
      <c r="AK98" s="155"/>
      <c r="AL98" s="155"/>
      <c r="AM98" s="78">
        <f t="shared" si="107"/>
        <v>0</v>
      </c>
      <c r="AN98" s="81">
        <f t="shared" si="108"/>
        <v>0</v>
      </c>
      <c r="AO98" s="155"/>
      <c r="AP98" s="155"/>
      <c r="AQ98" s="154"/>
      <c r="AR98" s="79">
        <f t="shared" si="109"/>
        <v>0</v>
      </c>
      <c r="AS98" s="80">
        <f t="shared" si="110"/>
        <v>0</v>
      </c>
      <c r="AT98" s="155"/>
      <c r="AU98" s="155"/>
      <c r="AV98" s="155"/>
      <c r="AW98" s="78">
        <f t="shared" si="111"/>
        <v>0</v>
      </c>
      <c r="AX98" s="81">
        <f t="shared" si="112"/>
        <v>0</v>
      </c>
      <c r="AY98" s="155"/>
      <c r="AZ98" s="155"/>
      <c r="BA98" s="154"/>
      <c r="BB98" s="79">
        <f t="shared" si="113"/>
        <v>0</v>
      </c>
      <c r="BC98" s="80">
        <f t="shared" si="114"/>
        <v>0</v>
      </c>
      <c r="BD98" s="155"/>
      <c r="BE98" s="155"/>
      <c r="BF98" s="155"/>
      <c r="BG98" s="78">
        <f t="shared" si="115"/>
        <v>0</v>
      </c>
      <c r="BH98" s="81">
        <f t="shared" si="116"/>
        <v>0</v>
      </c>
      <c r="BI98" s="155"/>
      <c r="BJ98" s="155"/>
      <c r="BK98" s="154"/>
      <c r="BL98" s="79">
        <f t="shared" si="117"/>
        <v>0</v>
      </c>
      <c r="BM98" s="155"/>
      <c r="BN98" s="155"/>
      <c r="BO98" s="81">
        <f t="shared" si="118"/>
        <v>0</v>
      </c>
      <c r="BP98" s="82">
        <f t="shared" si="119"/>
        <v>0</v>
      </c>
      <c r="BQ98" s="83"/>
      <c r="BR98" s="155"/>
      <c r="BS98" s="222">
        <f t="shared" si="120"/>
        <v>0</v>
      </c>
      <c r="BT98" s="254">
        <f t="shared" si="121"/>
        <v>0</v>
      </c>
      <c r="BU98" s="718"/>
      <c r="BV98" s="681">
        <v>0</v>
      </c>
      <c r="BW98" s="72">
        <f t="shared" si="123"/>
        <v>0</v>
      </c>
      <c r="BX98" s="392" t="str">
        <f t="shared" si="122"/>
        <v/>
      </c>
      <c r="CC98" s="300"/>
    </row>
    <row r="99" spans="1:81" s="75" customFormat="1" ht="14.5" thickBot="1" x14ac:dyDescent="0.35">
      <c r="A99" s="1">
        <v>54</v>
      </c>
      <c r="B99" s="1"/>
      <c r="C99" s="228" t="s">
        <v>13</v>
      </c>
      <c r="D99" s="213">
        <v>1535</v>
      </c>
      <c r="E99" s="180"/>
      <c r="F99" s="154"/>
      <c r="G99" s="154"/>
      <c r="H99" s="154"/>
      <c r="I99" s="78">
        <f t="shared" si="96"/>
        <v>0</v>
      </c>
      <c r="J99" s="154"/>
      <c r="K99" s="154"/>
      <c r="L99" s="154"/>
      <c r="M99" s="154"/>
      <c r="N99" s="79">
        <f t="shared" si="97"/>
        <v>0</v>
      </c>
      <c r="O99" s="80">
        <f t="shared" si="98"/>
        <v>0</v>
      </c>
      <c r="P99" s="198"/>
      <c r="Q99" s="155"/>
      <c r="R99" s="155"/>
      <c r="S99" s="78">
        <f t="shared" si="99"/>
        <v>0</v>
      </c>
      <c r="T99" s="81">
        <f t="shared" si="100"/>
        <v>0</v>
      </c>
      <c r="U99" s="200"/>
      <c r="V99" s="155"/>
      <c r="W99" s="155"/>
      <c r="X99" s="79">
        <f t="shared" si="101"/>
        <v>0</v>
      </c>
      <c r="Y99" s="80">
        <f t="shared" si="102"/>
        <v>0</v>
      </c>
      <c r="Z99" s="155"/>
      <c r="AA99" s="155"/>
      <c r="AB99" s="155"/>
      <c r="AC99" s="78">
        <f t="shared" si="103"/>
        <v>0</v>
      </c>
      <c r="AD99" s="81">
        <f t="shared" si="104"/>
        <v>0</v>
      </c>
      <c r="AE99" s="155"/>
      <c r="AF99" s="155"/>
      <c r="AG99" s="154"/>
      <c r="AH99" s="79">
        <f t="shared" si="105"/>
        <v>0</v>
      </c>
      <c r="AI99" s="80">
        <f t="shared" si="106"/>
        <v>0</v>
      </c>
      <c r="AJ99" s="155"/>
      <c r="AK99" s="155"/>
      <c r="AL99" s="155"/>
      <c r="AM99" s="78">
        <f t="shared" si="107"/>
        <v>0</v>
      </c>
      <c r="AN99" s="81">
        <f t="shared" si="108"/>
        <v>0</v>
      </c>
      <c r="AO99" s="155"/>
      <c r="AP99" s="155"/>
      <c r="AQ99" s="154"/>
      <c r="AR99" s="79">
        <f t="shared" si="109"/>
        <v>0</v>
      </c>
      <c r="AS99" s="80">
        <f t="shared" si="110"/>
        <v>0</v>
      </c>
      <c r="AT99" s="155"/>
      <c r="AU99" s="155"/>
      <c r="AV99" s="155"/>
      <c r="AW99" s="78">
        <f t="shared" si="111"/>
        <v>0</v>
      </c>
      <c r="AX99" s="81">
        <f t="shared" si="112"/>
        <v>0</v>
      </c>
      <c r="AY99" s="155"/>
      <c r="AZ99" s="155"/>
      <c r="BA99" s="154"/>
      <c r="BB99" s="79">
        <f t="shared" si="113"/>
        <v>0</v>
      </c>
      <c r="BC99" s="80">
        <f t="shared" si="114"/>
        <v>0</v>
      </c>
      <c r="BD99" s="155"/>
      <c r="BE99" s="155"/>
      <c r="BF99" s="155"/>
      <c r="BG99" s="78">
        <f t="shared" si="115"/>
        <v>0</v>
      </c>
      <c r="BH99" s="81">
        <f t="shared" si="116"/>
        <v>0</v>
      </c>
      <c r="BI99" s="155"/>
      <c r="BJ99" s="155"/>
      <c r="BK99" s="154"/>
      <c r="BL99" s="79">
        <f t="shared" si="117"/>
        <v>0</v>
      </c>
      <c r="BM99" s="155"/>
      <c r="BN99" s="155"/>
      <c r="BO99" s="81">
        <f t="shared" si="118"/>
        <v>0</v>
      </c>
      <c r="BP99" s="82">
        <f t="shared" si="119"/>
        <v>0</v>
      </c>
      <c r="BQ99" s="83"/>
      <c r="BR99" s="155"/>
      <c r="BS99" s="222">
        <f t="shared" si="120"/>
        <v>0</v>
      </c>
      <c r="BT99" s="254">
        <f t="shared" si="121"/>
        <v>0</v>
      </c>
      <c r="BU99" s="718"/>
      <c r="BV99" s="681">
        <v>0</v>
      </c>
      <c r="BW99" s="72">
        <f t="shared" si="123"/>
        <v>0</v>
      </c>
      <c r="BX99" s="392" t="str">
        <f t="shared" si="122"/>
        <v/>
      </c>
      <c r="CC99" s="300"/>
    </row>
    <row r="100" spans="1:81" s="75" customFormat="1" ht="14.5" thickBot="1" x14ac:dyDescent="0.35">
      <c r="A100" s="1">
        <v>55</v>
      </c>
      <c r="B100" s="1"/>
      <c r="C100" s="228" t="s">
        <v>15</v>
      </c>
      <c r="D100" s="213">
        <v>1536</v>
      </c>
      <c r="E100" s="180"/>
      <c r="F100" s="154"/>
      <c r="G100" s="154"/>
      <c r="H100" s="154"/>
      <c r="I100" s="78">
        <f t="shared" si="96"/>
        <v>0</v>
      </c>
      <c r="J100" s="154"/>
      <c r="K100" s="154"/>
      <c r="L100" s="154"/>
      <c r="M100" s="154"/>
      <c r="N100" s="79">
        <f t="shared" si="97"/>
        <v>0</v>
      </c>
      <c r="O100" s="80">
        <f t="shared" si="98"/>
        <v>0</v>
      </c>
      <c r="P100" s="155"/>
      <c r="Q100" s="155"/>
      <c r="R100" s="155"/>
      <c r="S100" s="78">
        <f t="shared" si="99"/>
        <v>0</v>
      </c>
      <c r="T100" s="81">
        <f t="shared" si="100"/>
        <v>0</v>
      </c>
      <c r="U100" s="155"/>
      <c r="V100" s="155"/>
      <c r="W100" s="155"/>
      <c r="X100" s="79">
        <f t="shared" si="101"/>
        <v>0</v>
      </c>
      <c r="Y100" s="80">
        <f t="shared" si="102"/>
        <v>0</v>
      </c>
      <c r="Z100" s="155"/>
      <c r="AA100" s="155"/>
      <c r="AB100" s="155"/>
      <c r="AC100" s="78">
        <f t="shared" si="103"/>
        <v>0</v>
      </c>
      <c r="AD100" s="81">
        <f t="shared" si="104"/>
        <v>0</v>
      </c>
      <c r="AE100" s="155"/>
      <c r="AF100" s="155"/>
      <c r="AG100" s="154"/>
      <c r="AH100" s="79">
        <f t="shared" si="105"/>
        <v>0</v>
      </c>
      <c r="AI100" s="80">
        <f t="shared" si="106"/>
        <v>0</v>
      </c>
      <c r="AJ100" s="155"/>
      <c r="AK100" s="155"/>
      <c r="AL100" s="155"/>
      <c r="AM100" s="78">
        <f t="shared" si="107"/>
        <v>0</v>
      </c>
      <c r="AN100" s="81">
        <f t="shared" si="108"/>
        <v>0</v>
      </c>
      <c r="AO100" s="155"/>
      <c r="AP100" s="155"/>
      <c r="AQ100" s="154"/>
      <c r="AR100" s="79">
        <f t="shared" si="109"/>
        <v>0</v>
      </c>
      <c r="AS100" s="80">
        <f t="shared" si="110"/>
        <v>0</v>
      </c>
      <c r="AT100" s="155"/>
      <c r="AU100" s="155"/>
      <c r="AV100" s="155"/>
      <c r="AW100" s="78">
        <f t="shared" si="111"/>
        <v>0</v>
      </c>
      <c r="AX100" s="81">
        <f t="shared" si="112"/>
        <v>0</v>
      </c>
      <c r="AY100" s="155"/>
      <c r="AZ100" s="155"/>
      <c r="BA100" s="154"/>
      <c r="BB100" s="79">
        <f t="shared" si="113"/>
        <v>0</v>
      </c>
      <c r="BC100" s="80">
        <f t="shared" si="114"/>
        <v>0</v>
      </c>
      <c r="BD100" s="155"/>
      <c r="BE100" s="155"/>
      <c r="BF100" s="155"/>
      <c r="BG100" s="78">
        <f t="shared" si="115"/>
        <v>0</v>
      </c>
      <c r="BH100" s="81">
        <f t="shared" si="116"/>
        <v>0</v>
      </c>
      <c r="BI100" s="155"/>
      <c r="BJ100" s="155"/>
      <c r="BK100" s="154"/>
      <c r="BL100" s="79">
        <f t="shared" si="117"/>
        <v>0</v>
      </c>
      <c r="BM100" s="155"/>
      <c r="BN100" s="155"/>
      <c r="BO100" s="81">
        <f t="shared" si="118"/>
        <v>0</v>
      </c>
      <c r="BP100" s="82">
        <f t="shared" si="119"/>
        <v>0</v>
      </c>
      <c r="BQ100" s="83"/>
      <c r="BR100" s="155"/>
      <c r="BS100" s="222">
        <f t="shared" si="120"/>
        <v>0</v>
      </c>
      <c r="BT100" s="254">
        <f t="shared" si="121"/>
        <v>0</v>
      </c>
      <c r="BU100" s="718"/>
      <c r="BV100" s="681">
        <v>0</v>
      </c>
      <c r="BW100" s="72">
        <f t="shared" si="123"/>
        <v>0</v>
      </c>
      <c r="BX100" s="392" t="str">
        <f t="shared" si="122"/>
        <v/>
      </c>
      <c r="CC100" s="300"/>
    </row>
    <row r="101" spans="1:81" s="75" customFormat="1" ht="17" hidden="1" thickBot="1" x14ac:dyDescent="0.35">
      <c r="A101" s="1">
        <v>56</v>
      </c>
      <c r="B101" s="1"/>
      <c r="C101" s="228" t="s">
        <v>396</v>
      </c>
      <c r="D101" s="213">
        <v>1555</v>
      </c>
      <c r="E101" s="152"/>
      <c r="F101" s="154"/>
      <c r="G101" s="154"/>
      <c r="H101" s="154"/>
      <c r="I101" s="78">
        <f t="shared" si="96"/>
        <v>0</v>
      </c>
      <c r="J101" s="154"/>
      <c r="K101" s="155"/>
      <c r="L101" s="155"/>
      <c r="M101" s="155"/>
      <c r="N101" s="79">
        <f t="shared" si="97"/>
        <v>0</v>
      </c>
      <c r="O101" s="80">
        <f t="shared" si="98"/>
        <v>0</v>
      </c>
      <c r="P101" s="155"/>
      <c r="Q101" s="155"/>
      <c r="R101" s="155"/>
      <c r="S101" s="78">
        <f t="shared" si="99"/>
        <v>0</v>
      </c>
      <c r="T101" s="81">
        <f t="shared" si="100"/>
        <v>0</v>
      </c>
      <c r="U101" s="155"/>
      <c r="V101" s="88"/>
      <c r="W101" s="88"/>
      <c r="X101" s="79">
        <f t="shared" si="101"/>
        <v>0</v>
      </c>
      <c r="Y101" s="80">
        <f t="shared" si="102"/>
        <v>0</v>
      </c>
      <c r="Z101" s="155"/>
      <c r="AA101" s="155"/>
      <c r="AB101" s="155"/>
      <c r="AC101" s="78">
        <f t="shared" si="103"/>
        <v>0</v>
      </c>
      <c r="AD101" s="81">
        <f t="shared" si="104"/>
        <v>0</v>
      </c>
      <c r="AE101" s="155"/>
      <c r="AF101" s="88"/>
      <c r="AG101" s="88"/>
      <c r="AH101" s="79">
        <f t="shared" si="105"/>
        <v>0</v>
      </c>
      <c r="AI101" s="80">
        <f t="shared" si="106"/>
        <v>0</v>
      </c>
      <c r="AJ101" s="155"/>
      <c r="AK101" s="155"/>
      <c r="AL101" s="155"/>
      <c r="AM101" s="78">
        <f t="shared" si="107"/>
        <v>0</v>
      </c>
      <c r="AN101" s="81">
        <f t="shared" si="108"/>
        <v>0</v>
      </c>
      <c r="AO101" s="155"/>
      <c r="AP101" s="88"/>
      <c r="AQ101" s="88"/>
      <c r="AR101" s="79">
        <f t="shared" si="109"/>
        <v>0</v>
      </c>
      <c r="AS101" s="80">
        <f t="shared" si="110"/>
        <v>0</v>
      </c>
      <c r="AT101" s="155"/>
      <c r="AU101" s="155"/>
      <c r="AV101" s="155"/>
      <c r="AW101" s="78">
        <f t="shared" si="111"/>
        <v>0</v>
      </c>
      <c r="AX101" s="81">
        <f t="shared" si="112"/>
        <v>0</v>
      </c>
      <c r="AY101" s="155"/>
      <c r="AZ101" s="88"/>
      <c r="BA101" s="88"/>
      <c r="BB101" s="79">
        <f t="shared" si="113"/>
        <v>0</v>
      </c>
      <c r="BC101" s="80">
        <f t="shared" si="114"/>
        <v>0</v>
      </c>
      <c r="BD101" s="155"/>
      <c r="BE101" s="155"/>
      <c r="BF101" s="155"/>
      <c r="BG101" s="78">
        <f t="shared" si="115"/>
        <v>0</v>
      </c>
      <c r="BH101" s="81">
        <f t="shared" si="116"/>
        <v>0</v>
      </c>
      <c r="BI101" s="155"/>
      <c r="BJ101" s="88"/>
      <c r="BK101" s="88"/>
      <c r="BL101" s="79">
        <f t="shared" si="117"/>
        <v>0</v>
      </c>
      <c r="BM101" s="76"/>
      <c r="BN101" s="155"/>
      <c r="BO101" s="81">
        <f t="shared" si="118"/>
        <v>0</v>
      </c>
      <c r="BP101" s="82">
        <f t="shared" si="119"/>
        <v>0</v>
      </c>
      <c r="BQ101" s="83"/>
      <c r="BR101" s="155"/>
      <c r="BS101" s="222">
        <f t="shared" si="120"/>
        <v>0</v>
      </c>
      <c r="BT101" s="254">
        <f>SUM(BO101:BR101)</f>
        <v>0</v>
      </c>
      <c r="BU101" s="718"/>
      <c r="BV101" s="681">
        <v>0</v>
      </c>
      <c r="BW101" s="72">
        <f t="shared" si="123"/>
        <v>0</v>
      </c>
      <c r="BX101" s="395"/>
      <c r="CC101" s="300"/>
    </row>
    <row r="102" spans="1:81" s="75" customFormat="1" ht="17" hidden="1" thickBot="1" x14ac:dyDescent="0.35">
      <c r="A102" s="1">
        <v>57</v>
      </c>
      <c r="B102" s="1"/>
      <c r="C102" s="228" t="s">
        <v>397</v>
      </c>
      <c r="D102" s="213">
        <v>1555</v>
      </c>
      <c r="E102" s="179"/>
      <c r="F102" s="178"/>
      <c r="G102" s="154"/>
      <c r="H102" s="154"/>
      <c r="I102" s="78">
        <f t="shared" si="96"/>
        <v>0</v>
      </c>
      <c r="J102" s="154"/>
      <c r="K102" s="155"/>
      <c r="L102" s="155"/>
      <c r="M102" s="155"/>
      <c r="N102" s="79">
        <f t="shared" si="97"/>
        <v>0</v>
      </c>
      <c r="O102" s="80">
        <f t="shared" si="98"/>
        <v>0</v>
      </c>
      <c r="P102" s="155"/>
      <c r="Q102" s="155"/>
      <c r="R102" s="155"/>
      <c r="S102" s="78">
        <f t="shared" si="99"/>
        <v>0</v>
      </c>
      <c r="T102" s="81">
        <f t="shared" si="100"/>
        <v>0</v>
      </c>
      <c r="U102" s="155"/>
      <c r="V102" s="88"/>
      <c r="W102" s="88"/>
      <c r="X102" s="79">
        <f t="shared" si="101"/>
        <v>0</v>
      </c>
      <c r="Y102" s="80">
        <f t="shared" si="102"/>
        <v>0</v>
      </c>
      <c r="Z102" s="155"/>
      <c r="AA102" s="155"/>
      <c r="AB102" s="155"/>
      <c r="AC102" s="78">
        <f t="shared" si="103"/>
        <v>0</v>
      </c>
      <c r="AD102" s="81">
        <f t="shared" si="104"/>
        <v>0</v>
      </c>
      <c r="AE102" s="155"/>
      <c r="AF102" s="88"/>
      <c r="AG102" s="88"/>
      <c r="AH102" s="79">
        <f t="shared" si="105"/>
        <v>0</v>
      </c>
      <c r="AI102" s="80">
        <f t="shared" si="106"/>
        <v>0</v>
      </c>
      <c r="AJ102" s="155"/>
      <c r="AK102" s="155"/>
      <c r="AL102" s="155"/>
      <c r="AM102" s="78">
        <f t="shared" si="107"/>
        <v>0</v>
      </c>
      <c r="AN102" s="81">
        <f t="shared" si="108"/>
        <v>0</v>
      </c>
      <c r="AO102" s="155"/>
      <c r="AP102" s="88"/>
      <c r="AQ102" s="88"/>
      <c r="AR102" s="79">
        <f t="shared" si="109"/>
        <v>0</v>
      </c>
      <c r="AS102" s="80">
        <f t="shared" si="110"/>
        <v>0</v>
      </c>
      <c r="AT102" s="155"/>
      <c r="AU102" s="155"/>
      <c r="AV102" s="155"/>
      <c r="AW102" s="78">
        <f t="shared" si="111"/>
        <v>0</v>
      </c>
      <c r="AX102" s="81">
        <f t="shared" si="112"/>
        <v>0</v>
      </c>
      <c r="AY102" s="155"/>
      <c r="AZ102" s="88"/>
      <c r="BA102" s="88"/>
      <c r="BB102" s="79">
        <f t="shared" si="113"/>
        <v>0</v>
      </c>
      <c r="BC102" s="80">
        <f t="shared" si="114"/>
        <v>0</v>
      </c>
      <c r="BD102" s="155"/>
      <c r="BE102" s="155"/>
      <c r="BF102" s="155"/>
      <c r="BG102" s="78">
        <f t="shared" si="115"/>
        <v>0</v>
      </c>
      <c r="BH102" s="81">
        <f t="shared" si="116"/>
        <v>0</v>
      </c>
      <c r="BI102" s="155"/>
      <c r="BJ102" s="88"/>
      <c r="BK102" s="88"/>
      <c r="BL102" s="79">
        <f t="shared" si="117"/>
        <v>0</v>
      </c>
      <c r="BM102" s="76"/>
      <c r="BN102" s="155"/>
      <c r="BO102" s="81">
        <f t="shared" si="118"/>
        <v>0</v>
      </c>
      <c r="BP102" s="82">
        <f t="shared" si="119"/>
        <v>0</v>
      </c>
      <c r="BQ102" s="83"/>
      <c r="BR102" s="155"/>
      <c r="BS102" s="222">
        <f t="shared" si="120"/>
        <v>0</v>
      </c>
      <c r="BT102" s="254">
        <f>SUM(BO102:BR102)</f>
        <v>0</v>
      </c>
      <c r="BU102" s="718"/>
      <c r="BV102" s="681">
        <v>0</v>
      </c>
      <c r="BW102" s="72">
        <f t="shared" si="123"/>
        <v>0</v>
      </c>
      <c r="BX102" s="395"/>
      <c r="CC102" s="300"/>
    </row>
    <row r="103" spans="1:81" s="75" customFormat="1" ht="14.5" thickBot="1" x14ac:dyDescent="0.35">
      <c r="A103" s="1">
        <v>58</v>
      </c>
      <c r="B103" s="1"/>
      <c r="C103" s="228" t="s">
        <v>451</v>
      </c>
      <c r="D103" s="213">
        <v>1555</v>
      </c>
      <c r="E103" s="179"/>
      <c r="F103" s="178"/>
      <c r="G103" s="154"/>
      <c r="H103" s="154"/>
      <c r="I103" s="78">
        <f t="shared" si="96"/>
        <v>0</v>
      </c>
      <c r="J103" s="154"/>
      <c r="K103" s="155"/>
      <c r="L103" s="155"/>
      <c r="M103" s="155"/>
      <c r="N103" s="79">
        <f t="shared" si="97"/>
        <v>0</v>
      </c>
      <c r="O103" s="80">
        <f t="shared" si="98"/>
        <v>0</v>
      </c>
      <c r="P103" s="155"/>
      <c r="Q103" s="155"/>
      <c r="R103" s="155"/>
      <c r="S103" s="78">
        <f t="shared" si="99"/>
        <v>0</v>
      </c>
      <c r="T103" s="81">
        <f t="shared" si="100"/>
        <v>0</v>
      </c>
      <c r="U103" s="155"/>
      <c r="V103" s="155"/>
      <c r="W103" s="155"/>
      <c r="X103" s="79">
        <f t="shared" si="101"/>
        <v>0</v>
      </c>
      <c r="Y103" s="80">
        <f t="shared" si="102"/>
        <v>0</v>
      </c>
      <c r="Z103" s="155"/>
      <c r="AA103" s="155"/>
      <c r="AB103" s="155"/>
      <c r="AC103" s="78">
        <f t="shared" si="103"/>
        <v>0</v>
      </c>
      <c r="AD103" s="81">
        <f t="shared" si="104"/>
        <v>0</v>
      </c>
      <c r="AE103" s="155"/>
      <c r="AF103" s="155"/>
      <c r="AG103" s="155"/>
      <c r="AH103" s="79">
        <f t="shared" si="105"/>
        <v>0</v>
      </c>
      <c r="AI103" s="80">
        <f t="shared" si="106"/>
        <v>0</v>
      </c>
      <c r="AJ103" s="155"/>
      <c r="AK103" s="155"/>
      <c r="AL103" s="155"/>
      <c r="AM103" s="78">
        <f t="shared" si="107"/>
        <v>0</v>
      </c>
      <c r="AN103" s="81">
        <f t="shared" si="108"/>
        <v>0</v>
      </c>
      <c r="AO103" s="155"/>
      <c r="AP103" s="155"/>
      <c r="AQ103" s="155"/>
      <c r="AR103" s="79">
        <f t="shared" si="109"/>
        <v>0</v>
      </c>
      <c r="AS103" s="80">
        <f t="shared" si="110"/>
        <v>0</v>
      </c>
      <c r="AT103" s="155"/>
      <c r="AU103" s="155"/>
      <c r="AV103" s="155"/>
      <c r="AW103" s="78">
        <f t="shared" si="111"/>
        <v>0</v>
      </c>
      <c r="AX103" s="81">
        <f t="shared" si="112"/>
        <v>0</v>
      </c>
      <c r="AY103" s="155"/>
      <c r="AZ103" s="155"/>
      <c r="BA103" s="155"/>
      <c r="BB103" s="79">
        <f t="shared" si="113"/>
        <v>0</v>
      </c>
      <c r="BC103" s="80">
        <f t="shared" si="114"/>
        <v>0</v>
      </c>
      <c r="BD103" s="155"/>
      <c r="BE103" s="155"/>
      <c r="BF103" s="155"/>
      <c r="BG103" s="78">
        <f t="shared" si="115"/>
        <v>0</v>
      </c>
      <c r="BH103" s="81">
        <f t="shared" si="116"/>
        <v>0</v>
      </c>
      <c r="BI103" s="155"/>
      <c r="BJ103" s="155"/>
      <c r="BK103" s="155"/>
      <c r="BL103" s="79">
        <f t="shared" si="117"/>
        <v>0</v>
      </c>
      <c r="BM103" s="76"/>
      <c r="BN103" s="155"/>
      <c r="BO103" s="81">
        <f t="shared" si="118"/>
        <v>0</v>
      </c>
      <c r="BP103" s="82">
        <f t="shared" si="119"/>
        <v>0</v>
      </c>
      <c r="BQ103" s="83"/>
      <c r="BR103" s="155"/>
      <c r="BS103" s="222">
        <f t="shared" si="120"/>
        <v>0</v>
      </c>
      <c r="BT103" s="254">
        <f>IF(BU103="Yes", SUM(BO103:BR103), 0)</f>
        <v>0</v>
      </c>
      <c r="BU103" s="717" t="s">
        <v>633</v>
      </c>
      <c r="BV103" s="681">
        <v>0</v>
      </c>
      <c r="BW103" s="72">
        <f t="shared" si="123"/>
        <v>0</v>
      </c>
      <c r="BX103" s="392" t="str">
        <f>IF(ABS(BW103)&gt;1,"Please provide an explanation of the variance in the tab 3 - Appendix A","")</f>
        <v/>
      </c>
      <c r="CC103" s="300"/>
    </row>
    <row r="104" spans="1:81" s="75" customFormat="1" ht="17" hidden="1" thickBot="1" x14ac:dyDescent="0.35">
      <c r="A104" s="1">
        <v>59</v>
      </c>
      <c r="B104" s="1"/>
      <c r="C104" s="228" t="s">
        <v>398</v>
      </c>
      <c r="D104" s="213">
        <v>1556</v>
      </c>
      <c r="E104" s="179"/>
      <c r="F104" s="178"/>
      <c r="G104" s="154"/>
      <c r="H104" s="154"/>
      <c r="I104" s="78">
        <f t="shared" si="96"/>
        <v>0</v>
      </c>
      <c r="J104" s="181"/>
      <c r="K104" s="182"/>
      <c r="L104" s="154"/>
      <c r="M104" s="154"/>
      <c r="N104" s="79">
        <f t="shared" si="97"/>
        <v>0</v>
      </c>
      <c r="O104" s="90">
        <f t="shared" si="98"/>
        <v>0</v>
      </c>
      <c r="P104" s="155"/>
      <c r="Q104" s="155"/>
      <c r="R104" s="155"/>
      <c r="S104" s="78">
        <f t="shared" si="99"/>
        <v>0</v>
      </c>
      <c r="T104" s="91">
        <f t="shared" si="100"/>
        <v>0</v>
      </c>
      <c r="U104" s="155"/>
      <c r="V104" s="155"/>
      <c r="W104" s="155"/>
      <c r="X104" s="79">
        <f t="shared" si="101"/>
        <v>0</v>
      </c>
      <c r="Y104" s="90">
        <f t="shared" si="102"/>
        <v>0</v>
      </c>
      <c r="Z104" s="155"/>
      <c r="AA104" s="155"/>
      <c r="AB104" s="155"/>
      <c r="AC104" s="78">
        <f t="shared" si="103"/>
        <v>0</v>
      </c>
      <c r="AD104" s="91">
        <f t="shared" si="104"/>
        <v>0</v>
      </c>
      <c r="AE104" s="155"/>
      <c r="AF104" s="155"/>
      <c r="AG104" s="155"/>
      <c r="AH104" s="79">
        <f t="shared" si="105"/>
        <v>0</v>
      </c>
      <c r="AI104" s="90">
        <f t="shared" si="106"/>
        <v>0</v>
      </c>
      <c r="AJ104" s="155"/>
      <c r="AK104" s="155"/>
      <c r="AL104" s="155"/>
      <c r="AM104" s="78">
        <f t="shared" si="107"/>
        <v>0</v>
      </c>
      <c r="AN104" s="91">
        <f t="shared" si="108"/>
        <v>0</v>
      </c>
      <c r="AO104" s="155"/>
      <c r="AP104" s="155"/>
      <c r="AQ104" s="155"/>
      <c r="AR104" s="79">
        <f t="shared" si="109"/>
        <v>0</v>
      </c>
      <c r="AS104" s="90">
        <f t="shared" si="110"/>
        <v>0</v>
      </c>
      <c r="AT104" s="155"/>
      <c r="AU104" s="155"/>
      <c r="AV104" s="155"/>
      <c r="AW104" s="78">
        <f t="shared" si="111"/>
        <v>0</v>
      </c>
      <c r="AX104" s="91">
        <f t="shared" si="112"/>
        <v>0</v>
      </c>
      <c r="AY104" s="155"/>
      <c r="AZ104" s="155"/>
      <c r="BA104" s="155"/>
      <c r="BB104" s="79">
        <f t="shared" si="113"/>
        <v>0</v>
      </c>
      <c r="BC104" s="90">
        <f t="shared" si="114"/>
        <v>0</v>
      </c>
      <c r="BD104" s="155"/>
      <c r="BE104" s="155"/>
      <c r="BF104" s="155"/>
      <c r="BG104" s="78">
        <f t="shared" si="115"/>
        <v>0</v>
      </c>
      <c r="BH104" s="91">
        <f t="shared" si="116"/>
        <v>0</v>
      </c>
      <c r="BI104" s="155"/>
      <c r="BJ104" s="155"/>
      <c r="BK104" s="155"/>
      <c r="BL104" s="79">
        <f t="shared" si="117"/>
        <v>0</v>
      </c>
      <c r="BM104" s="76"/>
      <c r="BN104" s="155"/>
      <c r="BO104" s="81">
        <f t="shared" si="118"/>
        <v>0</v>
      </c>
      <c r="BP104" s="82">
        <f t="shared" si="119"/>
        <v>0</v>
      </c>
      <c r="BQ104" s="83"/>
      <c r="BR104" s="155"/>
      <c r="BS104" s="222">
        <f t="shared" si="120"/>
        <v>0</v>
      </c>
      <c r="BT104" s="254">
        <f>SUM(BO104:BR104)</f>
        <v>0</v>
      </c>
      <c r="BU104" s="718"/>
      <c r="BV104" s="681"/>
      <c r="BW104" s="72">
        <f t="shared" si="123"/>
        <v>0</v>
      </c>
      <c r="BX104" s="395"/>
      <c r="CC104" s="300"/>
    </row>
    <row r="105" spans="1:81" s="75" customFormat="1" ht="17" thickBot="1" x14ac:dyDescent="0.35">
      <c r="A105" s="1">
        <v>60</v>
      </c>
      <c r="B105" s="1"/>
      <c r="C105" s="228" t="s">
        <v>2950</v>
      </c>
      <c r="D105" s="213">
        <v>1557</v>
      </c>
      <c r="E105" s="216"/>
      <c r="F105" s="583"/>
      <c r="G105" s="583"/>
      <c r="H105" s="583"/>
      <c r="I105" s="78"/>
      <c r="J105" s="367"/>
      <c r="K105" s="583"/>
      <c r="L105" s="583"/>
      <c r="M105" s="583"/>
      <c r="N105" s="79"/>
      <c r="O105" s="80"/>
      <c r="P105" s="584"/>
      <c r="Q105" s="584"/>
      <c r="R105" s="584"/>
      <c r="S105" s="78">
        <f t="shared" si="99"/>
        <v>0</v>
      </c>
      <c r="T105" s="81"/>
      <c r="U105" s="155"/>
      <c r="V105" s="155"/>
      <c r="W105" s="155"/>
      <c r="X105" s="79">
        <f t="shared" si="101"/>
        <v>0</v>
      </c>
      <c r="Y105" s="80">
        <f t="shared" si="102"/>
        <v>0</v>
      </c>
      <c r="Z105" s="155"/>
      <c r="AA105" s="155"/>
      <c r="AB105" s="155"/>
      <c r="AC105" s="78">
        <f>Y105+Z105-AA105+AB105</f>
        <v>0</v>
      </c>
      <c r="AD105" s="81">
        <f>X105</f>
        <v>0</v>
      </c>
      <c r="AE105" s="155"/>
      <c r="AF105" s="155"/>
      <c r="AG105" s="155"/>
      <c r="AH105" s="79">
        <f t="shared" si="105"/>
        <v>0</v>
      </c>
      <c r="AI105" s="90">
        <f t="shared" si="106"/>
        <v>0</v>
      </c>
      <c r="AJ105" s="155"/>
      <c r="AK105" s="155"/>
      <c r="AL105" s="155"/>
      <c r="AM105" s="78">
        <f>AI105+AJ105-AK105+SUM(AL105:AL105)</f>
        <v>0</v>
      </c>
      <c r="AN105" s="91">
        <f t="shared" si="108"/>
        <v>0</v>
      </c>
      <c r="AO105" s="155"/>
      <c r="AP105" s="155"/>
      <c r="AQ105" s="155"/>
      <c r="AR105" s="79">
        <f t="shared" si="109"/>
        <v>0</v>
      </c>
      <c r="AS105" s="80">
        <f>AM105</f>
        <v>0</v>
      </c>
      <c r="AT105" s="155"/>
      <c r="AU105" s="155"/>
      <c r="AV105" s="155"/>
      <c r="AW105" s="78">
        <f>AS105+AT105-AU105+AV105</f>
        <v>0</v>
      </c>
      <c r="AX105" s="81">
        <f>AR105</f>
        <v>0</v>
      </c>
      <c r="AY105" s="155"/>
      <c r="AZ105" s="155"/>
      <c r="BA105" s="155"/>
      <c r="BB105" s="79">
        <f>AX105+AY105-AZ105+BA105</f>
        <v>0</v>
      </c>
      <c r="BC105" s="80">
        <f t="shared" si="114"/>
        <v>0</v>
      </c>
      <c r="BD105" s="155"/>
      <c r="BE105" s="155"/>
      <c r="BF105" s="155"/>
      <c r="BG105" s="78">
        <f t="shared" si="115"/>
        <v>0</v>
      </c>
      <c r="BH105" s="81">
        <f t="shared" si="116"/>
        <v>0</v>
      </c>
      <c r="BI105" s="155"/>
      <c r="BJ105" s="155"/>
      <c r="BK105" s="155"/>
      <c r="BL105" s="79">
        <f t="shared" si="117"/>
        <v>0</v>
      </c>
      <c r="BM105" s="76"/>
      <c r="BN105" s="155"/>
      <c r="BO105" s="81">
        <f t="shared" si="118"/>
        <v>0</v>
      </c>
      <c r="BP105" s="82">
        <f t="shared" si="119"/>
        <v>0</v>
      </c>
      <c r="BQ105" s="83"/>
      <c r="BR105" s="155"/>
      <c r="BS105" s="222">
        <f t="shared" si="120"/>
        <v>0</v>
      </c>
      <c r="BT105" s="254">
        <f>SUM(BO105:BR105)</f>
        <v>0</v>
      </c>
      <c r="BU105" s="718"/>
      <c r="BV105" s="681">
        <v>0</v>
      </c>
      <c r="BW105" s="72">
        <f t="shared" si="123"/>
        <v>0</v>
      </c>
      <c r="BX105" s="392" t="str">
        <f>IF(ABS(BW105)&gt;1,"Please provide an explanation of the variance in the tab 3 - Appendix A","")</f>
        <v/>
      </c>
      <c r="CC105" s="300"/>
    </row>
    <row r="106" spans="1:81" s="75" customFormat="1" ht="14.5" thickBot="1" x14ac:dyDescent="0.35">
      <c r="A106" s="1"/>
      <c r="B106" s="1"/>
      <c r="C106" s="228"/>
      <c r="D106" s="213"/>
      <c r="E106" s="93"/>
      <c r="F106" s="78"/>
      <c r="G106" s="78"/>
      <c r="H106" s="78"/>
      <c r="I106" s="78"/>
      <c r="J106" s="78"/>
      <c r="K106" s="78"/>
      <c r="L106" s="78"/>
      <c r="M106" s="78"/>
      <c r="N106" s="78"/>
      <c r="O106" s="84"/>
      <c r="P106" s="78"/>
      <c r="Q106" s="78"/>
      <c r="R106" s="78"/>
      <c r="S106" s="78"/>
      <c r="T106" s="78"/>
      <c r="U106" s="78"/>
      <c r="V106" s="78"/>
      <c r="W106" s="78"/>
      <c r="X106" s="78"/>
      <c r="Y106" s="84"/>
      <c r="Z106" s="78"/>
      <c r="AA106" s="78"/>
      <c r="AB106" s="78"/>
      <c r="AC106" s="78"/>
      <c r="AD106" s="78"/>
      <c r="AE106" s="78"/>
      <c r="AF106" s="78"/>
      <c r="AG106" s="78"/>
      <c r="AH106" s="78"/>
      <c r="AI106" s="84"/>
      <c r="AJ106" s="78"/>
      <c r="AK106" s="78"/>
      <c r="AL106" s="78"/>
      <c r="AM106" s="78"/>
      <c r="AN106" s="78"/>
      <c r="AO106" s="78"/>
      <c r="AP106" s="78"/>
      <c r="AQ106" s="78"/>
      <c r="AR106" s="78"/>
      <c r="AS106" s="84"/>
      <c r="AT106" s="78"/>
      <c r="AU106" s="78"/>
      <c r="AV106" s="78"/>
      <c r="AW106" s="78"/>
      <c r="AX106" s="78"/>
      <c r="AY106" s="78"/>
      <c r="AZ106" s="78"/>
      <c r="BA106" s="78"/>
      <c r="BB106" s="78"/>
      <c r="BC106" s="84"/>
      <c r="BD106" s="78"/>
      <c r="BE106" s="78"/>
      <c r="BF106" s="78"/>
      <c r="BG106" s="78"/>
      <c r="BH106" s="78"/>
      <c r="BI106" s="78"/>
      <c r="BJ106" s="78"/>
      <c r="BK106" s="78"/>
      <c r="BL106" s="78"/>
      <c r="BM106" s="84"/>
      <c r="BN106" s="78"/>
      <c r="BO106" s="78"/>
      <c r="BP106" s="78"/>
      <c r="BQ106" s="84"/>
      <c r="BR106" s="78"/>
      <c r="BS106" s="78"/>
      <c r="BT106" s="254"/>
      <c r="BU106" s="718"/>
      <c r="BV106" s="681"/>
      <c r="BW106" s="85"/>
      <c r="BX106" s="395"/>
      <c r="CC106" s="300"/>
    </row>
    <row r="107" spans="1:81" s="75" customFormat="1" ht="14.5" thickBot="1" x14ac:dyDescent="0.35">
      <c r="A107" s="1">
        <v>61</v>
      </c>
      <c r="B107" s="1"/>
      <c r="C107" s="238" t="s">
        <v>124</v>
      </c>
      <c r="D107" s="239">
        <v>1575</v>
      </c>
      <c r="E107" s="180"/>
      <c r="F107" s="154"/>
      <c r="G107" s="154"/>
      <c r="H107" s="154"/>
      <c r="I107" s="78">
        <f>E107+F107-G107+H107</f>
        <v>0</v>
      </c>
      <c r="J107" s="161"/>
      <c r="K107" s="86"/>
      <c r="L107" s="86"/>
      <c r="M107" s="86"/>
      <c r="N107" s="79"/>
      <c r="O107" s="304">
        <f>I107</f>
        <v>0</v>
      </c>
      <c r="P107" s="198"/>
      <c r="Q107" s="155"/>
      <c r="R107" s="155"/>
      <c r="S107" s="78">
        <f>O107+P107-Q107+R107</f>
        <v>0</v>
      </c>
      <c r="T107" s="161"/>
      <c r="U107" s="86"/>
      <c r="V107" s="86"/>
      <c r="W107" s="86"/>
      <c r="X107" s="79"/>
      <c r="Y107" s="306">
        <f>S107</f>
        <v>0</v>
      </c>
      <c r="Z107" s="198"/>
      <c r="AA107" s="155"/>
      <c r="AB107" s="155"/>
      <c r="AC107" s="78">
        <f>Y107+Z107-AA107+AB107</f>
        <v>0</v>
      </c>
      <c r="AD107" s="161"/>
      <c r="AE107" s="86"/>
      <c r="AF107" s="86"/>
      <c r="AG107" s="86"/>
      <c r="AH107" s="79"/>
      <c r="AI107" s="80">
        <f>AC107</f>
        <v>0</v>
      </c>
      <c r="AJ107" s="198"/>
      <c r="AK107" s="155"/>
      <c r="AL107" s="155"/>
      <c r="AM107" s="78">
        <f>AI107+AJ107-AK107+SUM(AL107:AL107)</f>
        <v>0</v>
      </c>
      <c r="AN107" s="161"/>
      <c r="AO107" s="86"/>
      <c r="AP107" s="86"/>
      <c r="AQ107" s="86"/>
      <c r="AR107" s="79"/>
      <c r="AS107" s="162">
        <f>AM107</f>
        <v>0</v>
      </c>
      <c r="AT107" s="198"/>
      <c r="AU107" s="155"/>
      <c r="AV107" s="155"/>
      <c r="AW107" s="78">
        <f t="shared" si="111"/>
        <v>0</v>
      </c>
      <c r="AX107" s="161"/>
      <c r="AY107" s="86"/>
      <c r="AZ107" s="86"/>
      <c r="BA107" s="86"/>
      <c r="BB107" s="79"/>
      <c r="BC107" s="162">
        <f>AW107</f>
        <v>0</v>
      </c>
      <c r="BD107" s="155"/>
      <c r="BE107" s="155"/>
      <c r="BF107" s="155"/>
      <c r="BG107" s="78">
        <f>BC107+BD107-BE107+SUM(BF107:BF107)</f>
        <v>0</v>
      </c>
      <c r="BH107" s="161"/>
      <c r="BI107" s="86"/>
      <c r="BJ107" s="86"/>
      <c r="BK107" s="86"/>
      <c r="BL107" s="79"/>
      <c r="BM107" s="76"/>
      <c r="BN107" s="86"/>
      <c r="BO107" s="81">
        <f>BG107-BM107</f>
        <v>0</v>
      </c>
      <c r="BP107" s="82"/>
      <c r="BQ107" s="86"/>
      <c r="BR107" s="86"/>
      <c r="BS107" s="86"/>
      <c r="BT107" s="254">
        <f>IF(BU107="Yes", SUM(BO107:BR107), 0)</f>
        <v>0</v>
      </c>
      <c r="BU107" s="717" t="s">
        <v>633</v>
      </c>
      <c r="BV107" s="681">
        <v>-151852.53</v>
      </c>
      <c r="BW107" s="72">
        <f>BV107-SUM(BG107,BL107)</f>
        <v>-151852.53</v>
      </c>
      <c r="BX107" s="392" t="str">
        <f>IF(ABS(BW107)&gt;1,"Please provide an explanation of the variance in the tab 3 - Appendix A","")</f>
        <v>Please provide an explanation of the variance in the tab 3 - Appendix A</v>
      </c>
      <c r="CB107" s="57">
        <v>1575</v>
      </c>
      <c r="CC107" s="300" t="b">
        <v>0</v>
      </c>
    </row>
    <row r="108" spans="1:81" s="75" customFormat="1" ht="14.5" thickBot="1" x14ac:dyDescent="0.35">
      <c r="A108" s="1">
        <v>62</v>
      </c>
      <c r="B108" s="1"/>
      <c r="C108" s="238" t="s">
        <v>125</v>
      </c>
      <c r="D108" s="239">
        <v>1576</v>
      </c>
      <c r="E108" s="180"/>
      <c r="F108" s="154"/>
      <c r="G108" s="154"/>
      <c r="H108" s="154"/>
      <c r="I108" s="78">
        <f>E108+F108-G108+H108</f>
        <v>0</v>
      </c>
      <c r="J108" s="81"/>
      <c r="K108" s="86"/>
      <c r="L108" s="86"/>
      <c r="M108" s="86"/>
      <c r="N108" s="79"/>
      <c r="O108" s="304">
        <f>I108</f>
        <v>0</v>
      </c>
      <c r="P108" s="198"/>
      <c r="Q108" s="155"/>
      <c r="R108" s="155"/>
      <c r="S108" s="78">
        <f>O108+P108-Q108+R108</f>
        <v>0</v>
      </c>
      <c r="T108" s="81"/>
      <c r="U108" s="86"/>
      <c r="V108" s="86"/>
      <c r="W108" s="86"/>
      <c r="X108" s="79"/>
      <c r="Y108" s="305">
        <f>S108</f>
        <v>0</v>
      </c>
      <c r="Z108" s="198"/>
      <c r="AA108" s="155"/>
      <c r="AB108" s="155"/>
      <c r="AC108" s="78">
        <f>Y108+Z108-AA108+AB108</f>
        <v>0</v>
      </c>
      <c r="AD108" s="81"/>
      <c r="AE108" s="86"/>
      <c r="AF108" s="86"/>
      <c r="AG108" s="86"/>
      <c r="AH108" s="79"/>
      <c r="AI108" s="90">
        <f t="shared" si="106"/>
        <v>0</v>
      </c>
      <c r="AJ108" s="198"/>
      <c r="AK108" s="155"/>
      <c r="AL108" s="155"/>
      <c r="AM108" s="78">
        <f>AI108+AJ108-AK108+SUM(AL108:AL108)</f>
        <v>0</v>
      </c>
      <c r="AN108" s="81"/>
      <c r="AO108" s="86"/>
      <c r="AP108" s="86"/>
      <c r="AQ108" s="86"/>
      <c r="AR108" s="79"/>
      <c r="AS108" s="80">
        <f>AM108</f>
        <v>0</v>
      </c>
      <c r="AT108" s="198"/>
      <c r="AU108" s="155"/>
      <c r="AV108" s="155"/>
      <c r="AW108" s="78">
        <f t="shared" si="111"/>
        <v>0</v>
      </c>
      <c r="AX108" s="81"/>
      <c r="AY108" s="86"/>
      <c r="AZ108" s="86"/>
      <c r="BA108" s="86"/>
      <c r="BB108" s="79"/>
      <c r="BC108" s="80">
        <f>AW108</f>
        <v>0</v>
      </c>
      <c r="BD108" s="154"/>
      <c r="BE108" s="154"/>
      <c r="BF108" s="154"/>
      <c r="BG108" s="78">
        <f>BC108+BD108-BE108+SUM(BF108:BF108)</f>
        <v>0</v>
      </c>
      <c r="BH108" s="81"/>
      <c r="BI108" s="86"/>
      <c r="BJ108" s="86"/>
      <c r="BK108" s="86"/>
      <c r="BL108" s="79"/>
      <c r="BM108" s="87"/>
      <c r="BN108" s="86"/>
      <c r="BO108" s="81">
        <f>BG108-BM108</f>
        <v>0</v>
      </c>
      <c r="BP108" s="82"/>
      <c r="BQ108" s="86"/>
      <c r="BR108" s="86"/>
      <c r="BS108" s="86"/>
      <c r="BT108" s="254">
        <f>IF(BU108="Yes", SUM(BO108:BR108), 0)</f>
        <v>0</v>
      </c>
      <c r="BU108" s="717" t="s">
        <v>633</v>
      </c>
      <c r="BV108" s="681">
        <v>0</v>
      </c>
      <c r="BW108" s="72">
        <f>BV108-SUM(BG108,BL108)</f>
        <v>0</v>
      </c>
      <c r="BX108" s="392" t="str">
        <f>IF(ABS(BW108)&gt;1,"Please provide an explanation of the variance in the tab 3 - Appendix A","")</f>
        <v/>
      </c>
      <c r="CB108" s="57">
        <v>1576</v>
      </c>
      <c r="CC108" s="300" t="b">
        <v>0</v>
      </c>
    </row>
    <row r="109" spans="1:81" s="75" customFormat="1" ht="14.5" thickBot="1" x14ac:dyDescent="0.35">
      <c r="A109" s="1"/>
      <c r="B109" s="1"/>
      <c r="C109" s="238"/>
      <c r="D109" s="680"/>
      <c r="E109" s="93"/>
      <c r="F109" s="78"/>
      <c r="G109" s="78"/>
      <c r="H109" s="78"/>
      <c r="I109" s="78"/>
      <c r="J109" s="78"/>
      <c r="K109" s="78"/>
      <c r="L109" s="78"/>
      <c r="M109" s="78"/>
      <c r="N109" s="78"/>
      <c r="O109" s="84"/>
      <c r="P109" s="78"/>
      <c r="Q109" s="78"/>
      <c r="R109" s="78"/>
      <c r="S109" s="78"/>
      <c r="T109" s="78"/>
      <c r="U109" s="78"/>
      <c r="V109" s="78"/>
      <c r="W109" s="78"/>
      <c r="X109" s="78"/>
      <c r="Y109" s="84"/>
      <c r="Z109" s="78"/>
      <c r="AA109" s="78"/>
      <c r="AB109" s="78"/>
      <c r="AC109" s="78"/>
      <c r="AD109" s="78"/>
      <c r="AE109" s="78"/>
      <c r="AF109" s="78"/>
      <c r="AG109" s="78"/>
      <c r="AH109" s="78"/>
      <c r="AI109" s="84"/>
      <c r="AJ109" s="78"/>
      <c r="AK109" s="78"/>
      <c r="AL109" s="78"/>
      <c r="AM109" s="78"/>
      <c r="AN109" s="78"/>
      <c r="AO109" s="78"/>
      <c r="AP109" s="78"/>
      <c r="AQ109" s="78"/>
      <c r="AR109" s="78"/>
      <c r="AS109" s="84"/>
      <c r="AT109" s="78"/>
      <c r="AU109" s="78"/>
      <c r="AV109" s="78"/>
      <c r="AW109" s="78"/>
      <c r="AX109" s="78"/>
      <c r="AY109" s="78"/>
      <c r="AZ109" s="78"/>
      <c r="BA109" s="78"/>
      <c r="BB109" s="78"/>
      <c r="BC109" s="84"/>
      <c r="BD109" s="78"/>
      <c r="BE109" s="78"/>
      <c r="BF109" s="78"/>
      <c r="BG109" s="78"/>
      <c r="BH109" s="78"/>
      <c r="BI109" s="78"/>
      <c r="BJ109" s="78"/>
      <c r="BK109" s="78"/>
      <c r="BL109" s="78"/>
      <c r="BM109" s="84"/>
      <c r="BN109" s="78"/>
      <c r="BO109" s="78"/>
      <c r="BP109" s="78"/>
      <c r="BQ109" s="84"/>
      <c r="BR109" s="78"/>
      <c r="BS109" s="78"/>
      <c r="BT109" s="254"/>
      <c r="BU109" s="741"/>
      <c r="BV109" s="681"/>
      <c r="BW109" s="85"/>
      <c r="BX109" s="392"/>
      <c r="CB109" s="57"/>
      <c r="CC109" s="300"/>
    </row>
    <row r="110" spans="1:81" s="75" customFormat="1" ht="17" thickBot="1" x14ac:dyDescent="0.35">
      <c r="A110" s="1">
        <v>63</v>
      </c>
      <c r="B110" s="1"/>
      <c r="C110" s="245" t="s">
        <v>3453</v>
      </c>
      <c r="D110" s="246">
        <v>1509</v>
      </c>
      <c r="E110" s="728"/>
      <c r="F110" s="729"/>
      <c r="G110" s="730"/>
      <c r="H110" s="730"/>
      <c r="I110" s="683">
        <f>E110+F110-G110+H110</f>
        <v>0</v>
      </c>
      <c r="J110" s="730"/>
      <c r="K110" s="730"/>
      <c r="L110" s="730"/>
      <c r="M110" s="730"/>
      <c r="N110" s="684">
        <f>J110+K110-L110+M110</f>
        <v>0</v>
      </c>
      <c r="O110" s="685">
        <f>I110</f>
        <v>0</v>
      </c>
      <c r="P110" s="730"/>
      <c r="Q110" s="730"/>
      <c r="R110" s="730"/>
      <c r="S110" s="683">
        <f>O110+P110-Q110+R110</f>
        <v>0</v>
      </c>
      <c r="T110" s="686">
        <f>N110</f>
        <v>0</v>
      </c>
      <c r="U110" s="730"/>
      <c r="V110" s="730"/>
      <c r="W110" s="730"/>
      <c r="X110" s="684">
        <f>T110+U110-V110+W110</f>
        <v>0</v>
      </c>
      <c r="Y110" s="685">
        <f>S110</f>
        <v>0</v>
      </c>
      <c r="Z110" s="730"/>
      <c r="AA110" s="730"/>
      <c r="AB110" s="730"/>
      <c r="AC110" s="683">
        <f>Y110+Z110-AA110+AB110</f>
        <v>0</v>
      </c>
      <c r="AD110" s="686">
        <f>X110</f>
        <v>0</v>
      </c>
      <c r="AE110" s="730"/>
      <c r="AF110" s="730"/>
      <c r="AG110" s="730"/>
      <c r="AH110" s="684">
        <f>AD110+AE110-AF110+AG110</f>
        <v>0</v>
      </c>
      <c r="AI110" s="685">
        <f>AC110</f>
        <v>0</v>
      </c>
      <c r="AJ110" s="682"/>
      <c r="AK110" s="682"/>
      <c r="AL110" s="682"/>
      <c r="AM110" s="683">
        <f>AI110+AJ110-AK110+SUM(AL110:AL110)</f>
        <v>0</v>
      </c>
      <c r="AN110" s="686">
        <f>AH110</f>
        <v>0</v>
      </c>
      <c r="AO110" s="682"/>
      <c r="AP110" s="682"/>
      <c r="AQ110" s="682"/>
      <c r="AR110" s="684">
        <f>AN110+AO110-AP110+AQ110</f>
        <v>0</v>
      </c>
      <c r="AS110" s="685">
        <f>AM110</f>
        <v>0</v>
      </c>
      <c r="AT110" s="682"/>
      <c r="AU110" s="682"/>
      <c r="AV110" s="682"/>
      <c r="AW110" s="683">
        <f>AS110+AT110-AU110+AV110</f>
        <v>0</v>
      </c>
      <c r="AX110" s="686">
        <f>AR110</f>
        <v>0</v>
      </c>
      <c r="AY110" s="682"/>
      <c r="AZ110" s="682"/>
      <c r="BA110" s="682"/>
      <c r="BB110" s="684">
        <f>AX110+AY110-AZ110+BA110</f>
        <v>0</v>
      </c>
      <c r="BC110" s="685">
        <f>AW110</f>
        <v>0</v>
      </c>
      <c r="BD110" s="682"/>
      <c r="BE110" s="682"/>
      <c r="BF110" s="682"/>
      <c r="BG110" s="683">
        <f>BC110+BD110-BE110+SUM(BF110:BF110)</f>
        <v>0</v>
      </c>
      <c r="BH110" s="686">
        <f>BB110</f>
        <v>0</v>
      </c>
      <c r="BI110" s="682"/>
      <c r="BJ110" s="682"/>
      <c r="BK110" s="682"/>
      <c r="BL110" s="684">
        <f>BH110+BI110-BJ110+BK110</f>
        <v>0</v>
      </c>
      <c r="BM110" s="687"/>
      <c r="BN110" s="682"/>
      <c r="BO110" s="686">
        <f>BG110-BM110</f>
        <v>0</v>
      </c>
      <c r="BP110" s="688">
        <f>BL110-BN110</f>
        <v>0</v>
      </c>
      <c r="BQ110" s="689"/>
      <c r="BR110" s="682"/>
      <c r="BS110" s="690">
        <f>BP110+BQ110+BR110</f>
        <v>0</v>
      </c>
      <c r="BT110" s="691">
        <f>IF(BU110="Yes", SUM(BO110:BR110), 0)</f>
        <v>0</v>
      </c>
      <c r="BU110" s="742"/>
      <c r="BV110" s="743">
        <v>0</v>
      </c>
      <c r="BW110" s="692">
        <f>BV110-SUM(BG110,BL110)</f>
        <v>0</v>
      </c>
      <c r="BX110" s="395"/>
      <c r="CC110" s="300"/>
    </row>
    <row r="111" spans="1:81" x14ac:dyDescent="0.25">
      <c r="BV111" s="732"/>
    </row>
    <row r="113" spans="1:68" ht="30.75" customHeight="1" x14ac:dyDescent="0.3">
      <c r="B113" s="313"/>
      <c r="C113" s="1095" t="s">
        <v>160</v>
      </c>
      <c r="D113" s="1095"/>
      <c r="E113" s="1095"/>
      <c r="F113" s="1095"/>
      <c r="G113" s="312"/>
      <c r="H113" s="312"/>
      <c r="I113" s="312"/>
    </row>
    <row r="114" spans="1:68" ht="29.25" customHeight="1" x14ac:dyDescent="0.3">
      <c r="A114" s="96"/>
      <c r="B114" s="314"/>
      <c r="C114" s="1074"/>
      <c r="D114" s="1074"/>
      <c r="E114" s="573"/>
      <c r="F114" s="573"/>
      <c r="G114" s="573"/>
      <c r="H114" s="573"/>
      <c r="I114" s="315"/>
      <c r="L114" s="56"/>
      <c r="M114" s="56"/>
      <c r="V114" s="56"/>
      <c r="W114" s="56"/>
      <c r="AF114" s="56"/>
      <c r="AG114" s="56"/>
      <c r="AP114" s="56"/>
      <c r="AQ114" s="56"/>
      <c r="AZ114" s="56"/>
      <c r="BA114" s="56"/>
      <c r="BJ114" s="56"/>
      <c r="BK114" s="56"/>
      <c r="BM114" s="56"/>
      <c r="BN114" s="56"/>
      <c r="BO114" s="56"/>
      <c r="BP114" s="56"/>
    </row>
    <row r="115" spans="1:68" ht="34.5" customHeight="1" x14ac:dyDescent="0.3">
      <c r="A115" s="96"/>
      <c r="B115" s="314">
        <v>1</v>
      </c>
      <c r="C115" s="1074" t="s">
        <v>2908</v>
      </c>
      <c r="D115" s="1074"/>
      <c r="E115" s="315"/>
      <c r="F115" s="315"/>
      <c r="G115" s="315"/>
      <c r="H115" s="315"/>
      <c r="I115" s="315"/>
      <c r="L115" s="56"/>
      <c r="M115" s="56"/>
      <c r="V115" s="56"/>
      <c r="W115" s="56"/>
      <c r="AF115" s="56"/>
      <c r="AG115" s="56"/>
      <c r="AP115" s="56"/>
      <c r="AQ115" s="56"/>
      <c r="AZ115" s="56"/>
      <c r="BA115" s="56"/>
      <c r="BJ115" s="56"/>
      <c r="BK115" s="56"/>
      <c r="BM115" s="56"/>
      <c r="BN115" s="56"/>
      <c r="BO115" s="56"/>
      <c r="BP115" s="56"/>
    </row>
    <row r="116" spans="1:68" ht="76.75" customHeight="1" x14ac:dyDescent="0.3">
      <c r="A116" s="96"/>
      <c r="B116" s="314">
        <v>2</v>
      </c>
      <c r="C116" s="1074" t="s">
        <v>3676</v>
      </c>
      <c r="D116" s="1074"/>
      <c r="E116" s="316"/>
      <c r="F116" s="315"/>
      <c r="G116" s="315"/>
      <c r="H116" s="315"/>
      <c r="I116" s="315"/>
      <c r="L116" s="56"/>
      <c r="M116" s="56"/>
      <c r="V116" s="56"/>
      <c r="W116" s="56"/>
      <c r="AF116" s="56"/>
      <c r="AG116" s="56"/>
      <c r="AP116" s="56"/>
      <c r="AQ116" s="56"/>
      <c r="AZ116" s="56"/>
      <c r="BA116" s="56"/>
      <c r="BJ116" s="56"/>
      <c r="BK116" s="56"/>
      <c r="BM116" s="56"/>
      <c r="BN116" s="56"/>
      <c r="BO116" s="56"/>
      <c r="BP116" s="56"/>
    </row>
    <row r="117" spans="1:68" ht="52.9" customHeight="1" x14ac:dyDescent="0.3">
      <c r="A117" s="96"/>
      <c r="B117" s="314">
        <v>3</v>
      </c>
      <c r="C117" s="1074" t="s">
        <v>2916</v>
      </c>
      <c r="D117" s="1074"/>
      <c r="E117" s="573"/>
      <c r="F117" s="573"/>
      <c r="G117" s="573"/>
      <c r="H117" s="573"/>
      <c r="I117" s="573"/>
      <c r="L117" s="56"/>
      <c r="M117" s="56"/>
      <c r="V117" s="56"/>
      <c r="W117" s="56"/>
      <c r="AF117" s="56"/>
      <c r="AG117" s="56"/>
      <c r="AP117" s="56"/>
      <c r="AQ117" s="56"/>
      <c r="AZ117" s="56"/>
      <c r="BA117" s="56"/>
      <c r="BJ117" s="56"/>
      <c r="BK117" s="56"/>
      <c r="BM117" s="56"/>
      <c r="BN117" s="56"/>
      <c r="BO117" s="56"/>
      <c r="BP117" s="56"/>
    </row>
    <row r="118" spans="1:68" ht="46" customHeight="1" x14ac:dyDescent="0.25">
      <c r="A118" s="96"/>
      <c r="B118" s="314">
        <v>4</v>
      </c>
      <c r="C118" s="1074" t="s">
        <v>2917</v>
      </c>
      <c r="D118" s="1074"/>
      <c r="E118" s="573"/>
      <c r="F118" s="573"/>
      <c r="G118" s="573"/>
      <c r="H118" s="573"/>
      <c r="I118" s="573"/>
    </row>
    <row r="119" spans="1:68" ht="52.9" customHeight="1" x14ac:dyDescent="0.25">
      <c r="A119" s="96"/>
      <c r="B119" s="314">
        <v>5</v>
      </c>
      <c r="C119" s="1074" t="s">
        <v>2918</v>
      </c>
      <c r="D119" s="1074"/>
      <c r="E119" s="572"/>
      <c r="F119" s="572"/>
      <c r="G119" s="572"/>
      <c r="H119" s="572"/>
      <c r="I119" s="572"/>
    </row>
    <row r="120" spans="1:68" ht="46" customHeight="1" x14ac:dyDescent="0.25">
      <c r="A120" s="96"/>
      <c r="B120" s="314">
        <v>6</v>
      </c>
      <c r="C120" s="1074" t="s">
        <v>2919</v>
      </c>
      <c r="D120" s="1074"/>
      <c r="E120" s="572"/>
      <c r="F120" s="572"/>
      <c r="G120" s="572"/>
      <c r="H120" s="572"/>
      <c r="I120" s="572"/>
    </row>
    <row r="121" spans="1:68" ht="60.75" customHeight="1" x14ac:dyDescent="0.25">
      <c r="A121" s="96"/>
      <c r="B121" s="314">
        <v>7</v>
      </c>
      <c r="C121" s="1074" t="s">
        <v>3043</v>
      </c>
      <c r="D121" s="1074"/>
      <c r="E121" s="572"/>
      <c r="F121" s="572"/>
      <c r="G121" s="572"/>
      <c r="H121" s="572"/>
      <c r="I121" s="572"/>
    </row>
    <row r="122" spans="1:68" ht="52.5" customHeight="1" x14ac:dyDescent="0.25">
      <c r="A122" s="96"/>
      <c r="B122" s="314">
        <v>8</v>
      </c>
      <c r="C122" s="1074" t="s">
        <v>3055</v>
      </c>
      <c r="D122" s="1074"/>
      <c r="E122" s="572"/>
      <c r="F122" s="572"/>
      <c r="G122" s="572"/>
      <c r="H122" s="572"/>
      <c r="I122" s="572"/>
    </row>
    <row r="123" spans="1:68" ht="89.25" customHeight="1" x14ac:dyDescent="0.25">
      <c r="B123" s="314">
        <v>9</v>
      </c>
      <c r="C123" s="1074" t="s">
        <v>3445</v>
      </c>
      <c r="D123" s="1074"/>
      <c r="E123" s="572"/>
      <c r="F123" s="572"/>
      <c r="G123" s="572"/>
      <c r="H123" s="572"/>
      <c r="I123" s="572"/>
    </row>
    <row r="124" spans="1:68" ht="80.25" customHeight="1" x14ac:dyDescent="0.25">
      <c r="B124" s="314">
        <v>10</v>
      </c>
      <c r="C124" s="1074" t="s">
        <v>3447</v>
      </c>
      <c r="D124" s="1074"/>
      <c r="E124" s="572"/>
      <c r="F124" s="572"/>
      <c r="G124" s="572"/>
      <c r="H124" s="572"/>
      <c r="I124" s="572"/>
    </row>
    <row r="125" spans="1:68" ht="70.5" customHeight="1" x14ac:dyDescent="0.25">
      <c r="B125" s="314">
        <v>11</v>
      </c>
      <c r="C125" s="1074" t="s">
        <v>3686</v>
      </c>
      <c r="D125" s="1074"/>
      <c r="E125" s="572"/>
      <c r="F125" s="572"/>
      <c r="G125" s="572"/>
      <c r="H125" s="572"/>
      <c r="I125" s="572"/>
    </row>
    <row r="126" spans="1:68" ht="47.25" customHeight="1" x14ac:dyDescent="0.25">
      <c r="B126" s="314">
        <v>12</v>
      </c>
      <c r="C126" s="1074" t="s">
        <v>3458</v>
      </c>
      <c r="D126" s="1074"/>
      <c r="E126" s="572"/>
      <c r="F126" s="572"/>
      <c r="G126" s="572"/>
      <c r="H126" s="572"/>
      <c r="I126" s="572"/>
    </row>
    <row r="127" spans="1:68" ht="43.5" customHeight="1" x14ac:dyDescent="0.25">
      <c r="B127" s="314">
        <v>13</v>
      </c>
      <c r="C127" s="1074" t="s">
        <v>3679</v>
      </c>
      <c r="D127" s="1074"/>
      <c r="E127" s="573"/>
      <c r="F127" s="573"/>
      <c r="G127" s="573"/>
      <c r="H127" s="573"/>
      <c r="I127" s="573"/>
    </row>
    <row r="128" spans="1:68" ht="15" customHeight="1" x14ac:dyDescent="0.25">
      <c r="B128" s="314"/>
      <c r="C128" s="1074"/>
      <c r="D128" s="1074"/>
      <c r="E128" s="573"/>
      <c r="F128" s="573"/>
      <c r="G128" s="573"/>
      <c r="H128" s="573"/>
      <c r="I128" s="573"/>
    </row>
    <row r="129" spans="2:9" ht="67.75" customHeight="1" x14ac:dyDescent="0.25">
      <c r="B129" s="370"/>
      <c r="C129" s="574"/>
      <c r="D129" s="574"/>
      <c r="E129" s="574"/>
      <c r="F129" s="574"/>
      <c r="G129" s="574"/>
      <c r="H129" s="574"/>
      <c r="I129" s="574"/>
    </row>
    <row r="130" spans="2:9" x14ac:dyDescent="0.25">
      <c r="C130" s="122"/>
    </row>
  </sheetData>
  <sheetProtection algorithmName="SHA-512" hashValue="gOWj3hydU6n/RHV6usN8Lp0ou88bCV4Rgkmrdq0jjDR3IIdHLifHx/X1agOrZAByswiN9f33vkK3UDefxadFXQ==" saltValue="NzVPcvIrC1guOTMgHduYIg==" spinCount="100000" sheet="1" objects="1" scenarios="1"/>
  <mergeCells count="98">
    <mergeCell ref="C124:D124"/>
    <mergeCell ref="C125:D125"/>
    <mergeCell ref="C126:D126"/>
    <mergeCell ref="C127:D127"/>
    <mergeCell ref="C128:D128"/>
    <mergeCell ref="C119:D119"/>
    <mergeCell ref="C120:D120"/>
    <mergeCell ref="C121:D121"/>
    <mergeCell ref="C122:D122"/>
    <mergeCell ref="C123:D123"/>
    <mergeCell ref="C114:D114"/>
    <mergeCell ref="C115:D115"/>
    <mergeCell ref="C116:D116"/>
    <mergeCell ref="C117:D117"/>
    <mergeCell ref="C118:D118"/>
    <mergeCell ref="BY21:CH22"/>
    <mergeCell ref="N20:N22"/>
    <mergeCell ref="P20:P22"/>
    <mergeCell ref="V20:V22"/>
    <mergeCell ref="O20:O22"/>
    <mergeCell ref="BN20:BN22"/>
    <mergeCell ref="BL20:BL22"/>
    <mergeCell ref="BW20:BW22"/>
    <mergeCell ref="AO20:AO22"/>
    <mergeCell ref="AK20:AK22"/>
    <mergeCell ref="AP20:AP22"/>
    <mergeCell ref="AQ20:AQ22"/>
    <mergeCell ref="AM20:AM22"/>
    <mergeCell ref="AN20:AN22"/>
    <mergeCell ref="W20:W22"/>
    <mergeCell ref="AF20:AF22"/>
    <mergeCell ref="C20:C22"/>
    <mergeCell ref="D20:D22"/>
    <mergeCell ref="R20:R22"/>
    <mergeCell ref="S20:S22"/>
    <mergeCell ref="T20:T22"/>
    <mergeCell ref="K20:K22"/>
    <mergeCell ref="C113:F113"/>
    <mergeCell ref="E19:N19"/>
    <mergeCell ref="E20:E22"/>
    <mergeCell ref="AZ20:AZ22"/>
    <mergeCell ref="AY20:AY22"/>
    <mergeCell ref="M20:M22"/>
    <mergeCell ref="I20:I22"/>
    <mergeCell ref="L20:L22"/>
    <mergeCell ref="J20:J22"/>
    <mergeCell ref="G20:G22"/>
    <mergeCell ref="H20:H22"/>
    <mergeCell ref="F20:F22"/>
    <mergeCell ref="AI19:AR19"/>
    <mergeCell ref="AI20:AI22"/>
    <mergeCell ref="AJ20:AJ22"/>
    <mergeCell ref="O19:X19"/>
    <mergeCell ref="BM19:BP19"/>
    <mergeCell ref="BO20:BO22"/>
    <mergeCell ref="BP20:BP22"/>
    <mergeCell ref="BM20:BM22"/>
    <mergeCell ref="BC19:BL19"/>
    <mergeCell ref="BH20:BH22"/>
    <mergeCell ref="BI20:BI22"/>
    <mergeCell ref="BJ20:BJ22"/>
    <mergeCell ref="BK20:BK22"/>
    <mergeCell ref="BD20:BD22"/>
    <mergeCell ref="BE20:BE22"/>
    <mergeCell ref="BF20:BF22"/>
    <mergeCell ref="BG20:BG22"/>
    <mergeCell ref="BC20:BC22"/>
    <mergeCell ref="BQ19:BT19"/>
    <mergeCell ref="BT20:BT22"/>
    <mergeCell ref="BR20:BR22"/>
    <mergeCell ref="BQ20:BQ22"/>
    <mergeCell ref="BV20:BV22"/>
    <mergeCell ref="BS20:BS22"/>
    <mergeCell ref="BU20:BU22"/>
    <mergeCell ref="AS19:BB19"/>
    <mergeCell ref="AS20:AS22"/>
    <mergeCell ref="AT20:AT22"/>
    <mergeCell ref="BA20:BA22"/>
    <mergeCell ref="BB20:BB22"/>
    <mergeCell ref="AU20:AU22"/>
    <mergeCell ref="AV20:AV22"/>
    <mergeCell ref="AW20:AW22"/>
    <mergeCell ref="AX20:AX22"/>
    <mergeCell ref="AR20:AR22"/>
    <mergeCell ref="AL20:AL22"/>
    <mergeCell ref="Z20:Z22"/>
    <mergeCell ref="AD20:AD22"/>
    <mergeCell ref="AA20:AA22"/>
    <mergeCell ref="AB20:AB22"/>
    <mergeCell ref="AC20:AC22"/>
    <mergeCell ref="Y19:AH19"/>
    <mergeCell ref="AH20:AH22"/>
    <mergeCell ref="Q20:Q22"/>
    <mergeCell ref="Y20:Y22"/>
    <mergeCell ref="U20:U22"/>
    <mergeCell ref="AE20:AE22"/>
    <mergeCell ref="X20:X22"/>
    <mergeCell ref="AG20:AG22"/>
  </mergeCells>
  <phoneticPr fontId="27" type="noConversion"/>
  <conditionalFormatting sqref="F25:H25 K25:M25">
    <cfRule type="expression" dxfId="274" priority="261">
      <formula>$E$19&lt;2013</formula>
    </cfRule>
  </conditionalFormatting>
  <conditionalFormatting sqref="P25:R25 U25:W25">
    <cfRule type="expression" dxfId="273" priority="260">
      <formula>$O$19&lt;2013</formula>
    </cfRule>
  </conditionalFormatting>
  <conditionalFormatting sqref="Z25:AB25 AE25:AG25">
    <cfRule type="expression" dxfId="272" priority="259">
      <formula>$Y$19&lt;2013</formula>
    </cfRule>
  </conditionalFormatting>
  <conditionalFormatting sqref="AJ25:AL25 AO25:AQ25">
    <cfRule type="expression" dxfId="271" priority="258">
      <formula>$AI$19&lt;2013</formula>
    </cfRule>
  </conditionalFormatting>
  <conditionalFormatting sqref="AT25:AV25 AY25:BA25">
    <cfRule type="expression" dxfId="270" priority="257">
      <formula>$AS$19&lt;2013</formula>
    </cfRule>
  </conditionalFormatting>
  <conditionalFormatting sqref="BD25:BF25 BI25:BK25">
    <cfRule type="expression" dxfId="269" priority="256">
      <formula>$BC$19&lt;2013</formula>
    </cfRule>
  </conditionalFormatting>
  <conditionalFormatting sqref="F27:H28 K27:M28">
    <cfRule type="expression" dxfId="268" priority="255">
      <formula>$E$19&lt;2015</formula>
    </cfRule>
  </conditionalFormatting>
  <conditionalFormatting sqref="P27:R28 U27:W28">
    <cfRule type="expression" dxfId="267" priority="254">
      <formula>$O$19&lt;2015</formula>
    </cfRule>
  </conditionalFormatting>
  <conditionalFormatting sqref="Z27:AB28 AE27:AG28">
    <cfRule type="expression" dxfId="266" priority="253">
      <formula>$Y$19&lt;2015</formula>
    </cfRule>
  </conditionalFormatting>
  <conditionalFormatting sqref="AJ27:AL28 AO27:AQ28">
    <cfRule type="expression" dxfId="265" priority="252">
      <formula>$AI$19&lt;2015</formula>
    </cfRule>
  </conditionalFormatting>
  <conditionalFormatting sqref="AT27:AV28 AY27:BA28">
    <cfRule type="expression" dxfId="264" priority="251">
      <formula>$AS$19&lt;2015</formula>
    </cfRule>
  </conditionalFormatting>
  <conditionalFormatting sqref="BD27:BF28 BI27:BK28">
    <cfRule type="expression" dxfId="263" priority="250">
      <formula>$BC$19&lt;2015</formula>
    </cfRule>
  </conditionalFormatting>
  <conditionalFormatting sqref="F105:H105 K105:M105">
    <cfRule type="expression" dxfId="262" priority="249">
      <formula>$E$19&lt;2014</formula>
    </cfRule>
  </conditionalFormatting>
  <conditionalFormatting sqref="BD50:BF50 BI50:BK50">
    <cfRule type="expression" dxfId="261" priority="238">
      <formula>$BC$19&lt;2011</formula>
    </cfRule>
  </conditionalFormatting>
  <conditionalFormatting sqref="O107">
    <cfRule type="expression" dxfId="260" priority="236">
      <formula>$O$19&lt;2011</formula>
    </cfRule>
  </conditionalFormatting>
  <conditionalFormatting sqref="O107">
    <cfRule type="expression" dxfId="259" priority="234">
      <formula>$O$19=2011</formula>
    </cfRule>
  </conditionalFormatting>
  <conditionalFormatting sqref="BD107:BF107">
    <cfRule type="expression" dxfId="258" priority="229">
      <formula>$BC$19&lt;2011</formula>
    </cfRule>
  </conditionalFormatting>
  <conditionalFormatting sqref="Y108">
    <cfRule type="expression" dxfId="257" priority="225">
      <formula>$Y$19=2012</formula>
    </cfRule>
  </conditionalFormatting>
  <conditionalFormatting sqref="O108">
    <cfRule type="expression" dxfId="256" priority="224">
      <formula>$O$19&lt;2011</formula>
    </cfRule>
  </conditionalFormatting>
  <conditionalFormatting sqref="O108">
    <cfRule type="expression" dxfId="255" priority="223">
      <formula>$O$19=2011</formula>
    </cfRule>
  </conditionalFormatting>
  <conditionalFormatting sqref="E72:H72">
    <cfRule type="expression" dxfId="254" priority="222">
      <formula>$E$19&lt;2014</formula>
    </cfRule>
  </conditionalFormatting>
  <conditionalFormatting sqref="J72:M72">
    <cfRule type="expression" dxfId="253" priority="221">
      <formula>$E$19&lt;2014</formula>
    </cfRule>
  </conditionalFormatting>
  <conditionalFormatting sqref="AY72:BA72">
    <cfRule type="expression" dxfId="252" priority="209">
      <formula>$E$19&lt;2014</formula>
    </cfRule>
  </conditionalFormatting>
  <conditionalFormatting sqref="E94">
    <cfRule type="expression" dxfId="251" priority="195">
      <formula>$E$19&lt;2014</formula>
    </cfRule>
  </conditionalFormatting>
  <conditionalFormatting sqref="U93:W94">
    <cfRule type="expression" dxfId="250" priority="202">
      <formula>$E$19&lt;2014</formula>
    </cfRule>
  </conditionalFormatting>
  <conditionalFormatting sqref="P93:R94">
    <cfRule type="expression" dxfId="249" priority="201">
      <formula>$E$19&lt;2014</formula>
    </cfRule>
  </conditionalFormatting>
  <conditionalFormatting sqref="J93:L94">
    <cfRule type="expression" dxfId="248" priority="200">
      <formula>$E$19&lt;2014</formula>
    </cfRule>
  </conditionalFormatting>
  <conditionalFormatting sqref="M93">
    <cfRule type="expression" dxfId="247" priority="199">
      <formula>$E$19&lt;2014</formula>
    </cfRule>
  </conditionalFormatting>
  <conditionalFormatting sqref="M94">
    <cfRule type="expression" dxfId="246" priority="198">
      <formula>$E$19&lt;2014</formula>
    </cfRule>
  </conditionalFormatting>
  <conditionalFormatting sqref="E93">
    <cfRule type="expression" dxfId="245" priority="197">
      <formula>$E$19&lt;2014</formula>
    </cfRule>
  </conditionalFormatting>
  <conditionalFormatting sqref="F93:H94">
    <cfRule type="expression" dxfId="244" priority="196">
      <formula>$E$19&lt;2014</formula>
    </cfRule>
  </conditionalFormatting>
  <conditionalFormatting sqref="J49:M50">
    <cfRule type="expression" dxfId="243" priority="193">
      <formula>$E$19&lt;2014</formula>
    </cfRule>
  </conditionalFormatting>
  <conditionalFormatting sqref="P50">
    <cfRule type="expression" dxfId="242" priority="192">
      <formula>$E$19&lt;2014</formula>
    </cfRule>
  </conditionalFormatting>
  <conditionalFormatting sqref="Q50">
    <cfRule type="expression" dxfId="241" priority="191">
      <formula>$E$19&lt;2014</formula>
    </cfRule>
  </conditionalFormatting>
  <conditionalFormatting sqref="R50">
    <cfRule type="expression" dxfId="240" priority="190">
      <formula>$E$19&lt;2014</formula>
    </cfRule>
  </conditionalFormatting>
  <conditionalFormatting sqref="U50:W50">
    <cfRule type="expression" dxfId="239" priority="189">
      <formula>$E$19&lt;2014</formula>
    </cfRule>
  </conditionalFormatting>
  <conditionalFormatting sqref="AY49:BA50">
    <cfRule type="expression" dxfId="238" priority="181">
      <formula>$E$19&lt;2014</formula>
    </cfRule>
  </conditionalFormatting>
  <conditionalFormatting sqref="AT83:AV83">
    <cfRule type="expression" dxfId="237" priority="148">
      <formula>$E$19&lt;2014</formula>
    </cfRule>
  </conditionalFormatting>
  <conditionalFormatting sqref="AY83:BA83">
    <cfRule type="expression" dxfId="236" priority="147">
      <formula>$E$19&lt;2014</formula>
    </cfRule>
  </conditionalFormatting>
  <conditionalFormatting sqref="BD83:BF83">
    <cfRule type="expression" dxfId="235" priority="146">
      <formula>$E$19&lt;2014</formula>
    </cfRule>
  </conditionalFormatting>
  <conditionalFormatting sqref="BI83:BK83">
    <cfRule type="expression" dxfId="234" priority="145">
      <formula>$E$19&lt;2014</formula>
    </cfRule>
  </conditionalFormatting>
  <conditionalFormatting sqref="E49:H50">
    <cfRule type="expression" dxfId="233" priority="144">
      <formula>$E$19&lt;2014</formula>
    </cfRule>
  </conditionalFormatting>
  <conditionalFormatting sqref="E83:H83">
    <cfRule type="expression" dxfId="232" priority="140">
      <formula>$E$19&lt;2014</formula>
    </cfRule>
  </conditionalFormatting>
  <conditionalFormatting sqref="J83:M83">
    <cfRule type="expression" dxfId="231" priority="139">
      <formula>$E$19&lt;2014</formula>
    </cfRule>
  </conditionalFormatting>
  <conditionalFormatting sqref="E51:H51">
    <cfRule type="expression" dxfId="230" priority="120">
      <formula>$E$19&lt;2014</formula>
    </cfRule>
  </conditionalFormatting>
  <conditionalFormatting sqref="J51:M51">
    <cfRule type="expression" dxfId="229" priority="119">
      <formula>$E$19&lt;2014</formula>
    </cfRule>
  </conditionalFormatting>
  <conditionalFormatting sqref="P51">
    <cfRule type="expression" dxfId="228" priority="118">
      <formula>$E$19&lt;2014</formula>
    </cfRule>
  </conditionalFormatting>
  <conditionalFormatting sqref="Q51">
    <cfRule type="expression" dxfId="227" priority="117">
      <formula>$E$19&lt;2014</formula>
    </cfRule>
  </conditionalFormatting>
  <conditionalFormatting sqref="R51">
    <cfRule type="expression" dxfId="226" priority="116">
      <formula>$E$19&lt;2014</formula>
    </cfRule>
  </conditionalFormatting>
  <conditionalFormatting sqref="U51:W51">
    <cfRule type="expression" dxfId="225" priority="115">
      <formula>$E$19&lt;2014</formula>
    </cfRule>
  </conditionalFormatting>
  <conditionalFormatting sqref="Z51:AB51">
    <cfRule type="expression" dxfId="224" priority="114">
      <formula>$E$19&lt;2014</formula>
    </cfRule>
  </conditionalFormatting>
  <conditionalFormatting sqref="AE51:AG51">
    <cfRule type="expression" dxfId="223" priority="113">
      <formula>$E$19&lt;2014</formula>
    </cfRule>
  </conditionalFormatting>
  <conditionalFormatting sqref="E52:H52">
    <cfRule type="expression" dxfId="222" priority="70">
      <formula>$E$19&lt;2014</formula>
    </cfRule>
  </conditionalFormatting>
  <conditionalFormatting sqref="J52:M52">
    <cfRule type="expression" dxfId="221" priority="69">
      <formula>$E$19&lt;2014</formula>
    </cfRule>
  </conditionalFormatting>
  <conditionalFormatting sqref="P52">
    <cfRule type="expression" dxfId="220" priority="68">
      <formula>$E$19&lt;2014</formula>
    </cfRule>
  </conditionalFormatting>
  <conditionalFormatting sqref="Q52">
    <cfRule type="expression" dxfId="219" priority="67">
      <formula>$E$19&lt;2014</formula>
    </cfRule>
  </conditionalFormatting>
  <conditionalFormatting sqref="R52">
    <cfRule type="expression" dxfId="218" priority="66">
      <formula>$E$19&lt;2014</formula>
    </cfRule>
  </conditionalFormatting>
  <conditionalFormatting sqref="U52:W52">
    <cfRule type="expression" dxfId="217" priority="65">
      <formula>$E$19&lt;2014</formula>
    </cfRule>
  </conditionalFormatting>
  <conditionalFormatting sqref="Z52:AB52">
    <cfRule type="expression" dxfId="216" priority="64">
      <formula>$E$19&lt;2014</formula>
    </cfRule>
  </conditionalFormatting>
  <conditionalFormatting sqref="AE52:AG52">
    <cfRule type="expression" dxfId="215" priority="63">
      <formula>$E$19&lt;2014</formula>
    </cfRule>
  </conditionalFormatting>
  <conditionalFormatting sqref="AJ52:AL52">
    <cfRule type="expression" dxfId="214" priority="62">
      <formula>$E$19&lt;2014</formula>
    </cfRule>
  </conditionalFormatting>
  <conditionalFormatting sqref="AO52:AQ52">
    <cfRule type="expression" dxfId="213" priority="61">
      <formula>$E$19&lt;2014</formula>
    </cfRule>
  </conditionalFormatting>
  <conditionalFormatting sqref="E53:H53">
    <cfRule type="expression" dxfId="212" priority="60">
      <formula>$E$19&lt;2014</formula>
    </cfRule>
  </conditionalFormatting>
  <conditionalFormatting sqref="J53:M53">
    <cfRule type="expression" dxfId="211" priority="59">
      <formula>$E$19&lt;2014</formula>
    </cfRule>
  </conditionalFormatting>
  <conditionalFormatting sqref="P53">
    <cfRule type="expression" dxfId="210" priority="58">
      <formula>$E$19&lt;2014</formula>
    </cfRule>
  </conditionalFormatting>
  <conditionalFormatting sqref="Q53">
    <cfRule type="expression" dxfId="209" priority="57">
      <formula>$E$19&lt;2014</formula>
    </cfRule>
  </conditionalFormatting>
  <conditionalFormatting sqref="R53">
    <cfRule type="expression" dxfId="208" priority="56">
      <formula>$E$19&lt;2014</formula>
    </cfRule>
  </conditionalFormatting>
  <conditionalFormatting sqref="U53">
    <cfRule type="expression" dxfId="207" priority="55">
      <formula>$E$19&lt;2014</formula>
    </cfRule>
  </conditionalFormatting>
  <conditionalFormatting sqref="V53">
    <cfRule type="expression" dxfId="206" priority="54">
      <formula>$E$19&lt;2014</formula>
    </cfRule>
  </conditionalFormatting>
  <conditionalFormatting sqref="W53">
    <cfRule type="expression" dxfId="205" priority="53">
      <formula>$E$19&lt;2014</formula>
    </cfRule>
  </conditionalFormatting>
  <conditionalFormatting sqref="Z53">
    <cfRule type="expression" dxfId="204" priority="52">
      <formula>$E$19&lt;2014</formula>
    </cfRule>
  </conditionalFormatting>
  <conditionalFormatting sqref="AA53">
    <cfRule type="expression" dxfId="203" priority="51">
      <formula>$E$19&lt;2014</formula>
    </cfRule>
  </conditionalFormatting>
  <conditionalFormatting sqref="AB53">
    <cfRule type="expression" dxfId="202" priority="50">
      <formula>$E$19&lt;2014</formula>
    </cfRule>
  </conditionalFormatting>
  <conditionalFormatting sqref="AE53">
    <cfRule type="expression" dxfId="201" priority="49">
      <formula>$E$19&lt;2014</formula>
    </cfRule>
  </conditionalFormatting>
  <conditionalFormatting sqref="AF53">
    <cfRule type="expression" dxfId="200" priority="48">
      <formula>$E$19&lt;2014</formula>
    </cfRule>
  </conditionalFormatting>
  <conditionalFormatting sqref="AG53">
    <cfRule type="expression" dxfId="199" priority="47">
      <formula>$E$19&lt;2014</formula>
    </cfRule>
  </conditionalFormatting>
  <conditionalFormatting sqref="AJ53">
    <cfRule type="expression" dxfId="198" priority="46">
      <formula>$E$19&lt;2014</formula>
    </cfRule>
  </conditionalFormatting>
  <conditionalFormatting sqref="AK53">
    <cfRule type="expression" dxfId="197" priority="45">
      <formula>$E$19&lt;2014</formula>
    </cfRule>
  </conditionalFormatting>
  <conditionalFormatting sqref="AL53">
    <cfRule type="expression" dxfId="196" priority="44">
      <formula>$E$19&lt;2014</formula>
    </cfRule>
  </conditionalFormatting>
  <conditionalFormatting sqref="AO53">
    <cfRule type="expression" dxfId="195" priority="43">
      <formula>$E$19&lt;2014</formula>
    </cfRule>
  </conditionalFormatting>
  <conditionalFormatting sqref="AP53">
    <cfRule type="expression" dxfId="194" priority="42">
      <formula>$E$19&lt;2014</formula>
    </cfRule>
  </conditionalFormatting>
  <conditionalFormatting sqref="AQ53">
    <cfRule type="expression" dxfId="193" priority="41">
      <formula>$E$19&lt;2014</formula>
    </cfRule>
  </conditionalFormatting>
  <conditionalFormatting sqref="Z54">
    <cfRule type="expression" dxfId="192" priority="32">
      <formula>$E$19&lt;2014</formula>
    </cfRule>
  </conditionalFormatting>
  <conditionalFormatting sqref="AA54">
    <cfRule type="expression" dxfId="191" priority="31">
      <formula>$E$19&lt;2014</formula>
    </cfRule>
  </conditionalFormatting>
  <conditionalFormatting sqref="AB54">
    <cfRule type="expression" dxfId="190" priority="30">
      <formula>$E$19&lt;2014</formula>
    </cfRule>
  </conditionalFormatting>
  <conditionalFormatting sqref="AE54">
    <cfRule type="expression" dxfId="189" priority="29">
      <formula>$E$19&lt;2014</formula>
    </cfRule>
  </conditionalFormatting>
  <conditionalFormatting sqref="AF54">
    <cfRule type="expression" dxfId="188" priority="28">
      <formula>$E$19&lt;2014</formula>
    </cfRule>
  </conditionalFormatting>
  <conditionalFormatting sqref="AG54">
    <cfRule type="expression" dxfId="187" priority="27">
      <formula>$E$19&lt;2014</formula>
    </cfRule>
  </conditionalFormatting>
  <conditionalFormatting sqref="AJ54">
    <cfRule type="expression" dxfId="186" priority="26">
      <formula>$E$19&lt;2014</formula>
    </cfRule>
  </conditionalFormatting>
  <conditionalFormatting sqref="AK54">
    <cfRule type="expression" dxfId="185" priority="25">
      <formula>$E$19&lt;2014</formula>
    </cfRule>
  </conditionalFormatting>
  <conditionalFormatting sqref="AL54">
    <cfRule type="expression" dxfId="184" priority="24">
      <formula>$E$19&lt;2014</formula>
    </cfRule>
  </conditionalFormatting>
  <conditionalFormatting sqref="AO54">
    <cfRule type="expression" dxfId="183" priority="23">
      <formula>$E$19&lt;2014</formula>
    </cfRule>
  </conditionalFormatting>
  <conditionalFormatting sqref="AP54">
    <cfRule type="expression" dxfId="182" priority="22">
      <formula>$E$19&lt;2014</formula>
    </cfRule>
  </conditionalFormatting>
  <conditionalFormatting sqref="AQ54">
    <cfRule type="expression" dxfId="181" priority="21">
      <formula>$E$19&lt;2014</formula>
    </cfRule>
  </conditionalFormatting>
  <conditionalFormatting sqref="AT54">
    <cfRule type="expression" dxfId="180" priority="20">
      <formula>$E$19&lt;2014</formula>
    </cfRule>
  </conditionalFormatting>
  <conditionalFormatting sqref="AU54">
    <cfRule type="expression" dxfId="179" priority="19">
      <formula>$E$19&lt;2014</formula>
    </cfRule>
  </conditionalFormatting>
  <conditionalFormatting sqref="AV54">
    <cfRule type="expression" dxfId="178" priority="18">
      <formula>$E$19&lt;2014</formula>
    </cfRule>
  </conditionalFormatting>
  <conditionalFormatting sqref="AY54">
    <cfRule type="expression" dxfId="177" priority="17">
      <formula>$E$19&lt;2014</formula>
    </cfRule>
  </conditionalFormatting>
  <conditionalFormatting sqref="AZ54">
    <cfRule type="expression" dxfId="176" priority="16">
      <formula>$E$19&lt;2014</formula>
    </cfRule>
  </conditionalFormatting>
  <conditionalFormatting sqref="BA54">
    <cfRule type="expression" dxfId="175" priority="15">
      <formula>$E$19&lt;2014</formula>
    </cfRule>
  </conditionalFormatting>
  <conditionalFormatting sqref="E54:H54">
    <cfRule type="expression" dxfId="174" priority="14">
      <formula>$E$19&lt;2014</formula>
    </cfRule>
  </conditionalFormatting>
  <conditionalFormatting sqref="J54:M54">
    <cfRule type="expression" dxfId="173" priority="13">
      <formula>$E$19&lt;2014</formula>
    </cfRule>
  </conditionalFormatting>
  <conditionalFormatting sqref="P54">
    <cfRule type="expression" dxfId="172" priority="12">
      <formula>$E$19&lt;2014</formula>
    </cfRule>
  </conditionalFormatting>
  <conditionalFormatting sqref="Q54">
    <cfRule type="expression" dxfId="171" priority="11">
      <formula>$E$19&lt;2014</formula>
    </cfRule>
  </conditionalFormatting>
  <conditionalFormatting sqref="R54">
    <cfRule type="expression" dxfId="170" priority="10">
      <formula>$E$19&lt;2014</formula>
    </cfRule>
  </conditionalFormatting>
  <conditionalFormatting sqref="U54">
    <cfRule type="expression" dxfId="169" priority="9">
      <formula>$E$19&lt;2014</formula>
    </cfRule>
  </conditionalFormatting>
  <conditionalFormatting sqref="V54">
    <cfRule type="expression" dxfId="168" priority="8">
      <formula>$E$19&lt;2014</formula>
    </cfRule>
  </conditionalFormatting>
  <conditionalFormatting sqref="W54">
    <cfRule type="expression" dxfId="167" priority="7">
      <formula>$E$19&lt;2014</formula>
    </cfRule>
  </conditionalFormatting>
  <dataValidations disablePrompts="1" count="2">
    <dataValidation type="list" errorTitle="Selection Needed" error="Please select an option from the drop-down list." prompt="Use the following format eg: January 1, 2013" sqref="BU110 BU103 BU78 BU73 BU96 BU107:BU108 BU54:BU70" xr:uid="{00000000-0002-0000-0500-000000000000}">
      <formula1>"Yes,No"</formula1>
    </dataValidation>
    <dataValidation errorTitle="Selection Needed" error="Please select an option from the drop-down list." prompt="Use the following format eg: January 1, 2013" sqref="BU51:BU53" xr:uid="{37684AF7-701F-47EB-85AF-0AB6B00F65D5}"/>
  </dataValidations>
  <pageMargins left="0.36" right="0.41" top="0.64" bottom="0.98425196850393704" header="0.32" footer="0.51181102362204722"/>
  <pageSetup scale="10" orientation="portrait" r:id="rId1"/>
  <headerFooter alignWithMargins="0"/>
  <rowBreaks count="1" manualBreakCount="1">
    <brk id="86" max="16383" man="1"/>
  </rowBreaks>
  <colBreaks count="3" manualBreakCount="3">
    <brk id="4" max="1048575" man="1"/>
    <brk id="14" max="1048575" man="1"/>
    <brk id="24" max="1048575" man="1"/>
  </colBreaks>
  <ignoredErrors>
    <ignoredError sqref="BT71 BT9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99" r:id="rId4" name="Check Box 51">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082" r:id="rId5" name="Drop Down 34">
              <controlPr defaultSize="0" autoLine="0" autoPict="0" macro="[0]!DropDown34_Change">
                <anchor>
                  <from>
                    <xdr:col>1</xdr:col>
                    <xdr:colOff>342900</xdr:colOff>
                    <xdr:row>59</xdr:row>
                    <xdr:rowOff>88900</xdr:rowOff>
                  </from>
                  <to>
                    <xdr:col>1</xdr:col>
                    <xdr:colOff>1289050</xdr:colOff>
                    <xdr:row>60</xdr:row>
                    <xdr:rowOff>171450</xdr:rowOff>
                  </to>
                </anchor>
              </controlPr>
            </control>
          </mc:Choice>
        </mc:AlternateContent>
        <mc:AlternateContent xmlns:mc="http://schemas.openxmlformats.org/markup-compatibility/2006">
          <mc:Choice Requires="x14">
            <control shapeId="2089" r:id="rId6" name="Check Box 41">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090" r:id="rId7" name="Check Box 42">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091" r:id="rId8" name="Check Box 43">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092" r:id="rId9" name="Check Box 44">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093" r:id="rId10" name="Check Box 45">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094" r:id="rId11" name="Check Box 46">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095" r:id="rId12" name="Check Box 47">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096" r:id="rId13" name="Check Box 48">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097" r:id="rId14" name="Check Box 49">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100" r:id="rId15" name="Check Box 52">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101" r:id="rId16" name="Check Box 53">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mc:AlternateContent xmlns:mc="http://schemas.openxmlformats.org/markup-compatibility/2006">
          <mc:Choice Requires="x14">
            <control shapeId="2098" r:id="rId17" name="Check Box 50">
              <controlPr defaultSize="0" autoFill="0" autoLine="0" autoPict="0">
                <anchor moveWithCells="1">
                  <from>
                    <xdr:col>71</xdr:col>
                    <xdr:colOff>107950</xdr:colOff>
                    <xdr:row>55</xdr:row>
                    <xdr:rowOff>0</xdr:rowOff>
                  </from>
                  <to>
                    <xdr:col>71</xdr:col>
                    <xdr:colOff>2076450</xdr:colOff>
                    <xdr:row>56</xdr:row>
                    <xdr:rowOff>31750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4:F92"/>
  <sheetViews>
    <sheetView showGridLines="0" topLeftCell="A20" workbookViewId="0">
      <selection activeCell="E24" sqref="E24"/>
    </sheetView>
  </sheetViews>
  <sheetFormatPr defaultColWidth="9" defaultRowHeight="12.5" x14ac:dyDescent="0.25"/>
  <cols>
    <col min="1" max="1" width="0.26953125" style="1" customWidth="1"/>
    <col min="2" max="2" width="15" style="1" customWidth="1"/>
    <col min="3" max="3" width="86.26953125" style="1" customWidth="1"/>
    <col min="4" max="4" width="9" style="1"/>
    <col min="5" max="5" width="20" style="1" customWidth="1"/>
    <col min="6" max="6" width="102" style="1" customWidth="1"/>
    <col min="7" max="16384" width="9" style="1"/>
  </cols>
  <sheetData>
    <row r="14" spans="1:5" x14ac:dyDescent="0.25">
      <c r="A14" s="107"/>
    </row>
    <row r="15" spans="1:5" x14ac:dyDescent="0.25">
      <c r="A15" s="107"/>
    </row>
    <row r="16" spans="1:5" ht="30" customHeight="1" x14ac:dyDescent="0.25">
      <c r="A16" s="107"/>
      <c r="B16" s="1123" t="s">
        <v>185</v>
      </c>
      <c r="C16" s="1123"/>
      <c r="D16" s="1123"/>
      <c r="E16" s="1123"/>
    </row>
    <row r="17" spans="1:6" x14ac:dyDescent="0.25">
      <c r="A17" s="107"/>
    </row>
    <row r="18" spans="1:6" ht="38.25" customHeight="1" thickBot="1" x14ac:dyDescent="0.3">
      <c r="A18" s="107"/>
      <c r="B18"/>
      <c r="C18"/>
      <c r="D18"/>
    </row>
    <row r="19" spans="1:6" ht="29" thickBot="1" x14ac:dyDescent="0.7">
      <c r="A19" s="107"/>
      <c r="C19" s="18"/>
      <c r="D19" s="16"/>
      <c r="E19" s="17"/>
      <c r="F19" s="16"/>
    </row>
    <row r="20" spans="1:6" ht="14.25" customHeight="1" x14ac:dyDescent="0.25">
      <c r="A20" s="107"/>
      <c r="C20" s="1120" t="s">
        <v>16</v>
      </c>
      <c r="D20" s="1118" t="s">
        <v>0</v>
      </c>
      <c r="E20" s="1080" t="str">
        <f>CONCATENATE("Variance                           RRR vs. ",'2b. Continuity Schedule'!BC19," Balance                        (Principal + Interest)")</f>
        <v>Variance                           RRR vs. 2022 Balance                        (Principal + Interest)</v>
      </c>
      <c r="F20" s="1117" t="s">
        <v>20</v>
      </c>
    </row>
    <row r="21" spans="1:6" ht="24.75" customHeight="1" x14ac:dyDescent="0.25">
      <c r="A21" s="107"/>
      <c r="C21" s="1121"/>
      <c r="D21" s="1118"/>
      <c r="E21" s="1081"/>
      <c r="F21" s="1118"/>
    </row>
    <row r="22" spans="1:6" ht="37" customHeight="1" thickBot="1" x14ac:dyDescent="0.3">
      <c r="A22" s="107"/>
      <c r="B22" s="14"/>
      <c r="C22" s="1122"/>
      <c r="D22" s="1119"/>
      <c r="E22" s="1082"/>
      <c r="F22" s="1119"/>
    </row>
    <row r="23" spans="1:6" ht="33.75" customHeight="1" x14ac:dyDescent="0.25">
      <c r="A23" s="107"/>
      <c r="C23" s="284"/>
      <c r="D23" s="285"/>
      <c r="E23" s="286"/>
      <c r="F23" s="6"/>
    </row>
    <row r="24" spans="1:6" ht="30.75" customHeight="1" x14ac:dyDescent="0.25">
      <c r="A24" s="107">
        <v>1</v>
      </c>
      <c r="C24" s="287" t="str">
        <f>VLOOKUP(A24, '2a. Continuity Schedule'!$A$24:$BW$60,3,FALSE)</f>
        <v>LV Variance Account</v>
      </c>
      <c r="D24" s="288">
        <f>VLOOKUP(A24, '2a. Continuity Schedule'!$A$24:$BW$60,4,FALSE)</f>
        <v>1550</v>
      </c>
      <c r="E24" s="289">
        <f>IF(ISERROR(VLOOKUP($A24, '2a. Continuity Schedule'!$A$20:$BW$60, MATCH('3. Appendix A'!$E$20, '2a. Continuity Schedule'!$A$20:$BW$20,0),FALSE)), 0, VLOOKUP($A24, '2a. Continuity Schedule'!$A$20:$BW$60, MATCH('3. Appendix A'!$E$20, '2a. Continuity Schedule'!$A$20:$BW$20,0),FALSE))</f>
        <v>1690189.06</v>
      </c>
      <c r="F24" s="150"/>
    </row>
    <row r="25" spans="1:6" ht="30.75" customHeight="1" x14ac:dyDescent="0.25">
      <c r="A25" s="107">
        <v>2</v>
      </c>
      <c r="C25" s="287" t="str">
        <f>VLOOKUP(A25, '2a. Continuity Schedule'!$A$24:$BW$60,3,FALSE)</f>
        <v>Smart Metering Entity Charge Variance Account</v>
      </c>
      <c r="D25" s="288">
        <f>VLOOKUP(A25, '2a. Continuity Schedule'!$A$24:$BW$60,4,FALSE)</f>
        <v>1551</v>
      </c>
      <c r="E25" s="289">
        <f>IF(ISERROR(VLOOKUP($A25, '2a. Continuity Schedule'!$A$20:$BW$60, MATCH('3. Appendix A'!$E$20, '2a. Continuity Schedule'!$A$20:$BW$20,0),FALSE)), 0, VLOOKUP($A25, '2a. Continuity Schedule'!$A$20:$BW$60, MATCH('3. Appendix A'!$E$20, '2a. Continuity Schedule'!$A$20:$BW$20,0),FALSE))</f>
        <v>-2621842.42</v>
      </c>
      <c r="F25" s="150"/>
    </row>
    <row r="26" spans="1:6" ht="30.75" customHeight="1" x14ac:dyDescent="0.25">
      <c r="A26" s="107">
        <v>3</v>
      </c>
      <c r="C26" s="287" t="str">
        <f>VLOOKUP(A26, '2a. Continuity Schedule'!$A$24:$BW$60,3,FALSE)</f>
        <v>RSVA - Wholesale Market Service Charge5</v>
      </c>
      <c r="D26" s="288">
        <f>VLOOKUP(A26, '2a. Continuity Schedule'!$A$24:$BW$60,4,FALSE)</f>
        <v>1580</v>
      </c>
      <c r="E26" s="289">
        <f>IF(ISERROR(VLOOKUP($A26, '2a. Continuity Schedule'!$A$20:$BW$60, MATCH('3. Appendix A'!$E$20, '2a. Continuity Schedule'!$A$20:$BW$20,0),FALSE)), 0, VLOOKUP($A26, '2a. Continuity Schedule'!$A$20:$BW$60, MATCH('3. Appendix A'!$E$20, '2a. Continuity Schedule'!$A$20:$BW$20,0),FALSE))</f>
        <v>55862594.130000003</v>
      </c>
      <c r="F26" s="150"/>
    </row>
    <row r="27" spans="1:6" ht="30.75" hidden="1" customHeight="1" x14ac:dyDescent="0.25">
      <c r="A27" s="107">
        <v>3.1</v>
      </c>
      <c r="C27" s="287" t="str">
        <f>VLOOKUP(A27, '2a. Continuity Schedule'!$A$24:$BW$60,3,FALSE)</f>
        <v>Variance WMS – Sub-account CBR Class A5</v>
      </c>
      <c r="D27" s="288">
        <f>VLOOKUP(A27, '2a. Continuity Schedule'!$A$24:$BW$60,4,FALSE)</f>
        <v>1580</v>
      </c>
      <c r="E27" s="289">
        <f>IF(ISERROR(VLOOKUP($A27, '2a. Continuity Schedule'!$A$20:$BW$60, MATCH('3. Appendix A'!$E$20, '2a. Continuity Schedule'!$A$20:$BW$20,0),FALSE)), 0, VLOOKUP($A27, '2a. Continuity Schedule'!$A$20:$BW$60, MATCH('3. Appendix A'!$E$20, '2a. Continuity Schedule'!$A$20:$BW$20,0),FALSE))</f>
        <v>0</v>
      </c>
      <c r="F27" s="150"/>
    </row>
    <row r="28" spans="1:6" ht="30.75" customHeight="1" x14ac:dyDescent="0.25">
      <c r="A28" s="107">
        <v>3.2</v>
      </c>
      <c r="C28" s="287" t="str">
        <f>VLOOKUP(A28, '2a. Continuity Schedule'!$A$24:$BW$60,3,FALSE)</f>
        <v>Variance WMS – Sub-account CBR Class B5</v>
      </c>
      <c r="D28" s="288">
        <f>VLOOKUP(A28, '2a. Continuity Schedule'!$A$24:$BW$60,4,FALSE)</f>
        <v>1580</v>
      </c>
      <c r="E28" s="289">
        <f>IF(ISERROR(VLOOKUP($A28, '2a. Continuity Schedule'!$A$20:$BW$60, MATCH('3. Appendix A'!$E$20, '2a. Continuity Schedule'!$A$20:$BW$20,0),FALSE)), 0, VLOOKUP($A28, '2a. Continuity Schedule'!$A$20:$BW$60, MATCH('3. Appendix A'!$E$20, '2a. Continuity Schedule'!$A$20:$BW$20,0),FALSE))</f>
        <v>-4699299.4300000006</v>
      </c>
      <c r="F28" s="150"/>
    </row>
    <row r="29" spans="1:6" ht="30.75" customHeight="1" x14ac:dyDescent="0.25">
      <c r="A29" s="107">
        <v>4</v>
      </c>
      <c r="C29" s="287" t="str">
        <f>VLOOKUP(A29, '2a. Continuity Schedule'!$A$24:$BW$60,3,FALSE)</f>
        <v>RSVA - Retail Transmission Network Charge</v>
      </c>
      <c r="D29" s="288">
        <f>VLOOKUP(A29, '2a. Continuity Schedule'!$A$24:$BW$60,4,FALSE)</f>
        <v>1584</v>
      </c>
      <c r="E29" s="289">
        <f>IF(ISERROR(VLOOKUP($A29, '2a. Continuity Schedule'!$A$20:$BW$60, MATCH('3. Appendix A'!$E$20, '2a. Continuity Schedule'!$A$20:$BW$20,0),FALSE)), 0, VLOOKUP($A29, '2a. Continuity Schedule'!$A$20:$BW$60, MATCH('3. Appendix A'!$E$20, '2a. Continuity Schedule'!$A$20:$BW$20,0),FALSE))</f>
        <v>87498088.310000002</v>
      </c>
      <c r="F29" s="150"/>
    </row>
    <row r="30" spans="1:6" ht="30.75" customHeight="1" x14ac:dyDescent="0.25">
      <c r="A30" s="107">
        <v>5</v>
      </c>
      <c r="C30" s="287" t="str">
        <f>VLOOKUP(A30, '2a. Continuity Schedule'!$A$24:$BW$60,3,FALSE)</f>
        <v>RSVA - Retail Transmission Connection Charge</v>
      </c>
      <c r="D30" s="288">
        <f>VLOOKUP(A30, '2a. Continuity Schedule'!$A$24:$BW$60,4,FALSE)</f>
        <v>1586</v>
      </c>
      <c r="E30" s="289">
        <f>IF(ISERROR(VLOOKUP($A30, '2a. Continuity Schedule'!$A$20:$BW$60, MATCH('3. Appendix A'!$E$20, '2a. Continuity Schedule'!$A$20:$BW$20,0),FALSE)), 0, VLOOKUP($A30, '2a. Continuity Schedule'!$A$20:$BW$60, MATCH('3. Appendix A'!$E$20, '2a. Continuity Schedule'!$A$20:$BW$20,0),FALSE))</f>
        <v>18847895.670000002</v>
      </c>
      <c r="F30" s="150"/>
    </row>
    <row r="31" spans="1:6" ht="30.75" customHeight="1" x14ac:dyDescent="0.25">
      <c r="A31" s="107">
        <v>6</v>
      </c>
      <c r="C31" s="287" t="str">
        <f>VLOOKUP(A31, '2a. Continuity Schedule'!$A$24:$BW$60,3,FALSE)</f>
        <v>RSVA - Power (excluding Global Adjustment)4</v>
      </c>
      <c r="D31" s="288">
        <f>VLOOKUP(A31, '2a. Continuity Schedule'!$A$24:$BW$60,4,FALSE)</f>
        <v>1588</v>
      </c>
      <c r="E31" s="289">
        <f>IF(ISERROR(VLOOKUP($A31, '2a. Continuity Schedule'!$A$20:$BW$60, MATCH('3. Appendix A'!$E$20, '2a. Continuity Schedule'!$A$20:$BW$20,0),FALSE)), 0, VLOOKUP($A31, '2a. Continuity Schedule'!$A$20:$BW$60, MATCH('3. Appendix A'!$E$20, '2a. Continuity Schedule'!$A$20:$BW$20,0),FALSE))</f>
        <v>24695994.93</v>
      </c>
      <c r="F31" s="150"/>
    </row>
    <row r="32" spans="1:6" ht="30.75" customHeight="1" x14ac:dyDescent="0.25">
      <c r="A32" s="107">
        <v>7</v>
      </c>
      <c r="C32" s="287" t="str">
        <f>VLOOKUP(A32, '2a. Continuity Schedule'!$A$24:$BW$60,3,FALSE)</f>
        <v>RSVA - Global Adjustment 4</v>
      </c>
      <c r="D32" s="288">
        <f>VLOOKUP(A32, '2a. Continuity Schedule'!$A$24:$BW$60,4,FALSE)</f>
        <v>1589</v>
      </c>
      <c r="E32" s="289">
        <f>IF(ISERROR(VLOOKUP($A32, '2a. Continuity Schedule'!$A$20:$BW$60, MATCH('3. Appendix A'!$E$20, '2a. Continuity Schedule'!$A$20:$BW$20,0),FALSE)), 0, VLOOKUP($A32, '2a. Continuity Schedule'!$A$20:$BW$60, MATCH('3. Appendix A'!$E$20, '2a. Continuity Schedule'!$A$20:$BW$20,0),FALSE))</f>
        <v>-20256821.68</v>
      </c>
      <c r="F32" s="150"/>
    </row>
    <row r="33" spans="1:6" ht="30.75" hidden="1" customHeight="1" x14ac:dyDescent="0.25">
      <c r="A33" s="107">
        <v>8</v>
      </c>
      <c r="C33" s="287" t="str">
        <f>VLOOKUP(A33, '2a. Continuity Schedule'!$A$24:$BW$60,3,FALSE)</f>
        <v>Disposition and Recovery/Refund of Regulatory Balances (2009)7</v>
      </c>
      <c r="D33" s="288">
        <f>VLOOKUP(A33, '2a. Continuity Schedule'!$A$24:$BW$60,4,FALSE)</f>
        <v>1595</v>
      </c>
      <c r="E33" s="289">
        <f>IF(ISERROR(VLOOKUP($A33, '2a. Continuity Schedule'!$A$20:$BW$60, MATCH('3. Appendix A'!$E$20, '2a. Continuity Schedule'!$A$20:$BW$20,0),FALSE)), 0, VLOOKUP($A33, '2a. Continuity Schedule'!$A$20:$BW$60, MATCH('3. Appendix A'!$E$20, '2a. Continuity Schedule'!$A$20:$BW$20,0),FALSE))</f>
        <v>0</v>
      </c>
      <c r="F33" s="150"/>
    </row>
    <row r="34" spans="1:6" ht="30.75" hidden="1" customHeight="1" x14ac:dyDescent="0.25">
      <c r="A34" s="107">
        <v>9</v>
      </c>
      <c r="C34" s="287" t="str">
        <f>VLOOKUP(A34, '2a. Continuity Schedule'!$A$24:$BW$60,3,FALSE)</f>
        <v>Disposition and Recovery/Refund of Regulatory Balances (2017 and pre-2017)3</v>
      </c>
      <c r="D34" s="288">
        <f>VLOOKUP(A34, '2a. Continuity Schedule'!$A$24:$BW$60,4,FALSE)</f>
        <v>1595</v>
      </c>
      <c r="E34" s="289">
        <f>IF(ISERROR(VLOOKUP($A34, '2a. Continuity Schedule'!$A$20:$BW$60, MATCH('3. Appendix A'!$E$20, '2a. Continuity Schedule'!$A$20:$BW$20,0),FALSE)), 0, VLOOKUP($A34, '2a. Continuity Schedule'!$A$20:$BW$60, MATCH('3. Appendix A'!$E$20, '2a. Continuity Schedule'!$A$20:$BW$20,0),FALSE))</f>
        <v>0</v>
      </c>
      <c r="F34" s="150"/>
    </row>
    <row r="35" spans="1:6" ht="30.75" customHeight="1" x14ac:dyDescent="0.25">
      <c r="A35" s="107">
        <v>10</v>
      </c>
      <c r="C35" s="287" t="str">
        <f>VLOOKUP(A35, '2a. Continuity Schedule'!$A$24:$BW$60,3,FALSE)</f>
        <v>Disposition and Recovery/Refund of Regulatory Balances (2018)3</v>
      </c>
      <c r="D35" s="288">
        <f>VLOOKUP(A35, '2a. Continuity Schedule'!$A$24:$BW$60,4,FALSE)</f>
        <v>1595</v>
      </c>
      <c r="E35" s="289">
        <f>IF(ISERROR(VLOOKUP($A35, '2a. Continuity Schedule'!$A$20:$BW$60, MATCH('3. Appendix A'!$E$20, '2a. Continuity Schedule'!$A$20:$BW$20,0),FALSE)), 0, VLOOKUP($A35, '2a. Continuity Schedule'!$A$20:$BW$60, MATCH('3. Appendix A'!$E$20, '2a. Continuity Schedule'!$A$20:$BW$20,0),FALSE))</f>
        <v>-908211.6</v>
      </c>
      <c r="F35" s="150"/>
    </row>
    <row r="36" spans="1:6" ht="30.75" customHeight="1" x14ac:dyDescent="0.25">
      <c r="A36" s="107">
        <v>11</v>
      </c>
      <c r="C36" s="287" t="str">
        <f>VLOOKUP(A36, '2a. Continuity Schedule'!$A$24:$BW$60,3,FALSE)</f>
        <v>Disposition and Recovery/Refund of Regulatory Balances (2019)3</v>
      </c>
      <c r="D36" s="288">
        <f>VLOOKUP(A36, '2a. Continuity Schedule'!$A$24:$BW$60,4,FALSE)</f>
        <v>1595</v>
      </c>
      <c r="E36" s="289">
        <f>IF(ISERROR(VLOOKUP($A36, '2a. Continuity Schedule'!$A$20:$BW$60, MATCH('3. Appendix A'!$E$20, '2a. Continuity Schedule'!$A$20:$BW$20,0),FALSE)), 0, VLOOKUP($A36, '2a. Continuity Schedule'!$A$20:$BW$60, MATCH('3. Appendix A'!$E$20, '2a. Continuity Schedule'!$A$20:$BW$20,0),FALSE))</f>
        <v>-634953.56000000006</v>
      </c>
      <c r="F36" s="150"/>
    </row>
    <row r="37" spans="1:6" ht="30.75" customHeight="1" x14ac:dyDescent="0.25">
      <c r="A37" s="107">
        <v>12</v>
      </c>
      <c r="C37" s="287" t="str">
        <f>VLOOKUP(A37, '2a. Continuity Schedule'!$A$24:$BW$60,3,FALSE)</f>
        <v>Disposition and Recovery/Refund of Regulatory Balances (2020)3</v>
      </c>
      <c r="D37" s="288">
        <f>VLOOKUP(A37, '2a. Continuity Schedule'!$A$24:$BW$60,4,FALSE)</f>
        <v>1595</v>
      </c>
      <c r="E37" s="289">
        <f>IF(ISERROR(VLOOKUP($A37, '2a. Continuity Schedule'!$A$20:$BW$60, MATCH('3. Appendix A'!$E$20, '2a. Continuity Schedule'!$A$20:$BW$20,0),FALSE)), 0, VLOOKUP($A37, '2a. Continuity Schedule'!$A$20:$BW$60, MATCH('3. Appendix A'!$E$20, '2a. Continuity Schedule'!$A$20:$BW$20,0),FALSE))</f>
        <v>-1218179.49</v>
      </c>
      <c r="F37" s="150"/>
    </row>
    <row r="38" spans="1:6" ht="30.75" customHeight="1" x14ac:dyDescent="0.25">
      <c r="A38" s="107">
        <v>13</v>
      </c>
      <c r="C38" s="287" t="str">
        <f>VLOOKUP(A38, '2a. Continuity Schedule'!$A$24:$BW$60,3,FALSE)</f>
        <v>Disposition and Recovery/Refund of Regulatory Balances (2021)3</v>
      </c>
      <c r="D38" s="288">
        <f>VLOOKUP(A38, '2a. Continuity Schedule'!$A$24:$BW$60,4,FALSE)</f>
        <v>1595</v>
      </c>
      <c r="E38" s="289">
        <f>IF(ISERROR(VLOOKUP($A38, '2a. Continuity Schedule'!$A$20:$BW$60, MATCH('3. Appendix A'!$E$20, '2a. Continuity Schedule'!$A$20:$BW$20,0),FALSE)), 0, VLOOKUP($A38, '2a. Continuity Schedule'!$A$20:$BW$60, MATCH('3. Appendix A'!$E$20, '2a. Continuity Schedule'!$A$20:$BW$20,0),FALSE))</f>
        <v>-4977029.95</v>
      </c>
      <c r="F38" s="150"/>
    </row>
    <row r="39" spans="1:6" ht="30.75" customHeight="1" x14ac:dyDescent="0.25">
      <c r="A39" s="107">
        <v>14</v>
      </c>
      <c r="C39" s="287" t="str">
        <f>VLOOKUP(A39, '2a. Continuity Schedule'!$A$24:$BW$60,3,FALSE)</f>
        <v>Disposition and Recovery/Refund of Regulatory Balances (2022)3</v>
      </c>
      <c r="D39" s="288">
        <f>VLOOKUP(A39, '2a. Continuity Schedule'!$A$24:$BW$60,4,FALSE)</f>
        <v>1595</v>
      </c>
      <c r="E39" s="289">
        <f>IF(ISERROR(VLOOKUP($A39, '2a. Continuity Schedule'!$A$20:$BW$60, MATCH('3. Appendix A'!$E$20, '2a. Continuity Schedule'!$A$20:$BW$20,0),FALSE)), 0, VLOOKUP($A39, '2a. Continuity Schedule'!$A$20:$BW$60, MATCH('3. Appendix A'!$E$20, '2a. Continuity Schedule'!$A$20:$BW$20,0),FALSE))</f>
        <v>-2467400.36</v>
      </c>
      <c r="F39" s="150"/>
    </row>
    <row r="40" spans="1:6" ht="30.75" hidden="1" customHeight="1" x14ac:dyDescent="0.25">
      <c r="A40" s="107">
        <v>15</v>
      </c>
      <c r="C40" s="287" t="str">
        <f>VLOOKUP(A40, '2a. Continuity Schedule'!$A$24:$BW$60,3,FALSE)</f>
        <v>Disposition and Recovery/Refund of Regulatory Balances (2023)3</v>
      </c>
      <c r="D40" s="288">
        <f>VLOOKUP(A40, '2a. Continuity Schedule'!$A$24:$BW$60,4,FALSE)</f>
        <v>1595</v>
      </c>
      <c r="E40" s="289">
        <f>IF(ISERROR(VLOOKUP($A40, '2a. Continuity Schedule'!$A$20:$BW$60, MATCH('3. Appendix A'!$E$20, '2a. Continuity Schedule'!$A$20:$BW$20,0),FALSE)), 0, VLOOKUP($A40, '2a. Continuity Schedule'!$A$20:$BW$60, MATCH('3. Appendix A'!$E$20, '2a. Continuity Schedule'!$A$20:$BW$20,0),FALSE))</f>
        <v>0</v>
      </c>
      <c r="F40" s="150"/>
    </row>
    <row r="41" spans="1:6" ht="30.75" hidden="1" customHeight="1" thickBot="1" x14ac:dyDescent="0.3">
      <c r="C41" s="284" t="s">
        <v>22</v>
      </c>
      <c r="D41" s="290"/>
      <c r="E41" s="289"/>
      <c r="F41" s="105"/>
    </row>
    <row r="42" spans="1:6" ht="30.75" customHeight="1" x14ac:dyDescent="0.25">
      <c r="A42" s="1">
        <v>16</v>
      </c>
      <c r="C42" s="287" t="str">
        <f>VLOOKUP(A42, '2b. Continuity Schedule'!$A$24:$BW$110,3,FALSE)</f>
        <v>Deferred IFRS Transition Costs</v>
      </c>
      <c r="D42" s="288">
        <f>VLOOKUP(A42, '2b. Continuity Schedule'!$A$24:$BW$110,4,FALSE)</f>
        <v>1508</v>
      </c>
      <c r="E42" s="289">
        <f>IF(ISERROR(VLOOKUP($A42, '2b. Continuity Schedule'!$A$20:$BW$112, MATCH('3. Appendix A'!$E$20, '2b. Continuity Schedule'!$A$20:$BW$20,0),FALSE)), 0, VLOOKUP($A42, '2b. Continuity Schedule'!$A$20:$BW$112, MATCH('3. Appendix A'!$E$20, '2b. Continuity Schedule'!$A$20:$BW$20,0),FALSE))</f>
        <v>-115161483.5</v>
      </c>
      <c r="F42" s="151"/>
    </row>
    <row r="43" spans="1:6" ht="30.75" hidden="1" customHeight="1" x14ac:dyDescent="0.25">
      <c r="A43" s="1">
        <v>17</v>
      </c>
      <c r="C43" s="287" t="str">
        <f>VLOOKUP(A43, '2b. Continuity Schedule'!$A$24:$BW$110,3,FALSE)</f>
        <v>Pole Attachment Revenue Variance5</v>
      </c>
      <c r="D43" s="288">
        <f>VLOOKUP(A43, '2b. Continuity Schedule'!$A$24:$BW$110,4,FALSE)</f>
        <v>1508</v>
      </c>
      <c r="E43" s="289">
        <f>IF(ISERROR(VLOOKUP($A43, '2b. Continuity Schedule'!$A$20:$BW$112, MATCH('3. Appendix A'!$E$20, '2b. Continuity Schedule'!$A$20:$BW$20,0),FALSE)), 0, VLOOKUP($A43, '2b. Continuity Schedule'!$A$20:$BW$112, MATCH('3. Appendix A'!$E$20, '2b. Continuity Schedule'!$A$20:$BW$20,0),FALSE))</f>
        <v>0</v>
      </c>
      <c r="F43" s="150"/>
    </row>
    <row r="44" spans="1:6" ht="30.75" hidden="1" customHeight="1" x14ac:dyDescent="0.25">
      <c r="A44" s="1">
        <v>18</v>
      </c>
      <c r="C44" s="287" t="str">
        <f>VLOOKUP(A44, '2b. Continuity Schedule'!$A$24:$BW$110,3,FALSE)</f>
        <v>Retail Service Charge Incremental Revenue6</v>
      </c>
      <c r="D44" s="288">
        <f>VLOOKUP(A44, '2b. Continuity Schedule'!$A$24:$BW$110,4,FALSE)</f>
        <v>1508</v>
      </c>
      <c r="E44" s="289">
        <f>IF(ISERROR(VLOOKUP($A44, '2b. Continuity Schedule'!$A$20:$BW$112, MATCH('3. Appendix A'!$E$20, '2b. Continuity Schedule'!$A$20:$BW$20,0),FALSE)), 0, VLOOKUP($A44, '2b. Continuity Schedule'!$A$20:$BW$112, MATCH('3. Appendix A'!$E$20, '2b. Continuity Schedule'!$A$20:$BW$20,0),FALSE))</f>
        <v>0</v>
      </c>
      <c r="F44" s="150"/>
    </row>
    <row r="45" spans="1:6" ht="30.75" hidden="1" customHeight="1" x14ac:dyDescent="0.25">
      <c r="A45" s="1">
        <v>19</v>
      </c>
      <c r="C45" s="287" t="str">
        <f>VLOOKUP(A45, '2b. Continuity Schedule'!$A$24:$BW$110,3,FALSE)</f>
        <v>Customer Choice Initiative Costs7</v>
      </c>
      <c r="D45" s="288">
        <f>VLOOKUP(A45, '2b. Continuity Schedule'!$A$24:$BW$110,4,FALSE)</f>
        <v>1508</v>
      </c>
      <c r="E45" s="289">
        <f>IF(ISERROR(VLOOKUP($A45, '2b. Continuity Schedule'!$A$20:$BW$112, MATCH('3. Appendix A'!$E$20, '2b. Continuity Schedule'!$A$20:$BW$20,0),FALSE)), 0, VLOOKUP($A45, '2b. Continuity Schedule'!$A$20:$BW$112, MATCH('3. Appendix A'!$E$20, '2b. Continuity Schedule'!$A$20:$BW$20,0),FALSE))</f>
        <v>0</v>
      </c>
      <c r="F45" s="150"/>
    </row>
    <row r="46" spans="1:6" ht="30.75" hidden="1" customHeight="1" x14ac:dyDescent="0.25">
      <c r="A46" s="1">
        <v>20</v>
      </c>
      <c r="C46" s="287" t="str">
        <f>VLOOKUP(A46, '2b. Continuity Schedule'!$A$24:$BW$110,3,FALSE)</f>
        <v>Local Initiatives Program Costs9</v>
      </c>
      <c r="D46" s="288">
        <f>VLOOKUP(A46, '2b. Continuity Schedule'!$A$24:$BW$110,4,FALSE)</f>
        <v>1508</v>
      </c>
      <c r="E46" s="289">
        <f>IF(ISERROR(VLOOKUP($A46, '2b. Continuity Schedule'!$A$20:$BW$112, MATCH('3. Appendix A'!$E$20, '2b. Continuity Schedule'!$A$20:$BW$20,0),FALSE)), 0, VLOOKUP($A46, '2b. Continuity Schedule'!$A$20:$BW$112, MATCH('3. Appendix A'!$E$20, '2b. Continuity Schedule'!$A$20:$BW$20,0),FALSE))</f>
        <v>0</v>
      </c>
      <c r="F46" s="150"/>
    </row>
    <row r="47" spans="1:6" ht="30.75" hidden="1" customHeight="1" x14ac:dyDescent="0.25">
      <c r="A47" s="1">
        <v>21</v>
      </c>
      <c r="C47" s="287" t="str">
        <f>VLOOKUP(A47, '2b. Continuity Schedule'!$A$24:$BW$110,3,FALSE)</f>
        <v>Green Button Initiative Costs10</v>
      </c>
      <c r="D47" s="288">
        <f>VLOOKUP(A47, '2b. Continuity Schedule'!$A$24:$BW$110,4,FALSE)</f>
        <v>1508</v>
      </c>
      <c r="E47" s="289">
        <f>IF(ISERROR(VLOOKUP($A47, '2b. Continuity Schedule'!$A$20:$BW$112, MATCH('3. Appendix A'!$E$20, '2b. Continuity Schedule'!$A$20:$BW$20,0),FALSE)), 0, VLOOKUP($A47, '2b. Continuity Schedule'!$A$20:$BW$112, MATCH('3. Appendix A'!$E$20, '2b. Continuity Schedule'!$A$20:$BW$20,0),FALSE))</f>
        <v>0</v>
      </c>
      <c r="F47" s="150"/>
    </row>
    <row r="48" spans="1:6" ht="30.75" hidden="1" customHeight="1" x14ac:dyDescent="0.25">
      <c r="A48" s="1">
        <v>22</v>
      </c>
      <c r="C48" s="287" t="str">
        <f>VLOOKUP(A48, '2b. Continuity Schedule'!$A$24:$BW$110,3,FALSE)</f>
        <v>Other Regulatory Assets, Sub-account Designated Broadband Project Impacts13</v>
      </c>
      <c r="D48" s="288">
        <f>VLOOKUP(A48, '2b. Continuity Schedule'!$A$24:$BW$110,4,FALSE)</f>
        <v>1508</v>
      </c>
      <c r="E48" s="289">
        <f>IF(ISERROR(VLOOKUP($A48, '2b. Continuity Schedule'!$A$20:$BW$112, MATCH('3. Appendix A'!$E$20, '2b. Continuity Schedule'!$A$20:$BW$20,0),FALSE)), 0, VLOOKUP($A48, '2b. Continuity Schedule'!$A$20:$BW$112, MATCH('3. Appendix A'!$E$20, '2b. Continuity Schedule'!$A$20:$BW$20,0),FALSE))</f>
        <v>0</v>
      </c>
      <c r="F48" s="150"/>
    </row>
    <row r="49" spans="1:6" ht="30.75" hidden="1" customHeight="1" x14ac:dyDescent="0.25">
      <c r="A49" s="1">
        <v>23</v>
      </c>
      <c r="C49" s="287" t="str">
        <f>VLOOKUP(A49, '2b. Continuity Schedule'!$A$24:$BW$110,3,FALSE)</f>
        <v>Other Regulatory Assets, Sub-account Designated Broadband Project Impacts</v>
      </c>
      <c r="D49" s="288">
        <f>VLOOKUP(A49, '2b. Continuity Schedule'!$A$24:$BW$110,4,FALSE)</f>
        <v>1508</v>
      </c>
      <c r="E49" s="289">
        <f>IF(ISERROR(VLOOKUP($A49, '2b. Continuity Schedule'!$A$20:$BW$112, MATCH('3. Appendix A'!$E$20, '2b. Continuity Schedule'!$A$20:$BW$20,0),FALSE)), 0, VLOOKUP($A49, '2b. Continuity Schedule'!$A$20:$BW$112, MATCH('3. Appendix A'!$E$20, '2b. Continuity Schedule'!$A$20:$BW$20,0),FALSE))</f>
        <v>0</v>
      </c>
      <c r="F49" s="150"/>
    </row>
    <row r="50" spans="1:6" ht="30.75" hidden="1" customHeight="1" x14ac:dyDescent="0.25">
      <c r="A50" s="1">
        <v>24</v>
      </c>
      <c r="C50" s="287">
        <f>VLOOKUP(A50, '2b. Continuity Schedule'!$A$24:$BW$110,3,FALSE)</f>
        <v>0</v>
      </c>
      <c r="D50" s="288">
        <f>VLOOKUP(A50, '2b. Continuity Schedule'!$A$24:$BW$110,4,FALSE)</f>
        <v>1508</v>
      </c>
      <c r="E50" s="289">
        <f>IF(ISERROR(VLOOKUP($A50, '2b. Continuity Schedule'!$A$20:$BW$112, MATCH('3. Appendix A'!$E$20, '2b. Continuity Schedule'!$A$20:$BW$20,0),FALSE)), 0, VLOOKUP($A50, '2b. Continuity Schedule'!$A$20:$BW$112, MATCH('3. Appendix A'!$E$20, '2b. Continuity Schedule'!$A$20:$BW$20,0),FALSE))</f>
        <v>0</v>
      </c>
      <c r="F50" s="150"/>
    </row>
    <row r="51" spans="1:6" ht="30.75" hidden="1" customHeight="1" x14ac:dyDescent="0.25">
      <c r="A51" s="1">
        <v>25</v>
      </c>
      <c r="C51" s="287">
        <f>VLOOKUP(A51, '2b. Continuity Schedule'!$A$24:$BW$110,3,FALSE)</f>
        <v>0</v>
      </c>
      <c r="D51" s="288">
        <f>VLOOKUP(A51, '2b. Continuity Schedule'!$A$24:$BW$110,4,FALSE)</f>
        <v>1508</v>
      </c>
      <c r="E51" s="289">
        <f>IF(ISERROR(VLOOKUP($A51, '2b. Continuity Schedule'!$A$20:$BW$112, MATCH('3. Appendix A'!$E$20, '2b. Continuity Schedule'!$A$20:$BW$20,0),FALSE)), 0, VLOOKUP($A51, '2b. Continuity Schedule'!$A$20:$BW$112, MATCH('3. Appendix A'!$E$20, '2b. Continuity Schedule'!$A$20:$BW$20,0),FALSE))</f>
        <v>0</v>
      </c>
      <c r="F51" s="150"/>
    </row>
    <row r="52" spans="1:6" ht="30.75" hidden="1" customHeight="1" x14ac:dyDescent="0.25">
      <c r="A52" s="1">
        <v>26</v>
      </c>
      <c r="C52" s="287">
        <f>VLOOKUP(A52, '2b. Continuity Schedule'!$A$24:$BW$110,3,FALSE)</f>
        <v>0</v>
      </c>
      <c r="D52" s="288">
        <f>VLOOKUP(A52, '2b. Continuity Schedule'!$A$24:$BW$110,4,FALSE)</f>
        <v>1508</v>
      </c>
      <c r="E52" s="289">
        <f>IF(ISERROR(VLOOKUP($A52, '2b. Continuity Schedule'!$A$20:$BW$112, MATCH('3. Appendix A'!$E$20, '2b. Continuity Schedule'!$A$20:$BW$20,0),FALSE)), 0, VLOOKUP($A52, '2b. Continuity Schedule'!$A$20:$BW$112, MATCH('3. Appendix A'!$E$20, '2b. Continuity Schedule'!$A$20:$BW$20,0),FALSE))</f>
        <v>0</v>
      </c>
      <c r="F52" s="150"/>
    </row>
    <row r="53" spans="1:6" ht="30.75" hidden="1" customHeight="1" x14ac:dyDescent="0.25">
      <c r="A53" s="1">
        <v>27</v>
      </c>
      <c r="C53" s="287">
        <f>VLOOKUP(A53, '2b. Continuity Schedule'!$A$24:$BW$110,3,FALSE)</f>
        <v>0</v>
      </c>
      <c r="D53" s="288">
        <f>VLOOKUP(A53, '2b. Continuity Schedule'!$A$24:$BW$110,4,FALSE)</f>
        <v>1508</v>
      </c>
      <c r="E53" s="289">
        <f>IF(ISERROR(VLOOKUP($A53, '2b. Continuity Schedule'!$A$20:$BW$112, MATCH('3. Appendix A'!$E$20, '2b. Continuity Schedule'!$A$20:$BW$20,0),FALSE)), 0, VLOOKUP($A53, '2b. Continuity Schedule'!$A$20:$BW$112, MATCH('3. Appendix A'!$E$20, '2b. Continuity Schedule'!$A$20:$BW$20,0),FALSE))</f>
        <v>0</v>
      </c>
      <c r="F53" s="150"/>
    </row>
    <row r="54" spans="1:6" ht="30.75" hidden="1" customHeight="1" x14ac:dyDescent="0.25">
      <c r="A54" s="1">
        <v>28</v>
      </c>
      <c r="C54" s="287">
        <f>VLOOKUP(A54, '2b. Continuity Schedule'!$A$24:$BW$110,3,FALSE)</f>
        <v>0</v>
      </c>
      <c r="D54" s="288">
        <f>VLOOKUP(A54, '2b. Continuity Schedule'!$A$24:$BW$110,4,FALSE)</f>
        <v>1508</v>
      </c>
      <c r="E54" s="289">
        <f>IF(ISERROR(VLOOKUP($A54, '2b. Continuity Schedule'!$A$20:$BW$112, MATCH('3. Appendix A'!$E$20, '2b. Continuity Schedule'!$A$20:$BW$20,0),FALSE)), 0, VLOOKUP($A54, '2b. Continuity Schedule'!$A$20:$BW$112, MATCH('3. Appendix A'!$E$20, '2b. Continuity Schedule'!$A$20:$BW$20,0),FALSE))</f>
        <v>0</v>
      </c>
      <c r="F54" s="150"/>
    </row>
    <row r="55" spans="1:6" ht="30.75" hidden="1" customHeight="1" x14ac:dyDescent="0.25">
      <c r="A55" s="1">
        <v>29</v>
      </c>
      <c r="C55" s="287">
        <f>VLOOKUP(A55, '2b. Continuity Schedule'!$A$24:$BW$110,3,FALSE)</f>
        <v>0</v>
      </c>
      <c r="D55" s="288">
        <f>VLOOKUP(A55, '2b. Continuity Schedule'!$A$24:$BW$110,4,FALSE)</f>
        <v>1508</v>
      </c>
      <c r="E55" s="289">
        <f>IF(ISERROR(VLOOKUP($A55, '2b. Continuity Schedule'!$A$20:$BW$112, MATCH('3. Appendix A'!$E$20, '2b. Continuity Schedule'!$A$20:$BW$20,0),FALSE)), 0, VLOOKUP($A55, '2b. Continuity Schedule'!$A$20:$BW$112, MATCH('3. Appendix A'!$E$20, '2b. Continuity Schedule'!$A$20:$BW$20,0),FALSE))</f>
        <v>0</v>
      </c>
      <c r="F55" s="150"/>
    </row>
    <row r="56" spans="1:6" ht="30.75" hidden="1" customHeight="1" x14ac:dyDescent="0.25">
      <c r="A56" s="1">
        <v>30</v>
      </c>
      <c r="C56" s="287">
        <f>VLOOKUP(A56, '2b. Continuity Schedule'!$A$24:$BW$110,3,FALSE)</f>
        <v>0</v>
      </c>
      <c r="D56" s="288">
        <f>VLOOKUP(A56, '2b. Continuity Schedule'!$A$24:$BW$110,4,FALSE)</f>
        <v>1508</v>
      </c>
      <c r="E56" s="289">
        <f>IF(ISERROR(VLOOKUP($A56, '2b. Continuity Schedule'!$A$20:$BW$112, MATCH('3. Appendix A'!$E$20, '2b. Continuity Schedule'!$A$20:$BW$20,0),FALSE)), 0, VLOOKUP($A56, '2b. Continuity Schedule'!$A$20:$BW$112, MATCH('3. Appendix A'!$E$20, '2b. Continuity Schedule'!$A$20:$BW$20,0),FALSE))</f>
        <v>0</v>
      </c>
      <c r="F56" s="150"/>
    </row>
    <row r="57" spans="1:6" ht="30.75" hidden="1" customHeight="1" x14ac:dyDescent="0.25">
      <c r="A57" s="1">
        <v>31</v>
      </c>
      <c r="C57" s="287">
        <f>VLOOKUP(A57, '2b. Continuity Schedule'!$A$24:$BW$110,3,FALSE)</f>
        <v>0</v>
      </c>
      <c r="D57" s="288">
        <f>VLOOKUP(A57, '2b. Continuity Schedule'!$A$24:$BW$110,4,FALSE)</f>
        <v>1508</v>
      </c>
      <c r="E57" s="289">
        <f>IF(ISERROR(VLOOKUP($A57, '2b. Continuity Schedule'!$A$20:$BW$112, MATCH('3. Appendix A'!$E$20, '2b. Continuity Schedule'!$A$20:$BW$20,0),FALSE)), 0, VLOOKUP($A57, '2b. Continuity Schedule'!$A$20:$BW$112, MATCH('3. Appendix A'!$E$20, '2b. Continuity Schedule'!$A$20:$BW$20,0),FALSE))</f>
        <v>0</v>
      </c>
      <c r="F57" s="150"/>
    </row>
    <row r="58" spans="1:6" ht="30.75" hidden="1" customHeight="1" x14ac:dyDescent="0.25">
      <c r="A58" s="1">
        <v>32</v>
      </c>
      <c r="C58" s="287">
        <f>VLOOKUP(A58, '2b. Continuity Schedule'!$A$24:$BW$110,3,FALSE)</f>
        <v>0</v>
      </c>
      <c r="D58" s="288">
        <f>VLOOKUP(A58, '2b. Continuity Schedule'!$A$24:$BW$110,4,FALSE)</f>
        <v>1508</v>
      </c>
      <c r="E58" s="289">
        <f>IF(ISERROR(VLOOKUP($A58, '2b. Continuity Schedule'!$A$20:$BW$112, MATCH('3. Appendix A'!$E$20, '2b. Continuity Schedule'!$A$20:$BW$20,0),FALSE)), 0, VLOOKUP($A58, '2b. Continuity Schedule'!$A$20:$BW$112, MATCH('3. Appendix A'!$E$20, '2b. Continuity Schedule'!$A$20:$BW$20,0),FALSE))</f>
        <v>0</v>
      </c>
      <c r="F58" s="150"/>
    </row>
    <row r="59" spans="1:6" ht="30.75" hidden="1" customHeight="1" x14ac:dyDescent="0.25">
      <c r="A59" s="1">
        <v>33</v>
      </c>
      <c r="C59" s="287">
        <f>VLOOKUP(A59, '2b. Continuity Schedule'!$A$24:$BW$110,3,FALSE)</f>
        <v>0</v>
      </c>
      <c r="D59" s="288">
        <f>VLOOKUP(A59, '2b. Continuity Schedule'!$A$24:$BW$110,4,FALSE)</f>
        <v>1508</v>
      </c>
      <c r="E59" s="289">
        <f>IF(ISERROR(VLOOKUP($A59, '2b. Continuity Schedule'!$A$20:$BW$112, MATCH('3. Appendix A'!$E$20, '2b. Continuity Schedule'!$A$20:$BW$20,0),FALSE)), 0, VLOOKUP($A59, '2b. Continuity Schedule'!$A$20:$BW$112, MATCH('3. Appendix A'!$E$20, '2b. Continuity Schedule'!$A$20:$BW$20,0),FALSE))</f>
        <v>0</v>
      </c>
      <c r="F59" s="150"/>
    </row>
    <row r="60" spans="1:6" ht="30.75" hidden="1" customHeight="1" x14ac:dyDescent="0.25">
      <c r="A60" s="1">
        <v>34</v>
      </c>
      <c r="C60" s="287">
        <f>VLOOKUP(A60, '2b. Continuity Schedule'!$A$24:$BW$110,3,FALSE)</f>
        <v>0</v>
      </c>
      <c r="D60" s="288">
        <f>VLOOKUP(A60, '2b. Continuity Schedule'!$A$24:$BW$110,4,FALSE)</f>
        <v>1508</v>
      </c>
      <c r="E60" s="289">
        <f>IF(ISERROR(VLOOKUP($A60, '2b. Continuity Schedule'!$A$20:$BW$112, MATCH('3. Appendix A'!$E$20, '2b. Continuity Schedule'!$A$20:$BW$20,0),FALSE)), 0, VLOOKUP($A60, '2b. Continuity Schedule'!$A$20:$BW$112, MATCH('3. Appendix A'!$E$20, '2b. Continuity Schedule'!$A$20:$BW$20,0),FALSE))</f>
        <v>0</v>
      </c>
      <c r="F60" s="150"/>
    </row>
    <row r="61" spans="1:6" ht="30.75" hidden="1" customHeight="1" x14ac:dyDescent="0.25">
      <c r="A61" s="1">
        <v>35</v>
      </c>
      <c r="C61" s="287">
        <f>VLOOKUP(A61, '2b. Continuity Schedule'!$A$24:$BW$110,3,FALSE)</f>
        <v>0</v>
      </c>
      <c r="D61" s="288">
        <f>VLOOKUP(A61, '2b. Continuity Schedule'!$A$24:$BW$110,4,FALSE)</f>
        <v>1508</v>
      </c>
      <c r="E61" s="289">
        <f>IF(ISERROR(VLOOKUP($A61, '2b. Continuity Schedule'!$A$20:$BW$112, MATCH('3. Appendix A'!$E$20, '2b. Continuity Schedule'!$A$20:$BW$20,0),FALSE)), 0, VLOOKUP($A61, '2b. Continuity Schedule'!$A$20:$BW$112, MATCH('3. Appendix A'!$E$20, '2b. Continuity Schedule'!$A$20:$BW$20,0),FALSE))</f>
        <v>0</v>
      </c>
      <c r="F61" s="150"/>
    </row>
    <row r="62" spans="1:6" ht="30.75" hidden="1" customHeight="1" x14ac:dyDescent="0.25">
      <c r="A62" s="1">
        <v>36</v>
      </c>
      <c r="C62" s="287">
        <f>VLOOKUP(A62, '2b. Continuity Schedule'!$A$24:$BW$110,3,FALSE)</f>
        <v>0</v>
      </c>
      <c r="D62" s="288">
        <f>VLOOKUP(A62, '2b. Continuity Schedule'!$A$24:$BW$110,4,FALSE)</f>
        <v>1508</v>
      </c>
      <c r="E62" s="289">
        <f>IF(ISERROR(VLOOKUP($A62, '2b. Continuity Schedule'!$A$20:$BW$112, MATCH('3. Appendix A'!$E$20, '2b. Continuity Schedule'!$A$20:$BW$20,0),FALSE)), 0, VLOOKUP($A62, '2b. Continuity Schedule'!$A$20:$BW$112, MATCH('3. Appendix A'!$E$20, '2b. Continuity Schedule'!$A$20:$BW$20,0),FALSE))</f>
        <v>0</v>
      </c>
      <c r="F62" s="150"/>
    </row>
    <row r="63" spans="1:6" ht="30.75" hidden="1" customHeight="1" x14ac:dyDescent="0.25">
      <c r="A63" s="1">
        <v>37</v>
      </c>
      <c r="B63" s="6"/>
      <c r="C63" s="287">
        <f>VLOOKUP(A63, '2b. Continuity Schedule'!$A$24:$BW$110,3,FALSE)</f>
        <v>0</v>
      </c>
      <c r="D63" s="288">
        <f>VLOOKUP(A63, '2b. Continuity Schedule'!$A$24:$BW$110,4,FALSE)</f>
        <v>1508</v>
      </c>
      <c r="E63" s="289">
        <f>IF(ISERROR(VLOOKUP($A63, '2b. Continuity Schedule'!$A$20:$BW$112, MATCH('3. Appendix A'!$E$20, '2b. Continuity Schedule'!$A$20:$BW$20,0),FALSE)), 0, VLOOKUP($A63, '2b. Continuity Schedule'!$A$20:$BW$112, MATCH('3. Appendix A'!$E$20, '2b. Continuity Schedule'!$A$20:$BW$20,0),FALSE))</f>
        <v>0</v>
      </c>
      <c r="F63" s="150"/>
    </row>
    <row r="64" spans="1:6" ht="30.75" hidden="1" customHeight="1" x14ac:dyDescent="0.25">
      <c r="A64" s="1">
        <v>38</v>
      </c>
      <c r="B64" s="6"/>
      <c r="C64" s="287">
        <f>VLOOKUP(A64, '2b. Continuity Schedule'!$A$24:$BW$110,3,FALSE)</f>
        <v>0</v>
      </c>
      <c r="D64" s="288">
        <f>VLOOKUP(A64, '2b. Continuity Schedule'!$A$24:$BW$110,4,FALSE)</f>
        <v>1508</v>
      </c>
      <c r="E64" s="289">
        <f>IF(ISERROR(VLOOKUP($A64, '2b. Continuity Schedule'!$A$20:$BW$112, MATCH('3. Appendix A'!$E$20, '2b. Continuity Schedule'!$A$20:$BW$20,0),FALSE)), 0, VLOOKUP($A64, '2b. Continuity Schedule'!$A$20:$BW$112, MATCH('3. Appendix A'!$E$20, '2b. Continuity Schedule'!$A$20:$BW$20,0),FALSE))</f>
        <v>0</v>
      </c>
      <c r="F64" s="150"/>
    </row>
    <row r="65" spans="1:6" ht="30.75" hidden="1" customHeight="1" x14ac:dyDescent="0.25">
      <c r="A65" s="1">
        <v>39</v>
      </c>
      <c r="B65" s="6"/>
      <c r="C65" s="287" t="str">
        <f>VLOOKUP(A65, '2b. Continuity Schedule'!$A$24:$BW$110,3,FALSE)</f>
        <v>Retail Cost Variance Account - Retail6</v>
      </c>
      <c r="D65" s="288">
        <f>VLOOKUP(A65, '2b. Continuity Schedule'!$A$24:$BW$110,4,FALSE)</f>
        <v>1518</v>
      </c>
      <c r="E65" s="289">
        <f>IF(ISERROR(VLOOKUP($A65, '2b. Continuity Schedule'!$A$20:$BW$112, MATCH('3. Appendix A'!$E$20, '2b. Continuity Schedule'!$A$20:$BW$20,0),FALSE)), 0, VLOOKUP($A65, '2b. Continuity Schedule'!$A$20:$BW$112, MATCH('3. Appendix A'!$E$20, '2b. Continuity Schedule'!$A$20:$BW$20,0),FALSE))</f>
        <v>0</v>
      </c>
      <c r="F65" s="150"/>
    </row>
    <row r="66" spans="1:6" ht="30.75" customHeight="1" x14ac:dyDescent="0.25">
      <c r="A66" s="1">
        <v>40</v>
      </c>
      <c r="B66" s="6"/>
      <c r="C66" s="287" t="str">
        <f>VLOOKUP(A66, '2b. Continuity Schedule'!$A$24:$BW$110,3,FALSE)</f>
        <v>Pension &amp; OPEB Forecast Accrual versus Actual Cash Payment Differential Carrying Charges8</v>
      </c>
      <c r="D66" s="288">
        <f>VLOOKUP(A66, '2b. Continuity Schedule'!$A$24:$BW$110,4,FALSE)</f>
        <v>1522</v>
      </c>
      <c r="E66" s="289">
        <f>IF(ISERROR(VLOOKUP($A66, '2b. Continuity Schedule'!$A$20:$BW$112, MATCH('3. Appendix A'!$E$20, '2b. Continuity Schedule'!$A$20:$BW$20,0),FALSE)), 0, VLOOKUP($A66, '2b. Continuity Schedule'!$A$20:$BW$112, MATCH('3. Appendix A'!$E$20, '2b. Continuity Schedule'!$A$20:$BW$20,0),FALSE))</f>
        <v>-42158.55</v>
      </c>
      <c r="F66" s="150"/>
    </row>
    <row r="67" spans="1:6" ht="30.75" hidden="1" customHeight="1" x14ac:dyDescent="0.25">
      <c r="A67" s="1">
        <v>41</v>
      </c>
      <c r="B67" s="6"/>
      <c r="C67" s="287" t="str">
        <f>VLOOKUP(A67, '2b. Continuity Schedule'!$A$24:$BW$110,3,FALSE)</f>
        <v>Misc. Deferred Debits</v>
      </c>
      <c r="D67" s="288">
        <f>VLOOKUP(A67, '2b. Continuity Schedule'!$A$24:$BW$110,4,FALSE)</f>
        <v>1525</v>
      </c>
      <c r="E67" s="289">
        <f>IF(ISERROR(VLOOKUP($A67, '2b. Continuity Schedule'!$A$20:$BW$112, MATCH('3. Appendix A'!$E$20, '2b. Continuity Schedule'!$A$20:$BW$20,0),FALSE)), 0, VLOOKUP($A67, '2b. Continuity Schedule'!$A$20:$BW$112, MATCH('3. Appendix A'!$E$20, '2b. Continuity Schedule'!$A$20:$BW$20,0),FALSE))</f>
        <v>0</v>
      </c>
      <c r="F67" s="150"/>
    </row>
    <row r="68" spans="1:6" ht="30.75" hidden="1" customHeight="1" x14ac:dyDescent="0.25">
      <c r="A68" s="1">
        <v>42</v>
      </c>
      <c r="B68" s="6"/>
      <c r="C68" s="287" t="str">
        <f>VLOOKUP(A68, '2b. Continuity Schedule'!$A$24:$BW$110,3,FALSE)</f>
        <v>Retail Cost Variance Account - STR6</v>
      </c>
      <c r="D68" s="291">
        <f>VLOOKUP(A68, '2b. Continuity Schedule'!$A$24:$BW$110,4,FALSE)</f>
        <v>1548</v>
      </c>
      <c r="E68" s="289">
        <f>IF(ISERROR(VLOOKUP($A68, '2b. Continuity Schedule'!$A$20:$BW$112, MATCH('3. Appendix A'!$E$20, '2b. Continuity Schedule'!$A$20:$BW$20,0),FALSE)), 0, VLOOKUP($A68, '2b. Continuity Schedule'!$A$20:$BW$112, MATCH('3. Appendix A'!$E$20, '2b. Continuity Schedule'!$A$20:$BW$20,0),FALSE))</f>
        <v>0</v>
      </c>
      <c r="F68" s="150"/>
    </row>
    <row r="69" spans="1:6" ht="29.25" hidden="1" customHeight="1" x14ac:dyDescent="0.25">
      <c r="A69" s="1">
        <v>43</v>
      </c>
      <c r="C69" s="287" t="str">
        <f>VLOOKUP(A69, '2b. Continuity Schedule'!$A$24:$BW$110,3,FALSE)</f>
        <v>Extra-Ordinary Event Costs</v>
      </c>
      <c r="D69" s="351">
        <f>VLOOKUP(A69, '2b. Continuity Schedule'!$A$24:$BW$110,4,FALSE)</f>
        <v>1572</v>
      </c>
      <c r="E69" s="289">
        <f>IF(ISERROR(VLOOKUP($A69, '2b. Continuity Schedule'!$A$20:$BW$112, MATCH('3. Appendix A'!$E$20, '2b. Continuity Schedule'!$A$20:$BW$20,0),FALSE)), 0, VLOOKUP($A69, '2b. Continuity Schedule'!$A$20:$BW$112, MATCH('3. Appendix A'!$E$20, '2b. Continuity Schedule'!$A$20:$BW$20,0),FALSE))</f>
        <v>0</v>
      </c>
      <c r="F69" s="150"/>
    </row>
    <row r="70" spans="1:6" ht="29.25" hidden="1" customHeight="1" x14ac:dyDescent="0.25">
      <c r="A70" s="1">
        <v>44</v>
      </c>
      <c r="C70" s="287" t="str">
        <f>VLOOKUP(A70, '2b. Continuity Schedule'!$A$24:$BW$110,3,FALSE)</f>
        <v>Deferred Rate Impact Amounts</v>
      </c>
      <c r="D70" s="351">
        <f>VLOOKUP(A70, '2b. Continuity Schedule'!$A$24:$BW$110,4,FALSE)</f>
        <v>1574</v>
      </c>
      <c r="E70" s="289">
        <f>IF(ISERROR(VLOOKUP($A70, '2b. Continuity Schedule'!$A$20:$BW$112, MATCH('3. Appendix A'!$E$20, '2b. Continuity Schedule'!$A$20:$BW$20,0),FALSE)), 0, VLOOKUP($A70, '2b. Continuity Schedule'!$A$20:$BW$112, MATCH('3. Appendix A'!$E$20, '2b. Continuity Schedule'!$A$20:$BW$20,0),FALSE))</f>
        <v>0</v>
      </c>
      <c r="F70" s="150"/>
    </row>
    <row r="71" spans="1:6" ht="29.25" hidden="1" customHeight="1" x14ac:dyDescent="0.25">
      <c r="A71" s="1">
        <v>45</v>
      </c>
      <c r="C71" s="287" t="str">
        <f>VLOOKUP(A71, '2b. Continuity Schedule'!$A$24:$BW$110,3,FALSE)</f>
        <v>RSVA - One-time</v>
      </c>
      <c r="D71" s="351">
        <f>VLOOKUP(A71, '2b. Continuity Schedule'!$A$24:$BW$110,4,FALSE)</f>
        <v>1582</v>
      </c>
      <c r="E71" s="289">
        <f>IF(ISERROR(VLOOKUP($A71, '2b. Continuity Schedule'!$A$20:$BW$112, MATCH('3. Appendix A'!$E$20, '2b. Continuity Schedule'!$A$20:$BW$20,0),FALSE)), 0, VLOOKUP($A71, '2b. Continuity Schedule'!$A$20:$BW$112, MATCH('3. Appendix A'!$E$20, '2b. Continuity Schedule'!$A$20:$BW$20,0),FALSE))</f>
        <v>0</v>
      </c>
      <c r="F71" s="150"/>
    </row>
    <row r="72" spans="1:6" ht="29.25" hidden="1" customHeight="1" x14ac:dyDescent="0.25">
      <c r="A72" s="1">
        <v>46</v>
      </c>
      <c r="C72" s="287" t="str">
        <f>VLOOKUP(A72, '2b. Continuity Schedule'!$A$24:$BW$110,3,FALSE)</f>
        <v>Other Deferred Credits</v>
      </c>
      <c r="D72" s="351">
        <f>VLOOKUP(A72, '2b. Continuity Schedule'!$A$24:$BW$110,4,FALSE)</f>
        <v>2425</v>
      </c>
      <c r="E72" s="289">
        <f>IF(ISERROR(VLOOKUP($A72, '2b. Continuity Schedule'!$A$20:$BW$112, MATCH('3. Appendix A'!$E$20, '2b. Continuity Schedule'!$A$20:$BW$20,0),FALSE)), 0, VLOOKUP($A72, '2b. Continuity Schedule'!$A$20:$BW$112, MATCH('3. Appendix A'!$E$20, '2b. Continuity Schedule'!$A$20:$BW$20,0),FALSE))</f>
        <v>0</v>
      </c>
      <c r="F72" s="150"/>
    </row>
    <row r="73" spans="1:6" ht="29.25" customHeight="1" x14ac:dyDescent="0.25">
      <c r="A73" s="1">
        <v>47</v>
      </c>
      <c r="C73" s="287" t="str">
        <f>VLOOKUP(A73, '2b. Continuity Schedule'!$A$24:$BW$110,3,FALSE)</f>
        <v>PILs and Tax Variance for 2006 and Subsequent Years                                                                          (excludes sub-account and contra account below)</v>
      </c>
      <c r="D73" s="351">
        <f>VLOOKUP(A73, '2b. Continuity Schedule'!$A$24:$BW$110,4,FALSE)</f>
        <v>1592</v>
      </c>
      <c r="E73" s="289">
        <f>IF(ISERROR(VLOOKUP($A73, '2b. Continuity Schedule'!$A$20:$BW$112, MATCH('3. Appendix A'!$E$20, '2b. Continuity Schedule'!$A$20:$BW$20,0),FALSE)), 0, VLOOKUP($A73, '2b. Continuity Schedule'!$A$20:$BW$112, MATCH('3. Appendix A'!$E$20, '2b. Continuity Schedule'!$A$20:$BW$20,0),FALSE))</f>
        <v>-1081632</v>
      </c>
      <c r="F73" s="150"/>
    </row>
    <row r="74" spans="1:6" ht="29.25" hidden="1" customHeight="1" x14ac:dyDescent="0.25">
      <c r="A74" s="1">
        <v>48</v>
      </c>
      <c r="C74" s="287" t="str">
        <f>VLOOKUP(A74, '2b. Continuity Schedule'!$A$24:$BW$110,3,FALSE)</f>
        <v>PILs and Tax Variance for 2006 and Subsequent Years- Sub-account CCA Changes12</v>
      </c>
      <c r="D74" s="351">
        <f>VLOOKUP(A74, '2b. Continuity Schedule'!$A$24:$BW$110,4,FALSE)</f>
        <v>1592</v>
      </c>
      <c r="E74" s="289">
        <f>IF(ISERROR(VLOOKUP($A74, '2b. Continuity Schedule'!$A$20:$BW$112, MATCH('3. Appendix A'!$E$20, '2b. Continuity Schedule'!$A$20:$BW$20,0),FALSE)), 0, VLOOKUP($A74, '2b. Continuity Schedule'!$A$20:$BW$112, MATCH('3. Appendix A'!$E$20, '2b. Continuity Schedule'!$A$20:$BW$20,0),FALSE))</f>
        <v>0</v>
      </c>
      <c r="F74" s="150"/>
    </row>
    <row r="75" spans="1:6" ht="29.25" hidden="1" customHeight="1" x14ac:dyDescent="0.25">
      <c r="A75" s="1">
        <v>49</v>
      </c>
      <c r="C75" s="287" t="str">
        <f>VLOOKUP(A75, '2b. Continuity Schedule'!$A$24:$BW$110,3,FALSE)</f>
        <v>LRAM Variance Account4</v>
      </c>
      <c r="D75" s="351">
        <f>VLOOKUP(A75, '2b. Continuity Schedule'!$A$24:$BW$110,4,FALSE)</f>
        <v>1568</v>
      </c>
      <c r="E75" s="289">
        <f>IF(ISERROR(VLOOKUP($A75, '2b. Continuity Schedule'!$A$20:$BW$112, MATCH('3. Appendix A'!$E$20, '2b. Continuity Schedule'!$A$20:$BW$20,0),FALSE)), 0, VLOOKUP($A75, '2b. Continuity Schedule'!$A$20:$BW$112, MATCH('3. Appendix A'!$E$20, '2b. Continuity Schedule'!$A$20:$BW$20,0),FALSE))</f>
        <v>0</v>
      </c>
      <c r="F75" s="150"/>
    </row>
    <row r="76" spans="1:6" ht="29.25" hidden="1" customHeight="1" x14ac:dyDescent="0.25">
      <c r="A76" s="1">
        <v>50</v>
      </c>
      <c r="C76" s="287" t="str">
        <f>VLOOKUP(A76, '2b. Continuity Schedule'!$A$24:$BW$110,3,FALSE)</f>
        <v>Renewable Generation Connection Capital Deferral Account</v>
      </c>
      <c r="D76" s="351">
        <f>VLOOKUP(A76, '2b. Continuity Schedule'!$A$24:$BW$110,4,FALSE)</f>
        <v>1531</v>
      </c>
      <c r="E76" s="289">
        <f>IF(ISERROR(VLOOKUP($A76, '2b. Continuity Schedule'!$A$20:$BW$112, MATCH('3. Appendix A'!$E$20, '2b. Continuity Schedule'!$A$20:$BW$20,0),FALSE)), 0, VLOOKUP($A76, '2b. Continuity Schedule'!$A$20:$BW$112, MATCH('3. Appendix A'!$E$20, '2b. Continuity Schedule'!$A$20:$BW$20,0),FALSE))</f>
        <v>0</v>
      </c>
      <c r="F76" s="150"/>
    </row>
    <row r="77" spans="1:6" ht="29.25" hidden="1" customHeight="1" x14ac:dyDescent="0.25">
      <c r="A77" s="1">
        <v>51</v>
      </c>
      <c r="C77" s="287" t="str">
        <f>VLOOKUP(A77, '2b. Continuity Schedule'!$A$24:$BW$110,3,FALSE)</f>
        <v>Renewable Generation Connection OM&amp;A Deferral Account</v>
      </c>
      <c r="D77" s="351">
        <f>VLOOKUP(A77, '2b. Continuity Schedule'!$A$24:$BW$110,4,FALSE)</f>
        <v>1532</v>
      </c>
      <c r="E77" s="289">
        <f>IF(ISERROR(VLOOKUP($A77, '2b. Continuity Schedule'!$A$20:$BW$112, MATCH('3. Appendix A'!$E$20, '2b. Continuity Schedule'!$A$20:$BW$20,0),FALSE)), 0, VLOOKUP($A77, '2b. Continuity Schedule'!$A$20:$BW$112, MATCH('3. Appendix A'!$E$20, '2b. Continuity Schedule'!$A$20:$BW$20,0),FALSE))</f>
        <v>0</v>
      </c>
      <c r="F77" s="150"/>
    </row>
    <row r="78" spans="1:6" ht="29.25" customHeight="1" x14ac:dyDescent="0.25">
      <c r="A78" s="1">
        <v>52</v>
      </c>
      <c r="C78" s="287" t="str">
        <f>VLOOKUP(A78, '2b. Continuity Schedule'!$A$24:$BW$110,3,FALSE)</f>
        <v xml:space="preserve">Renewable Generation Connection Funding Adder Deferral Account </v>
      </c>
      <c r="D78" s="351">
        <f>VLOOKUP(A78, '2b. Continuity Schedule'!$A$24:$BW$110,4,FALSE)</f>
        <v>1533</v>
      </c>
      <c r="E78" s="289">
        <f>IF(ISERROR(VLOOKUP($A78, '2b. Continuity Schedule'!$A$20:$BW$112, MATCH('3. Appendix A'!$E$20, '2b. Continuity Schedule'!$A$20:$BW$20,0),FALSE)), 0, VLOOKUP($A78, '2b. Continuity Schedule'!$A$20:$BW$112, MATCH('3. Appendix A'!$E$20, '2b. Continuity Schedule'!$A$20:$BW$20,0),FALSE))</f>
        <v>-3046986.07</v>
      </c>
      <c r="F78" s="150"/>
    </row>
    <row r="79" spans="1:6" ht="29.25" hidden="1" customHeight="1" x14ac:dyDescent="0.25">
      <c r="A79" s="1">
        <v>53</v>
      </c>
      <c r="C79" s="287" t="str">
        <f>VLOOKUP(A79, '2b. Continuity Schedule'!$A$24:$BW$110,3,FALSE)</f>
        <v>Smart Grid Capital Deferral Account</v>
      </c>
      <c r="D79" s="351">
        <f>VLOOKUP(A79, '2b. Continuity Schedule'!$A$24:$BW$110,4,FALSE)</f>
        <v>1534</v>
      </c>
      <c r="E79" s="289">
        <f>IF(ISERROR(VLOOKUP($A79, '2b. Continuity Schedule'!$A$20:$BW$112, MATCH('3. Appendix A'!$E$20, '2b. Continuity Schedule'!$A$20:$BW$20,0),FALSE)), 0, VLOOKUP($A79, '2b. Continuity Schedule'!$A$20:$BW$112, MATCH('3. Appendix A'!$E$20, '2b. Continuity Schedule'!$A$20:$BW$20,0),FALSE))</f>
        <v>0</v>
      </c>
      <c r="F79" s="150"/>
    </row>
    <row r="80" spans="1:6" ht="29.25" hidden="1" customHeight="1" x14ac:dyDescent="0.25">
      <c r="A80" s="1">
        <v>54</v>
      </c>
      <c r="C80" s="287" t="str">
        <f>VLOOKUP(A80, '2b. Continuity Schedule'!$A$24:$BW$110,3,FALSE)</f>
        <v>Smart Grid OM&amp;A Deferral Account</v>
      </c>
      <c r="D80" s="351">
        <f>VLOOKUP(A80, '2b. Continuity Schedule'!$A$24:$BW$110,4,FALSE)</f>
        <v>1535</v>
      </c>
      <c r="E80" s="289">
        <f>IF(ISERROR(VLOOKUP($A80, '2b. Continuity Schedule'!$A$20:$BW$112, MATCH('3. Appendix A'!$E$20, '2b. Continuity Schedule'!$A$20:$BW$20,0),FALSE)), 0, VLOOKUP($A80, '2b. Continuity Schedule'!$A$20:$BW$112, MATCH('3. Appendix A'!$E$20, '2b. Continuity Schedule'!$A$20:$BW$20,0),FALSE))</f>
        <v>0</v>
      </c>
      <c r="F80" s="150"/>
    </row>
    <row r="81" spans="1:6" ht="29.25" hidden="1" customHeight="1" x14ac:dyDescent="0.25">
      <c r="A81" s="1">
        <v>55</v>
      </c>
      <c r="C81" s="287" t="str">
        <f>VLOOKUP(A81, '2b. Continuity Schedule'!$A$24:$BW$110,3,FALSE)</f>
        <v>Smart Grid Funding Adder Deferral Account</v>
      </c>
      <c r="D81" s="351">
        <f>VLOOKUP(A81, '2b. Continuity Schedule'!$A$24:$BW$110,4,FALSE)</f>
        <v>1536</v>
      </c>
      <c r="E81" s="289">
        <f>IF(ISERROR(VLOOKUP($A81, '2b. Continuity Schedule'!$A$20:$BW$112, MATCH('3. Appendix A'!$E$20, '2b. Continuity Schedule'!$A$20:$BW$20,0),FALSE)), 0, VLOOKUP($A81, '2b. Continuity Schedule'!$A$20:$BW$112, MATCH('3. Appendix A'!$E$20, '2b. Continuity Schedule'!$A$20:$BW$20,0),FALSE))</f>
        <v>0</v>
      </c>
      <c r="F81" s="150"/>
    </row>
    <row r="82" spans="1:6" ht="29.25" hidden="1" customHeight="1" x14ac:dyDescent="0.25">
      <c r="A82" s="1">
        <v>56</v>
      </c>
      <c r="C82" s="287" t="str">
        <f>VLOOKUP(A82, '2b. Continuity Schedule'!$A$24:$BW$110,3,FALSE)</f>
        <v>Smart Meter Capital and Recovery Offset Variance - Sub-Account - Capital4</v>
      </c>
      <c r="D82" s="351">
        <f>VLOOKUP(A82, '2b. Continuity Schedule'!$A$24:$BW$110,4,FALSE)</f>
        <v>1555</v>
      </c>
      <c r="E82" s="289">
        <f>IF(ISERROR(VLOOKUP($A82, '2b. Continuity Schedule'!$A$20:$BW$112, MATCH('3. Appendix A'!$E$20, '2b. Continuity Schedule'!$A$20:$BW$20,0),FALSE)), 0, VLOOKUP($A82, '2b. Continuity Schedule'!$A$20:$BW$112, MATCH('3. Appendix A'!$E$20, '2b. Continuity Schedule'!$A$20:$BW$20,0),FALSE))</f>
        <v>0</v>
      </c>
      <c r="F82" s="150"/>
    </row>
    <row r="83" spans="1:6" ht="29.25" hidden="1" customHeight="1" x14ac:dyDescent="0.25">
      <c r="A83" s="1">
        <v>57</v>
      </c>
      <c r="C83" s="287" t="str">
        <f>VLOOKUP(A83, '2b. Continuity Schedule'!$A$24:$BW$110,3,FALSE)</f>
        <v>Smart Meter Capital and Recovery Offset Variance - Sub-Account - Recoveries4</v>
      </c>
      <c r="D83" s="351">
        <f>VLOOKUP(A83, '2b. Continuity Schedule'!$A$24:$BW$110,4,FALSE)</f>
        <v>1555</v>
      </c>
      <c r="E83" s="289">
        <f>IF(ISERROR(VLOOKUP($A83, '2b. Continuity Schedule'!$A$20:$BW$112, MATCH('3. Appendix A'!$E$20, '2b. Continuity Schedule'!$A$20:$BW$20,0),FALSE)), 0, VLOOKUP($A83, '2b. Continuity Schedule'!$A$20:$BW$112, MATCH('3. Appendix A'!$E$20, '2b. Continuity Schedule'!$A$20:$BW$20,0),FALSE))</f>
        <v>0</v>
      </c>
      <c r="F83" s="150"/>
    </row>
    <row r="84" spans="1:6" ht="29.25" hidden="1" customHeight="1" x14ac:dyDescent="0.25">
      <c r="A84" s="1">
        <v>58</v>
      </c>
      <c r="C84" s="287" t="str">
        <f>VLOOKUP(A84, '2b. Continuity Schedule'!$A$24:$BW$110,3,FALSE)</f>
        <v>Smart Meter Capital and Recovery Offset Variance - Sub-Account - Stranded Meter Costs</v>
      </c>
      <c r="D84" s="351">
        <f>VLOOKUP(A84, '2b. Continuity Schedule'!$A$24:$BW$110,4,FALSE)</f>
        <v>1555</v>
      </c>
      <c r="E84" s="289">
        <f>IF(ISERROR(VLOOKUP($A84, '2b. Continuity Schedule'!$A$20:$BW$112, MATCH('3. Appendix A'!$E$20, '2b. Continuity Schedule'!$A$20:$BW$20,0),FALSE)), 0, VLOOKUP($A84, '2b. Continuity Schedule'!$A$20:$BW$112, MATCH('3. Appendix A'!$E$20, '2b. Continuity Schedule'!$A$20:$BW$20,0),FALSE))</f>
        <v>0</v>
      </c>
      <c r="F84" s="150"/>
    </row>
    <row r="85" spans="1:6" ht="29.25" hidden="1" customHeight="1" x14ac:dyDescent="0.25">
      <c r="A85" s="1">
        <v>59</v>
      </c>
      <c r="C85" s="287" t="str">
        <f>VLOOKUP(A85, '2b. Continuity Schedule'!$A$24:$BW$110,3,FALSE)</f>
        <v>Smart Meter OM&amp;A Variance4</v>
      </c>
      <c r="D85" s="351">
        <f>VLOOKUP(A85, '2b. Continuity Schedule'!$A$24:$BW$110,4,FALSE)</f>
        <v>1556</v>
      </c>
      <c r="E85" s="289">
        <f>IF(ISERROR(VLOOKUP($A85, '2b. Continuity Schedule'!$A$20:$BW$112, MATCH('3. Appendix A'!$E$20, '2b. Continuity Schedule'!$A$20:$BW$20,0),FALSE)), 0, VLOOKUP($A85, '2b. Continuity Schedule'!$A$20:$BW$112, MATCH('3. Appendix A'!$E$20, '2b. Continuity Schedule'!$A$20:$BW$20,0),FALSE))</f>
        <v>0</v>
      </c>
      <c r="F85" s="150"/>
    </row>
    <row r="86" spans="1:6" ht="29.25" hidden="1" customHeight="1" x14ac:dyDescent="0.25">
      <c r="A86" s="1">
        <v>60</v>
      </c>
      <c r="C86" s="287" t="str">
        <f>VLOOKUP(A86, '2b. Continuity Schedule'!$A$24:$BW$110,3,FALSE)</f>
        <v>Meter Cost Deferral Account (MIST Meters)3</v>
      </c>
      <c r="D86" s="351">
        <f>VLOOKUP(A86, '2b. Continuity Schedule'!$A$24:$BW$110,4,FALSE)</f>
        <v>1557</v>
      </c>
      <c r="E86" s="289">
        <f>IF(ISERROR(VLOOKUP($A86, '2b. Continuity Schedule'!$A$20:$BW$112, MATCH('3. Appendix A'!$E$20, '2b. Continuity Schedule'!$A$20:$BW$20,0),FALSE)), 0, VLOOKUP($A86, '2b. Continuity Schedule'!$A$20:$BW$112, MATCH('3. Appendix A'!$E$20, '2b. Continuity Schedule'!$A$20:$BW$20,0),FALSE))</f>
        <v>0</v>
      </c>
      <c r="F86" s="150"/>
    </row>
    <row r="87" spans="1:6" ht="29.25" customHeight="1" x14ac:dyDescent="0.25">
      <c r="A87" s="1">
        <v>61</v>
      </c>
      <c r="C87" s="287" t="str">
        <f>VLOOKUP(A87, '2b. Continuity Schedule'!$A$24:$BW$110,3,FALSE)</f>
        <v>IFRS-CGAAP Transition PP&amp;E Amounts Balance + Return Component</v>
      </c>
      <c r="D87" s="351">
        <f>VLOOKUP(A87, '2b. Continuity Schedule'!$A$24:$BW$110,4,FALSE)</f>
        <v>1575</v>
      </c>
      <c r="E87" s="289">
        <f>IF(ISERROR(VLOOKUP($A87, '2b. Continuity Schedule'!$A$20:$BW$112, MATCH('3. Appendix A'!$E$20, '2b. Continuity Schedule'!$A$20:$BW$20,0),FALSE)), 0, VLOOKUP($A87, '2b. Continuity Schedule'!$A$20:$BW$112, MATCH('3. Appendix A'!$E$20, '2b. Continuity Schedule'!$A$20:$BW$20,0),FALSE))</f>
        <v>-151852.53</v>
      </c>
      <c r="F87" s="150"/>
    </row>
    <row r="88" spans="1:6" ht="29.25" hidden="1" customHeight="1" x14ac:dyDescent="0.25">
      <c r="A88" s="1">
        <v>62</v>
      </c>
      <c r="C88" s="287" t="str">
        <f>VLOOKUP(A88, '2b. Continuity Schedule'!$A$24:$BW$110,3,FALSE)</f>
        <v>Accounting Changes Under CGAAP Balance + Return Component</v>
      </c>
      <c r="D88" s="351">
        <f>VLOOKUP(A88, '2b. Continuity Schedule'!$A$24:$BW$110,4,FALSE)</f>
        <v>1576</v>
      </c>
      <c r="E88" s="289">
        <f>IF(ISERROR(VLOOKUP($A88, '2b. Continuity Schedule'!$A$20:$BW$112, MATCH('3. Appendix A'!$E$20, '2b. Continuity Schedule'!$A$20:$BW$20,0),FALSE)), 0, VLOOKUP($A88, '2b. Continuity Schedule'!$A$20:$BW$112, MATCH('3. Appendix A'!$E$20, '2b. Continuity Schedule'!$A$20:$BW$20,0),FALSE))</f>
        <v>0</v>
      </c>
      <c r="F88" s="150"/>
    </row>
    <row r="89" spans="1:6" ht="29.25" hidden="1" customHeight="1" thickBot="1" x14ac:dyDescent="0.3">
      <c r="A89" s="1">
        <v>63</v>
      </c>
      <c r="C89" s="348" t="str">
        <f>VLOOKUP(A89, '2b. Continuity Schedule'!$A$24:$BW$110,3,FALSE)</f>
        <v>Impacts Arising from the COVID-19 Emergency11</v>
      </c>
      <c r="D89" s="352">
        <f>VLOOKUP(A89, '2b. Continuity Schedule'!$A$24:$BW$110,4,FALSE)</f>
        <v>1509</v>
      </c>
      <c r="E89" s="292">
        <f>IF(ISERROR(VLOOKUP($A89, '2b. Continuity Schedule'!$A$20:$BW$112, MATCH('3. Appendix A'!$E$20, '2b. Continuity Schedule'!$A$20:$BW$20,0),FALSE)), 0, VLOOKUP($A89, '2b. Continuity Schedule'!$A$20:$BW$112, MATCH('3. Appendix A'!$E$20, '2b. Continuity Schedule'!$A$20:$BW$20,0),FALSE))</f>
        <v>0</v>
      </c>
      <c r="F89" s="274"/>
    </row>
    <row r="90" spans="1:6" hidden="1" x14ac:dyDescent="0.25"/>
    <row r="91" spans="1:6" hidden="1" x14ac:dyDescent="0.25"/>
    <row r="92" spans="1:6" hidden="1" x14ac:dyDescent="0.25"/>
  </sheetData>
  <sheetProtection algorithmName="SHA-512" hashValue="QqKy5V3igxo4bLSdunjodOw4YYfe3S1ZkFh/S6FE42PBnLxkOMKbj/o2R/WUubZNaVW+gT30fW3nprI4UEi7Gg==" saltValue="4HxgUjE0M6xAHBVE7psDXw==" spinCount="100000" sheet="1" objects="1" scenarios="1"/>
  <mergeCells count="5">
    <mergeCell ref="E20:E22"/>
    <mergeCell ref="F20:F22"/>
    <mergeCell ref="C20:C22"/>
    <mergeCell ref="D20:D22"/>
    <mergeCell ref="B16:E16"/>
  </mergeCells>
  <phoneticPr fontId="27" type="noConversion"/>
  <conditionalFormatting sqref="F24:F40 F42:F67">
    <cfRule type="expression" dxfId="166" priority="9" stopIfTrue="1">
      <formula>ISBLANK(F24)</formula>
    </cfRule>
  </conditionalFormatting>
  <conditionalFormatting sqref="F68:F87">
    <cfRule type="expression" dxfId="165" priority="4" stopIfTrue="1">
      <formula>ISBLANK(F68)</formula>
    </cfRule>
  </conditionalFormatting>
  <conditionalFormatting sqref="F89">
    <cfRule type="expression" dxfId="164" priority="3" stopIfTrue="1">
      <formula>ISBLANK(F89)</formula>
    </cfRule>
  </conditionalFormatting>
  <conditionalFormatting sqref="F88">
    <cfRule type="expression" dxfId="163" priority="1" stopIfTrue="1">
      <formula>ISBLANK(F88)</formula>
    </cfRule>
  </conditionalFormatting>
  <pageMargins left="0.35433070866141736" right="0.39370078740157483" top="0.61" bottom="0.63" header="0.37" footer="0.31"/>
  <pageSetup scale="4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BFF25-9327-4706-A01B-71834B7FE1EF}">
  <dimension ref="A1:CP60"/>
  <sheetViews>
    <sheetView topLeftCell="BC17" zoomScale="80" zoomScaleNormal="80" workbookViewId="0">
      <selection activeCell="CD28" sqref="CD28"/>
    </sheetView>
  </sheetViews>
  <sheetFormatPr defaultColWidth="9" defaultRowHeight="12.5" x14ac:dyDescent="0.25"/>
  <cols>
    <col min="1" max="1" width="13.7265625" hidden="1" customWidth="1"/>
    <col min="2" max="2" width="21.81640625" customWidth="1"/>
    <col min="3" max="3" width="82.26953125" customWidth="1"/>
    <col min="4" max="4" width="11" customWidth="1"/>
    <col min="5" max="5" width="16" style="795" customWidth="1"/>
    <col min="6" max="6" width="23" style="795" customWidth="1"/>
    <col min="7" max="8" width="18.26953125" style="795" customWidth="1"/>
    <col min="9" max="9" width="14.7265625" style="795" customWidth="1"/>
    <col min="10" max="10" width="14" style="795" customWidth="1"/>
    <col min="11" max="13" width="14.81640625" style="795" customWidth="1"/>
    <col min="14" max="14" width="15.26953125" style="795" customWidth="1"/>
    <col min="15" max="15" width="16" style="795" customWidth="1"/>
    <col min="16" max="16" width="23" style="795" customWidth="1"/>
    <col min="17" max="18" width="18.26953125" style="795" customWidth="1"/>
    <col min="19" max="19" width="14.7265625" style="795" customWidth="1"/>
    <col min="20" max="20" width="14" style="795" customWidth="1"/>
    <col min="21" max="23" width="14.81640625" style="795" customWidth="1"/>
    <col min="24" max="24" width="15.26953125" style="795" customWidth="1"/>
    <col min="25" max="25" width="16" style="795" customWidth="1"/>
    <col min="26" max="26" width="23" style="795" customWidth="1"/>
    <col min="27" max="28" width="18.26953125" style="795" customWidth="1"/>
    <col min="29" max="29" width="14.7265625" style="795" customWidth="1"/>
    <col min="30" max="30" width="14" style="795" customWidth="1"/>
    <col min="31" max="33" width="14.81640625" style="795" customWidth="1"/>
    <col min="34" max="34" width="15.26953125" style="795" customWidth="1"/>
    <col min="35" max="35" width="16" style="795" customWidth="1"/>
    <col min="36" max="36" width="19.54296875" style="795" customWidth="1"/>
    <col min="37" max="38" width="18.26953125" style="795" customWidth="1"/>
    <col min="39" max="39" width="14.7265625" style="795" customWidth="1"/>
    <col min="40" max="40" width="14" style="795" customWidth="1"/>
    <col min="41" max="43" width="14.81640625" style="795" customWidth="1"/>
    <col min="44" max="44" width="15.26953125" style="795" customWidth="1"/>
    <col min="45" max="45" width="16" style="795" customWidth="1"/>
    <col min="46" max="46" width="18.54296875" style="795" customWidth="1"/>
    <col min="47" max="48" width="18.26953125" style="795" customWidth="1"/>
    <col min="49" max="49" width="14.7265625" style="795" customWidth="1"/>
    <col min="50" max="50" width="14" style="795" customWidth="1"/>
    <col min="51" max="53" width="14.81640625" style="795" customWidth="1"/>
    <col min="54" max="54" width="15.26953125" style="795" customWidth="1"/>
    <col min="55" max="55" width="16" style="795" customWidth="1"/>
    <col min="56" max="58" width="18.26953125" style="795" customWidth="1"/>
    <col min="59" max="59" width="14.7265625" style="795" customWidth="1"/>
    <col min="60" max="60" width="14" style="795" customWidth="1"/>
    <col min="61" max="63" width="14.81640625" style="795" customWidth="1"/>
    <col min="64" max="66" width="15.26953125" style="795" customWidth="1"/>
    <col min="67" max="69" width="15.453125" style="795" customWidth="1"/>
    <col min="70" max="74" width="15.26953125" style="795" customWidth="1"/>
    <col min="75" max="76" width="14.81640625" style="795" customWidth="1"/>
    <col min="77" max="77" width="18" style="795" customWidth="1"/>
    <col min="78" max="78" width="17.26953125" style="795" customWidth="1"/>
    <col min="79" max="81" width="26.81640625" style="795" customWidth="1"/>
    <col min="82" max="82" width="23.54296875" style="795" customWidth="1"/>
    <col min="83" max="83" width="23.26953125" style="795" customWidth="1"/>
    <col min="84" max="84" width="22.26953125" style="795" bestFit="1" customWidth="1"/>
    <col min="85" max="85" width="19.81640625" style="795" customWidth="1"/>
    <col min="86" max="86" width="9" style="796"/>
    <col min="90" max="90" width="12.54296875" hidden="1" customWidth="1"/>
    <col min="91" max="91" width="9" hidden="1" customWidth="1"/>
    <col min="94" max="94" width="0" hidden="1" customWidth="1"/>
  </cols>
  <sheetData>
    <row r="1" spans="3:94" x14ac:dyDescent="0.25">
      <c r="F1" s="311">
        <v>20</v>
      </c>
      <c r="CA1" s="297"/>
      <c r="CB1" s="297"/>
      <c r="CC1" s="297"/>
      <c r="CD1" s="297"/>
      <c r="CE1" s="297"/>
      <c r="CP1">
        <v>1</v>
      </c>
    </row>
    <row r="2" spans="3:94" x14ac:dyDescent="0.25">
      <c r="CA2" s="297"/>
      <c r="CB2" s="297"/>
      <c r="CC2" s="297"/>
      <c r="CD2" s="297"/>
      <c r="CE2" s="297"/>
      <c r="CP2">
        <v>2</v>
      </c>
    </row>
    <row r="3" spans="3:94" x14ac:dyDescent="0.25">
      <c r="CA3" s="297"/>
      <c r="CB3" s="297"/>
      <c r="CC3" s="297"/>
      <c r="CD3" s="297"/>
      <c r="CE3" s="297"/>
      <c r="CP3">
        <v>3</v>
      </c>
    </row>
    <row r="4" spans="3:94" x14ac:dyDescent="0.25">
      <c r="CA4" s="297"/>
      <c r="CB4" s="297"/>
      <c r="CC4" s="297"/>
      <c r="CD4" s="297"/>
      <c r="CE4" s="297"/>
      <c r="CP4">
        <v>4</v>
      </c>
    </row>
    <row r="5" spans="3:94" x14ac:dyDescent="0.25">
      <c r="CA5" s="297"/>
      <c r="CB5" s="297"/>
      <c r="CC5" s="297"/>
      <c r="CD5" s="297"/>
      <c r="CE5" s="297"/>
      <c r="CP5">
        <v>5</v>
      </c>
    </row>
    <row r="6" spans="3:94" x14ac:dyDescent="0.25">
      <c r="CA6" s="297"/>
      <c r="CB6" s="297"/>
      <c r="CC6" s="297"/>
      <c r="CD6" s="297"/>
      <c r="CE6" s="297"/>
      <c r="CP6">
        <v>6</v>
      </c>
    </row>
    <row r="7" spans="3:94" x14ac:dyDescent="0.25">
      <c r="CA7" s="297"/>
      <c r="CB7" s="297"/>
      <c r="CC7" s="297"/>
      <c r="CD7" s="297"/>
      <c r="CE7" s="297"/>
      <c r="CP7">
        <v>7</v>
      </c>
    </row>
    <row r="8" spans="3:94" x14ac:dyDescent="0.25">
      <c r="CA8" s="297"/>
      <c r="CB8" s="297"/>
      <c r="CC8" s="297"/>
      <c r="CD8" s="297"/>
      <c r="CE8" s="297"/>
      <c r="CP8">
        <v>8</v>
      </c>
    </row>
    <row r="9" spans="3:94" x14ac:dyDescent="0.25">
      <c r="CA9" s="297"/>
      <c r="CB9" s="297"/>
      <c r="CC9" s="297"/>
      <c r="CD9" s="297"/>
      <c r="CE9" s="297"/>
      <c r="CP9">
        <v>9</v>
      </c>
    </row>
    <row r="10" spans="3:94" x14ac:dyDescent="0.25">
      <c r="CA10" s="297"/>
      <c r="CB10" s="297"/>
      <c r="CC10" s="297"/>
      <c r="CD10" s="297"/>
      <c r="CE10" s="297"/>
      <c r="CP10">
        <v>10</v>
      </c>
    </row>
    <row r="11" spans="3:94" x14ac:dyDescent="0.25">
      <c r="CA11" s="297"/>
      <c r="CB11" s="297"/>
      <c r="CC11" s="297"/>
      <c r="CD11" s="297"/>
      <c r="CE11" s="297"/>
      <c r="CL11" s="350" t="b">
        <v>1</v>
      </c>
      <c r="CP11">
        <v>11</v>
      </c>
    </row>
    <row r="12" spans="3:94" x14ac:dyDescent="0.25">
      <c r="CA12" s="297"/>
      <c r="CB12" s="297"/>
      <c r="CC12" s="297"/>
      <c r="CD12" s="297"/>
      <c r="CE12" s="297"/>
      <c r="CL12" s="350" t="b">
        <v>0</v>
      </c>
      <c r="CP12">
        <v>12</v>
      </c>
    </row>
    <row r="13" spans="3:94" x14ac:dyDescent="0.25">
      <c r="CA13" s="297"/>
      <c r="CB13" s="297"/>
      <c r="CC13" s="297"/>
      <c r="CD13" s="297"/>
      <c r="CE13" s="297"/>
      <c r="CP13">
        <v>13</v>
      </c>
    </row>
    <row r="14" spans="3:94" x14ac:dyDescent="0.25">
      <c r="CA14" s="297"/>
      <c r="CB14" s="297"/>
      <c r="CC14" s="297"/>
      <c r="CD14" s="297"/>
      <c r="CE14" s="297"/>
      <c r="CP14">
        <v>14</v>
      </c>
    </row>
    <row r="15" spans="3:94" x14ac:dyDescent="0.25">
      <c r="CA15" s="297"/>
      <c r="CB15" s="297"/>
      <c r="CC15" s="297"/>
      <c r="CD15" s="297"/>
      <c r="CE15" s="297"/>
      <c r="CP15">
        <v>15</v>
      </c>
    </row>
    <row r="16" spans="3:94" ht="61.5" customHeight="1" x14ac:dyDescent="0.35">
      <c r="C16" s="797" t="s">
        <v>2865</v>
      </c>
      <c r="D16" s="797"/>
      <c r="E16" s="797"/>
      <c r="F16" s="797"/>
      <c r="G16" s="797"/>
      <c r="H16" s="797"/>
      <c r="I16" s="797"/>
      <c r="J16" s="797"/>
      <c r="K16" s="797"/>
      <c r="L16" s="797"/>
      <c r="M16" s="797"/>
      <c r="N16" s="797"/>
      <c r="O16" s="797"/>
      <c r="CA16" s="297"/>
      <c r="CB16" s="297"/>
      <c r="CC16" s="297"/>
      <c r="CD16" s="297"/>
      <c r="CE16" s="297"/>
      <c r="CP16">
        <v>16</v>
      </c>
    </row>
    <row r="17" spans="1:91" ht="14.5" x14ac:dyDescent="0.25">
      <c r="E17" s="798"/>
      <c r="CA17" s="297"/>
      <c r="CB17" s="297"/>
      <c r="CC17" s="297"/>
      <c r="CD17" s="297"/>
      <c r="CE17" s="297"/>
    </row>
    <row r="18" spans="1:91" ht="13.5" thickBot="1" x14ac:dyDescent="0.35">
      <c r="C18" s="799"/>
      <c r="BY18" s="800"/>
      <c r="BZ18" s="800"/>
      <c r="CA18" s="298"/>
      <c r="CB18" s="298"/>
      <c r="CC18" s="298"/>
      <c r="CD18" s="298"/>
      <c r="CE18" s="298"/>
    </row>
    <row r="19" spans="1:91" ht="29" thickBot="1" x14ac:dyDescent="0.7">
      <c r="C19" s="801"/>
      <c r="D19" s="802"/>
      <c r="E19" s="1156">
        <v>2017</v>
      </c>
      <c r="F19" s="1157"/>
      <c r="G19" s="1157"/>
      <c r="H19" s="1157"/>
      <c r="I19" s="1157"/>
      <c r="J19" s="1157"/>
      <c r="K19" s="1157"/>
      <c r="L19" s="1157"/>
      <c r="M19" s="1157"/>
      <c r="N19" s="1158"/>
      <c r="O19" s="1144">
        <f>E19+1</f>
        <v>2018</v>
      </c>
      <c r="P19" s="1145"/>
      <c r="Q19" s="1145"/>
      <c r="R19" s="1145"/>
      <c r="S19" s="1145"/>
      <c r="T19" s="1145"/>
      <c r="U19" s="1145"/>
      <c r="V19" s="1145"/>
      <c r="W19" s="1145"/>
      <c r="X19" s="1146"/>
      <c r="Y19" s="1144">
        <f>O19+1</f>
        <v>2019</v>
      </c>
      <c r="Z19" s="1145"/>
      <c r="AA19" s="1145"/>
      <c r="AB19" s="1145"/>
      <c r="AC19" s="1145"/>
      <c r="AD19" s="1145"/>
      <c r="AE19" s="1145"/>
      <c r="AF19" s="1145"/>
      <c r="AG19" s="1145"/>
      <c r="AH19" s="1146"/>
      <c r="AI19" s="1144">
        <f>Y19+1</f>
        <v>2020</v>
      </c>
      <c r="AJ19" s="1145"/>
      <c r="AK19" s="1145"/>
      <c r="AL19" s="1145"/>
      <c r="AM19" s="1145"/>
      <c r="AN19" s="1145"/>
      <c r="AO19" s="1145"/>
      <c r="AP19" s="1145"/>
      <c r="AQ19" s="1145"/>
      <c r="AR19" s="1146"/>
      <c r="AS19" s="1144">
        <f>AI19+1</f>
        <v>2021</v>
      </c>
      <c r="AT19" s="1145"/>
      <c r="AU19" s="1145"/>
      <c r="AV19" s="1145"/>
      <c r="AW19" s="1145"/>
      <c r="AX19" s="1145"/>
      <c r="AY19" s="1145"/>
      <c r="AZ19" s="1145"/>
      <c r="BA19" s="1145"/>
      <c r="BB19" s="1146"/>
      <c r="BC19" s="1144">
        <f>AS19+1</f>
        <v>2022</v>
      </c>
      <c r="BD19" s="1145"/>
      <c r="BE19" s="1145"/>
      <c r="BF19" s="1145"/>
      <c r="BG19" s="1145"/>
      <c r="BH19" s="1145"/>
      <c r="BI19" s="1145"/>
      <c r="BJ19" s="1145"/>
      <c r="BK19" s="1145"/>
      <c r="BL19" s="1146"/>
      <c r="BM19" s="1144">
        <v>2023</v>
      </c>
      <c r="BN19" s="1145"/>
      <c r="BO19" s="1145"/>
      <c r="BP19" s="1145"/>
      <c r="BQ19" s="1145"/>
      <c r="BR19" s="1145"/>
      <c r="BS19" s="1145"/>
      <c r="BT19" s="1145"/>
      <c r="BU19" s="1145"/>
      <c r="BV19" s="1146"/>
      <c r="BW19" s="1144">
        <f>BM19+1</f>
        <v>2024</v>
      </c>
      <c r="BX19" s="1145"/>
      <c r="BY19" s="1145"/>
      <c r="BZ19" s="1146"/>
      <c r="CA19" s="1147" t="str">
        <f>CONCATENATE("Projected Interest on Dec-31-",RIGHT(BM19,2)," Balances")</f>
        <v>Projected Interest on Dec-31-23 Balances</v>
      </c>
      <c r="CB19" s="1148"/>
      <c r="CC19" s="1148"/>
      <c r="CD19" s="1149"/>
      <c r="CE19" s="803"/>
      <c r="CF19" s="804" t="s">
        <v>19</v>
      </c>
      <c r="CG19" s="805"/>
    </row>
    <row r="20" spans="1:91" ht="14.25" customHeight="1" x14ac:dyDescent="0.25">
      <c r="C20" s="1150" t="s">
        <v>16</v>
      </c>
      <c r="D20" s="1152" t="s">
        <v>0</v>
      </c>
      <c r="E20" s="1139" t="str">
        <f>CONCATENATE("Opening Principal Amounts as of Jan-1-",RIGHT(E19,2))</f>
        <v>Opening Principal Amounts as of Jan-1-17</v>
      </c>
      <c r="F20" s="1132" t="str">
        <f>CONCATENATE("Transactions(1) Debit / (Credit) during ",E19)</f>
        <v>Transactions(1) Debit / (Credit) during 2017</v>
      </c>
      <c r="G20" s="1132" t="str">
        <f>CONCATENATE("OEB-Approved Disposition during ",E19)</f>
        <v>OEB-Approved Disposition during 2017</v>
      </c>
      <c r="H20" s="1132" t="str">
        <f>CONCATENATE("Principal Adjustments during ",E19,"(1)")</f>
        <v>Principal Adjustments during 2017(1)</v>
      </c>
      <c r="I20" s="1132" t="str">
        <f>CONCATENATE("Closing Principal Balance as of Dec-31-",RIGHT(E19,2))</f>
        <v>Closing Principal Balance as of Dec-31-17</v>
      </c>
      <c r="J20" s="1132" t="str">
        <f>CONCATENATE("Opening Interest Amounts as of Jan-1-",RIGHT(E19,2))</f>
        <v>Opening Interest Amounts as of Jan-1-17</v>
      </c>
      <c r="K20" s="1132" t="str">
        <f>CONCATENATE("Interest Jan-1 to Dec-31-",RIGHT(E19,2))</f>
        <v>Interest Jan-1 to Dec-31-17</v>
      </c>
      <c r="L20" s="1132" t="str">
        <f>CONCATENATE("OEB-Approved Disposition during ",E19)</f>
        <v>OEB-Approved Disposition during 2017</v>
      </c>
      <c r="M20" s="1132" t="str">
        <f>CONCATENATE("Interest Adjustments(1) during ",E19)</f>
        <v>Interest Adjustments(1) during 2017</v>
      </c>
      <c r="N20" s="1125" t="str">
        <f>CONCATENATE("Closing Interest Amounts as of Dec-31-",RIGHT(E19,2))</f>
        <v>Closing Interest Amounts as of Dec-31-17</v>
      </c>
      <c r="O20" s="1139" t="str">
        <f>CONCATENATE("Opening Principal Amounts as of Jan-1-",RIGHT(O19,2))</f>
        <v>Opening Principal Amounts as of Jan-1-18</v>
      </c>
      <c r="P20" s="1132" t="str">
        <f>CONCATENATE("Transactions Debit / (Credit) during ",O19)</f>
        <v>Transactions Debit / (Credit) during 2018</v>
      </c>
      <c r="Q20" s="1132" t="str">
        <f>CONCATENATE("OEB-Approved Disposition during ",O19)</f>
        <v>OEB-Approved Disposition during 2018</v>
      </c>
      <c r="R20" s="1132" t="str">
        <f>CONCATENATE("Principal Adjustments(1) during ",O19)</f>
        <v>Principal Adjustments(1) during 2018</v>
      </c>
      <c r="S20" s="1132" t="str">
        <f>CONCATENATE("Closing Principal Balance as of Dec-31-",RIGHT(O19,2))</f>
        <v>Closing Principal Balance as of Dec-31-18</v>
      </c>
      <c r="T20" s="1132" t="str">
        <f>CONCATENATE("Opening Interest Amounts as of Jan-1-",RIGHT(O19,2))</f>
        <v>Opening Interest Amounts as of Jan-1-18</v>
      </c>
      <c r="U20" s="1132" t="str">
        <f>CONCATENATE("Interest Jan-1 to Dec-31-",RIGHT(O19,2))</f>
        <v>Interest Jan-1 to Dec-31-18</v>
      </c>
      <c r="V20" s="1132" t="str">
        <f>CONCATENATE("OEB-Approved Disposition during ",O19)</f>
        <v>OEB-Approved Disposition during 2018</v>
      </c>
      <c r="W20" s="1132" t="str">
        <f>CONCATENATE("Interest Adjustments(1) during ",O19)</f>
        <v>Interest Adjustments(1) during 2018</v>
      </c>
      <c r="X20" s="1125" t="str">
        <f>CONCATENATE("Closing Interest Amounts as of Dec-31-",RIGHT(O19,2))</f>
        <v>Closing Interest Amounts as of Dec-31-18</v>
      </c>
      <c r="Y20" s="1139" t="str">
        <f>CONCATENATE("Opening Principal Amounts as of Jan-1-",RIGHT(Y19,2))</f>
        <v>Opening Principal Amounts as of Jan-1-19</v>
      </c>
      <c r="Z20" s="1132" t="str">
        <f>CONCATENATE("Transactions Debit / (Credit) during ",Y19)</f>
        <v>Transactions Debit / (Credit) during 2019</v>
      </c>
      <c r="AA20" s="1132" t="str">
        <f>CONCATENATE("OEB-Approved Disposition during ",Y19)</f>
        <v>OEB-Approved Disposition during 2019</v>
      </c>
      <c r="AB20" s="1132" t="str">
        <f>CONCATENATE("Principal Adjustments(1) during ",Y19)</f>
        <v>Principal Adjustments(1) during 2019</v>
      </c>
      <c r="AC20" s="1132" t="str">
        <f>CONCATENATE("Closing Principal Balance as of Dec-31-",RIGHT(Y19,2))</f>
        <v>Closing Principal Balance as of Dec-31-19</v>
      </c>
      <c r="AD20" s="1132" t="str">
        <f>CONCATENATE("Opening Interest Amounts as of Jan-1-",RIGHT(Y19,2))</f>
        <v>Opening Interest Amounts as of Jan-1-19</v>
      </c>
      <c r="AE20" s="1132" t="str">
        <f>CONCATENATE("Interest Jan-1 to Dec-31-",RIGHT(Y19,2))</f>
        <v>Interest Jan-1 to Dec-31-19</v>
      </c>
      <c r="AF20" s="1132" t="str">
        <f>CONCATENATE("OEB-Approved Disposition during ",Y19)</f>
        <v>OEB-Approved Disposition during 2019</v>
      </c>
      <c r="AG20" s="1132" t="str">
        <f>CONCATENATE("Interest Adjustments(1) during ",Y19)</f>
        <v>Interest Adjustments(1) during 2019</v>
      </c>
      <c r="AH20" s="1125" t="str">
        <f>CONCATENATE("Closing Interest Amounts as of Dec-31-",RIGHT(Y19,2))</f>
        <v>Closing Interest Amounts as of Dec-31-19</v>
      </c>
      <c r="AI20" s="1139" t="str">
        <f>CONCATENATE("Opening Principal Amounts as of Jan-1-",RIGHT(AI19,2))</f>
        <v>Opening Principal Amounts as of Jan-1-20</v>
      </c>
      <c r="AJ20" s="1132" t="str">
        <f>CONCATENATE("Transactions(1) Debit / (Credit) during ",AI19)</f>
        <v>Transactions(1) Debit / (Credit) during 2020</v>
      </c>
      <c r="AK20" s="1132" t="str">
        <f>CONCATENATE("OEB-Approved Disposition during ",AI19)</f>
        <v>OEB-Approved Disposition during 2020</v>
      </c>
      <c r="AL20" s="1132" t="str">
        <f>CONCATENATE("Principal Adjustments(1) during ",AI19)</f>
        <v>Principal Adjustments(1) during 2020</v>
      </c>
      <c r="AM20" s="1132" t="str">
        <f>CONCATENATE("Closing Principal Balance as of Dec-31-",RIGHT(AI19,2))</f>
        <v>Closing Principal Balance as of Dec-31-20</v>
      </c>
      <c r="AN20" s="1132" t="str">
        <f>CONCATENATE("Opening Interest Amounts as of Jan-1-",RIGHT(AI19,2))</f>
        <v>Opening Interest Amounts as of Jan-1-20</v>
      </c>
      <c r="AO20" s="1132" t="str">
        <f>CONCATENATE("Interest Jan-1 to Dec-31-",RIGHT(AI19,2))</f>
        <v>Interest Jan-1 to Dec-31-20</v>
      </c>
      <c r="AP20" s="1132" t="str">
        <f>CONCATENATE("OEB-Approved Disposition during ",AI19)</f>
        <v>OEB-Approved Disposition during 2020</v>
      </c>
      <c r="AQ20" s="1132" t="str">
        <f>CONCATENATE("Interest Adjustments(1) during ",AI19)</f>
        <v>Interest Adjustments(1) during 2020</v>
      </c>
      <c r="AR20" s="1125" t="str">
        <f>CONCATENATE("Closing Interest Amounts as of Dec-31-",RIGHT(AI19,2))</f>
        <v>Closing Interest Amounts as of Dec-31-20</v>
      </c>
      <c r="AS20" s="1139" t="str">
        <f>CONCATENATE("Opening Principal Amounts as of Jan-1-",RIGHT(AS19,2))</f>
        <v>Opening Principal Amounts as of Jan-1-21</v>
      </c>
      <c r="AT20" s="1132" t="str">
        <f>CONCATENATE("Transactions(1) Debit / (Credit) during ",AS19)</f>
        <v>Transactions(1) Debit / (Credit) during 2021</v>
      </c>
      <c r="AU20" s="1132" t="str">
        <f>CONCATENATE("OEB-Approved Disposition during ",AS19)</f>
        <v>OEB-Approved Disposition during 2021</v>
      </c>
      <c r="AV20" s="1132" t="str">
        <f>CONCATENATE("Principal Adjustments(1) during ",AS19)</f>
        <v>Principal Adjustments(1) during 2021</v>
      </c>
      <c r="AW20" s="1132" t="str">
        <f>CONCATENATE("Closing Principal Balance as of Dec-31-",RIGHT(AS19,2))</f>
        <v>Closing Principal Balance as of Dec-31-21</v>
      </c>
      <c r="AX20" s="1132" t="str">
        <f>CONCATENATE("Opening Interest Amounts as of Jan-1-",RIGHT(AS19,2))</f>
        <v>Opening Interest Amounts as of Jan-1-21</v>
      </c>
      <c r="AY20" s="1132" t="str">
        <f>CONCATENATE("Interest Jan-1 to Dec-31-",RIGHT(AS19,2))</f>
        <v>Interest Jan-1 to Dec-31-21</v>
      </c>
      <c r="AZ20" s="1132" t="str">
        <f>CONCATENATE("OEB-Approved Disposition during ",AS19)</f>
        <v>OEB-Approved Disposition during 2021</v>
      </c>
      <c r="BA20" s="1132" t="str">
        <f>CONCATENATE("Interest Adjustments(1) during ",AS19)</f>
        <v>Interest Adjustments(1) during 2021</v>
      </c>
      <c r="BB20" s="1125" t="str">
        <f>CONCATENATE("Closing Interest Amounts as of Dec-31-",RIGHT(AS19,2))</f>
        <v>Closing Interest Amounts as of Dec-31-21</v>
      </c>
      <c r="BC20" s="1139" t="str">
        <f>CONCATENATE("Opening Principal Amounts as of Jan-1-",RIGHT(BC19,2))</f>
        <v>Opening Principal Amounts as of Jan-1-22</v>
      </c>
      <c r="BD20" s="1132" t="str">
        <f>CONCATENATE("Transactions Debit / (Credit) during ",BC19)</f>
        <v>Transactions Debit / (Credit) during 2022</v>
      </c>
      <c r="BE20" s="1132" t="str">
        <f>CONCATENATE("OEB-Approved Disposition during ",BC19)</f>
        <v>OEB-Approved Disposition during 2022</v>
      </c>
      <c r="BF20" s="1132" t="str">
        <f>CONCATENATE("Principal Adjustments(1) during ",BC19)</f>
        <v>Principal Adjustments(1) during 2022</v>
      </c>
      <c r="BG20" s="1132" t="str">
        <f>CONCATENATE("Closing Principal Balance as of Dec-31-",RIGHT(BC19,2))</f>
        <v>Closing Principal Balance as of Dec-31-22</v>
      </c>
      <c r="BH20" s="1132" t="str">
        <f>CONCATENATE("Opening Interest Amounts as of Jan-1-",RIGHT(BC19,2))</f>
        <v>Opening Interest Amounts as of Jan-1-22</v>
      </c>
      <c r="BI20" s="1132" t="str">
        <f>CONCATENATE("Interest Jan-1 to Dec-31-",RIGHT(BC19,2))</f>
        <v>Interest Jan-1 to Dec-31-22</v>
      </c>
      <c r="BJ20" s="1132" t="str">
        <f>CONCATENATE("OEB-Approved Disposition during ",BC19)</f>
        <v>OEB-Approved Disposition during 2022</v>
      </c>
      <c r="BK20" s="1132" t="str">
        <f>CONCATENATE("Interest Adjustments(1) during ",BC19)</f>
        <v>Interest Adjustments(1) during 2022</v>
      </c>
      <c r="BL20" s="1125" t="str">
        <f>CONCATENATE("Closing Interest Amounts as of Dec-31-",RIGHT(BC19,2))</f>
        <v>Closing Interest Amounts as of Dec-31-22</v>
      </c>
      <c r="BM20" s="1139" t="s">
        <v>3970</v>
      </c>
      <c r="BN20" s="1132" t="s">
        <v>3971</v>
      </c>
      <c r="BO20" s="1132" t="s">
        <v>3972</v>
      </c>
      <c r="BP20" s="1132" t="s">
        <v>3973</v>
      </c>
      <c r="BQ20" s="1132" t="s">
        <v>3974</v>
      </c>
      <c r="BR20" s="1132" t="s">
        <v>3975</v>
      </c>
      <c r="BS20" s="1132" t="s">
        <v>3976</v>
      </c>
      <c r="BT20" s="1132" t="s">
        <v>3972</v>
      </c>
      <c r="BU20" s="1132" t="s">
        <v>3977</v>
      </c>
      <c r="BV20" s="1125" t="s">
        <v>3978</v>
      </c>
      <c r="BW20" s="1132" t="str">
        <f>CONCATENATE("Principal Disposition during ",BW19," - instructed by  OEB")</f>
        <v>Principal Disposition during 2024 - instructed by  OEB</v>
      </c>
      <c r="BX20" s="1132" t="str">
        <f>CONCATENATE("Interest Disposition during ",BW19," - instructed by  OEB")</f>
        <v>Interest Disposition during 2024 - instructed by  OEB</v>
      </c>
      <c r="BY20" s="1132" t="str">
        <f>CONCATENATE("Closing Principal Balances as of Dec 31-",RIGHT(BW19-1,2)," Adjusted for Dispositions during ",BW19)</f>
        <v>Closing Principal Balances as of Dec 31-23 Adjusted for Dispositions during 2024</v>
      </c>
      <c r="BZ20" s="1132" t="str">
        <f>CONCATENATE("Closing Interest Balances as of Dec 31-",RIGHT(BW19-1,2)," Adjusted for Dispositions during ",BW19)</f>
        <v>Closing Interest Balances as of Dec 31-23 Adjusted for Dispositions during 2024</v>
      </c>
      <c r="CA20" s="1139" t="str">
        <f>CONCATENATE("Projected Interest  from Jan 1, ",BW19," to December 31, ",BW19," on  Dec 31 -",RIGHT(BW19-1,2)," balance adjusted for disposition during ",BW19," (2)")</f>
        <v>Projected Interest  from Jan 1, 2024 to December 31, 2024 on  Dec 31 -23 balance adjusted for disposition during 2024 (2)</v>
      </c>
      <c r="CB20" s="1132" t="str">
        <f>CONCATENATE("Projected Interest from January 1, ",BW19+1," to April 30, ",BW19+1," on Dec 31 -",RIGHT(BC19,2)," balance adjusted for disposition during ",BW19,"  (2)")</f>
        <v>Projected Interest from January 1, 2025 to April 30, 2025 on Dec 31 -22 balance adjusted for disposition during 2024  (2)</v>
      </c>
      <c r="CC20" s="1132" t="s">
        <v>159</v>
      </c>
      <c r="CD20" s="1125" t="s">
        <v>18</v>
      </c>
      <c r="CE20" s="1128" t="s">
        <v>632</v>
      </c>
      <c r="CF20" s="1128" t="str">
        <f>CONCATENATE("As of Dec 31-",RIGHT(BM19,2))</f>
        <v>As of Dec 31-23</v>
      </c>
      <c r="CG20" s="1125" t="str">
        <f>CONCATENATE("Variance                           RRR vs. ",BM19," Balance                        (Principal + Interest)")</f>
        <v>Variance                           RRR vs. 2023 Balance                        (Principal + Interest)</v>
      </c>
    </row>
    <row r="21" spans="1:91" ht="24.75" customHeight="1" x14ac:dyDescent="0.25">
      <c r="C21" s="1151"/>
      <c r="D21" s="1153"/>
      <c r="E21" s="1154"/>
      <c r="F21" s="1142"/>
      <c r="G21" s="1137"/>
      <c r="H21" s="1137"/>
      <c r="I21" s="1135"/>
      <c r="J21" s="1142"/>
      <c r="K21" s="1137"/>
      <c r="L21" s="1137"/>
      <c r="M21" s="1137"/>
      <c r="N21" s="1126"/>
      <c r="O21" s="1140"/>
      <c r="P21" s="1142"/>
      <c r="Q21" s="1137"/>
      <c r="R21" s="1137"/>
      <c r="S21" s="1135"/>
      <c r="T21" s="1133"/>
      <c r="U21" s="1137"/>
      <c r="V21" s="1137"/>
      <c r="W21" s="1137"/>
      <c r="X21" s="1126"/>
      <c r="Y21" s="1140"/>
      <c r="Z21" s="1142"/>
      <c r="AA21" s="1137"/>
      <c r="AB21" s="1137"/>
      <c r="AC21" s="1135"/>
      <c r="AD21" s="1133"/>
      <c r="AE21" s="1137"/>
      <c r="AF21" s="1137"/>
      <c r="AG21" s="1137"/>
      <c r="AH21" s="1126"/>
      <c r="AI21" s="1140"/>
      <c r="AJ21" s="1142"/>
      <c r="AK21" s="1137"/>
      <c r="AL21" s="1137"/>
      <c r="AM21" s="1135"/>
      <c r="AN21" s="1133"/>
      <c r="AO21" s="1137"/>
      <c r="AP21" s="1137"/>
      <c r="AQ21" s="1137"/>
      <c r="AR21" s="1126"/>
      <c r="AS21" s="1140"/>
      <c r="AT21" s="1142"/>
      <c r="AU21" s="1137"/>
      <c r="AV21" s="1137"/>
      <c r="AW21" s="1135"/>
      <c r="AX21" s="1133"/>
      <c r="AY21" s="1137"/>
      <c r="AZ21" s="1137"/>
      <c r="BA21" s="1137"/>
      <c r="BB21" s="1126"/>
      <c r="BC21" s="1140"/>
      <c r="BD21" s="1142"/>
      <c r="BE21" s="1137"/>
      <c r="BF21" s="1135"/>
      <c r="BG21" s="1135"/>
      <c r="BH21" s="1133"/>
      <c r="BI21" s="1137"/>
      <c r="BJ21" s="1137"/>
      <c r="BK21" s="1135"/>
      <c r="BL21" s="1126"/>
      <c r="BM21" s="1140"/>
      <c r="BN21" s="1142"/>
      <c r="BO21" s="1137"/>
      <c r="BP21" s="1137"/>
      <c r="BQ21" s="1135"/>
      <c r="BR21" s="1133"/>
      <c r="BS21" s="1137"/>
      <c r="BT21" s="1137"/>
      <c r="BU21" s="1137"/>
      <c r="BV21" s="1126"/>
      <c r="BW21" s="1135"/>
      <c r="BX21" s="1135"/>
      <c r="BY21" s="1135"/>
      <c r="BZ21" s="1135"/>
      <c r="CA21" s="1140"/>
      <c r="CB21" s="1133"/>
      <c r="CC21" s="1133"/>
      <c r="CD21" s="1126"/>
      <c r="CE21" s="1129"/>
      <c r="CF21" s="1129"/>
      <c r="CG21" s="1126"/>
    </row>
    <row r="22" spans="1:91" ht="73" customHeight="1" thickBot="1" x14ac:dyDescent="0.3">
      <c r="B22" s="806"/>
      <c r="C22" s="1151"/>
      <c r="D22" s="1153"/>
      <c r="E22" s="1155"/>
      <c r="F22" s="1143"/>
      <c r="G22" s="1138"/>
      <c r="H22" s="1138"/>
      <c r="I22" s="1136"/>
      <c r="J22" s="1143"/>
      <c r="K22" s="1138"/>
      <c r="L22" s="1138"/>
      <c r="M22" s="1138"/>
      <c r="N22" s="1127"/>
      <c r="O22" s="1141"/>
      <c r="P22" s="1143"/>
      <c r="Q22" s="1138"/>
      <c r="R22" s="1138"/>
      <c r="S22" s="1136"/>
      <c r="T22" s="1134"/>
      <c r="U22" s="1138"/>
      <c r="V22" s="1138"/>
      <c r="W22" s="1138"/>
      <c r="X22" s="1127"/>
      <c r="Y22" s="1141"/>
      <c r="Z22" s="1143"/>
      <c r="AA22" s="1138"/>
      <c r="AB22" s="1138"/>
      <c r="AC22" s="1136"/>
      <c r="AD22" s="1134"/>
      <c r="AE22" s="1138"/>
      <c r="AF22" s="1138"/>
      <c r="AG22" s="1138"/>
      <c r="AH22" s="1127"/>
      <c r="AI22" s="1141"/>
      <c r="AJ22" s="1143"/>
      <c r="AK22" s="1138"/>
      <c r="AL22" s="1138"/>
      <c r="AM22" s="1136"/>
      <c r="AN22" s="1134"/>
      <c r="AO22" s="1138"/>
      <c r="AP22" s="1138"/>
      <c r="AQ22" s="1138"/>
      <c r="AR22" s="1127"/>
      <c r="AS22" s="1141"/>
      <c r="AT22" s="1143"/>
      <c r="AU22" s="1138"/>
      <c r="AV22" s="1138"/>
      <c r="AW22" s="1136"/>
      <c r="AX22" s="1134"/>
      <c r="AY22" s="1138"/>
      <c r="AZ22" s="1138"/>
      <c r="BA22" s="1138"/>
      <c r="BB22" s="1127"/>
      <c r="BC22" s="1141"/>
      <c r="BD22" s="1143"/>
      <c r="BE22" s="1138"/>
      <c r="BF22" s="1136"/>
      <c r="BG22" s="1136"/>
      <c r="BH22" s="1134"/>
      <c r="BI22" s="1138"/>
      <c r="BJ22" s="1138"/>
      <c r="BK22" s="1136"/>
      <c r="BL22" s="1127"/>
      <c r="BM22" s="1141"/>
      <c r="BN22" s="1143"/>
      <c r="BO22" s="1138"/>
      <c r="BP22" s="1138"/>
      <c r="BQ22" s="1136"/>
      <c r="BR22" s="1134"/>
      <c r="BS22" s="1138"/>
      <c r="BT22" s="1138"/>
      <c r="BU22" s="1138"/>
      <c r="BV22" s="1127"/>
      <c r="BW22" s="1136"/>
      <c r="BX22" s="1136"/>
      <c r="BY22" s="1136"/>
      <c r="BZ22" s="1136"/>
      <c r="CA22" s="1141"/>
      <c r="CB22" s="1134"/>
      <c r="CC22" s="1134" t="s">
        <v>11</v>
      </c>
      <c r="CD22" s="1127" t="s">
        <v>11</v>
      </c>
      <c r="CE22" s="1130"/>
      <c r="CF22" s="1130"/>
      <c r="CG22" s="1127"/>
    </row>
    <row r="23" spans="1:91" s="819" customFormat="1" ht="33.75" customHeight="1" thickBot="1" x14ac:dyDescent="0.35">
      <c r="A23"/>
      <c r="B23" s="807">
        <v>1</v>
      </c>
      <c r="C23" s="808" t="s">
        <v>21</v>
      </c>
      <c r="D23" s="809"/>
      <c r="E23" s="810"/>
      <c r="F23" s="811"/>
      <c r="G23" s="812"/>
      <c r="H23" s="812"/>
      <c r="I23" s="812"/>
      <c r="J23" s="812"/>
      <c r="K23" s="812"/>
      <c r="L23" s="812"/>
      <c r="M23" s="812"/>
      <c r="N23" s="813"/>
      <c r="O23" s="814"/>
      <c r="P23" s="811"/>
      <c r="Q23" s="812"/>
      <c r="R23" s="812"/>
      <c r="S23" s="812"/>
      <c r="T23" s="812"/>
      <c r="U23" s="812"/>
      <c r="V23" s="812"/>
      <c r="W23" s="812"/>
      <c r="X23" s="813"/>
      <c r="Y23" s="814"/>
      <c r="Z23" s="811"/>
      <c r="AA23" s="812"/>
      <c r="AB23" s="812"/>
      <c r="AC23" s="812"/>
      <c r="AD23" s="812"/>
      <c r="AE23" s="812"/>
      <c r="AF23" s="812"/>
      <c r="AG23" s="812"/>
      <c r="AH23" s="813"/>
      <c r="AI23" s="814"/>
      <c r="AJ23" s="811"/>
      <c r="AK23" s="812"/>
      <c r="AL23" s="812"/>
      <c r="AM23" s="812"/>
      <c r="AN23" s="812"/>
      <c r="AO23" s="812"/>
      <c r="AP23" s="812"/>
      <c r="AQ23" s="812"/>
      <c r="AR23" s="813"/>
      <c r="AS23" s="814"/>
      <c r="AT23" s="811"/>
      <c r="AU23" s="812"/>
      <c r="AV23" s="812"/>
      <c r="AW23" s="812"/>
      <c r="AX23" s="812"/>
      <c r="AY23" s="812"/>
      <c r="AZ23" s="812"/>
      <c r="BA23" s="812"/>
      <c r="BB23" s="813"/>
      <c r="BC23" s="814"/>
      <c r="BD23" s="811"/>
      <c r="BE23" s="812"/>
      <c r="BF23" s="812"/>
      <c r="BG23" s="812"/>
      <c r="BH23" s="812"/>
      <c r="BI23" s="812"/>
      <c r="BJ23" s="812"/>
      <c r="BK23" s="812"/>
      <c r="BL23" s="813"/>
      <c r="BM23" s="815"/>
      <c r="BN23" s="815"/>
      <c r="BO23" s="815"/>
      <c r="BP23" s="815"/>
      <c r="BQ23" s="815"/>
      <c r="BR23" s="815"/>
      <c r="BS23" s="815"/>
      <c r="BT23" s="815"/>
      <c r="BU23" s="815"/>
      <c r="BV23" s="815"/>
      <c r="BW23" s="816"/>
      <c r="BX23" s="817"/>
      <c r="BY23" s="812"/>
      <c r="BZ23" s="818"/>
      <c r="CD23" s="820"/>
      <c r="CE23" s="820"/>
      <c r="CF23" s="738"/>
      <c r="CG23" s="821"/>
      <c r="CH23" s="822"/>
    </row>
    <row r="24" spans="1:91" s="819" customFormat="1" ht="15" customHeight="1" thickBot="1" x14ac:dyDescent="0.35">
      <c r="A24">
        <v>1</v>
      </c>
      <c r="B24" s="807">
        <v>2</v>
      </c>
      <c r="C24" s="709" t="s">
        <v>23</v>
      </c>
      <c r="D24" s="823">
        <v>1550</v>
      </c>
      <c r="E24" s="824">
        <v>1246899.2492833077</v>
      </c>
      <c r="F24" s="825">
        <v>394327.91071669274</v>
      </c>
      <c r="G24" s="826">
        <v>934874</v>
      </c>
      <c r="H24" s="826"/>
      <c r="I24" s="811">
        <f>E24+F24-G24+H24</f>
        <v>706353.16000000038</v>
      </c>
      <c r="J24" s="827">
        <v>21166.325194239602</v>
      </c>
      <c r="K24" s="828">
        <v>6808.1398892313664</v>
      </c>
      <c r="L24" s="826">
        <v>19906</v>
      </c>
      <c r="M24" s="826"/>
      <c r="N24" s="829">
        <f>J24+K24-L24+M24</f>
        <v>8068.4650834709682</v>
      </c>
      <c r="O24" s="830">
        <f>I24</f>
        <v>706353.16000000038</v>
      </c>
      <c r="P24" s="826">
        <v>319999.98928330734</v>
      </c>
      <c r="Q24" s="826">
        <v>312024.78928330727</v>
      </c>
      <c r="R24" s="826"/>
      <c r="S24" s="811">
        <f t="shared" ref="S24:S40" si="0">O24+P24-Q24+R24</f>
        <v>714328.36000000045</v>
      </c>
      <c r="T24" s="831">
        <f>N24</f>
        <v>8068.4650834709682</v>
      </c>
      <c r="U24" s="826">
        <v>10579.4893934792</v>
      </c>
      <c r="V24" s="826">
        <v>5861</v>
      </c>
      <c r="W24" s="826"/>
      <c r="X24" s="829">
        <f>T24+U24-V24+W24</f>
        <v>12786.954476950166</v>
      </c>
      <c r="Y24" s="830">
        <f t="shared" ref="Y24:Y39" si="1">S24</f>
        <v>714328.36000000045</v>
      </c>
      <c r="Z24" s="826">
        <v>396112.01</v>
      </c>
      <c r="AA24" s="826">
        <v>394327.91</v>
      </c>
      <c r="AB24" s="826"/>
      <c r="AC24" s="811">
        <f t="shared" ref="AC24:AC40" si="2">Y24+Z24-AA24+AB24</f>
        <v>716112.46000000066</v>
      </c>
      <c r="AD24" s="831">
        <f t="shared" ref="AD24:AD35" si="3">X24</f>
        <v>12786.954476950166</v>
      </c>
      <c r="AE24" s="826">
        <v>11212.832224583335</v>
      </c>
      <c r="AF24" s="826">
        <v>9276</v>
      </c>
      <c r="AG24" s="826"/>
      <c r="AH24" s="829">
        <f>AD24+AE24-AF24+AG24</f>
        <v>14723.7867015335</v>
      </c>
      <c r="AI24" s="830">
        <f t="shared" ref="AI24:AI39" si="4">AC24</f>
        <v>716112.46000000066</v>
      </c>
      <c r="AJ24" s="826">
        <v>539673.42000000004</v>
      </c>
      <c r="AK24" s="826">
        <v>320000.45</v>
      </c>
      <c r="AL24" s="826"/>
      <c r="AM24" s="811">
        <f>AI24+AJ24-AK24+SUM(AL24:AL24)</f>
        <v>935785.43000000087</v>
      </c>
      <c r="AN24" s="831">
        <f t="shared" ref="AN24:AN39" si="5">AH24</f>
        <v>14723.7867015335</v>
      </c>
      <c r="AO24" s="826">
        <v>8847.4932984665029</v>
      </c>
      <c r="AP24" s="826">
        <v>11865.62</v>
      </c>
      <c r="AQ24" s="826"/>
      <c r="AR24" s="829">
        <f>AN24+AO24-AP24+AQ24</f>
        <v>11705.660000000002</v>
      </c>
      <c r="AS24" s="830">
        <f t="shared" ref="AS24:AS39" si="6">AM24</f>
        <v>935785.43000000087</v>
      </c>
      <c r="AT24" s="826">
        <v>657379.73</v>
      </c>
      <c r="AU24" s="826">
        <v>396112.01</v>
      </c>
      <c r="AV24" s="826"/>
      <c r="AW24" s="811">
        <f>AS24+AT24-AU24+AV24</f>
        <v>1197053.1500000008</v>
      </c>
      <c r="AX24" s="831">
        <f t="shared" ref="AX24:AX39" si="7">AR24</f>
        <v>11705.660000000002</v>
      </c>
      <c r="AY24" s="826">
        <v>5219.6099999992266</v>
      </c>
      <c r="AZ24" s="826">
        <v>9467.3700000000008</v>
      </c>
      <c r="BA24" s="826"/>
      <c r="BB24" s="829">
        <f>AX24+AY24-AZ24+BA24</f>
        <v>7457.8999999992284</v>
      </c>
      <c r="BC24" s="830">
        <f t="shared" ref="BC24:BC39" si="8">AW24</f>
        <v>1197053.1500000008</v>
      </c>
      <c r="BD24" s="826">
        <v>456990.45999999996</v>
      </c>
      <c r="BE24" s="826"/>
      <c r="BF24" s="832"/>
      <c r="BG24" s="811">
        <f>BC24+BD24-BE24+SUM(BF24:BF24)</f>
        <v>1654043.6100000008</v>
      </c>
      <c r="BH24" s="831">
        <f t="shared" ref="BH24:BH39" si="9">BB24</f>
        <v>7457.8999999992284</v>
      </c>
      <c r="BI24" s="826">
        <v>28687.552832583337</v>
      </c>
      <c r="BJ24" s="826"/>
      <c r="BK24" s="832"/>
      <c r="BL24" s="829">
        <f>BH24+BI24-BJ24+BK24</f>
        <v>36145.452832582567</v>
      </c>
      <c r="BM24" s="830">
        <f>BG24</f>
        <v>1654043.6100000008</v>
      </c>
      <c r="BN24" s="826">
        <v>381853.74999999994</v>
      </c>
      <c r="BO24" s="826">
        <v>1197053.1499999999</v>
      </c>
      <c r="BP24" s="832"/>
      <c r="BQ24" s="811">
        <f>BM24+BN24-BO24+SUM(BP24:BP24)</f>
        <v>838844.21000000089</v>
      </c>
      <c r="BR24" s="831">
        <f>BL24</f>
        <v>36145.452832582567</v>
      </c>
      <c r="BS24" s="826">
        <v>42131.246596833342</v>
      </c>
      <c r="BT24" s="826">
        <v>25383.759999999998</v>
      </c>
      <c r="BU24" s="832"/>
      <c r="BV24" s="829">
        <f>BR24+BS24-BT24+SUM(BU24:BU24)</f>
        <v>52892.939429415914</v>
      </c>
      <c r="BW24" s="833">
        <v>456990</v>
      </c>
      <c r="BX24" s="832">
        <v>43254</v>
      </c>
      <c r="BY24" s="831">
        <f>BQ24-BW24</f>
        <v>381854.21000000089</v>
      </c>
      <c r="BZ24" s="834">
        <f>BV24-BX24</f>
        <v>9638.9394294159138</v>
      </c>
      <c r="CA24" s="835">
        <v>24101.694932999962</v>
      </c>
      <c r="CB24" s="832"/>
      <c r="CC24" s="836">
        <f>BZ24+CA24+CB24</f>
        <v>33740.634362415876</v>
      </c>
      <c r="CD24" s="820">
        <f>SUM(BY24:CB24)</f>
        <v>415594.84436241677</v>
      </c>
      <c r="CE24" s="820"/>
      <c r="CF24" s="837">
        <v>891737</v>
      </c>
      <c r="CG24" s="838">
        <f>CF24-SUM(BQ24,BV24)</f>
        <v>-0.1494294167496264</v>
      </c>
      <c r="CH24" s="839" t="str">
        <f>IF(ABS(CG24)&gt;1,"Please provide an explanation of the variance in the tab 3 - Appendix A","")</f>
        <v/>
      </c>
    </row>
    <row r="25" spans="1:91" s="819" customFormat="1" ht="14.5" thickBot="1" x14ac:dyDescent="0.35">
      <c r="A25">
        <v>2</v>
      </c>
      <c r="B25" s="807">
        <v>3</v>
      </c>
      <c r="C25" s="709" t="s">
        <v>131</v>
      </c>
      <c r="D25" s="823">
        <v>1551</v>
      </c>
      <c r="E25" s="840">
        <v>-688084.05800000078</v>
      </c>
      <c r="F25" s="825">
        <v>-113181.94600000005</v>
      </c>
      <c r="G25" s="826">
        <v>-308308</v>
      </c>
      <c r="H25" s="826"/>
      <c r="I25" s="811">
        <f>E25+F25-G25+H25</f>
        <v>-492958.00400000089</v>
      </c>
      <c r="J25" s="841">
        <v>10900.045714254777</v>
      </c>
      <c r="K25" s="826">
        <v>-15080.039335489095</v>
      </c>
      <c r="L25" s="826">
        <v>-7181</v>
      </c>
      <c r="M25" s="826"/>
      <c r="N25" s="829">
        <f>J25+K25-L25+M25</f>
        <v>3001.0063787656818</v>
      </c>
      <c r="O25" s="830">
        <f>I25</f>
        <v>-492958.00400000089</v>
      </c>
      <c r="P25" s="826">
        <v>-727041.92999999993</v>
      </c>
      <c r="Q25" s="826">
        <v>-379776</v>
      </c>
      <c r="R25" s="826"/>
      <c r="S25" s="811">
        <f t="shared" si="0"/>
        <v>-840223.93400000082</v>
      </c>
      <c r="T25" s="831">
        <f>N25</f>
        <v>3001.0063787656818</v>
      </c>
      <c r="U25" s="826">
        <v>-1168.5793780612112</v>
      </c>
      <c r="V25" s="826">
        <v>13241</v>
      </c>
      <c r="W25" s="826"/>
      <c r="X25" s="829">
        <f>T25+U25-V25+W25</f>
        <v>-11408.572999295529</v>
      </c>
      <c r="Y25" s="830">
        <f t="shared" si="1"/>
        <v>-840223.93400000082</v>
      </c>
      <c r="Z25" s="826">
        <v>-40665.479999999778</v>
      </c>
      <c r="AA25" s="826">
        <v>-113182</v>
      </c>
      <c r="AB25" s="826"/>
      <c r="AC25" s="811">
        <f t="shared" si="2"/>
        <v>-767707.41400000057</v>
      </c>
      <c r="AD25" s="831">
        <f t="shared" si="3"/>
        <v>-11408.572999295529</v>
      </c>
      <c r="AE25" s="826">
        <v>-37331.100577157194</v>
      </c>
      <c r="AF25" s="826">
        <v>-19076</v>
      </c>
      <c r="AG25" s="826"/>
      <c r="AH25" s="829">
        <f>AD25+AE25-AF25+AG25</f>
        <v>-29663.673576452726</v>
      </c>
      <c r="AI25" s="830">
        <f>AC25</f>
        <v>-767707.41400000057</v>
      </c>
      <c r="AJ25" s="826">
        <v>-417085.24373747013</v>
      </c>
      <c r="AK25" s="826">
        <v>-727041.93400000106</v>
      </c>
      <c r="AL25" s="826"/>
      <c r="AM25" s="811">
        <f t="shared" ref="AM25:AM39" si="10">AI25+AJ25-AK25+SUM(AL25:AL25)</f>
        <v>-457750.72373746964</v>
      </c>
      <c r="AN25" s="831">
        <f t="shared" si="5"/>
        <v>-29663.673576452726</v>
      </c>
      <c r="AO25" s="826">
        <v>-23619.64577387286</v>
      </c>
      <c r="AP25" s="825">
        <v>-14319.823087795536</v>
      </c>
      <c r="AQ25" s="391"/>
      <c r="AR25" s="829">
        <f>AN25+AO25-AP25+AQ25</f>
        <v>-38963.496262530054</v>
      </c>
      <c r="AS25" s="830">
        <f t="shared" si="6"/>
        <v>-457750.72373746964</v>
      </c>
      <c r="AT25" s="826">
        <v>-37240.987336137041</v>
      </c>
      <c r="AU25" s="826">
        <v>-40665.479999999516</v>
      </c>
      <c r="AV25" s="826"/>
      <c r="AW25" s="811">
        <f>AS25+AT25-AU25+AV25</f>
        <v>-454326.23107360717</v>
      </c>
      <c r="AX25" s="831">
        <f t="shared" si="7"/>
        <v>-38963.496262530054</v>
      </c>
      <c r="AY25" s="826">
        <v>-20631.011903553044</v>
      </c>
      <c r="AZ25" s="825">
        <v>-18544.519239690515</v>
      </c>
      <c r="BA25" s="391"/>
      <c r="BB25" s="829">
        <f>AX25+AY25-AZ25+BA25</f>
        <v>-41049.988926392587</v>
      </c>
      <c r="BC25" s="830">
        <f t="shared" si="8"/>
        <v>-454326.23107360717</v>
      </c>
      <c r="BD25" s="826">
        <v>-2052236.1896293177</v>
      </c>
      <c r="BE25" s="826"/>
      <c r="BF25" s="832">
        <v>-89905.479182675655</v>
      </c>
      <c r="BG25" s="811">
        <f t="shared" ref="BG25:BG39" si="11">BC25+BD25-BE25+SUM(BF25:BF25)</f>
        <v>-2596467.8998856004</v>
      </c>
      <c r="BH25" s="831">
        <f t="shared" si="9"/>
        <v>-41049.988926392587</v>
      </c>
      <c r="BI25" s="826">
        <v>-22582.7335691878</v>
      </c>
      <c r="BJ25" s="825"/>
      <c r="BK25" s="154">
        <v>38258.203103459236</v>
      </c>
      <c r="BL25" s="829">
        <f>BH25+BI25-BJ25+BK25</f>
        <v>-25374.519392121147</v>
      </c>
      <c r="BM25" s="830">
        <f t="shared" ref="BM25:BM40" si="12">BG25</f>
        <v>-2596467.8998856004</v>
      </c>
      <c r="BN25" s="826">
        <v>-1456777.49</v>
      </c>
      <c r="BO25" s="826">
        <v>-454326</v>
      </c>
      <c r="BP25" s="832">
        <v>-29744.380000000005</v>
      </c>
      <c r="BQ25" s="811">
        <f t="shared" ref="BQ25:BQ40" si="13">BM25+BN25-BO25+SUM(BP25:BP25)</f>
        <v>-3628663.7698856005</v>
      </c>
      <c r="BR25" s="831">
        <f t="shared" ref="BR25:BR40" si="14">BL25</f>
        <v>-25374.519392121147</v>
      </c>
      <c r="BS25" s="826">
        <v>-137597.9148170806</v>
      </c>
      <c r="BT25" s="825">
        <v>-47853</v>
      </c>
      <c r="BU25" s="154">
        <v>29725.65016956965</v>
      </c>
      <c r="BV25" s="829">
        <f t="shared" ref="BV25:BV40" si="15">BR25+BS25-BT25+SUM(BU25:BU25)</f>
        <v>-85393.784039632097</v>
      </c>
      <c r="BW25" s="833">
        <v>-2142142</v>
      </c>
      <c r="BX25" s="832">
        <v>-103977</v>
      </c>
      <c r="BY25" s="831">
        <f t="shared" ref="BY25:BY40" si="16">BQ25-BW25</f>
        <v>-1486521.7698856005</v>
      </c>
      <c r="BZ25" s="834">
        <f t="shared" ref="BZ25:BZ40" si="17">BV25-BX25</f>
        <v>18583.215960367903</v>
      </c>
      <c r="CA25" s="835">
        <v>-93949.625769103965</v>
      </c>
      <c r="CB25" s="832"/>
      <c r="CC25" s="836">
        <f t="shared" ref="CC25:CC38" si="18">BZ25+CA25+CB25</f>
        <v>-75366.409808736062</v>
      </c>
      <c r="CD25" s="820">
        <f>SUM(BY25:CB25)</f>
        <v>-1561888.1796943366</v>
      </c>
      <c r="CE25" s="820"/>
      <c r="CF25" s="837">
        <v>-3714042</v>
      </c>
      <c r="CG25" s="838">
        <f t="shared" ref="CG25:CG40" si="19">CF25-SUM(BQ25,BV25)</f>
        <v>15.553925232496113</v>
      </c>
      <c r="CH25" s="839" t="str">
        <f t="shared" ref="CH25:CH40" si="20">IF(ABS(CG25)&gt;1,"Please provide an explanation of the variance in the tab 3 - Appendix A","")</f>
        <v>Please provide an explanation of the variance in the tab 3 - Appendix A</v>
      </c>
    </row>
    <row r="26" spans="1:91" s="819" customFormat="1" ht="17" thickBot="1" x14ac:dyDescent="0.35">
      <c r="A26">
        <v>3</v>
      </c>
      <c r="B26" s="807">
        <v>4</v>
      </c>
      <c r="C26" s="709" t="s">
        <v>2913</v>
      </c>
      <c r="D26" s="823">
        <v>1580</v>
      </c>
      <c r="E26" s="842">
        <v>-183272005.34548199</v>
      </c>
      <c r="F26" s="843">
        <v>-25199714.767243288</v>
      </c>
      <c r="G26" s="826">
        <v>-157236144</v>
      </c>
      <c r="H26" s="826"/>
      <c r="I26" s="811">
        <f>E26+F26-G26+H26</f>
        <v>-51235576.112725288</v>
      </c>
      <c r="J26" s="844">
        <v>-7417923.0831133118</v>
      </c>
      <c r="K26" s="828">
        <v>-555630.49962559715</v>
      </c>
      <c r="L26" s="826">
        <v>-7370570</v>
      </c>
      <c r="M26" s="826"/>
      <c r="N26" s="829">
        <f>J26+K26-L26+M26</f>
        <v>-602983.58273890894</v>
      </c>
      <c r="O26" s="845">
        <f t="shared" ref="O26:O40" si="21">I26</f>
        <v>-51235576.112725288</v>
      </c>
      <c r="P26" s="846">
        <v>-4206092.4608710967</v>
      </c>
      <c r="Q26" s="826">
        <v>-26035862.109718811</v>
      </c>
      <c r="R26" s="826"/>
      <c r="S26" s="811">
        <f t="shared" si="0"/>
        <v>-29405806.463877577</v>
      </c>
      <c r="T26" s="831">
        <f t="shared" ref="T26:T40" si="22">N26</f>
        <v>-602983.58273890894</v>
      </c>
      <c r="U26" s="847">
        <v>-497277.14133935183</v>
      </c>
      <c r="V26" s="826">
        <v>-498414</v>
      </c>
      <c r="W26" s="826"/>
      <c r="X26" s="829">
        <f t="shared" ref="X26:X40" si="23">T26+U26-V26+W26</f>
        <v>-601846.72407826083</v>
      </c>
      <c r="Y26" s="830">
        <f t="shared" si="1"/>
        <v>-29405806.463877577</v>
      </c>
      <c r="Z26" s="826">
        <v>-5295315.57889276</v>
      </c>
      <c r="AA26" s="826">
        <v>-25199714.77</v>
      </c>
      <c r="AB26" s="826"/>
      <c r="AC26" s="811">
        <f t="shared" si="2"/>
        <v>-9501407.2727703415</v>
      </c>
      <c r="AD26" s="831">
        <f t="shared" si="3"/>
        <v>-601846.72407826083</v>
      </c>
      <c r="AE26" s="826">
        <v>-76408.903539122039</v>
      </c>
      <c r="AF26" s="826">
        <v>-556274</v>
      </c>
      <c r="AG26" s="826"/>
      <c r="AH26" s="829">
        <f t="shared" ref="AH26:AH40" si="24">AD26+AE26-AF26+AG26</f>
        <v>-121981.62761738291</v>
      </c>
      <c r="AI26" s="830">
        <f t="shared" si="4"/>
        <v>-9501407.2727703415</v>
      </c>
      <c r="AJ26" s="826">
        <v>-11119035.279999997</v>
      </c>
      <c r="AK26" s="826">
        <v>-4206091.6900000004</v>
      </c>
      <c r="AL26" s="826"/>
      <c r="AM26" s="811">
        <f t="shared" si="10"/>
        <v>-16414350.862770338</v>
      </c>
      <c r="AN26" s="831">
        <f t="shared" si="5"/>
        <v>-121981.62761738291</v>
      </c>
      <c r="AO26" s="826">
        <v>-197745.20961235312</v>
      </c>
      <c r="AP26" s="826">
        <v>-155386.79</v>
      </c>
      <c r="AQ26" s="826"/>
      <c r="AR26" s="829">
        <f t="shared" ref="AR26:AR40" si="25">AN26+AO26-AP26+AQ26</f>
        <v>-164340.04722973602</v>
      </c>
      <c r="AS26" s="830">
        <f t="shared" si="6"/>
        <v>-16414350.862770338</v>
      </c>
      <c r="AT26" s="826">
        <v>18825431.110000003</v>
      </c>
      <c r="AU26" s="826">
        <v>-5295315.58</v>
      </c>
      <c r="AV26" s="826"/>
      <c r="AW26" s="811">
        <f>AS26+AT26-AU26+AV26</f>
        <v>7706395.8272296656</v>
      </c>
      <c r="AX26" s="831">
        <f t="shared" si="7"/>
        <v>-164340.04722973602</v>
      </c>
      <c r="AY26" s="826">
        <v>-26164.742116690722</v>
      </c>
      <c r="AZ26" s="826">
        <v>-54687.57</v>
      </c>
      <c r="BA26" s="826"/>
      <c r="BB26" s="829">
        <f t="shared" ref="BB26:BB40" si="26">AX26+AY26-AZ26+BA26</f>
        <v>-135817.21934642675</v>
      </c>
      <c r="BC26" s="830">
        <f t="shared" si="8"/>
        <v>7706395.8272296656</v>
      </c>
      <c r="BD26" s="826">
        <v>52044467.109999992</v>
      </c>
      <c r="BE26" s="826"/>
      <c r="BF26" s="832"/>
      <c r="BG26" s="811">
        <f t="shared" si="11"/>
        <v>59750862.937229656</v>
      </c>
      <c r="BH26" s="831">
        <f t="shared" si="9"/>
        <v>-135817.21934642675</v>
      </c>
      <c r="BI26" s="826">
        <v>946847.83345256315</v>
      </c>
      <c r="BJ26" s="826"/>
      <c r="BK26" s="832"/>
      <c r="BL26" s="829">
        <f t="shared" ref="BL26:BL40" si="27">BH26+BI26-BJ26+BK26</f>
        <v>811030.61410613637</v>
      </c>
      <c r="BM26" s="830">
        <f t="shared" si="12"/>
        <v>59750862.937229656</v>
      </c>
      <c r="BN26" s="826">
        <v>-24051236.989999995</v>
      </c>
      <c r="BO26" s="826">
        <v>7706395.8300000001</v>
      </c>
      <c r="BP26" s="832"/>
      <c r="BQ26" s="811">
        <f t="shared" si="13"/>
        <v>27993230.117229663</v>
      </c>
      <c r="BR26" s="831">
        <f t="shared" si="14"/>
        <v>811030.61410613637</v>
      </c>
      <c r="BS26" s="826">
        <v>2494521.7961765723</v>
      </c>
      <c r="BT26" s="826">
        <v>-20413.95</v>
      </c>
      <c r="BU26" s="832"/>
      <c r="BV26" s="829">
        <f t="shared" si="15"/>
        <v>3325966.3602827089</v>
      </c>
      <c r="BW26" s="833">
        <v>52044467</v>
      </c>
      <c r="BX26" s="832">
        <v>3517840</v>
      </c>
      <c r="BY26" s="831">
        <f t="shared" si="16"/>
        <v>-24051236.882770337</v>
      </c>
      <c r="BZ26" s="834">
        <f t="shared" si="17"/>
        <v>-191873.63971729111</v>
      </c>
      <c r="CA26" s="835">
        <v>-899750.51751002879</v>
      </c>
      <c r="CB26" s="832"/>
      <c r="CC26" s="836">
        <f t="shared" si="18"/>
        <v>-1091624.1572273199</v>
      </c>
      <c r="CD26" s="820">
        <f>SUM(BY26:CB26)</f>
        <v>-25142861.03999766</v>
      </c>
      <c r="CE26" s="820"/>
      <c r="CF26" s="837">
        <v>31319197</v>
      </c>
      <c r="CG26" s="838">
        <f t="shared" si="19"/>
        <v>0.52248762920498848</v>
      </c>
      <c r="CH26" s="839" t="str">
        <f>IF(ROUND(CF28,0)&lt;&gt;ROUND(CG26,0),"Variance does not agree to RRR CBR balance in BV28. Please provide an explanation of the variance in tab 3 - Appendix A","")</f>
        <v>Variance does not agree to RRR CBR balance in BV28. Please provide an explanation of the variance in tab 3 - Appendix A</v>
      </c>
    </row>
    <row r="27" spans="1:91" s="819" customFormat="1" ht="17" thickBot="1" x14ac:dyDescent="0.35">
      <c r="A27">
        <v>3.1</v>
      </c>
      <c r="B27" s="807">
        <v>5</v>
      </c>
      <c r="C27" s="709" t="s">
        <v>2914</v>
      </c>
      <c r="D27" s="823">
        <v>1580</v>
      </c>
      <c r="E27" s="842">
        <v>0</v>
      </c>
      <c r="F27" s="843"/>
      <c r="G27" s="826"/>
      <c r="H27" s="826"/>
      <c r="I27" s="811">
        <f>E27+F27-G27+H27</f>
        <v>0</v>
      </c>
      <c r="J27" s="844">
        <v>0</v>
      </c>
      <c r="K27" s="828"/>
      <c r="L27" s="826"/>
      <c r="M27" s="826"/>
      <c r="N27" s="829">
        <f>J27+K27-L27+M27</f>
        <v>0</v>
      </c>
      <c r="O27" s="830">
        <f t="shared" si="21"/>
        <v>0</v>
      </c>
      <c r="P27" s="848">
        <v>0</v>
      </c>
      <c r="Q27" s="848">
        <v>0</v>
      </c>
      <c r="R27" s="826"/>
      <c r="S27" s="811">
        <f t="shared" si="0"/>
        <v>0</v>
      </c>
      <c r="T27" s="849">
        <f t="shared" si="22"/>
        <v>0</v>
      </c>
      <c r="U27" s="826">
        <v>0</v>
      </c>
      <c r="V27" s="826">
        <v>0</v>
      </c>
      <c r="W27" s="826"/>
      <c r="X27" s="829">
        <f t="shared" si="23"/>
        <v>0</v>
      </c>
      <c r="Y27" s="830">
        <f t="shared" si="1"/>
        <v>0</v>
      </c>
      <c r="Z27" s="826"/>
      <c r="AA27" s="826"/>
      <c r="AB27" s="826"/>
      <c r="AC27" s="811">
        <f t="shared" si="2"/>
        <v>0</v>
      </c>
      <c r="AD27" s="831">
        <f>X27</f>
        <v>0</v>
      </c>
      <c r="AE27" s="826"/>
      <c r="AF27" s="826"/>
      <c r="AG27" s="826"/>
      <c r="AH27" s="829">
        <f>AD27+AE27-AF27+AG27</f>
        <v>0</v>
      </c>
      <c r="AI27" s="830">
        <f>AC27</f>
        <v>0</v>
      </c>
      <c r="AJ27" s="826"/>
      <c r="AK27" s="826"/>
      <c r="AL27" s="826"/>
      <c r="AM27" s="811">
        <f>AI27+AJ27-AK27+SUM(AL27:AL27)</f>
        <v>0</v>
      </c>
      <c r="AN27" s="831">
        <f>AH27</f>
        <v>0</v>
      </c>
      <c r="AO27" s="826"/>
      <c r="AP27" s="826"/>
      <c r="AQ27" s="826"/>
      <c r="AR27" s="829">
        <f t="shared" si="25"/>
        <v>0</v>
      </c>
      <c r="AS27" s="830">
        <f t="shared" si="6"/>
        <v>0</v>
      </c>
      <c r="AT27" s="826"/>
      <c r="AU27" s="826"/>
      <c r="AV27" s="826"/>
      <c r="AW27" s="811">
        <f>AS27+AT27-AU27+AV27</f>
        <v>0</v>
      </c>
      <c r="AX27" s="831">
        <f t="shared" si="7"/>
        <v>0</v>
      </c>
      <c r="AY27" s="826"/>
      <c r="AZ27" s="826"/>
      <c r="BA27" s="826"/>
      <c r="BB27" s="829">
        <f t="shared" si="26"/>
        <v>0</v>
      </c>
      <c r="BC27" s="830">
        <f t="shared" si="8"/>
        <v>0</v>
      </c>
      <c r="BD27" s="826"/>
      <c r="BE27" s="826"/>
      <c r="BF27" s="832"/>
      <c r="BG27" s="811">
        <f t="shared" si="11"/>
        <v>0</v>
      </c>
      <c r="BH27" s="831">
        <f t="shared" si="9"/>
        <v>0</v>
      </c>
      <c r="BI27" s="826"/>
      <c r="BJ27" s="826"/>
      <c r="BK27" s="832"/>
      <c r="BL27" s="829">
        <f t="shared" si="27"/>
        <v>0</v>
      </c>
      <c r="BM27" s="830">
        <f t="shared" si="12"/>
        <v>0</v>
      </c>
      <c r="BN27" s="826"/>
      <c r="BO27" s="826"/>
      <c r="BP27" s="832"/>
      <c r="BQ27" s="811">
        <f t="shared" si="13"/>
        <v>0</v>
      </c>
      <c r="BR27" s="831">
        <f t="shared" si="14"/>
        <v>0</v>
      </c>
      <c r="BS27" s="826"/>
      <c r="BT27" s="826"/>
      <c r="BU27" s="832"/>
      <c r="BV27" s="829">
        <f t="shared" si="15"/>
        <v>0</v>
      </c>
      <c r="BW27" s="833"/>
      <c r="BX27" s="832"/>
      <c r="BY27" s="831">
        <f t="shared" si="16"/>
        <v>0</v>
      </c>
      <c r="BZ27" s="834">
        <f t="shared" si="17"/>
        <v>0</v>
      </c>
      <c r="CA27" s="835"/>
      <c r="CB27" s="832"/>
      <c r="CC27" s="836">
        <f t="shared" si="18"/>
        <v>0</v>
      </c>
      <c r="CD27" s="820">
        <v>0</v>
      </c>
      <c r="CE27" s="820"/>
      <c r="CF27" s="837">
        <v>0</v>
      </c>
      <c r="CG27" s="838">
        <f t="shared" si="19"/>
        <v>0</v>
      </c>
      <c r="CH27" s="839" t="str">
        <f t="shared" si="20"/>
        <v/>
      </c>
      <c r="CL27" s="575" t="s">
        <v>161</v>
      </c>
      <c r="CM27" s="299" t="b">
        <v>1</v>
      </c>
    </row>
    <row r="28" spans="1:91" s="819" customFormat="1" ht="17" thickBot="1" x14ac:dyDescent="0.35">
      <c r="A28">
        <v>3.2</v>
      </c>
      <c r="B28" s="807">
        <v>6</v>
      </c>
      <c r="C28" s="709" t="s">
        <v>2915</v>
      </c>
      <c r="D28" s="823">
        <v>1580</v>
      </c>
      <c r="E28" s="842">
        <v>7503243.533575207</v>
      </c>
      <c r="F28" s="843">
        <v>524230.65548498742</v>
      </c>
      <c r="G28" s="826">
        <v>5967910</v>
      </c>
      <c r="H28" s="826"/>
      <c r="I28" s="811">
        <f>E28+F28-G28+H28</f>
        <v>2059564.1890601944</v>
      </c>
      <c r="J28" s="844">
        <v>14281.645527931421</v>
      </c>
      <c r="K28" s="828">
        <v>20888.328430703092</v>
      </c>
      <c r="L28" s="826">
        <v>85385</v>
      </c>
      <c r="M28" s="826"/>
      <c r="N28" s="829">
        <f>J28+K28-L28+M28</f>
        <v>-50215.026041365491</v>
      </c>
      <c r="O28" s="830">
        <f t="shared" si="21"/>
        <v>2059564.1890601944</v>
      </c>
      <c r="P28" s="848">
        <v>-570685.49548498401</v>
      </c>
      <c r="Q28" s="848">
        <v>1535333.9335752099</v>
      </c>
      <c r="R28" s="826"/>
      <c r="S28" s="811">
        <f t="shared" si="0"/>
        <v>-46455.239999999525</v>
      </c>
      <c r="T28" s="849">
        <f t="shared" si="22"/>
        <v>-50215.026041365491</v>
      </c>
      <c r="U28" s="826">
        <v>6907.5659021127858</v>
      </c>
      <c r="V28" s="826">
        <v>-52680</v>
      </c>
      <c r="W28" s="826"/>
      <c r="X28" s="829">
        <f t="shared" si="23"/>
        <v>9372.5398607472962</v>
      </c>
      <c r="Y28" s="830">
        <f t="shared" si="1"/>
        <v>-46455.239999999525</v>
      </c>
      <c r="Z28" s="826">
        <v>-1587252.2799999998</v>
      </c>
      <c r="AA28" s="826">
        <v>524230.66</v>
      </c>
      <c r="AB28" s="826"/>
      <c r="AC28" s="811">
        <f t="shared" si="2"/>
        <v>-2157938.1799999992</v>
      </c>
      <c r="AD28" s="831">
        <f>X28</f>
        <v>9372.5398607472962</v>
      </c>
      <c r="AE28" s="826">
        <v>-22803.875642166662</v>
      </c>
      <c r="AF28" s="826">
        <v>11862</v>
      </c>
      <c r="AG28" s="826"/>
      <c r="AH28" s="829">
        <f>AD28+AE28-AF28+AG28</f>
        <v>-25293.335781419366</v>
      </c>
      <c r="AI28" s="830">
        <f>AC28</f>
        <v>-2157938.1799999992</v>
      </c>
      <c r="AJ28" s="826">
        <v>-498545.64999999973</v>
      </c>
      <c r="AK28" s="826">
        <v>-570685.9</v>
      </c>
      <c r="AL28" s="826"/>
      <c r="AM28" s="811">
        <f>AI28+AJ28-AK28+SUM(AL28:AL28)</f>
        <v>-2085797.9299999992</v>
      </c>
      <c r="AN28" s="831">
        <f>AH28</f>
        <v>-25293.335781419366</v>
      </c>
      <c r="AO28" s="826">
        <v>57868.395781418556</v>
      </c>
      <c r="AP28" s="826">
        <v>-17389.11</v>
      </c>
      <c r="AQ28" s="826"/>
      <c r="AR28" s="829">
        <f t="shared" si="25"/>
        <v>49964.169999999191</v>
      </c>
      <c r="AS28" s="830">
        <f t="shared" si="6"/>
        <v>-2085797.9299999992</v>
      </c>
      <c r="AT28" s="826">
        <v>-2100031.5500000003</v>
      </c>
      <c r="AU28" s="826">
        <v>-1587252.28</v>
      </c>
      <c r="AV28" s="826"/>
      <c r="AW28" s="811">
        <f>AS28+AT28-AU28+AV28</f>
        <v>-2598577.1999999993</v>
      </c>
      <c r="AX28" s="831">
        <f t="shared" si="7"/>
        <v>49964.169999999191</v>
      </c>
      <c r="AY28" s="826">
        <v>-7862.4976967500033</v>
      </c>
      <c r="AZ28" s="826">
        <v>-31802.43</v>
      </c>
      <c r="BA28" s="826"/>
      <c r="BB28" s="829">
        <f t="shared" si="26"/>
        <v>73904.102303249179</v>
      </c>
      <c r="BC28" s="830">
        <f t="shared" si="8"/>
        <v>-2598577.1999999993</v>
      </c>
      <c r="BD28" s="826">
        <v>-2086635.8400000003</v>
      </c>
      <c r="BE28" s="826"/>
      <c r="BF28" s="832"/>
      <c r="BG28" s="811">
        <f t="shared" si="11"/>
        <v>-4685213.0399999991</v>
      </c>
      <c r="BH28" s="831">
        <f t="shared" si="9"/>
        <v>73904.102303249179</v>
      </c>
      <c r="BI28" s="826">
        <v>-87990.493430833361</v>
      </c>
      <c r="BJ28" s="826"/>
      <c r="BK28" s="832"/>
      <c r="BL28" s="829">
        <f t="shared" si="27"/>
        <v>-14086.391127584182</v>
      </c>
      <c r="BM28" s="830">
        <f t="shared" si="12"/>
        <v>-4685213.0399999991</v>
      </c>
      <c r="BN28" s="826">
        <v>2929791.75</v>
      </c>
      <c r="BO28" s="826">
        <v>-2598577.2000000002</v>
      </c>
      <c r="BP28" s="832"/>
      <c r="BQ28" s="811">
        <f t="shared" si="13"/>
        <v>843155.91000000108</v>
      </c>
      <c r="BR28" s="831">
        <f t="shared" si="14"/>
        <v>-14086.391127584182</v>
      </c>
      <c r="BS28" s="826">
        <v>-144266.6809358334</v>
      </c>
      <c r="BT28" s="826">
        <v>34990.410000000003</v>
      </c>
      <c r="BU28" s="832"/>
      <c r="BV28" s="829">
        <f t="shared" si="15"/>
        <v>-193343.48206341758</v>
      </c>
      <c r="BW28" s="833">
        <v>-2086636</v>
      </c>
      <c r="BX28" s="832">
        <v>-174833</v>
      </c>
      <c r="BY28" s="831">
        <f t="shared" si="16"/>
        <v>2929791.9100000011</v>
      </c>
      <c r="BZ28" s="834">
        <f t="shared" si="17"/>
        <v>-18510.482063417585</v>
      </c>
      <c r="CA28" s="835">
        <v>174551.77905974988</v>
      </c>
      <c r="CB28" s="832"/>
      <c r="CC28" s="836">
        <f t="shared" si="18"/>
        <v>156041.2969963323</v>
      </c>
      <c r="CD28" s="820">
        <f>IF(CM28=TRUE, SUM(BY28:CB28), 0)</f>
        <v>3085833.2069963333</v>
      </c>
      <c r="CE28" s="820"/>
      <c r="CF28" s="837">
        <v>649812</v>
      </c>
      <c r="CG28" s="838">
        <f t="shared" si="19"/>
        <v>-0.42793658352456987</v>
      </c>
      <c r="CH28" s="839" t="str">
        <f t="shared" si="20"/>
        <v/>
      </c>
      <c r="CL28" s="575" t="s">
        <v>162</v>
      </c>
      <c r="CM28" s="300" t="b">
        <v>1</v>
      </c>
    </row>
    <row r="29" spans="1:91" s="819" customFormat="1" ht="14.5" thickBot="1" x14ac:dyDescent="0.35">
      <c r="A29">
        <v>4</v>
      </c>
      <c r="B29" s="807">
        <v>7</v>
      </c>
      <c r="C29" s="709" t="s">
        <v>2</v>
      </c>
      <c r="D29" s="823">
        <v>1584</v>
      </c>
      <c r="E29" s="842">
        <v>50335903.568963751</v>
      </c>
      <c r="F29" s="843">
        <v>8096178.203731765</v>
      </c>
      <c r="G29" s="826">
        <v>66750304.709407873</v>
      </c>
      <c r="H29" s="826"/>
      <c r="I29" s="811">
        <f t="shared" ref="I29:I39" si="28">E29+F29-G29+H29</f>
        <v>-8318222.9367123544</v>
      </c>
      <c r="J29" s="850">
        <v>3386608.3876394937</v>
      </c>
      <c r="K29" s="828">
        <v>-83172.774158902641</v>
      </c>
      <c r="L29" s="826">
        <v>3456545</v>
      </c>
      <c r="M29" s="826"/>
      <c r="N29" s="829">
        <f t="shared" ref="N29:N39" si="29">J29+K29-L29+M29</f>
        <v>-153109.38651940878</v>
      </c>
      <c r="O29" s="830">
        <f t="shared" si="21"/>
        <v>-8318222.9367123544</v>
      </c>
      <c r="P29" s="851">
        <v>8947315.3762682304</v>
      </c>
      <c r="Q29" s="826">
        <v>-16414402.159215026</v>
      </c>
      <c r="R29" s="826"/>
      <c r="S29" s="811">
        <f t="shared" si="0"/>
        <v>17043494.598770902</v>
      </c>
      <c r="T29" s="831">
        <f t="shared" si="22"/>
        <v>-153109.38651940878</v>
      </c>
      <c r="U29" s="847">
        <v>200782.60115047341</v>
      </c>
      <c r="V29" s="826">
        <v>-205715</v>
      </c>
      <c r="W29" s="826"/>
      <c r="X29" s="829">
        <f t="shared" si="23"/>
        <v>253388.21463106462</v>
      </c>
      <c r="Y29" s="830">
        <f t="shared" si="1"/>
        <v>17043494.598770902</v>
      </c>
      <c r="Z29" s="826">
        <v>8275361.957531401</v>
      </c>
      <c r="AA29" s="826">
        <v>8096178.2000000002</v>
      </c>
      <c r="AB29" s="826"/>
      <c r="AC29" s="811">
        <f t="shared" si="2"/>
        <v>17222678.356302302</v>
      </c>
      <c r="AD29" s="831">
        <f t="shared" si="3"/>
        <v>253388.21463106462</v>
      </c>
      <c r="AE29" s="826">
        <v>281454.53035825398</v>
      </c>
      <c r="AF29" s="826">
        <v>197730</v>
      </c>
      <c r="AG29" s="826"/>
      <c r="AH29" s="829">
        <f t="shared" si="24"/>
        <v>337112.74498931854</v>
      </c>
      <c r="AI29" s="830">
        <f t="shared" si="4"/>
        <v>17222678.356302302</v>
      </c>
      <c r="AJ29" s="826">
        <v>739237.16000000061</v>
      </c>
      <c r="AK29" s="826">
        <v>8947316.4000000004</v>
      </c>
      <c r="AL29" s="826"/>
      <c r="AM29" s="811">
        <f t="shared" si="10"/>
        <v>9014599.1163023021</v>
      </c>
      <c r="AN29" s="831">
        <f t="shared" si="5"/>
        <v>337112.74498931854</v>
      </c>
      <c r="AO29" s="826">
        <v>147188.50383466668</v>
      </c>
      <c r="AP29" s="826">
        <v>289257.71000000002</v>
      </c>
      <c r="AQ29" s="826"/>
      <c r="AR29" s="829">
        <f t="shared" si="25"/>
        <v>195043.5388239852</v>
      </c>
      <c r="AS29" s="830">
        <f t="shared" si="6"/>
        <v>9014599.1163023021</v>
      </c>
      <c r="AT29" s="826">
        <v>49849818.219999999</v>
      </c>
      <c r="AU29" s="826">
        <v>8275361.96</v>
      </c>
      <c r="AV29" s="826"/>
      <c r="AW29" s="811">
        <f t="shared" ref="AW29:AW40" si="30">AS29+AT29-AU29+AV29</f>
        <v>50589055.376302302</v>
      </c>
      <c r="AX29" s="831">
        <f t="shared" si="7"/>
        <v>195043.5388239852</v>
      </c>
      <c r="AY29" s="826">
        <v>140145.712337</v>
      </c>
      <c r="AZ29" s="826">
        <v>194149.83</v>
      </c>
      <c r="BA29" s="826"/>
      <c r="BB29" s="829">
        <f t="shared" si="26"/>
        <v>141039.42116098522</v>
      </c>
      <c r="BC29" s="830">
        <f t="shared" si="8"/>
        <v>50589055.376302302</v>
      </c>
      <c r="BD29" s="826">
        <v>35362034.970000006</v>
      </c>
      <c r="BE29" s="826"/>
      <c r="BF29" s="832"/>
      <c r="BG29" s="811">
        <f t="shared" ref="BG29:BG35" si="31">BC29+BD29-BE29+SUM(BF29:BF29)</f>
        <v>85951090.346302301</v>
      </c>
      <c r="BH29" s="831">
        <f t="shared" si="9"/>
        <v>141039.42116098522</v>
      </c>
      <c r="BI29" s="826">
        <v>1405959.0237786665</v>
      </c>
      <c r="BJ29" s="826"/>
      <c r="BK29" s="832"/>
      <c r="BL29" s="829">
        <f t="shared" si="27"/>
        <v>1546998.4449396518</v>
      </c>
      <c r="BM29" s="830">
        <f t="shared" si="12"/>
        <v>85951090.346302301</v>
      </c>
      <c r="BN29" s="826">
        <v>20664835.690000001</v>
      </c>
      <c r="BO29" s="826">
        <v>50589055.380000003</v>
      </c>
      <c r="BP29" s="832"/>
      <c r="BQ29" s="811">
        <f t="shared" si="13"/>
        <v>56026870.656302296</v>
      </c>
      <c r="BR29" s="831">
        <f t="shared" si="14"/>
        <v>1546998.4449396518</v>
      </c>
      <c r="BS29" s="826">
        <v>2711949.4402875812</v>
      </c>
      <c r="BT29" s="826">
        <v>898610.51</v>
      </c>
      <c r="BU29" s="832"/>
      <c r="BV29" s="829">
        <f t="shared" si="15"/>
        <v>3360337.3752272334</v>
      </c>
      <c r="BW29" s="833">
        <v>35362035</v>
      </c>
      <c r="BX29" s="832">
        <v>2831213</v>
      </c>
      <c r="BY29" s="831">
        <f t="shared" si="16"/>
        <v>20664835.656302296</v>
      </c>
      <c r="BZ29" s="834">
        <f t="shared" si="17"/>
        <v>529124.37522723339</v>
      </c>
      <c r="CA29" s="835">
        <v>1285267.8616785852</v>
      </c>
      <c r="CB29" s="832"/>
      <c r="CC29" s="836">
        <f t="shared" si="18"/>
        <v>1814392.2369058186</v>
      </c>
      <c r="CD29" s="820">
        <f>SUM(BY29:CB29)</f>
        <v>22479227.893208116</v>
      </c>
      <c r="CE29" s="820"/>
      <c r="CF29" s="837">
        <v>59387208</v>
      </c>
      <c r="CG29" s="838">
        <f t="shared" si="19"/>
        <v>-3.1529530882835388E-2</v>
      </c>
      <c r="CH29" s="839" t="str">
        <f t="shared" si="20"/>
        <v/>
      </c>
      <c r="CM29" s="300"/>
    </row>
    <row r="30" spans="1:91" s="819" customFormat="1" ht="14.5" thickBot="1" x14ac:dyDescent="0.35">
      <c r="A30">
        <v>5</v>
      </c>
      <c r="B30" s="807">
        <v>8</v>
      </c>
      <c r="C30" s="709" t="s">
        <v>3</v>
      </c>
      <c r="D30" s="823">
        <v>1586</v>
      </c>
      <c r="E30" s="842">
        <v>5587060.7928055152</v>
      </c>
      <c r="F30" s="843">
        <v>8333124.5715386411</v>
      </c>
      <c r="G30" s="826">
        <v>35536950.362278841</v>
      </c>
      <c r="H30" s="826"/>
      <c r="I30" s="811">
        <f t="shared" si="28"/>
        <v>-21616764.997934684</v>
      </c>
      <c r="J30" s="827">
        <v>1628432.1048781544</v>
      </c>
      <c r="K30" s="828">
        <v>-278307.06738128746</v>
      </c>
      <c r="L30" s="826">
        <v>1747948</v>
      </c>
      <c r="M30" s="826"/>
      <c r="N30" s="829">
        <f t="shared" si="29"/>
        <v>-397822.96250313311</v>
      </c>
      <c r="O30" s="830">
        <f t="shared" si="21"/>
        <v>-21616764.997934684</v>
      </c>
      <c r="P30" s="852">
        <v>17363767.73846136</v>
      </c>
      <c r="Q30" s="826">
        <v>-29949889.607198089</v>
      </c>
      <c r="R30" s="826"/>
      <c r="S30" s="811">
        <f t="shared" si="0"/>
        <v>25696892.347724766</v>
      </c>
      <c r="T30" s="831">
        <f t="shared" si="22"/>
        <v>-397822.96250313311</v>
      </c>
      <c r="U30" s="847">
        <v>277670.41875638819</v>
      </c>
      <c r="V30" s="826">
        <v>-446320</v>
      </c>
      <c r="W30" s="826"/>
      <c r="X30" s="829">
        <f t="shared" si="23"/>
        <v>326167.45625325508</v>
      </c>
      <c r="Y30" s="830">
        <f t="shared" si="1"/>
        <v>25696892.347724766</v>
      </c>
      <c r="Z30" s="826">
        <v>-5718031.2467185305</v>
      </c>
      <c r="AA30" s="826">
        <v>8333124.5700000003</v>
      </c>
      <c r="AB30" s="826"/>
      <c r="AC30" s="811">
        <f t="shared" si="2"/>
        <v>11645736.531006236</v>
      </c>
      <c r="AD30" s="831">
        <f t="shared" si="3"/>
        <v>326167.45625325508</v>
      </c>
      <c r="AE30" s="826">
        <v>350503.54691500199</v>
      </c>
      <c r="AF30" s="826">
        <v>197868</v>
      </c>
      <c r="AG30" s="826"/>
      <c r="AH30" s="829">
        <f t="shared" si="24"/>
        <v>478803.00316825707</v>
      </c>
      <c r="AI30" s="830">
        <f t="shared" si="4"/>
        <v>11645736.531006236</v>
      </c>
      <c r="AJ30" s="826">
        <v>-6832963.3799999999</v>
      </c>
      <c r="AK30" s="826">
        <v>17363767.780000001</v>
      </c>
      <c r="AL30" s="826"/>
      <c r="AM30" s="811">
        <f t="shared" si="10"/>
        <v>-12550994.628993765</v>
      </c>
      <c r="AN30" s="831">
        <f t="shared" si="5"/>
        <v>478803.00316825707</v>
      </c>
      <c r="AO30" s="826">
        <v>-47615.731637916695</v>
      </c>
      <c r="AP30" s="826">
        <v>581638.49</v>
      </c>
      <c r="AQ30" s="826"/>
      <c r="AR30" s="829">
        <f t="shared" si="25"/>
        <v>-150451.21846965962</v>
      </c>
      <c r="AS30" s="830">
        <f t="shared" si="6"/>
        <v>-12550994.628993765</v>
      </c>
      <c r="AT30" s="826">
        <v>8118617.2299999921</v>
      </c>
      <c r="AU30" s="826">
        <v>-5718031.25</v>
      </c>
      <c r="AV30" s="826"/>
      <c r="AW30" s="811">
        <f t="shared" si="30"/>
        <v>1285653.8510062275</v>
      </c>
      <c r="AX30" s="831">
        <f t="shared" si="7"/>
        <v>-150451.21846965962</v>
      </c>
      <c r="AY30" s="826">
        <v>-26119.223121250026</v>
      </c>
      <c r="AZ30" s="826">
        <v>-118370.06</v>
      </c>
      <c r="BA30" s="826"/>
      <c r="BB30" s="829">
        <f t="shared" si="26"/>
        <v>-58200.381590909645</v>
      </c>
      <c r="BC30" s="830">
        <f t="shared" si="8"/>
        <v>1285653.8510062275</v>
      </c>
      <c r="BD30" s="826">
        <v>17359200.380000003</v>
      </c>
      <c r="BE30" s="826"/>
      <c r="BF30" s="832"/>
      <c r="BG30" s="811">
        <f t="shared" si="31"/>
        <v>18644854.231006231</v>
      </c>
      <c r="BH30" s="831">
        <f t="shared" si="9"/>
        <v>-58200.381590909645</v>
      </c>
      <c r="BI30" s="826">
        <v>261241.96051299988</v>
      </c>
      <c r="BJ30" s="826"/>
      <c r="BK30" s="832"/>
      <c r="BL30" s="829">
        <f t="shared" si="27"/>
        <v>203041.57892209024</v>
      </c>
      <c r="BM30" s="830">
        <f t="shared" si="12"/>
        <v>18644854.231006231</v>
      </c>
      <c r="BN30" s="826">
        <v>20655064.840000007</v>
      </c>
      <c r="BO30" s="826">
        <v>1285653.8500000001</v>
      </c>
      <c r="BP30" s="832"/>
      <c r="BQ30" s="811">
        <f t="shared" si="13"/>
        <v>38014265.221006237</v>
      </c>
      <c r="BR30" s="831">
        <f t="shared" si="14"/>
        <v>203041.57892209024</v>
      </c>
      <c r="BS30" s="826">
        <v>1455396.7561195828</v>
      </c>
      <c r="BT30" s="826">
        <v>-38947.72</v>
      </c>
      <c r="BU30" s="832"/>
      <c r="BV30" s="829">
        <f t="shared" si="15"/>
        <v>1697386.0550416729</v>
      </c>
      <c r="BW30" s="833">
        <v>17359200</v>
      </c>
      <c r="BX30" s="832">
        <v>1127896</v>
      </c>
      <c r="BY30" s="831">
        <f t="shared" si="16"/>
        <v>20655065.221006237</v>
      </c>
      <c r="BZ30" s="834">
        <f t="shared" si="17"/>
        <v>569490.05504167289</v>
      </c>
      <c r="CA30" s="835">
        <v>1212395.6929946109</v>
      </c>
      <c r="CB30" s="832"/>
      <c r="CC30" s="836">
        <f t="shared" si="18"/>
        <v>1781885.7480362838</v>
      </c>
      <c r="CD30" s="820">
        <f>SUM(BY30:CB30)</f>
        <v>22436950.969042521</v>
      </c>
      <c r="CE30" s="820"/>
      <c r="CF30" s="837">
        <v>39711651</v>
      </c>
      <c r="CG30" s="838">
        <f t="shared" si="19"/>
        <v>-0.27604790776968002</v>
      </c>
      <c r="CH30" s="839" t="str">
        <f t="shared" si="20"/>
        <v/>
      </c>
      <c r="CM30" s="300"/>
    </row>
    <row r="31" spans="1:91" s="819" customFormat="1" ht="17" thickBot="1" x14ac:dyDescent="0.35">
      <c r="A31">
        <v>6</v>
      </c>
      <c r="B31" s="807">
        <v>9</v>
      </c>
      <c r="C31" s="709" t="s">
        <v>2911</v>
      </c>
      <c r="D31" s="823">
        <v>1588</v>
      </c>
      <c r="E31" s="853">
        <v>-27338360.671684034</v>
      </c>
      <c r="F31" s="843">
        <v>-3337116.0474950555</v>
      </c>
      <c r="G31" s="826">
        <v>-22433618.37520016</v>
      </c>
      <c r="H31" s="826"/>
      <c r="I31" s="811">
        <f t="shared" si="28"/>
        <v>-8241858.3439789303</v>
      </c>
      <c r="J31" s="826">
        <v>-527632.79395650199</v>
      </c>
      <c r="K31" s="826">
        <v>-93593.480829242719</v>
      </c>
      <c r="L31" s="826">
        <v>-508476.90967543662</v>
      </c>
      <c r="M31" s="826"/>
      <c r="N31" s="829">
        <f t="shared" si="29"/>
        <v>-112749.36511030811</v>
      </c>
      <c r="O31" s="830">
        <f t="shared" si="21"/>
        <v>-8241858.3439789303</v>
      </c>
      <c r="P31" s="826">
        <v>-5431100.2225049734</v>
      </c>
      <c r="Q31" s="826">
        <v>-4904742.2964838743</v>
      </c>
      <c r="R31" s="826"/>
      <c r="S31" s="811">
        <f t="shared" si="0"/>
        <v>-8768216.2700000294</v>
      </c>
      <c r="T31" s="831">
        <f t="shared" si="22"/>
        <v>-112749.36511030811</v>
      </c>
      <c r="U31" s="826">
        <v>-152662.42620717076</v>
      </c>
      <c r="V31" s="826">
        <v>-98572</v>
      </c>
      <c r="W31" s="826"/>
      <c r="X31" s="829">
        <f t="shared" si="23"/>
        <v>-166839.79131747887</v>
      </c>
      <c r="Y31" s="830">
        <f t="shared" si="1"/>
        <v>-8768216.2700000294</v>
      </c>
      <c r="Z31" s="826">
        <v>-2501345.2026892249</v>
      </c>
      <c r="AA31" s="826">
        <v>-3337116.05</v>
      </c>
      <c r="AB31" s="826">
        <v>11758215.795371056</v>
      </c>
      <c r="AC31" s="811">
        <f t="shared" si="2"/>
        <v>3825770.3726818012</v>
      </c>
      <c r="AD31" s="831">
        <f t="shared" si="3"/>
        <v>-166839.79131747887</v>
      </c>
      <c r="AE31" s="826">
        <v>-127472.46049559918</v>
      </c>
      <c r="AF31" s="826">
        <v>-73995</v>
      </c>
      <c r="AG31" s="826"/>
      <c r="AH31" s="829">
        <f t="shared" si="24"/>
        <v>-220317.25181307807</v>
      </c>
      <c r="AI31" s="830">
        <f t="shared" si="4"/>
        <v>3825770.3726818012</v>
      </c>
      <c r="AJ31" s="826">
        <v>12261250.36000004</v>
      </c>
      <c r="AK31" s="826">
        <v>-5431100.2199999997</v>
      </c>
      <c r="AL31" s="826">
        <v>-5377148.3767781258</v>
      </c>
      <c r="AM31" s="811">
        <f t="shared" si="10"/>
        <v>16140972.575903714</v>
      </c>
      <c r="AN31" s="831">
        <f t="shared" si="5"/>
        <v>-220317.25181307807</v>
      </c>
      <c r="AO31" s="826">
        <v>-39560.333159414324</v>
      </c>
      <c r="AP31" s="826">
        <v>-234641.77</v>
      </c>
      <c r="AQ31" s="826"/>
      <c r="AR31" s="829">
        <f t="shared" si="25"/>
        <v>-25235.814972492401</v>
      </c>
      <c r="AS31" s="830">
        <f t="shared" si="6"/>
        <v>16140972.575903714</v>
      </c>
      <c r="AT31" s="826">
        <v>14039804.759999977</v>
      </c>
      <c r="AU31" s="826">
        <v>9256870.5899999999</v>
      </c>
      <c r="AV31" s="826">
        <v>-7482299.1374692917</v>
      </c>
      <c r="AW31" s="811">
        <f t="shared" si="30"/>
        <v>13441607.608434398</v>
      </c>
      <c r="AX31" s="831">
        <f t="shared" si="7"/>
        <v>-25235.814972492401</v>
      </c>
      <c r="AY31" s="826">
        <v>71403.543771004712</v>
      </c>
      <c r="AZ31" s="826">
        <v>121873.49</v>
      </c>
      <c r="BA31" s="826"/>
      <c r="BB31" s="829">
        <f t="shared" si="26"/>
        <v>-75705.761201487694</v>
      </c>
      <c r="BC31" s="830">
        <f t="shared" si="8"/>
        <v>13441607.608434398</v>
      </c>
      <c r="BD31" s="826">
        <v>9702343.5500000417</v>
      </c>
      <c r="BE31" s="826"/>
      <c r="BF31" s="832">
        <v>13073337.380000001</v>
      </c>
      <c r="BG31" s="811">
        <f t="shared" si="31"/>
        <v>36217288.538434438</v>
      </c>
      <c r="BH31" s="831">
        <f t="shared" si="9"/>
        <v>-75705.761201487694</v>
      </c>
      <c r="BI31" s="826">
        <v>526517.79671598552</v>
      </c>
      <c r="BJ31" s="826"/>
      <c r="BK31" s="832"/>
      <c r="BL31" s="829">
        <f t="shared" si="27"/>
        <v>450812.03551449784</v>
      </c>
      <c r="BM31" s="830">
        <f t="shared" si="12"/>
        <v>36217288.538434438</v>
      </c>
      <c r="BN31" s="826">
        <v>21073510.370000001</v>
      </c>
      <c r="BO31" s="826">
        <v>13441607.609999999</v>
      </c>
      <c r="BP31" s="832">
        <v>-8576243.2138066292</v>
      </c>
      <c r="BQ31" s="811">
        <f t="shared" si="13"/>
        <v>35272948.084627807</v>
      </c>
      <c r="BR31" s="831">
        <f t="shared" si="14"/>
        <v>450812.03551449784</v>
      </c>
      <c r="BS31" s="826">
        <v>1438496.1785054964</v>
      </c>
      <c r="BT31" s="826">
        <v>125582.31</v>
      </c>
      <c r="BU31" s="832"/>
      <c r="BV31" s="829">
        <f t="shared" si="15"/>
        <v>1763725.9040199942</v>
      </c>
      <c r="BW31" s="833"/>
      <c r="BX31" s="832"/>
      <c r="BY31" s="831">
        <f t="shared" si="16"/>
        <v>35272948.084627807</v>
      </c>
      <c r="BZ31" s="834">
        <f t="shared" si="17"/>
        <v>1763725.9040199942</v>
      </c>
      <c r="CA31" s="835">
        <v>1710533.73789581</v>
      </c>
      <c r="CB31" s="832"/>
      <c r="CC31" s="836">
        <f t="shared" si="18"/>
        <v>3474259.6419158042</v>
      </c>
      <c r="CD31" s="820">
        <f>IF(CE31="Yes", SUM(BY31:CB31), 0)</f>
        <v>38747207.726543613</v>
      </c>
      <c r="CE31" s="854" t="s">
        <v>3029</v>
      </c>
      <c r="CF31" s="837">
        <v>33640812</v>
      </c>
      <c r="CG31" s="838">
        <f t="shared" si="19"/>
        <v>-3395861.9886478037</v>
      </c>
      <c r="CH31" s="839" t="str">
        <f t="shared" si="20"/>
        <v>Please provide an explanation of the variance in the tab 3 - Appendix A</v>
      </c>
      <c r="CM31" s="300"/>
    </row>
    <row r="32" spans="1:91" s="819" customFormat="1" ht="17" thickBot="1" x14ac:dyDescent="0.35">
      <c r="A32">
        <v>7</v>
      </c>
      <c r="B32" s="807">
        <v>10</v>
      </c>
      <c r="C32" s="709" t="s">
        <v>2912</v>
      </c>
      <c r="D32" s="823">
        <v>1589</v>
      </c>
      <c r="E32" s="842">
        <v>81084945.187807471</v>
      </c>
      <c r="F32" s="843">
        <v>56920193.873523325</v>
      </c>
      <c r="G32" s="826">
        <v>94368615.590372935</v>
      </c>
      <c r="H32" s="826"/>
      <c r="I32" s="811">
        <f t="shared" si="28"/>
        <v>43636523.47095786</v>
      </c>
      <c r="J32" s="855">
        <v>4942712.4797376487</v>
      </c>
      <c r="K32" s="856">
        <v>274057.45635962492</v>
      </c>
      <c r="L32" s="826">
        <v>4812604.2228053827</v>
      </c>
      <c r="M32" s="826"/>
      <c r="N32" s="829">
        <f t="shared" si="29"/>
        <v>404165.71329189092</v>
      </c>
      <c r="O32" s="830">
        <f t="shared" si="21"/>
        <v>43636523.47095786</v>
      </c>
      <c r="P32" s="857">
        <v>-23898524.263523288</v>
      </c>
      <c r="Q32" s="826">
        <v>-13283671.27407369</v>
      </c>
      <c r="R32" s="826">
        <v>-50366169.329999998</v>
      </c>
      <c r="S32" s="811">
        <f t="shared" si="0"/>
        <v>-17344498.848491736</v>
      </c>
      <c r="T32" s="831">
        <f t="shared" si="22"/>
        <v>404165.71329189092</v>
      </c>
      <c r="U32" s="858">
        <v>274389.79210044688</v>
      </c>
      <c r="V32" s="826">
        <v>57211</v>
      </c>
      <c r="W32" s="826">
        <v>-127587</v>
      </c>
      <c r="X32" s="829">
        <f t="shared" si="23"/>
        <v>493757.5053923378</v>
      </c>
      <c r="Y32" s="830">
        <f t="shared" si="1"/>
        <v>-17344498.848491736</v>
      </c>
      <c r="Z32" s="826">
        <v>8529428.2015040368</v>
      </c>
      <c r="AA32" s="826">
        <v>6554024.54</v>
      </c>
      <c r="AB32" s="826">
        <v>10097235.810689449</v>
      </c>
      <c r="AC32" s="811">
        <f t="shared" si="2"/>
        <v>-5271859.3762982488</v>
      </c>
      <c r="AD32" s="831">
        <f t="shared" si="3"/>
        <v>493757.5053923378</v>
      </c>
      <c r="AE32" s="826">
        <v>136360.50407909352</v>
      </c>
      <c r="AF32" s="826">
        <v>341438</v>
      </c>
      <c r="AG32" s="826"/>
      <c r="AH32" s="829">
        <f t="shared" si="24"/>
        <v>288680.00947143137</v>
      </c>
      <c r="AI32" s="830">
        <f t="shared" si="4"/>
        <v>-5271859.3762982488</v>
      </c>
      <c r="AJ32" s="826">
        <v>10649938.070000006</v>
      </c>
      <c r="AK32" s="826">
        <v>-23898523.390000001</v>
      </c>
      <c r="AL32" s="826">
        <v>-12259094.529281616</v>
      </c>
      <c r="AM32" s="811">
        <f t="shared" si="10"/>
        <v>17017507.554420143</v>
      </c>
      <c r="AN32" s="831">
        <f t="shared" si="5"/>
        <v>288680.00947143137</v>
      </c>
      <c r="AO32" s="826">
        <v>356177.99008652871</v>
      </c>
      <c r="AP32" s="826">
        <v>-471631.13</v>
      </c>
      <c r="AQ32" s="826"/>
      <c r="AR32" s="829">
        <f t="shared" si="25"/>
        <v>1116489.1295579602</v>
      </c>
      <c r="AS32" s="830">
        <f t="shared" si="6"/>
        <v>17017507.554420143</v>
      </c>
      <c r="AT32" s="826">
        <v>-16614609.520000033</v>
      </c>
      <c r="AU32" s="826">
        <v>18626664.010000002</v>
      </c>
      <c r="AV32" s="826">
        <v>368713.57101094723</v>
      </c>
      <c r="AW32" s="811">
        <f t="shared" si="30"/>
        <v>-17855052.404568944</v>
      </c>
      <c r="AX32" s="831">
        <f t="shared" si="7"/>
        <v>1116489.1295579602</v>
      </c>
      <c r="AY32" s="826">
        <v>-54970.93972256827</v>
      </c>
      <c r="AZ32" s="826">
        <v>929596.46</v>
      </c>
      <c r="BA32" s="826"/>
      <c r="BB32" s="829">
        <f t="shared" si="26"/>
        <v>131921.72983539198</v>
      </c>
      <c r="BC32" s="830">
        <f t="shared" si="8"/>
        <v>-17855052.404568944</v>
      </c>
      <c r="BD32" s="826">
        <v>-3942240.4100000188</v>
      </c>
      <c r="BE32" s="826"/>
      <c r="BF32" s="832">
        <v>-3461256.9808706669</v>
      </c>
      <c r="BG32" s="811">
        <f t="shared" si="31"/>
        <v>-25258549.795439631</v>
      </c>
      <c r="BH32" s="831">
        <f t="shared" si="9"/>
        <v>131921.72983539198</v>
      </c>
      <c r="BI32" s="826">
        <v>-384596.11208813754</v>
      </c>
      <c r="BJ32" s="826"/>
      <c r="BK32" s="832"/>
      <c r="BL32" s="829">
        <f t="shared" si="27"/>
        <v>-252674.38225274556</v>
      </c>
      <c r="BM32" s="830">
        <f t="shared" si="12"/>
        <v>-25258549.795439631</v>
      </c>
      <c r="BN32" s="826">
        <v>6714087.8900000043</v>
      </c>
      <c r="BO32" s="826">
        <v>-17855052.399999999</v>
      </c>
      <c r="BP32" s="832">
        <v>8311651.9811402559</v>
      </c>
      <c r="BQ32" s="811">
        <f t="shared" si="13"/>
        <v>7622242.475700628</v>
      </c>
      <c r="BR32" s="831">
        <f t="shared" si="14"/>
        <v>-252674.38225274556</v>
      </c>
      <c r="BS32" s="826">
        <v>976282.8961326225</v>
      </c>
      <c r="BT32" s="826">
        <v>-135457.69</v>
      </c>
      <c r="BU32" s="832"/>
      <c r="BV32" s="829">
        <f t="shared" si="15"/>
        <v>859066.20387987699</v>
      </c>
      <c r="BW32" s="833"/>
      <c r="BX32" s="832"/>
      <c r="BY32" s="831">
        <f t="shared" si="16"/>
        <v>7622242.475700628</v>
      </c>
      <c r="BZ32" s="834">
        <f t="shared" si="17"/>
        <v>859066.20387987699</v>
      </c>
      <c r="CA32" s="835">
        <v>13567.910911551673</v>
      </c>
      <c r="CB32" s="832"/>
      <c r="CC32" s="836">
        <f t="shared" si="18"/>
        <v>872634.11479142867</v>
      </c>
      <c r="CD32" s="820">
        <f>IF(CE32="Yes", SUM(BY32:CB32), 0)</f>
        <v>8494876.5904920567</v>
      </c>
      <c r="CE32" s="854" t="s">
        <v>3029</v>
      </c>
      <c r="CF32" s="837">
        <v>5424059</v>
      </c>
      <c r="CG32" s="838">
        <f t="shared" si="19"/>
        <v>-3057249.6795805059</v>
      </c>
      <c r="CH32" s="839" t="str">
        <f t="shared" si="20"/>
        <v>Please provide an explanation of the variance in the tab 3 - Appendix A</v>
      </c>
      <c r="CM32" s="300"/>
    </row>
    <row r="33" spans="1:91" s="819" customFormat="1" ht="17" hidden="1" thickBot="1" x14ac:dyDescent="0.35">
      <c r="A33">
        <v>8</v>
      </c>
      <c r="B33" s="807">
        <v>11</v>
      </c>
      <c r="C33" s="859" t="s">
        <v>36</v>
      </c>
      <c r="D33" s="823">
        <v>1595</v>
      </c>
      <c r="E33" s="853"/>
      <c r="F33" s="843"/>
      <c r="G33" s="826"/>
      <c r="H33" s="832"/>
      <c r="I33" s="811">
        <f t="shared" si="28"/>
        <v>0</v>
      </c>
      <c r="J33" s="826"/>
      <c r="K33" s="826"/>
      <c r="L33" s="826"/>
      <c r="M33" s="832"/>
      <c r="N33" s="829">
        <f t="shared" si="29"/>
        <v>0</v>
      </c>
      <c r="O33" s="830">
        <f>I33</f>
        <v>0</v>
      </c>
      <c r="P33" s="860"/>
      <c r="Q33" s="832"/>
      <c r="R33" s="832"/>
      <c r="S33" s="811">
        <f t="shared" si="0"/>
        <v>0</v>
      </c>
      <c r="T33" s="831">
        <f>N33</f>
        <v>0</v>
      </c>
      <c r="U33" s="832"/>
      <c r="V33" s="832"/>
      <c r="W33" s="832"/>
      <c r="X33" s="829">
        <f t="shared" si="23"/>
        <v>0</v>
      </c>
      <c r="Y33" s="830">
        <f t="shared" si="1"/>
        <v>0</v>
      </c>
      <c r="Z33" s="832"/>
      <c r="AA33" s="832"/>
      <c r="AB33" s="832"/>
      <c r="AC33" s="811">
        <f t="shared" si="2"/>
        <v>0</v>
      </c>
      <c r="AD33" s="831">
        <f t="shared" si="3"/>
        <v>0</v>
      </c>
      <c r="AE33" s="832"/>
      <c r="AF33" s="832"/>
      <c r="AG33" s="832"/>
      <c r="AH33" s="829">
        <f t="shared" si="24"/>
        <v>0</v>
      </c>
      <c r="AI33" s="830">
        <f t="shared" si="4"/>
        <v>0</v>
      </c>
      <c r="AJ33" s="832"/>
      <c r="AK33" s="832"/>
      <c r="AL33" s="832"/>
      <c r="AM33" s="811">
        <f t="shared" si="10"/>
        <v>0</v>
      </c>
      <c r="AN33" s="831">
        <f t="shared" si="5"/>
        <v>0</v>
      </c>
      <c r="AO33" s="832"/>
      <c r="AP33" s="832"/>
      <c r="AQ33" s="832"/>
      <c r="AR33" s="829">
        <f t="shared" si="25"/>
        <v>0</v>
      </c>
      <c r="AS33" s="830">
        <f t="shared" si="6"/>
        <v>0</v>
      </c>
      <c r="AT33" s="832"/>
      <c r="AU33" s="832"/>
      <c r="AV33" s="832"/>
      <c r="AW33" s="811">
        <f t="shared" si="30"/>
        <v>0</v>
      </c>
      <c r="AX33" s="831">
        <f t="shared" si="7"/>
        <v>0</v>
      </c>
      <c r="AY33" s="832"/>
      <c r="AZ33" s="832"/>
      <c r="BA33" s="832"/>
      <c r="BB33" s="829">
        <f t="shared" si="26"/>
        <v>0</v>
      </c>
      <c r="BC33" s="830">
        <f t="shared" si="8"/>
        <v>0</v>
      </c>
      <c r="BD33" s="832"/>
      <c r="BE33" s="832"/>
      <c r="BF33" s="832"/>
      <c r="BG33" s="811">
        <f t="shared" si="31"/>
        <v>0</v>
      </c>
      <c r="BH33" s="831">
        <f t="shared" si="9"/>
        <v>0</v>
      </c>
      <c r="BI33" s="832"/>
      <c r="BJ33" s="832"/>
      <c r="BK33" s="832"/>
      <c r="BL33" s="829">
        <f t="shared" si="27"/>
        <v>0</v>
      </c>
      <c r="BM33" s="830">
        <f t="shared" si="12"/>
        <v>0</v>
      </c>
      <c r="BN33" s="832"/>
      <c r="BO33" s="832"/>
      <c r="BP33" s="832"/>
      <c r="BQ33" s="811">
        <f t="shared" si="13"/>
        <v>0</v>
      </c>
      <c r="BR33" s="831">
        <f t="shared" si="14"/>
        <v>0</v>
      </c>
      <c r="BS33" s="832"/>
      <c r="BT33" s="832"/>
      <c r="BU33" s="832"/>
      <c r="BV33" s="829">
        <f t="shared" si="15"/>
        <v>0</v>
      </c>
      <c r="BW33" s="833"/>
      <c r="BX33" s="832"/>
      <c r="BY33" s="831">
        <f t="shared" si="16"/>
        <v>0</v>
      </c>
      <c r="BZ33" s="834">
        <f t="shared" si="17"/>
        <v>0</v>
      </c>
      <c r="CA33" s="835"/>
      <c r="CB33" s="832"/>
      <c r="CC33" s="836">
        <f t="shared" si="18"/>
        <v>0</v>
      </c>
      <c r="CD33" s="820">
        <f>IF(CM33=TRUE, SUM(BY33:CB33), 0)</f>
        <v>0</v>
      </c>
      <c r="CE33" s="861"/>
      <c r="CF33" s="837">
        <v>0</v>
      </c>
      <c r="CG33" s="838">
        <f t="shared" si="19"/>
        <v>0</v>
      </c>
      <c r="CH33" s="839" t="str">
        <f t="shared" si="20"/>
        <v/>
      </c>
      <c r="CL33" s="862" t="s">
        <v>163</v>
      </c>
      <c r="CM33" s="300" t="b">
        <v>0</v>
      </c>
    </row>
    <row r="34" spans="1:91" s="819" customFormat="1" ht="17" thickBot="1" x14ac:dyDescent="0.35">
      <c r="A34">
        <v>9</v>
      </c>
      <c r="B34" s="807">
        <v>12</v>
      </c>
      <c r="C34" s="859" t="s">
        <v>3680</v>
      </c>
      <c r="D34" s="823">
        <v>1595</v>
      </c>
      <c r="E34" s="853">
        <v>53445012.408352517</v>
      </c>
      <c r="F34" s="826">
        <v>-11037516.835210837</v>
      </c>
      <c r="G34" s="826">
        <v>95890</v>
      </c>
      <c r="H34" s="826"/>
      <c r="I34" s="811">
        <f t="shared" si="28"/>
        <v>42311605.573141679</v>
      </c>
      <c r="J34" s="826">
        <v>-100312.63692866238</v>
      </c>
      <c r="K34" s="826">
        <v>123347.37845358496</v>
      </c>
      <c r="L34" s="826">
        <v>-53433</v>
      </c>
      <c r="M34" s="826">
        <v>-184466.37839828493</v>
      </c>
      <c r="N34" s="829">
        <f t="shared" si="29"/>
        <v>-107998.63687336235</v>
      </c>
      <c r="O34" s="830">
        <f t="shared" si="21"/>
        <v>42311605.573141679</v>
      </c>
      <c r="P34" s="826">
        <v>-17583427.998502463</v>
      </c>
      <c r="Q34" s="826"/>
      <c r="R34" s="826"/>
      <c r="S34" s="811">
        <f t="shared" si="0"/>
        <v>24728177.574639216</v>
      </c>
      <c r="T34" s="831">
        <f t="shared" si="22"/>
        <v>-107998.63687336235</v>
      </c>
      <c r="U34" s="826">
        <v>-126193.63107888009</v>
      </c>
      <c r="V34" s="826"/>
      <c r="W34" s="826"/>
      <c r="X34" s="829">
        <f t="shared" si="23"/>
        <v>-234192.26795224246</v>
      </c>
      <c r="Y34" s="830">
        <f t="shared" si="1"/>
        <v>24728177.574639216</v>
      </c>
      <c r="Z34" s="826">
        <v>-21786516.684192095</v>
      </c>
      <c r="AA34" s="826"/>
      <c r="AB34" s="826"/>
      <c r="AC34" s="811">
        <f t="shared" si="2"/>
        <v>2941660.8904471211</v>
      </c>
      <c r="AD34" s="831">
        <f t="shared" si="3"/>
        <v>-234192.26795224246</v>
      </c>
      <c r="AE34" s="826">
        <v>-49608.302524491635</v>
      </c>
      <c r="AF34" s="826"/>
      <c r="AG34" s="826"/>
      <c r="AH34" s="829">
        <f t="shared" si="24"/>
        <v>-283800.57047673408</v>
      </c>
      <c r="AI34" s="830">
        <f t="shared" si="4"/>
        <v>2941660.8904471211</v>
      </c>
      <c r="AJ34" s="826">
        <v>-1601617.8512565775</v>
      </c>
      <c r="AK34" s="826"/>
      <c r="AL34" s="826"/>
      <c r="AM34" s="811">
        <f t="shared" si="10"/>
        <v>1340043.0391905436</v>
      </c>
      <c r="AN34" s="831">
        <f t="shared" si="5"/>
        <v>-283800.57047673408</v>
      </c>
      <c r="AO34" s="826">
        <v>-30142.153010000373</v>
      </c>
      <c r="AP34" s="826"/>
      <c r="AQ34" s="826"/>
      <c r="AR34" s="829">
        <f t="shared" si="25"/>
        <v>-313942.72348673444</v>
      </c>
      <c r="AS34" s="830">
        <f t="shared" si="6"/>
        <v>1340043.0391905436</v>
      </c>
      <c r="AT34" s="826">
        <v>-148123.20168872806</v>
      </c>
      <c r="AU34" s="826"/>
      <c r="AV34" s="826"/>
      <c r="AW34" s="811">
        <f t="shared" si="30"/>
        <v>1191919.8375018155</v>
      </c>
      <c r="AX34" s="831">
        <f t="shared" si="7"/>
        <v>-313942.72348673444</v>
      </c>
      <c r="AY34" s="826">
        <v>-33963.964041323925</v>
      </c>
      <c r="AZ34" s="826"/>
      <c r="BA34" s="826"/>
      <c r="BB34" s="829">
        <f t="shared" si="26"/>
        <v>-347906.68752805836</v>
      </c>
      <c r="BC34" s="830">
        <f t="shared" si="8"/>
        <v>1191919.8375018155</v>
      </c>
      <c r="BD34" s="832">
        <v>47.389999999999965</v>
      </c>
      <c r="BE34" s="832"/>
      <c r="BF34" s="832">
        <v>-538765.79249450704</v>
      </c>
      <c r="BG34" s="811">
        <f t="shared" si="31"/>
        <v>653201.43500730838</v>
      </c>
      <c r="BH34" s="831">
        <f t="shared" si="9"/>
        <v>-347906.68752805836</v>
      </c>
      <c r="BI34" s="832">
        <v>-2430.2926099166725</v>
      </c>
      <c r="BJ34" s="832"/>
      <c r="BK34" s="832">
        <v>538765.79249450704</v>
      </c>
      <c r="BL34" s="829">
        <f t="shared" si="27"/>
        <v>188428.81235653203</v>
      </c>
      <c r="BM34" s="830">
        <f t="shared" si="12"/>
        <v>653201.43500730838</v>
      </c>
      <c r="BN34" s="832">
        <v>-47.389999999999972</v>
      </c>
      <c r="BO34" s="832">
        <v>1191919.8508470578</v>
      </c>
      <c r="BP34" s="832">
        <v>538765.79249450704</v>
      </c>
      <c r="BQ34" s="811">
        <f t="shared" si="13"/>
        <v>-1.3345242361538112E-2</v>
      </c>
      <c r="BR34" s="831">
        <f t="shared" si="14"/>
        <v>188428.81235653203</v>
      </c>
      <c r="BS34" s="832">
        <v>2430.2926099166843</v>
      </c>
      <c r="BT34" s="832">
        <v>-347906.67605409154</v>
      </c>
      <c r="BU34" s="832">
        <v>-538765.79249450704</v>
      </c>
      <c r="BV34" s="829">
        <f t="shared" si="15"/>
        <v>-1.1473966762423515E-2</v>
      </c>
      <c r="BW34" s="833"/>
      <c r="BX34" s="832"/>
      <c r="BY34" s="831">
        <f t="shared" si="16"/>
        <v>-1.3345242361538112E-2</v>
      </c>
      <c r="BZ34" s="834">
        <f t="shared" si="17"/>
        <v>-1.1473966762423515E-2</v>
      </c>
      <c r="CA34" s="835"/>
      <c r="CB34" s="832"/>
      <c r="CC34" s="836">
        <f t="shared" si="18"/>
        <v>-1.1473966762423515E-2</v>
      </c>
      <c r="CD34" s="820">
        <f t="shared" ref="CD34:CD40" si="32">IF(CE34="Yes", SUM(BY34:CB34), 0)</f>
        <v>0</v>
      </c>
      <c r="CE34" s="854" t="s">
        <v>633</v>
      </c>
      <c r="CF34" s="738">
        <v>0</v>
      </c>
      <c r="CG34" s="838">
        <f t="shared" si="19"/>
        <v>2.4819209123961627E-2</v>
      </c>
      <c r="CH34" s="839" t="str">
        <f t="shared" si="20"/>
        <v/>
      </c>
      <c r="CL34" s="862" t="s">
        <v>164</v>
      </c>
      <c r="CM34" s="300" t="b">
        <v>0</v>
      </c>
    </row>
    <row r="35" spans="1:91" s="819" customFormat="1" ht="17" thickBot="1" x14ac:dyDescent="0.35">
      <c r="A35">
        <v>10</v>
      </c>
      <c r="B35" s="807">
        <v>13</v>
      </c>
      <c r="C35" s="859" t="s">
        <v>2910</v>
      </c>
      <c r="D35" s="823">
        <v>1595</v>
      </c>
      <c r="E35" s="853"/>
      <c r="F35" s="826"/>
      <c r="G35" s="826"/>
      <c r="H35" s="826"/>
      <c r="I35" s="811">
        <f t="shared" si="28"/>
        <v>0</v>
      </c>
      <c r="J35" s="826"/>
      <c r="K35" s="826"/>
      <c r="L35" s="826"/>
      <c r="M35" s="826"/>
      <c r="N35" s="829">
        <f t="shared" si="29"/>
        <v>0</v>
      </c>
      <c r="O35" s="830">
        <f t="shared" si="21"/>
        <v>0</v>
      </c>
      <c r="P35" s="826">
        <v>77183859.693830907</v>
      </c>
      <c r="Q35" s="826">
        <v>82293661</v>
      </c>
      <c r="R35" s="826"/>
      <c r="S35" s="811">
        <f t="shared" si="0"/>
        <v>-5109801.3061690927</v>
      </c>
      <c r="T35" s="831">
        <f t="shared" si="22"/>
        <v>0</v>
      </c>
      <c r="U35" s="826">
        <v>-833590.66334518814</v>
      </c>
      <c r="V35" s="826">
        <v>1116820</v>
      </c>
      <c r="W35" s="826"/>
      <c r="X35" s="829">
        <f t="shared" si="23"/>
        <v>-1950410.6633451881</v>
      </c>
      <c r="Y35" s="830">
        <f t="shared" si="1"/>
        <v>-5109801.3061690927</v>
      </c>
      <c r="Z35" s="826">
        <v>5866558.9027808569</v>
      </c>
      <c r="AA35" s="826"/>
      <c r="AB35" s="826"/>
      <c r="AC35" s="811">
        <f t="shared" si="2"/>
        <v>756757.59661176428</v>
      </c>
      <c r="AD35" s="831">
        <f t="shared" si="3"/>
        <v>-1950410.6633451881</v>
      </c>
      <c r="AE35" s="826">
        <v>5229.6394564245029</v>
      </c>
      <c r="AF35" s="826"/>
      <c r="AG35" s="826"/>
      <c r="AH35" s="829">
        <f t="shared" si="24"/>
        <v>-1945181.0238887637</v>
      </c>
      <c r="AI35" s="830">
        <f t="shared" si="4"/>
        <v>756757.59661176428</v>
      </c>
      <c r="AJ35" s="826">
        <v>242567.29109738726</v>
      </c>
      <c r="AK35" s="826"/>
      <c r="AL35" s="826"/>
      <c r="AM35" s="811">
        <f t="shared" si="10"/>
        <v>999324.88770915149</v>
      </c>
      <c r="AN35" s="831">
        <f t="shared" si="5"/>
        <v>-1945181.0238887637</v>
      </c>
      <c r="AO35" s="826">
        <v>12592.018580286265</v>
      </c>
      <c r="AP35" s="826"/>
      <c r="AQ35" s="826"/>
      <c r="AR35" s="829">
        <f t="shared" si="25"/>
        <v>-1932589.0053084774</v>
      </c>
      <c r="AS35" s="830">
        <f t="shared" si="6"/>
        <v>999324.88770915149</v>
      </c>
      <c r="AT35" s="826">
        <v>-450.62080084325549</v>
      </c>
      <c r="AU35" s="826"/>
      <c r="AV35" s="826"/>
      <c r="AW35" s="811">
        <f t="shared" si="30"/>
        <v>998874.26690830826</v>
      </c>
      <c r="AX35" s="831">
        <f t="shared" si="7"/>
        <v>-1932589.0053084774</v>
      </c>
      <c r="AY35" s="826">
        <v>5892.1495660746778</v>
      </c>
      <c r="AZ35" s="826"/>
      <c r="BA35" s="826"/>
      <c r="BB35" s="829">
        <f t="shared" si="26"/>
        <v>-1926696.8557424028</v>
      </c>
      <c r="BC35" s="830">
        <f t="shared" si="8"/>
        <v>998874.26690830826</v>
      </c>
      <c r="BD35" s="832">
        <v>-169.41044730142804</v>
      </c>
      <c r="BE35" s="832"/>
      <c r="BF35" s="832">
        <v>121812</v>
      </c>
      <c r="BG35" s="811">
        <f t="shared" si="31"/>
        <v>1120516.8564610067</v>
      </c>
      <c r="BH35" s="831">
        <f t="shared" si="9"/>
        <v>-1926696.8557424028</v>
      </c>
      <c r="BI35" s="832">
        <v>19780.110660792601</v>
      </c>
      <c r="BJ35" s="832"/>
      <c r="BK35" s="832">
        <v>-121812</v>
      </c>
      <c r="BL35" s="829">
        <f t="shared" si="27"/>
        <v>-2028728.7450816103</v>
      </c>
      <c r="BM35" s="830">
        <f t="shared" si="12"/>
        <v>1120516.8564610067</v>
      </c>
      <c r="BN35" s="832">
        <v>169.41044730142801</v>
      </c>
      <c r="BO35" s="832">
        <v>998874.26690830826</v>
      </c>
      <c r="BP35" s="832">
        <v>-121812</v>
      </c>
      <c r="BQ35" s="811">
        <f t="shared" si="13"/>
        <v>-2.3283064365386963E-10</v>
      </c>
      <c r="BR35" s="831">
        <f t="shared" si="14"/>
        <v>-2028728.7450816103</v>
      </c>
      <c r="BS35" s="832">
        <v>-19780.110660792605</v>
      </c>
      <c r="BT35" s="832">
        <v>-1926696.8557424028</v>
      </c>
      <c r="BU35" s="832">
        <v>121812</v>
      </c>
      <c r="BV35" s="829">
        <f t="shared" si="15"/>
        <v>0</v>
      </c>
      <c r="BW35" s="833"/>
      <c r="BX35" s="832"/>
      <c r="BY35" s="831">
        <f t="shared" si="16"/>
        <v>-2.3283064365386963E-10</v>
      </c>
      <c r="BZ35" s="834">
        <f t="shared" si="17"/>
        <v>0</v>
      </c>
      <c r="CA35" s="835"/>
      <c r="CB35" s="832"/>
      <c r="CC35" s="836">
        <f t="shared" si="18"/>
        <v>0</v>
      </c>
      <c r="CD35" s="820">
        <f t="shared" si="32"/>
        <v>0</v>
      </c>
      <c r="CE35" s="863" t="s">
        <v>633</v>
      </c>
      <c r="CF35" s="837">
        <v>0</v>
      </c>
      <c r="CG35" s="838">
        <f t="shared" si="19"/>
        <v>2.3283064365386963E-10</v>
      </c>
      <c r="CH35" s="839" t="str">
        <f t="shared" si="20"/>
        <v/>
      </c>
      <c r="CL35" s="862" t="s">
        <v>165</v>
      </c>
      <c r="CM35" s="300" t="b">
        <v>0</v>
      </c>
    </row>
    <row r="36" spans="1:91" s="819" customFormat="1" ht="17" thickBot="1" x14ac:dyDescent="0.35">
      <c r="A36">
        <v>11</v>
      </c>
      <c r="B36" s="807">
        <v>14</v>
      </c>
      <c r="C36" s="859" t="s">
        <v>3015</v>
      </c>
      <c r="D36" s="823">
        <v>1595</v>
      </c>
      <c r="E36" s="853"/>
      <c r="F36" s="826"/>
      <c r="G36" s="826"/>
      <c r="H36" s="826"/>
      <c r="I36" s="811">
        <f t="shared" si="28"/>
        <v>0</v>
      </c>
      <c r="J36" s="826"/>
      <c r="K36" s="826"/>
      <c r="L36" s="826"/>
      <c r="M36" s="826"/>
      <c r="N36" s="829">
        <f t="shared" si="29"/>
        <v>0</v>
      </c>
      <c r="O36" s="830">
        <f t="shared" si="21"/>
        <v>0</v>
      </c>
      <c r="P36" s="826"/>
      <c r="Q36" s="826"/>
      <c r="R36" s="826"/>
      <c r="S36" s="811">
        <f t="shared" si="0"/>
        <v>0</v>
      </c>
      <c r="T36" s="831">
        <f t="shared" si="22"/>
        <v>0</v>
      </c>
      <c r="U36" s="826"/>
      <c r="V36" s="826"/>
      <c r="W36" s="826"/>
      <c r="X36" s="829">
        <f t="shared" si="23"/>
        <v>0</v>
      </c>
      <c r="Y36" s="830">
        <f t="shared" si="1"/>
        <v>0</v>
      </c>
      <c r="Z36" s="826">
        <v>-7849164.3386699203</v>
      </c>
      <c r="AA36" s="826">
        <v>-7413269</v>
      </c>
      <c r="AB36" s="826"/>
      <c r="AC36" s="811">
        <f t="shared" si="2"/>
        <v>-435895.33866992034</v>
      </c>
      <c r="AD36" s="831">
        <f>X36</f>
        <v>0</v>
      </c>
      <c r="AE36" s="826">
        <v>-67869.146416420772</v>
      </c>
      <c r="AF36" s="826">
        <v>-423087</v>
      </c>
      <c r="AG36" s="826"/>
      <c r="AH36" s="829">
        <f t="shared" si="24"/>
        <v>355217.85358357924</v>
      </c>
      <c r="AI36" s="830">
        <f t="shared" si="4"/>
        <v>-435895.33866992034</v>
      </c>
      <c r="AJ36" s="826">
        <v>-529885.9500849226</v>
      </c>
      <c r="AK36" s="826"/>
      <c r="AL36" s="826"/>
      <c r="AM36" s="811">
        <f t="shared" si="10"/>
        <v>-965781.28875484294</v>
      </c>
      <c r="AN36" s="831">
        <f t="shared" si="5"/>
        <v>355217.85358357924</v>
      </c>
      <c r="AO36" s="826">
        <v>-9432.3468549499303</v>
      </c>
      <c r="AP36" s="826"/>
      <c r="AQ36" s="826"/>
      <c r="AR36" s="829">
        <f t="shared" si="25"/>
        <v>345785.50672862929</v>
      </c>
      <c r="AS36" s="830">
        <f t="shared" si="6"/>
        <v>-965781.28875484294</v>
      </c>
      <c r="AT36" s="826">
        <v>-366.14369752038215</v>
      </c>
      <c r="AU36" s="826"/>
      <c r="AV36" s="826"/>
      <c r="AW36" s="811">
        <f t="shared" si="30"/>
        <v>-966147.43245236331</v>
      </c>
      <c r="AX36" s="831">
        <f t="shared" si="7"/>
        <v>345785.50672862929</v>
      </c>
      <c r="AY36" s="826">
        <v>-3272.7226099510935</v>
      </c>
      <c r="AZ36" s="826"/>
      <c r="BA36" s="826"/>
      <c r="BB36" s="829">
        <f t="shared" si="26"/>
        <v>342512.78411867819</v>
      </c>
      <c r="BC36" s="830">
        <f t="shared" si="8"/>
        <v>-966147.43245236331</v>
      </c>
      <c r="BD36" s="832">
        <v>-322.33109519515972</v>
      </c>
      <c r="BE36" s="832"/>
      <c r="BF36" s="832"/>
      <c r="BG36" s="811">
        <f t="shared" si="11"/>
        <v>-966469.76354755845</v>
      </c>
      <c r="BH36" s="831">
        <f t="shared" si="9"/>
        <v>342512.78411867819</v>
      </c>
      <c r="BI36" s="832">
        <v>-10996.769271880185</v>
      </c>
      <c r="BJ36" s="832"/>
      <c r="BK36" s="832"/>
      <c r="BL36" s="829">
        <f t="shared" si="27"/>
        <v>331516.01484679803</v>
      </c>
      <c r="BM36" s="830">
        <f t="shared" si="12"/>
        <v>-966469.76354755845</v>
      </c>
      <c r="BN36" s="832">
        <v>322.33109519515972</v>
      </c>
      <c r="BO36" s="832">
        <v>-966147.43245236331</v>
      </c>
      <c r="BP36" s="832"/>
      <c r="BQ36" s="811">
        <f t="shared" si="13"/>
        <v>0</v>
      </c>
      <c r="BR36" s="831">
        <f t="shared" si="14"/>
        <v>331516.01484679803</v>
      </c>
      <c r="BS36" s="832">
        <v>10996.769271880181</v>
      </c>
      <c r="BT36" s="832">
        <v>342512.78411867819</v>
      </c>
      <c r="BU36" s="832"/>
      <c r="BV36" s="829">
        <f t="shared" si="15"/>
        <v>0</v>
      </c>
      <c r="BW36" s="833"/>
      <c r="BX36" s="832"/>
      <c r="BY36" s="831">
        <f t="shared" si="16"/>
        <v>0</v>
      </c>
      <c r="BZ36" s="834">
        <f t="shared" si="17"/>
        <v>0</v>
      </c>
      <c r="CA36" s="835"/>
      <c r="CB36" s="832"/>
      <c r="CC36" s="836">
        <f t="shared" si="18"/>
        <v>0</v>
      </c>
      <c r="CD36" s="820">
        <f t="shared" si="32"/>
        <v>0</v>
      </c>
      <c r="CE36" s="854" t="s">
        <v>633</v>
      </c>
      <c r="CF36" s="738">
        <v>0</v>
      </c>
      <c r="CG36" s="838">
        <f t="shared" si="19"/>
        <v>0</v>
      </c>
      <c r="CH36" s="839" t="str">
        <f t="shared" si="20"/>
        <v/>
      </c>
      <c r="CL36" s="862" t="s">
        <v>166</v>
      </c>
      <c r="CM36" s="300" t="b">
        <v>0</v>
      </c>
    </row>
    <row r="37" spans="1:91" s="819" customFormat="1" ht="17" thickBot="1" x14ac:dyDescent="0.35">
      <c r="A37">
        <v>12</v>
      </c>
      <c r="B37" s="807">
        <v>15</v>
      </c>
      <c r="C37" s="859" t="s">
        <v>3057</v>
      </c>
      <c r="D37" s="823">
        <v>1595</v>
      </c>
      <c r="E37" s="853"/>
      <c r="F37" s="826"/>
      <c r="G37" s="826"/>
      <c r="H37" s="826"/>
      <c r="I37" s="811">
        <f t="shared" si="28"/>
        <v>0</v>
      </c>
      <c r="J37" s="826"/>
      <c r="K37" s="826"/>
      <c r="L37" s="826"/>
      <c r="M37" s="826"/>
      <c r="N37" s="829">
        <f t="shared" si="29"/>
        <v>0</v>
      </c>
      <c r="O37" s="830">
        <f t="shared" si="21"/>
        <v>0</v>
      </c>
      <c r="P37" s="826"/>
      <c r="Q37" s="826"/>
      <c r="R37" s="826"/>
      <c r="S37" s="811">
        <f t="shared" si="0"/>
        <v>0</v>
      </c>
      <c r="T37" s="831">
        <f t="shared" si="22"/>
        <v>0</v>
      </c>
      <c r="U37" s="826"/>
      <c r="V37" s="826"/>
      <c r="W37" s="826"/>
      <c r="X37" s="829">
        <f t="shared" si="23"/>
        <v>0</v>
      </c>
      <c r="Y37" s="830">
        <f t="shared" si="1"/>
        <v>0</v>
      </c>
      <c r="Z37" s="826"/>
      <c r="AA37" s="826"/>
      <c r="AB37" s="826"/>
      <c r="AC37" s="811">
        <f t="shared" si="2"/>
        <v>0</v>
      </c>
      <c r="AD37" s="831">
        <f>X37</f>
        <v>0</v>
      </c>
      <c r="AE37" s="826"/>
      <c r="AF37" s="826"/>
      <c r="AG37" s="826"/>
      <c r="AH37" s="829">
        <f t="shared" si="24"/>
        <v>0</v>
      </c>
      <c r="AI37" s="830">
        <f t="shared" si="4"/>
        <v>0</v>
      </c>
      <c r="AJ37" s="826">
        <v>25890096.36328746</v>
      </c>
      <c r="AK37" s="826">
        <v>70380410.352973074</v>
      </c>
      <c r="AL37" s="826"/>
      <c r="AM37" s="811">
        <f t="shared" si="10"/>
        <v>-44490313.98968561</v>
      </c>
      <c r="AN37" s="831">
        <f t="shared" si="5"/>
        <v>0</v>
      </c>
      <c r="AO37" s="826">
        <v>-742533.23945787072</v>
      </c>
      <c r="AP37" s="826">
        <v>1975065.3908565242</v>
      </c>
      <c r="AQ37" s="826"/>
      <c r="AR37" s="829">
        <f t="shared" si="25"/>
        <v>-2717598.6303143948</v>
      </c>
      <c r="AS37" s="830">
        <f t="shared" si="6"/>
        <v>-44490313.98968561</v>
      </c>
      <c r="AT37" s="826">
        <v>45648966.474132769</v>
      </c>
      <c r="AU37" s="826"/>
      <c r="AV37" s="826"/>
      <c r="AW37" s="811">
        <f t="shared" si="30"/>
        <v>1158652.4844471589</v>
      </c>
      <c r="AX37" s="831">
        <f t="shared" si="7"/>
        <v>-2717598.6303143948</v>
      </c>
      <c r="AY37" s="826">
        <v>-135972.33430722356</v>
      </c>
      <c r="AZ37" s="826"/>
      <c r="BA37" s="826"/>
      <c r="BB37" s="829">
        <f t="shared" si="26"/>
        <v>-2853570.9646216184</v>
      </c>
      <c r="BC37" s="830">
        <f t="shared" si="8"/>
        <v>1158652.4844471589</v>
      </c>
      <c r="BD37" s="832">
        <v>-421081.86584577529</v>
      </c>
      <c r="BE37" s="832"/>
      <c r="BF37" s="832">
        <v>-1401834.7257008387</v>
      </c>
      <c r="BG37" s="811">
        <f t="shared" si="11"/>
        <v>-664264.10709945508</v>
      </c>
      <c r="BH37" s="831">
        <f t="shared" si="9"/>
        <v>-2853570.9646216184</v>
      </c>
      <c r="BI37" s="832">
        <v>33673.021575023209</v>
      </c>
      <c r="BJ37" s="832"/>
      <c r="BK37" s="832">
        <v>2265983.2492866726</v>
      </c>
      <c r="BL37" s="829">
        <f t="shared" si="27"/>
        <v>-553914.6937599224</v>
      </c>
      <c r="BM37" s="830">
        <f t="shared" si="12"/>
        <v>-664264.10709945508</v>
      </c>
      <c r="BN37" s="832">
        <v>-251680.26043402191</v>
      </c>
      <c r="BO37" s="832"/>
      <c r="BP37" s="832">
        <v>-1773961.7802500352</v>
      </c>
      <c r="BQ37" s="811">
        <f t="shared" si="13"/>
        <v>-2689906.1477835122</v>
      </c>
      <c r="BR37" s="831">
        <f t="shared" si="14"/>
        <v>-553914.6937599224</v>
      </c>
      <c r="BS37" s="832">
        <v>-71384.528979232127</v>
      </c>
      <c r="BT37" s="832"/>
      <c r="BU37" s="832">
        <v>-173914.38299375027</v>
      </c>
      <c r="BV37" s="829">
        <f t="shared" si="15"/>
        <v>-799213.60573290475</v>
      </c>
      <c r="BW37" s="833"/>
      <c r="BX37" s="832"/>
      <c r="BY37" s="831">
        <f t="shared" si="16"/>
        <v>-2689906.1477835122</v>
      </c>
      <c r="BZ37" s="834">
        <f t="shared" si="17"/>
        <v>-799213.60573290475</v>
      </c>
      <c r="CA37" s="835"/>
      <c r="CB37" s="832"/>
      <c r="CC37" s="836">
        <f t="shared" si="18"/>
        <v>-799213.60573290475</v>
      </c>
      <c r="CD37" s="820">
        <f t="shared" si="32"/>
        <v>0</v>
      </c>
      <c r="CE37" s="854" t="s">
        <v>633</v>
      </c>
      <c r="CF37" s="738">
        <v>-3489113</v>
      </c>
      <c r="CG37" s="838">
        <f t="shared" si="19"/>
        <v>6.7535164169967175</v>
      </c>
      <c r="CH37" s="839" t="str">
        <f t="shared" si="20"/>
        <v>Please provide an explanation of the variance in the tab 3 - Appendix A</v>
      </c>
      <c r="CL37" s="862" t="s">
        <v>167</v>
      </c>
      <c r="CM37" s="300" t="b">
        <v>0</v>
      </c>
    </row>
    <row r="38" spans="1:91" s="819" customFormat="1" ht="17" thickBot="1" x14ac:dyDescent="0.35">
      <c r="A38">
        <v>13</v>
      </c>
      <c r="B38" s="807">
        <v>16</v>
      </c>
      <c r="C38" s="864" t="s">
        <v>3061</v>
      </c>
      <c r="D38" s="823">
        <v>1595</v>
      </c>
      <c r="E38" s="853"/>
      <c r="F38" s="826"/>
      <c r="G38" s="826"/>
      <c r="H38" s="826"/>
      <c r="I38" s="811">
        <f t="shared" si="28"/>
        <v>0</v>
      </c>
      <c r="J38" s="826"/>
      <c r="K38" s="826"/>
      <c r="L38" s="826"/>
      <c r="M38" s="826"/>
      <c r="N38" s="829">
        <f t="shared" si="29"/>
        <v>0</v>
      </c>
      <c r="O38" s="830">
        <f t="shared" si="21"/>
        <v>0</v>
      </c>
      <c r="P38" s="826"/>
      <c r="Q38" s="826"/>
      <c r="R38" s="826"/>
      <c r="S38" s="811">
        <f t="shared" si="0"/>
        <v>0</v>
      </c>
      <c r="T38" s="831">
        <f t="shared" si="22"/>
        <v>0</v>
      </c>
      <c r="U38" s="826"/>
      <c r="V38" s="826"/>
      <c r="W38" s="826"/>
      <c r="X38" s="829">
        <f t="shared" si="23"/>
        <v>0</v>
      </c>
      <c r="Y38" s="830">
        <f t="shared" si="1"/>
        <v>0</v>
      </c>
      <c r="Z38" s="826"/>
      <c r="AA38" s="826"/>
      <c r="AB38" s="826"/>
      <c r="AC38" s="811">
        <f t="shared" si="2"/>
        <v>0</v>
      </c>
      <c r="AD38" s="831">
        <f>X38</f>
        <v>0</v>
      </c>
      <c r="AE38" s="826"/>
      <c r="AF38" s="826"/>
      <c r="AG38" s="826"/>
      <c r="AH38" s="829">
        <f t="shared" si="24"/>
        <v>0</v>
      </c>
      <c r="AI38" s="830">
        <f t="shared" si="4"/>
        <v>0</v>
      </c>
      <c r="AJ38" s="826"/>
      <c r="AK38" s="826"/>
      <c r="AL38" s="826"/>
      <c r="AM38" s="811">
        <f t="shared" si="10"/>
        <v>0</v>
      </c>
      <c r="AN38" s="831">
        <f t="shared" si="5"/>
        <v>0</v>
      </c>
      <c r="AO38" s="826"/>
      <c r="AP38" s="826"/>
      <c r="AQ38" s="826"/>
      <c r="AR38" s="829">
        <f t="shared" si="25"/>
        <v>0</v>
      </c>
      <c r="AS38" s="830">
        <f t="shared" si="6"/>
        <v>0</v>
      </c>
      <c r="AT38" s="826">
        <v>-47443445.987087108</v>
      </c>
      <c r="AU38" s="826">
        <v>-43217479.884977572</v>
      </c>
      <c r="AV38" s="826"/>
      <c r="AW38" s="811">
        <f t="shared" si="30"/>
        <v>-4225966.1021095365</v>
      </c>
      <c r="AX38" s="831">
        <f t="shared" si="7"/>
        <v>0</v>
      </c>
      <c r="AY38" s="826">
        <v>-68131.733550012141</v>
      </c>
      <c r="AZ38" s="826">
        <v>36115.51011903584</v>
      </c>
      <c r="BA38" s="826"/>
      <c r="BB38" s="829">
        <f t="shared" si="26"/>
        <v>-104247.24366904798</v>
      </c>
      <c r="BC38" s="830">
        <f t="shared" si="8"/>
        <v>-4225966.1021095365</v>
      </c>
      <c r="BD38" s="832">
        <v>-480828.14683241257</v>
      </c>
      <c r="BE38" s="832"/>
      <c r="BF38" s="832">
        <v>-373200.57954730577</v>
      </c>
      <c r="BG38" s="811">
        <f t="shared" si="11"/>
        <v>-5079994.8284892542</v>
      </c>
      <c r="BH38" s="831">
        <f t="shared" si="9"/>
        <v>-104247.24366904798</v>
      </c>
      <c r="BI38" s="832">
        <v>-148121.9560145617</v>
      </c>
      <c r="BJ38" s="832"/>
      <c r="BK38" s="832">
        <v>355333.94562652434</v>
      </c>
      <c r="BL38" s="829">
        <f t="shared" si="27"/>
        <v>102964.74594291465</v>
      </c>
      <c r="BM38" s="830">
        <f t="shared" si="12"/>
        <v>-5079994.8284892542</v>
      </c>
      <c r="BN38" s="832">
        <v>3693130.9763197666</v>
      </c>
      <c r="BO38" s="832"/>
      <c r="BP38" s="832">
        <v>390103.77999999945</v>
      </c>
      <c r="BQ38" s="811">
        <f t="shared" si="13"/>
        <v>-996760.07216948818</v>
      </c>
      <c r="BR38" s="831">
        <f t="shared" si="14"/>
        <v>102964.74594291465</v>
      </c>
      <c r="BS38" s="832">
        <v>-210039.45411288246</v>
      </c>
      <c r="BT38" s="832"/>
      <c r="BU38" s="832">
        <v>-203684.66925474996</v>
      </c>
      <c r="BV38" s="829">
        <f t="shared" si="15"/>
        <v>-310759.37742471776</v>
      </c>
      <c r="BW38" s="833"/>
      <c r="BX38" s="832"/>
      <c r="BY38" s="831">
        <f t="shared" si="16"/>
        <v>-996760.07216948818</v>
      </c>
      <c r="BZ38" s="834">
        <f t="shared" si="17"/>
        <v>-310759.37742471776</v>
      </c>
      <c r="CA38" s="835"/>
      <c r="CB38" s="832"/>
      <c r="CC38" s="836">
        <f t="shared" si="18"/>
        <v>-310759.37742471776</v>
      </c>
      <c r="CD38" s="820">
        <f t="shared" si="32"/>
        <v>0</v>
      </c>
      <c r="CE38" s="865" t="s">
        <v>633</v>
      </c>
      <c r="CF38" s="837">
        <v>-1307522.1795798568</v>
      </c>
      <c r="CG38" s="838">
        <f t="shared" si="19"/>
        <v>-2.7299856508616358</v>
      </c>
      <c r="CH38" s="839" t="str">
        <f t="shared" si="20"/>
        <v>Please provide an explanation of the variance in the tab 3 - Appendix A</v>
      </c>
      <c r="CL38" s="862" t="s">
        <v>169</v>
      </c>
      <c r="CM38" s="300" t="b">
        <v>0</v>
      </c>
    </row>
    <row r="39" spans="1:91" s="819" customFormat="1" ht="17" thickBot="1" x14ac:dyDescent="0.35">
      <c r="A39">
        <v>14</v>
      </c>
      <c r="B39" s="807">
        <v>17</v>
      </c>
      <c r="C39" s="864" t="s">
        <v>3424</v>
      </c>
      <c r="D39" s="866">
        <v>1595</v>
      </c>
      <c r="E39" s="853"/>
      <c r="F39" s="826"/>
      <c r="G39" s="826"/>
      <c r="H39" s="826"/>
      <c r="I39" s="811">
        <f t="shared" si="28"/>
        <v>0</v>
      </c>
      <c r="J39" s="826"/>
      <c r="K39" s="826"/>
      <c r="L39" s="826"/>
      <c r="M39" s="826"/>
      <c r="N39" s="829">
        <f t="shared" si="29"/>
        <v>0</v>
      </c>
      <c r="O39" s="830">
        <f t="shared" si="21"/>
        <v>0</v>
      </c>
      <c r="P39" s="826"/>
      <c r="Q39" s="826"/>
      <c r="R39" s="826"/>
      <c r="S39" s="811">
        <f t="shared" si="0"/>
        <v>0</v>
      </c>
      <c r="T39" s="831">
        <f t="shared" si="22"/>
        <v>0</v>
      </c>
      <c r="U39" s="826"/>
      <c r="V39" s="826"/>
      <c r="W39" s="826"/>
      <c r="X39" s="829">
        <f t="shared" si="23"/>
        <v>0</v>
      </c>
      <c r="Y39" s="830">
        <f t="shared" si="1"/>
        <v>0</v>
      </c>
      <c r="Z39" s="826"/>
      <c r="AA39" s="826"/>
      <c r="AB39" s="826"/>
      <c r="AC39" s="811">
        <f t="shared" si="2"/>
        <v>0</v>
      </c>
      <c r="AD39" s="831">
        <f>X39</f>
        <v>0</v>
      </c>
      <c r="AE39" s="826"/>
      <c r="AF39" s="826"/>
      <c r="AG39" s="826"/>
      <c r="AH39" s="829">
        <f t="shared" si="24"/>
        <v>0</v>
      </c>
      <c r="AI39" s="830">
        <f t="shared" si="4"/>
        <v>0</v>
      </c>
      <c r="AJ39" s="826"/>
      <c r="AK39" s="826"/>
      <c r="AL39" s="826"/>
      <c r="AM39" s="811">
        <f t="shared" si="10"/>
        <v>0</v>
      </c>
      <c r="AN39" s="831">
        <f t="shared" si="5"/>
        <v>0</v>
      </c>
      <c r="AO39" s="826"/>
      <c r="AP39" s="826"/>
      <c r="AQ39" s="826"/>
      <c r="AR39" s="829">
        <f t="shared" si="25"/>
        <v>0</v>
      </c>
      <c r="AS39" s="830">
        <f t="shared" si="6"/>
        <v>0</v>
      </c>
      <c r="AT39" s="826"/>
      <c r="AU39" s="826"/>
      <c r="AV39" s="826"/>
      <c r="AW39" s="811">
        <f t="shared" si="30"/>
        <v>0</v>
      </c>
      <c r="AX39" s="831">
        <f t="shared" si="7"/>
        <v>0</v>
      </c>
      <c r="AY39" s="826"/>
      <c r="AZ39" s="826"/>
      <c r="BA39" s="826"/>
      <c r="BB39" s="829">
        <f t="shared" si="26"/>
        <v>0</v>
      </c>
      <c r="BC39" s="830">
        <f t="shared" si="8"/>
        <v>0</v>
      </c>
      <c r="BD39" s="832">
        <v>31169512.060000002</v>
      </c>
      <c r="BE39" s="832">
        <v>31422955.32</v>
      </c>
      <c r="BF39" s="832"/>
      <c r="BG39" s="811">
        <f t="shared" si="11"/>
        <v>-253443.25999999791</v>
      </c>
      <c r="BH39" s="831">
        <f t="shared" si="9"/>
        <v>0</v>
      </c>
      <c r="BI39" s="832">
        <v>-220011.7946323792</v>
      </c>
      <c r="BJ39" s="832">
        <v>1993945.3096311707</v>
      </c>
      <c r="BK39" s="832"/>
      <c r="BL39" s="829">
        <f t="shared" si="27"/>
        <v>-2213957.1042635497</v>
      </c>
      <c r="BM39" s="830">
        <f t="shared" si="12"/>
        <v>-253443.25999999791</v>
      </c>
      <c r="BN39" s="832">
        <v>2375403.3700000006</v>
      </c>
      <c r="BO39" s="832"/>
      <c r="BP39" s="832">
        <v>0</v>
      </c>
      <c r="BQ39" s="811">
        <f t="shared" si="13"/>
        <v>2121960.1100000027</v>
      </c>
      <c r="BR39" s="831">
        <f t="shared" si="14"/>
        <v>-2213957.1042635497</v>
      </c>
      <c r="BS39" s="832">
        <v>135059.53961510726</v>
      </c>
      <c r="BT39" s="832"/>
      <c r="BU39" s="832">
        <v>0</v>
      </c>
      <c r="BV39" s="829">
        <f t="shared" si="15"/>
        <v>-2078897.5646484424</v>
      </c>
      <c r="BW39" s="833"/>
      <c r="BX39" s="832"/>
      <c r="BY39" s="831">
        <f t="shared" si="16"/>
        <v>2121960.1100000027</v>
      </c>
      <c r="BZ39" s="834">
        <f t="shared" si="17"/>
        <v>-2078897.5646484424</v>
      </c>
      <c r="CA39" s="835"/>
      <c r="CB39" s="832"/>
      <c r="CC39" s="836">
        <f>BZ39+CA39+CB39</f>
        <v>-2078897.5646484424</v>
      </c>
      <c r="CD39" s="820">
        <f t="shared" si="32"/>
        <v>0</v>
      </c>
      <c r="CE39" s="865" t="s">
        <v>633</v>
      </c>
      <c r="CF39" s="837">
        <v>43062</v>
      </c>
      <c r="CG39" s="838">
        <f t="shared" si="19"/>
        <v>-0.54535156022757292</v>
      </c>
      <c r="CH39" s="839" t="str">
        <f t="shared" si="20"/>
        <v/>
      </c>
      <c r="CL39" s="862" t="s">
        <v>168</v>
      </c>
      <c r="CM39" s="300" t="b">
        <v>0</v>
      </c>
    </row>
    <row r="40" spans="1:91" s="819" customFormat="1" ht="17" thickBot="1" x14ac:dyDescent="0.35">
      <c r="A40">
        <v>15</v>
      </c>
      <c r="B40" s="807">
        <v>18</v>
      </c>
      <c r="C40" s="864" t="s">
        <v>3681</v>
      </c>
      <c r="D40" s="866">
        <v>1595</v>
      </c>
      <c r="E40" s="853"/>
      <c r="F40" s="826"/>
      <c r="G40" s="826"/>
      <c r="H40" s="826"/>
      <c r="I40" s="811">
        <f>E40+F40-G40+H40</f>
        <v>0</v>
      </c>
      <c r="J40" s="826"/>
      <c r="K40" s="826"/>
      <c r="L40" s="826"/>
      <c r="M40" s="826"/>
      <c r="N40" s="829">
        <f>J40+K40-L40+M40</f>
        <v>0</v>
      </c>
      <c r="O40" s="830">
        <f t="shared" si="21"/>
        <v>0</v>
      </c>
      <c r="P40" s="826"/>
      <c r="Q40" s="826"/>
      <c r="R40" s="826"/>
      <c r="S40" s="811">
        <f t="shared" si="0"/>
        <v>0</v>
      </c>
      <c r="T40" s="831">
        <f t="shared" si="22"/>
        <v>0</v>
      </c>
      <c r="U40" s="826"/>
      <c r="V40" s="826"/>
      <c r="W40" s="826"/>
      <c r="X40" s="829">
        <f t="shared" si="23"/>
        <v>0</v>
      </c>
      <c r="Y40" s="830">
        <f>S40</f>
        <v>0</v>
      </c>
      <c r="Z40" s="826"/>
      <c r="AA40" s="826"/>
      <c r="AB40" s="826"/>
      <c r="AC40" s="811">
        <f t="shared" si="2"/>
        <v>0</v>
      </c>
      <c r="AD40" s="831">
        <f>X40</f>
        <v>0</v>
      </c>
      <c r="AE40" s="826"/>
      <c r="AF40" s="826"/>
      <c r="AG40" s="826"/>
      <c r="AH40" s="829">
        <f t="shared" si="24"/>
        <v>0</v>
      </c>
      <c r="AI40" s="830">
        <f>AC40</f>
        <v>0</v>
      </c>
      <c r="AJ40" s="826"/>
      <c r="AK40" s="826"/>
      <c r="AL40" s="826"/>
      <c r="AM40" s="811">
        <f>AI40+AJ40-AK40+SUM(AL40:AL40)</f>
        <v>0</v>
      </c>
      <c r="AN40" s="831">
        <f>AH40</f>
        <v>0</v>
      </c>
      <c r="AO40" s="826"/>
      <c r="AP40" s="826"/>
      <c r="AQ40" s="826"/>
      <c r="AR40" s="829">
        <f t="shared" si="25"/>
        <v>0</v>
      </c>
      <c r="AS40" s="830">
        <f>AM40</f>
        <v>0</v>
      </c>
      <c r="AT40" s="826"/>
      <c r="AU40" s="826"/>
      <c r="AV40" s="826"/>
      <c r="AW40" s="811">
        <f t="shared" si="30"/>
        <v>0</v>
      </c>
      <c r="AX40" s="831">
        <f>AR40</f>
        <v>0</v>
      </c>
      <c r="AY40" s="826"/>
      <c r="AZ40" s="826"/>
      <c r="BA40" s="826"/>
      <c r="BB40" s="829">
        <f t="shared" si="26"/>
        <v>0</v>
      </c>
      <c r="BC40" s="830">
        <f>AW40</f>
        <v>0</v>
      </c>
      <c r="BD40" s="832"/>
      <c r="BE40" s="832"/>
      <c r="BF40" s="832"/>
      <c r="BG40" s="811">
        <f>BC40+BD40-BE40+SUM(BF40:BF40)</f>
        <v>0</v>
      </c>
      <c r="BH40" s="831">
        <f>BB40</f>
        <v>0</v>
      </c>
      <c r="BI40" s="832"/>
      <c r="BJ40" s="832"/>
      <c r="BK40" s="832"/>
      <c r="BL40" s="829">
        <f t="shared" si="27"/>
        <v>0</v>
      </c>
      <c r="BM40" s="830">
        <f t="shared" si="12"/>
        <v>0</v>
      </c>
      <c r="BN40" s="832">
        <v>-7557369.3254363732</v>
      </c>
      <c r="BO40" s="832">
        <v>27836697.137823395</v>
      </c>
      <c r="BP40" s="832">
        <v>0</v>
      </c>
      <c r="BQ40" s="811">
        <f t="shared" si="13"/>
        <v>-35394066.463259771</v>
      </c>
      <c r="BR40" s="831">
        <f t="shared" si="14"/>
        <v>0</v>
      </c>
      <c r="BS40" s="832">
        <v>-1987384.6448572788</v>
      </c>
      <c r="BT40" s="832">
        <v>9014365.5699999984</v>
      </c>
      <c r="BU40" s="832">
        <v>0</v>
      </c>
      <c r="BV40" s="829">
        <f t="shared" si="15"/>
        <v>-11001750.214857277</v>
      </c>
      <c r="BW40" s="833"/>
      <c r="BX40" s="832"/>
      <c r="BY40" s="831">
        <f t="shared" si="16"/>
        <v>-35394066.463259771</v>
      </c>
      <c r="BZ40" s="834">
        <f t="shared" si="17"/>
        <v>-11001750.214857277</v>
      </c>
      <c r="CA40" s="835"/>
      <c r="CB40" s="832"/>
      <c r="CC40" s="836">
        <f>BZ40+CA40+CB40</f>
        <v>-11001750.214857277</v>
      </c>
      <c r="CD40" s="820">
        <f t="shared" si="32"/>
        <v>0</v>
      </c>
      <c r="CE40" s="865" t="s">
        <v>633</v>
      </c>
      <c r="CF40" s="837">
        <v>-46395815.820420146</v>
      </c>
      <c r="CG40" s="838">
        <f t="shared" si="19"/>
        <v>0.85769690573215485</v>
      </c>
      <c r="CH40" s="839" t="str">
        <f t="shared" si="20"/>
        <v/>
      </c>
      <c r="CL40" s="862"/>
      <c r="CM40" s="300" t="b">
        <v>0</v>
      </c>
    </row>
    <row r="41" spans="1:91" s="819" customFormat="1" ht="15" thickBot="1" x14ac:dyDescent="0.4">
      <c r="A41"/>
      <c r="B41" s="807">
        <v>19</v>
      </c>
      <c r="C41" s="867" t="s">
        <v>3056</v>
      </c>
      <c r="D41" s="823"/>
      <c r="E41" s="868"/>
      <c r="F41" s="302"/>
      <c r="G41" s="302"/>
      <c r="H41" s="302"/>
      <c r="I41" s="811"/>
      <c r="J41" s="302"/>
      <c r="K41" s="302"/>
      <c r="L41" s="302"/>
      <c r="M41" s="302"/>
      <c r="N41" s="829"/>
      <c r="O41" s="814"/>
      <c r="P41" s="302"/>
      <c r="Q41" s="302"/>
      <c r="R41" s="302"/>
      <c r="S41" s="811"/>
      <c r="T41" s="811"/>
      <c r="U41" s="302"/>
      <c r="V41" s="302"/>
      <c r="W41" s="302"/>
      <c r="X41" s="829"/>
      <c r="Y41" s="814"/>
      <c r="Z41" s="302"/>
      <c r="AA41" s="302"/>
      <c r="AB41" s="302"/>
      <c r="AC41" s="811"/>
      <c r="AD41" s="811"/>
      <c r="AE41" s="302"/>
      <c r="AF41" s="302"/>
      <c r="AG41" s="302"/>
      <c r="AH41" s="829"/>
      <c r="AI41" s="814"/>
      <c r="AJ41" s="302"/>
      <c r="AK41" s="302"/>
      <c r="AL41" s="302"/>
      <c r="AM41" s="811"/>
      <c r="AN41" s="811"/>
      <c r="AO41" s="302"/>
      <c r="AP41" s="302"/>
      <c r="AQ41" s="302"/>
      <c r="AR41" s="829"/>
      <c r="AS41" s="814"/>
      <c r="AT41" s="302"/>
      <c r="AU41" s="302"/>
      <c r="AV41" s="302"/>
      <c r="AW41" s="811"/>
      <c r="AX41" s="811"/>
      <c r="AY41" s="302"/>
      <c r="AZ41" s="302"/>
      <c r="BA41" s="302"/>
      <c r="BB41" s="829"/>
      <c r="BC41" s="814"/>
      <c r="BD41" s="302"/>
      <c r="BE41" s="302"/>
      <c r="BF41" s="302"/>
      <c r="BG41" s="811"/>
      <c r="BH41" s="811"/>
      <c r="BI41" s="302"/>
      <c r="BJ41" s="302"/>
      <c r="BK41" s="302"/>
      <c r="BL41" s="829"/>
      <c r="BM41" s="814"/>
      <c r="BN41" s="302"/>
      <c r="BO41" s="302"/>
      <c r="BP41" s="302"/>
      <c r="BQ41" s="811"/>
      <c r="BR41" s="811"/>
      <c r="BS41" s="302"/>
      <c r="BT41" s="302"/>
      <c r="BU41" s="302"/>
      <c r="BV41" s="829"/>
      <c r="BW41" s="868"/>
      <c r="BX41" s="302"/>
      <c r="BY41" s="811"/>
      <c r="BZ41" s="829"/>
      <c r="CA41" s="302"/>
      <c r="CB41" s="302"/>
      <c r="CC41" s="836"/>
      <c r="CD41" s="820"/>
      <c r="CE41" s="820"/>
      <c r="CF41" s="869"/>
      <c r="CG41" s="838"/>
      <c r="CH41" s="839"/>
      <c r="CM41" s="300"/>
    </row>
    <row r="42" spans="1:91" s="819" customFormat="1" ht="15" customHeight="1" thickBot="1" x14ac:dyDescent="0.35">
      <c r="A42"/>
      <c r="B42" s="807">
        <v>20</v>
      </c>
      <c r="C42" s="709"/>
      <c r="D42" s="870"/>
      <c r="E42" s="814"/>
      <c r="F42" s="811"/>
      <c r="G42" s="811"/>
      <c r="H42" s="811"/>
      <c r="I42" s="811"/>
      <c r="J42" s="811"/>
      <c r="K42" s="811"/>
      <c r="L42" s="811"/>
      <c r="M42" s="811"/>
      <c r="N42" s="829"/>
      <c r="O42" s="814"/>
      <c r="P42" s="811"/>
      <c r="Q42" s="811"/>
      <c r="R42" s="811"/>
      <c r="S42" s="811"/>
      <c r="T42" s="811"/>
      <c r="U42" s="811"/>
      <c r="V42" s="811"/>
      <c r="W42" s="811"/>
      <c r="X42" s="829"/>
      <c r="Y42" s="814"/>
      <c r="Z42" s="811"/>
      <c r="AA42" s="811"/>
      <c r="AB42" s="811"/>
      <c r="AC42" s="811"/>
      <c r="AD42" s="811"/>
      <c r="AE42" s="811"/>
      <c r="AF42" s="811"/>
      <c r="AG42" s="811"/>
      <c r="AH42" s="829"/>
      <c r="AI42" s="814"/>
      <c r="AJ42" s="811"/>
      <c r="AK42" s="811"/>
      <c r="AL42" s="811"/>
      <c r="AM42" s="811"/>
      <c r="AN42" s="811"/>
      <c r="AO42" s="811"/>
      <c r="AP42" s="811"/>
      <c r="AQ42" s="811"/>
      <c r="AR42" s="829"/>
      <c r="AS42" s="814"/>
      <c r="AT42" s="811"/>
      <c r="AU42" s="811"/>
      <c r="AV42" s="811"/>
      <c r="AW42" s="811"/>
      <c r="AX42" s="811"/>
      <c r="AY42" s="811"/>
      <c r="AZ42" s="811"/>
      <c r="BA42" s="811"/>
      <c r="BB42" s="829"/>
      <c r="BC42" s="814"/>
      <c r="BD42" s="811"/>
      <c r="BE42" s="811"/>
      <c r="BF42" s="811"/>
      <c r="BG42" s="811"/>
      <c r="BH42" s="811"/>
      <c r="BI42" s="811"/>
      <c r="BJ42" s="811"/>
      <c r="BK42" s="811"/>
      <c r="BL42" s="829"/>
      <c r="BM42" s="814"/>
      <c r="BN42" s="811"/>
      <c r="BO42" s="811"/>
      <c r="BP42" s="811"/>
      <c r="BQ42" s="811"/>
      <c r="BR42" s="811"/>
      <c r="BS42" s="811"/>
      <c r="BT42" s="811"/>
      <c r="BU42" s="811"/>
      <c r="BV42" s="829"/>
      <c r="BW42" s="814"/>
      <c r="BX42" s="811"/>
      <c r="BY42" s="811"/>
      <c r="BZ42" s="829"/>
      <c r="CD42" s="820"/>
      <c r="CE42" s="820"/>
      <c r="CF42" s="869"/>
      <c r="CG42" s="838"/>
      <c r="CH42" s="839"/>
      <c r="CM42" s="300"/>
    </row>
    <row r="43" spans="1:91" s="811" customFormat="1" ht="14" x14ac:dyDescent="0.3">
      <c r="A43" s="871"/>
      <c r="B43" s="871"/>
      <c r="C43" s="633" t="s">
        <v>3064</v>
      </c>
      <c r="D43" s="872"/>
      <c r="E43" s="814">
        <f>SUM(E24:E40)</f>
        <v>-12095385.33437825</v>
      </c>
      <c r="F43" s="811">
        <f t="shared" ref="F43:CA43" si="33">SUM(F24:F40)</f>
        <v>34580525.619046226</v>
      </c>
      <c r="G43" s="811">
        <f t="shared" si="33"/>
        <v>23676474.286859483</v>
      </c>
      <c r="H43" s="811">
        <f t="shared" si="33"/>
        <v>0</v>
      </c>
      <c r="I43" s="811">
        <f t="shared" si="33"/>
        <v>-1191334.0021915138</v>
      </c>
      <c r="J43" s="811">
        <f t="shared" si="33"/>
        <v>1958232.4746932469</v>
      </c>
      <c r="K43" s="811">
        <f t="shared" si="33"/>
        <v>-600682.55819737457</v>
      </c>
      <c r="L43" s="811">
        <f t="shared" si="33"/>
        <v>2182727.3131299461</v>
      </c>
      <c r="M43" s="811">
        <f t="shared" si="33"/>
        <v>-184466.37839828493</v>
      </c>
      <c r="N43" s="829">
        <f t="shared" si="33"/>
        <v>-1009643.7750323592</v>
      </c>
      <c r="O43" s="814">
        <f t="shared" si="33"/>
        <v>-1191334.0021915138</v>
      </c>
      <c r="P43" s="811">
        <f t="shared" si="33"/>
        <v>51398070.426956996</v>
      </c>
      <c r="Q43" s="811">
        <f t="shared" si="33"/>
        <v>-6827323.7238309681</v>
      </c>
      <c r="R43" s="811">
        <f t="shared" si="33"/>
        <v>-50366169.329999998</v>
      </c>
      <c r="S43" s="811">
        <f t="shared" si="33"/>
        <v>6667890.8185964487</v>
      </c>
      <c r="T43" s="811">
        <f t="shared" si="33"/>
        <v>-1009643.7750323592</v>
      </c>
      <c r="U43" s="811">
        <f t="shared" si="33"/>
        <v>-840562.57404575159</v>
      </c>
      <c r="V43" s="811">
        <f t="shared" si="33"/>
        <v>-108568</v>
      </c>
      <c r="W43" s="811">
        <f t="shared" si="33"/>
        <v>-127587</v>
      </c>
      <c r="X43" s="829">
        <f t="shared" si="33"/>
        <v>-1869225.3490781109</v>
      </c>
      <c r="Y43" s="814">
        <f t="shared" si="33"/>
        <v>6667890.8185964487</v>
      </c>
      <c r="Z43" s="811">
        <f t="shared" si="33"/>
        <v>-21710829.739346236</v>
      </c>
      <c r="AA43" s="811">
        <f t="shared" si="33"/>
        <v>-12161395.940000001</v>
      </c>
      <c r="AB43" s="811">
        <f t="shared" si="33"/>
        <v>21855451.606060505</v>
      </c>
      <c r="AC43" s="811">
        <f t="shared" si="33"/>
        <v>18973908.625310712</v>
      </c>
      <c r="AD43" s="811">
        <f t="shared" si="33"/>
        <v>-1869225.3490781109</v>
      </c>
      <c r="AE43" s="811">
        <f t="shared" si="33"/>
        <v>403267.26383839984</v>
      </c>
      <c r="AF43" s="811">
        <f t="shared" si="33"/>
        <v>-314258</v>
      </c>
      <c r="AG43" s="811">
        <f t="shared" si="33"/>
        <v>0</v>
      </c>
      <c r="AH43" s="829">
        <f t="shared" si="33"/>
        <v>-1151700.0852397112</v>
      </c>
      <c r="AI43" s="814">
        <f t="shared" si="33"/>
        <v>18973908.625310712</v>
      </c>
      <c r="AJ43" s="811">
        <f t="shared" si="33"/>
        <v>29323629.309305929</v>
      </c>
      <c r="AK43" s="811">
        <f t="shared" si="33"/>
        <v>62178051.848973073</v>
      </c>
      <c r="AL43" s="811">
        <f t="shared" si="33"/>
        <v>-17636242.906059742</v>
      </c>
      <c r="AM43" s="811">
        <f t="shared" si="33"/>
        <v>-31516756.820416167</v>
      </c>
      <c r="AN43" s="811">
        <f t="shared" si="33"/>
        <v>-1151700.0852397112</v>
      </c>
      <c r="AO43" s="811">
        <f t="shared" si="33"/>
        <v>-507974.25792501133</v>
      </c>
      <c r="AP43" s="811">
        <f t="shared" si="33"/>
        <v>1964458.5877687288</v>
      </c>
      <c r="AQ43" s="811">
        <f t="shared" si="33"/>
        <v>0</v>
      </c>
      <c r="AR43" s="829">
        <f t="shared" si="33"/>
        <v>-3624132.9309334508</v>
      </c>
      <c r="AS43" s="814">
        <f t="shared" si="33"/>
        <v>-31516756.820416167</v>
      </c>
      <c r="AT43" s="811">
        <f t="shared" si="33"/>
        <v>70795749.513522387</v>
      </c>
      <c r="AU43" s="811">
        <f t="shared" si="33"/>
        <v>-19303735.904977571</v>
      </c>
      <c r="AV43" s="811">
        <f t="shared" si="33"/>
        <v>-7113585.5664583445</v>
      </c>
      <c r="AW43" s="811">
        <f t="shared" si="33"/>
        <v>51469143.031625427</v>
      </c>
      <c r="AX43" s="811">
        <f t="shared" si="33"/>
        <v>-3624132.9309334508</v>
      </c>
      <c r="AY43" s="811">
        <f t="shared" si="33"/>
        <v>-154428.15339524415</v>
      </c>
      <c r="AZ43" s="811">
        <f t="shared" si="33"/>
        <v>1067798.0808793453</v>
      </c>
      <c r="BA43" s="811">
        <f t="shared" si="33"/>
        <v>0</v>
      </c>
      <c r="BB43" s="829">
        <f t="shared" si="33"/>
        <v>-4846359.1652080407</v>
      </c>
      <c r="BC43" s="814">
        <f t="shared" si="33"/>
        <v>51469143.031625427</v>
      </c>
      <c r="BD43" s="811">
        <f t="shared" si="33"/>
        <v>137111081.72615004</v>
      </c>
      <c r="BE43" s="811">
        <f t="shared" si="33"/>
        <v>31422955.32</v>
      </c>
      <c r="BF43" s="811">
        <f t="shared" si="33"/>
        <v>7330185.8222040078</v>
      </c>
      <c r="BG43" s="811">
        <f t="shared" si="33"/>
        <v>164487455.25997949</v>
      </c>
      <c r="BH43" s="811">
        <f t="shared" si="33"/>
        <v>-4846359.1652080407</v>
      </c>
      <c r="BI43" s="811">
        <f t="shared" si="33"/>
        <v>2345977.147911719</v>
      </c>
      <c r="BJ43" s="811">
        <f t="shared" si="33"/>
        <v>1993945.3096311707</v>
      </c>
      <c r="BK43" s="811">
        <f>SUM(BK24:BK40)</f>
        <v>3076529.1905111633</v>
      </c>
      <c r="BL43" s="829">
        <f>SUM(BL24:BL40)</f>
        <v>-1417798.1364163305</v>
      </c>
      <c r="BM43" s="814">
        <f>SUM(BM24:BM40)</f>
        <v>164487455.25997949</v>
      </c>
      <c r="BN43" s="811">
        <f>SUM(BN24:BN40)</f>
        <v>45171058.921991877</v>
      </c>
      <c r="BO43" s="811">
        <f t="shared" ref="BO43:BV43" si="34">SUM(BO24:BO40)</f>
        <v>82373154.043126404</v>
      </c>
      <c r="BP43" s="811">
        <f t="shared" si="34"/>
        <v>-1261239.8204219029</v>
      </c>
      <c r="BQ43" s="811">
        <f t="shared" si="34"/>
        <v>126024120.31842302</v>
      </c>
      <c r="BR43" s="811">
        <f t="shared" si="34"/>
        <v>-1417798.1364163305</v>
      </c>
      <c r="BS43" s="811">
        <f t="shared" si="34"/>
        <v>6696811.5809524925</v>
      </c>
      <c r="BT43" s="811">
        <f t="shared" si="34"/>
        <v>7924169.4523221822</v>
      </c>
      <c r="BU43" s="811">
        <f t="shared" si="34"/>
        <v>-764827.19457343756</v>
      </c>
      <c r="BV43" s="811">
        <f t="shared" si="34"/>
        <v>-3409983.2023594528</v>
      </c>
      <c r="BW43" s="814">
        <f t="shared" si="33"/>
        <v>100993914</v>
      </c>
      <c r="BX43" s="811">
        <f t="shared" si="33"/>
        <v>7241393</v>
      </c>
      <c r="BY43" s="811">
        <f t="shared" si="33"/>
        <v>25030206.318423018</v>
      </c>
      <c r="BZ43" s="829">
        <f t="shared" si="33"/>
        <v>-10651376.202359457</v>
      </c>
      <c r="CA43" s="811">
        <f t="shared" si="33"/>
        <v>3426718.5341941752</v>
      </c>
      <c r="CB43" s="811">
        <f>SUM(CB24:CB40)</f>
        <v>0</v>
      </c>
      <c r="CC43" s="811">
        <f>SUM(CC24:CC40)</f>
        <v>-7224657.6681652814</v>
      </c>
      <c r="CD43" s="873">
        <f>SUM(CD24:CD40)</f>
        <v>68954942.010953054</v>
      </c>
      <c r="CE43" s="873"/>
      <c r="CF43" s="873">
        <f>SUM(CF24:CF40)</f>
        <v>116161045</v>
      </c>
      <c r="CG43" s="838">
        <f>CF43-SUM(BQ43,BV43)</f>
        <v>-6453092.116063565</v>
      </c>
      <c r="CH43" s="839"/>
      <c r="CM43" s="302"/>
    </row>
    <row r="44" spans="1:91" s="811" customFormat="1" ht="14" x14ac:dyDescent="0.3">
      <c r="A44" s="871"/>
      <c r="B44" s="871"/>
      <c r="C44" s="633" t="s">
        <v>3065</v>
      </c>
      <c r="D44" s="872"/>
      <c r="E44" s="814">
        <f>E43-E45</f>
        <v>-93180330.522185713</v>
      </c>
      <c r="F44" s="811">
        <f>F43-F45</f>
        <v>-22339668.254477099</v>
      </c>
      <c r="G44" s="811">
        <f t="shared" ref="G44:M44" si="35">G43-G45</f>
        <v>-70692141.303513452</v>
      </c>
      <c r="H44" s="811">
        <f t="shared" si="35"/>
        <v>0</v>
      </c>
      <c r="I44" s="811">
        <f t="shared" si="35"/>
        <v>-44827857.473149374</v>
      </c>
      <c r="J44" s="811">
        <f t="shared" si="35"/>
        <v>-2984480.0050444016</v>
      </c>
      <c r="K44" s="811">
        <f t="shared" si="35"/>
        <v>-874740.01455699955</v>
      </c>
      <c r="L44" s="811">
        <f t="shared" si="35"/>
        <v>-2629876.9096754366</v>
      </c>
      <c r="M44" s="811">
        <f t="shared" si="35"/>
        <v>-184466.37839828493</v>
      </c>
      <c r="N44" s="829">
        <f>N43-N45</f>
        <v>-1413809.4883242501</v>
      </c>
      <c r="O44" s="814">
        <f>O43-O45</f>
        <v>-44827857.473149374</v>
      </c>
      <c r="P44" s="811">
        <f t="shared" ref="P44:CD44" si="36">P43-P45</f>
        <v>75296594.690480292</v>
      </c>
      <c r="Q44" s="811">
        <f t="shared" si="36"/>
        <v>6456347.550242722</v>
      </c>
      <c r="R44" s="811">
        <f t="shared" si="36"/>
        <v>0</v>
      </c>
      <c r="S44" s="811">
        <f t="shared" si="36"/>
        <v>24012389.667088185</v>
      </c>
      <c r="T44" s="811">
        <f t="shared" si="36"/>
        <v>-1413809.4883242501</v>
      </c>
      <c r="U44" s="811">
        <f t="shared" si="36"/>
        <v>-1114952.3661461985</v>
      </c>
      <c r="V44" s="811">
        <f t="shared" si="36"/>
        <v>-165779</v>
      </c>
      <c r="W44" s="811">
        <f t="shared" si="36"/>
        <v>0</v>
      </c>
      <c r="X44" s="829">
        <f t="shared" si="36"/>
        <v>-2362982.8544704486</v>
      </c>
      <c r="Y44" s="814">
        <f t="shared" si="36"/>
        <v>24012389.667088185</v>
      </c>
      <c r="Z44" s="811">
        <f t="shared" si="36"/>
        <v>-30240257.940850273</v>
      </c>
      <c r="AA44" s="811">
        <f t="shared" si="36"/>
        <v>-18715420.48</v>
      </c>
      <c r="AB44" s="811">
        <f t="shared" si="36"/>
        <v>11758215.795371056</v>
      </c>
      <c r="AC44" s="811">
        <f t="shared" si="36"/>
        <v>24245768.00160896</v>
      </c>
      <c r="AD44" s="811">
        <f t="shared" si="36"/>
        <v>-2362982.8544704486</v>
      </c>
      <c r="AE44" s="811">
        <f t="shared" si="36"/>
        <v>266906.75975930633</v>
      </c>
      <c r="AF44" s="811">
        <f t="shared" si="36"/>
        <v>-655696</v>
      </c>
      <c r="AG44" s="811">
        <f t="shared" si="36"/>
        <v>0</v>
      </c>
      <c r="AH44" s="829">
        <f t="shared" si="36"/>
        <v>-1440380.0947111426</v>
      </c>
      <c r="AI44" s="814">
        <f t="shared" si="36"/>
        <v>24245768.00160896</v>
      </c>
      <c r="AJ44" s="811">
        <f t="shared" si="36"/>
        <v>18673691.239305921</v>
      </c>
      <c r="AK44" s="811">
        <f t="shared" si="36"/>
        <v>86076575.238973081</v>
      </c>
      <c r="AL44" s="811">
        <f t="shared" si="36"/>
        <v>-5377148.3767781258</v>
      </c>
      <c r="AM44" s="811">
        <f t="shared" si="36"/>
        <v>-48534264.374836311</v>
      </c>
      <c r="AN44" s="811">
        <f t="shared" si="36"/>
        <v>-1440380.0947111426</v>
      </c>
      <c r="AO44" s="811">
        <f t="shared" si="36"/>
        <v>-864152.24801154004</v>
      </c>
      <c r="AP44" s="811">
        <f t="shared" si="36"/>
        <v>2436089.7177687287</v>
      </c>
      <c r="AQ44" s="811">
        <f t="shared" si="36"/>
        <v>0</v>
      </c>
      <c r="AR44" s="829">
        <f t="shared" si="36"/>
        <v>-4740622.060491411</v>
      </c>
      <c r="AS44" s="814">
        <f t="shared" si="36"/>
        <v>-48534264.374836311</v>
      </c>
      <c r="AT44" s="811">
        <f t="shared" si="36"/>
        <v>87410359.033522427</v>
      </c>
      <c r="AU44" s="811">
        <f t="shared" si="36"/>
        <v>-37930399.914977573</v>
      </c>
      <c r="AV44" s="811">
        <f t="shared" si="36"/>
        <v>-7482299.1374692917</v>
      </c>
      <c r="AW44" s="811">
        <f t="shared" si="36"/>
        <v>69324195.436194375</v>
      </c>
      <c r="AX44" s="811">
        <f t="shared" si="36"/>
        <v>-4740622.060491411</v>
      </c>
      <c r="AY44" s="811">
        <f t="shared" si="36"/>
        <v>-99457.213672675891</v>
      </c>
      <c r="AZ44" s="811">
        <f t="shared" si="36"/>
        <v>138201.62087934534</v>
      </c>
      <c r="BA44" s="811">
        <f t="shared" si="36"/>
        <v>0</v>
      </c>
      <c r="BB44" s="829">
        <f t="shared" si="36"/>
        <v>-4978280.8950434327</v>
      </c>
      <c r="BC44" s="814">
        <f t="shared" si="36"/>
        <v>69324195.436194375</v>
      </c>
      <c r="BD44" s="811">
        <f t="shared" si="36"/>
        <v>141053322.13615006</v>
      </c>
      <c r="BE44" s="811">
        <f t="shared" si="36"/>
        <v>31422955.32</v>
      </c>
      <c r="BF44" s="811">
        <f t="shared" si="36"/>
        <v>10791442.803074675</v>
      </c>
      <c r="BG44" s="811">
        <f t="shared" si="36"/>
        <v>189746005.05541912</v>
      </c>
      <c r="BH44" s="811">
        <f t="shared" si="36"/>
        <v>-4978280.8950434327</v>
      </c>
      <c r="BI44" s="811">
        <f t="shared" si="36"/>
        <v>2730573.2599998564</v>
      </c>
      <c r="BJ44" s="811">
        <f t="shared" si="36"/>
        <v>1993945.3096311707</v>
      </c>
      <c r="BK44" s="811">
        <f t="shared" si="36"/>
        <v>3076529.1905111633</v>
      </c>
      <c r="BL44" s="829">
        <f>BL43-BL45</f>
        <v>-1165123.7541635849</v>
      </c>
      <c r="BM44" s="814">
        <f>BM43-BM45</f>
        <v>189746005.05541912</v>
      </c>
      <c r="BN44" s="811">
        <f>BN43-BN45</f>
        <v>38456971.031991869</v>
      </c>
      <c r="BO44" s="811">
        <f t="shared" ref="BO44:BV44" si="37">BO43-BO45</f>
        <v>100228206.44312641</v>
      </c>
      <c r="BP44" s="811">
        <f t="shared" si="37"/>
        <v>-9572891.8015621584</v>
      </c>
      <c r="BQ44" s="811">
        <f t="shared" si="37"/>
        <v>118401877.84272239</v>
      </c>
      <c r="BR44" s="811">
        <f t="shared" si="37"/>
        <v>-1165123.7541635849</v>
      </c>
      <c r="BS44" s="811">
        <f t="shared" si="37"/>
        <v>5720528.6848198697</v>
      </c>
      <c r="BT44" s="811">
        <f t="shared" si="37"/>
        <v>8059627.1423221827</v>
      </c>
      <c r="BU44" s="811">
        <f t="shared" si="37"/>
        <v>-764827.19457343756</v>
      </c>
      <c r="BV44" s="811">
        <f t="shared" si="37"/>
        <v>-4269049.4062393298</v>
      </c>
      <c r="BW44" s="814">
        <f t="shared" si="36"/>
        <v>100993914</v>
      </c>
      <c r="BX44" s="811">
        <f t="shared" si="36"/>
        <v>7241393</v>
      </c>
      <c r="BY44" s="811">
        <f t="shared" si="36"/>
        <v>17407963.84272239</v>
      </c>
      <c r="BZ44" s="829">
        <f t="shared" si="36"/>
        <v>-11510442.406239334</v>
      </c>
      <c r="CA44" s="811">
        <f t="shared" si="36"/>
        <v>3413150.6232826235</v>
      </c>
      <c r="CB44" s="811">
        <f t="shared" si="36"/>
        <v>0</v>
      </c>
      <c r="CC44" s="811">
        <f t="shared" si="36"/>
        <v>-8097291.7829567101</v>
      </c>
      <c r="CD44" s="873">
        <f t="shared" si="36"/>
        <v>60460065.420460999</v>
      </c>
      <c r="CE44" s="873"/>
      <c r="CF44" s="873">
        <f>CF43-CF45</f>
        <v>110736986</v>
      </c>
      <c r="CG44" s="838">
        <f>CF44-SUM(BQ44,BV44)</f>
        <v>-3395842.4364830554</v>
      </c>
      <c r="CH44" s="839"/>
      <c r="CM44" s="302"/>
    </row>
    <row r="45" spans="1:91" s="811" customFormat="1" ht="14.5" thickBot="1" x14ac:dyDescent="0.35">
      <c r="A45" s="871"/>
      <c r="B45" s="871"/>
      <c r="C45" s="632" t="s">
        <v>3066</v>
      </c>
      <c r="D45" s="872">
        <v>1589</v>
      </c>
      <c r="E45" s="814">
        <f>E32</f>
        <v>81084945.187807471</v>
      </c>
      <c r="F45" s="811">
        <f t="shared" ref="F45:CA45" si="38">F32</f>
        <v>56920193.873523325</v>
      </c>
      <c r="G45" s="811">
        <f t="shared" si="38"/>
        <v>94368615.590372935</v>
      </c>
      <c r="H45" s="811">
        <f t="shared" si="38"/>
        <v>0</v>
      </c>
      <c r="I45" s="811">
        <f t="shared" si="38"/>
        <v>43636523.47095786</v>
      </c>
      <c r="J45" s="811">
        <f t="shared" si="38"/>
        <v>4942712.4797376487</v>
      </c>
      <c r="K45" s="811">
        <f t="shared" si="38"/>
        <v>274057.45635962492</v>
      </c>
      <c r="L45" s="811">
        <f t="shared" si="38"/>
        <v>4812604.2228053827</v>
      </c>
      <c r="M45" s="811">
        <f t="shared" si="38"/>
        <v>0</v>
      </c>
      <c r="N45" s="829">
        <f t="shared" si="38"/>
        <v>404165.71329189092</v>
      </c>
      <c r="O45" s="814">
        <f t="shared" si="38"/>
        <v>43636523.47095786</v>
      </c>
      <c r="P45" s="811">
        <f t="shared" si="38"/>
        <v>-23898524.263523288</v>
      </c>
      <c r="Q45" s="811">
        <f t="shared" si="38"/>
        <v>-13283671.27407369</v>
      </c>
      <c r="R45" s="811">
        <f t="shared" si="38"/>
        <v>-50366169.329999998</v>
      </c>
      <c r="S45" s="811">
        <f t="shared" si="38"/>
        <v>-17344498.848491736</v>
      </c>
      <c r="T45" s="811">
        <f t="shared" si="38"/>
        <v>404165.71329189092</v>
      </c>
      <c r="U45" s="811">
        <f t="shared" si="38"/>
        <v>274389.79210044688</v>
      </c>
      <c r="V45" s="811">
        <f t="shared" si="38"/>
        <v>57211</v>
      </c>
      <c r="W45" s="811">
        <f t="shared" si="38"/>
        <v>-127587</v>
      </c>
      <c r="X45" s="829">
        <f t="shared" si="38"/>
        <v>493757.5053923378</v>
      </c>
      <c r="Y45" s="814">
        <f t="shared" si="38"/>
        <v>-17344498.848491736</v>
      </c>
      <c r="Z45" s="811">
        <f t="shared" si="38"/>
        <v>8529428.2015040368</v>
      </c>
      <c r="AA45" s="811">
        <f t="shared" si="38"/>
        <v>6554024.54</v>
      </c>
      <c r="AB45" s="811">
        <f t="shared" si="38"/>
        <v>10097235.810689449</v>
      </c>
      <c r="AC45" s="811">
        <f t="shared" si="38"/>
        <v>-5271859.3762982488</v>
      </c>
      <c r="AD45" s="811">
        <f t="shared" si="38"/>
        <v>493757.5053923378</v>
      </c>
      <c r="AE45" s="811">
        <f t="shared" si="38"/>
        <v>136360.50407909352</v>
      </c>
      <c r="AF45" s="811">
        <f t="shared" si="38"/>
        <v>341438</v>
      </c>
      <c r="AG45" s="811">
        <f t="shared" si="38"/>
        <v>0</v>
      </c>
      <c r="AH45" s="829">
        <f t="shared" si="38"/>
        <v>288680.00947143137</v>
      </c>
      <c r="AI45" s="814">
        <f t="shared" si="38"/>
        <v>-5271859.3762982488</v>
      </c>
      <c r="AJ45" s="811">
        <f t="shared" si="38"/>
        <v>10649938.070000006</v>
      </c>
      <c r="AK45" s="811">
        <f t="shared" si="38"/>
        <v>-23898523.390000001</v>
      </c>
      <c r="AL45" s="811">
        <f t="shared" si="38"/>
        <v>-12259094.529281616</v>
      </c>
      <c r="AM45" s="811">
        <f t="shared" si="38"/>
        <v>17017507.554420143</v>
      </c>
      <c r="AN45" s="811">
        <f t="shared" si="38"/>
        <v>288680.00947143137</v>
      </c>
      <c r="AO45" s="811">
        <f t="shared" si="38"/>
        <v>356177.99008652871</v>
      </c>
      <c r="AP45" s="811">
        <f t="shared" si="38"/>
        <v>-471631.13</v>
      </c>
      <c r="AQ45" s="811">
        <f t="shared" si="38"/>
        <v>0</v>
      </c>
      <c r="AR45" s="829">
        <f t="shared" si="38"/>
        <v>1116489.1295579602</v>
      </c>
      <c r="AS45" s="814">
        <f t="shared" si="38"/>
        <v>17017507.554420143</v>
      </c>
      <c r="AT45" s="811">
        <f t="shared" si="38"/>
        <v>-16614609.520000033</v>
      </c>
      <c r="AU45" s="811">
        <f t="shared" si="38"/>
        <v>18626664.010000002</v>
      </c>
      <c r="AV45" s="811">
        <f t="shared" si="38"/>
        <v>368713.57101094723</v>
      </c>
      <c r="AW45" s="811">
        <f t="shared" si="38"/>
        <v>-17855052.404568944</v>
      </c>
      <c r="AX45" s="811">
        <f t="shared" si="38"/>
        <v>1116489.1295579602</v>
      </c>
      <c r="AY45" s="811">
        <f t="shared" si="38"/>
        <v>-54970.93972256827</v>
      </c>
      <c r="AZ45" s="811">
        <f t="shared" si="38"/>
        <v>929596.46</v>
      </c>
      <c r="BA45" s="811">
        <f t="shared" si="38"/>
        <v>0</v>
      </c>
      <c r="BB45" s="829">
        <f t="shared" si="38"/>
        <v>131921.72983539198</v>
      </c>
      <c r="BC45" s="814">
        <f t="shared" si="38"/>
        <v>-17855052.404568944</v>
      </c>
      <c r="BD45" s="811">
        <f t="shared" si="38"/>
        <v>-3942240.4100000188</v>
      </c>
      <c r="BE45" s="811">
        <f t="shared" si="38"/>
        <v>0</v>
      </c>
      <c r="BF45" s="811">
        <f t="shared" si="38"/>
        <v>-3461256.9808706669</v>
      </c>
      <c r="BG45" s="811">
        <f t="shared" si="38"/>
        <v>-25258549.795439631</v>
      </c>
      <c r="BH45" s="811">
        <f t="shared" si="38"/>
        <v>131921.72983539198</v>
      </c>
      <c r="BI45" s="811">
        <f t="shared" si="38"/>
        <v>-384596.11208813754</v>
      </c>
      <c r="BJ45" s="811">
        <f t="shared" si="38"/>
        <v>0</v>
      </c>
      <c r="BK45" s="811">
        <f t="shared" si="38"/>
        <v>0</v>
      </c>
      <c r="BL45" s="829">
        <f>BL32</f>
        <v>-252674.38225274556</v>
      </c>
      <c r="BM45" s="814">
        <f>BM32</f>
        <v>-25258549.795439631</v>
      </c>
      <c r="BN45" s="811">
        <f>BN32</f>
        <v>6714087.8900000043</v>
      </c>
      <c r="BO45" s="811">
        <f t="shared" ref="BO45:BV45" si="39">BO32</f>
        <v>-17855052.399999999</v>
      </c>
      <c r="BP45" s="811">
        <f t="shared" si="39"/>
        <v>8311651.9811402559</v>
      </c>
      <c r="BQ45" s="811">
        <f t="shared" si="39"/>
        <v>7622242.475700628</v>
      </c>
      <c r="BR45" s="811">
        <f t="shared" si="39"/>
        <v>-252674.38225274556</v>
      </c>
      <c r="BS45" s="811">
        <f t="shared" si="39"/>
        <v>976282.8961326225</v>
      </c>
      <c r="BT45" s="811">
        <f t="shared" si="39"/>
        <v>-135457.69</v>
      </c>
      <c r="BU45" s="811">
        <f t="shared" si="39"/>
        <v>0</v>
      </c>
      <c r="BV45" s="811">
        <f t="shared" si="39"/>
        <v>859066.20387987699</v>
      </c>
      <c r="BW45" s="814">
        <f t="shared" si="38"/>
        <v>0</v>
      </c>
      <c r="BX45" s="811">
        <f t="shared" si="38"/>
        <v>0</v>
      </c>
      <c r="BY45" s="811">
        <f t="shared" si="38"/>
        <v>7622242.475700628</v>
      </c>
      <c r="BZ45" s="829">
        <f t="shared" si="38"/>
        <v>859066.20387987699</v>
      </c>
      <c r="CA45" s="811">
        <f t="shared" si="38"/>
        <v>13567.910911551673</v>
      </c>
      <c r="CB45" s="811">
        <f>CB32</f>
        <v>0</v>
      </c>
      <c r="CC45" s="811">
        <f>CC32</f>
        <v>872634.11479142867</v>
      </c>
      <c r="CD45" s="873">
        <f>CD32</f>
        <v>8494876.5904920567</v>
      </c>
      <c r="CE45" s="873"/>
      <c r="CF45" s="873">
        <f>CF32</f>
        <v>5424059</v>
      </c>
      <c r="CG45" s="838">
        <f>CF45-SUM(BQ45,BV45)</f>
        <v>-3057249.6795805059</v>
      </c>
      <c r="CH45" s="839"/>
      <c r="CM45" s="302"/>
    </row>
    <row r="46" spans="1:91" s="811" customFormat="1" ht="14.5" hidden="1" thickBot="1" x14ac:dyDescent="0.35">
      <c r="A46" s="871"/>
      <c r="B46" s="871"/>
      <c r="C46" s="632"/>
      <c r="D46" s="874"/>
      <c r="E46" s="814"/>
      <c r="O46" s="814"/>
      <c r="Y46" s="814"/>
      <c r="AI46" s="814"/>
      <c r="AS46" s="814"/>
      <c r="BC46" s="814"/>
      <c r="BW46" s="814"/>
      <c r="BZ46" s="829"/>
      <c r="CD46" s="873"/>
      <c r="CE46" s="873"/>
      <c r="CF46" s="829"/>
      <c r="CG46" s="829"/>
      <c r="CH46" s="839"/>
      <c r="CM46" s="302"/>
    </row>
    <row r="47" spans="1:91" s="811" customFormat="1" ht="14.5" hidden="1" thickBot="1" x14ac:dyDescent="0.35">
      <c r="A47" s="871"/>
      <c r="B47" s="871"/>
      <c r="C47" s="633" t="s">
        <v>3064</v>
      </c>
      <c r="D47" s="872"/>
      <c r="E47" s="814">
        <f>SUM(E24:E40)</f>
        <v>-12095385.33437825</v>
      </c>
      <c r="F47" s="811">
        <f>SUM(F24:F40)</f>
        <v>34580525.619046226</v>
      </c>
      <c r="G47" s="811">
        <f t="shared" ref="G47:M47" si="40">SUM(G24:G40)</f>
        <v>23676474.286859483</v>
      </c>
      <c r="H47" s="811">
        <f t="shared" si="40"/>
        <v>0</v>
      </c>
      <c r="I47" s="811">
        <f t="shared" si="40"/>
        <v>-1191334.0021915138</v>
      </c>
      <c r="J47" s="811">
        <f t="shared" si="40"/>
        <v>1958232.4746932469</v>
      </c>
      <c r="K47" s="811">
        <f t="shared" si="40"/>
        <v>-600682.55819737457</v>
      </c>
      <c r="L47" s="811">
        <f t="shared" si="40"/>
        <v>2182727.3131299461</v>
      </c>
      <c r="M47" s="811">
        <f t="shared" si="40"/>
        <v>-184466.37839828493</v>
      </c>
      <c r="N47" s="829">
        <f>SUM(N24:N40)</f>
        <v>-1009643.7750323592</v>
      </c>
      <c r="O47" s="814">
        <f>SUM(O24:O40)</f>
        <v>-1191334.0021915138</v>
      </c>
      <c r="P47" s="811">
        <f t="shared" ref="P47:CC47" si="41">SUM(P24:P40)</f>
        <v>51398070.426956996</v>
      </c>
      <c r="Q47" s="811">
        <f t="shared" si="41"/>
        <v>-6827323.7238309681</v>
      </c>
      <c r="R47" s="811">
        <f t="shared" si="41"/>
        <v>-50366169.329999998</v>
      </c>
      <c r="S47" s="811">
        <f t="shared" si="41"/>
        <v>6667890.8185964487</v>
      </c>
      <c r="T47" s="811">
        <f t="shared" si="41"/>
        <v>-1009643.7750323592</v>
      </c>
      <c r="U47" s="811">
        <f t="shared" si="41"/>
        <v>-840562.57404575159</v>
      </c>
      <c r="V47" s="811">
        <f t="shared" si="41"/>
        <v>-108568</v>
      </c>
      <c r="W47" s="811">
        <f t="shared" si="41"/>
        <v>-127587</v>
      </c>
      <c r="X47" s="829">
        <f t="shared" si="41"/>
        <v>-1869225.3490781109</v>
      </c>
      <c r="Y47" s="814">
        <f t="shared" si="41"/>
        <v>6667890.8185964487</v>
      </c>
      <c r="Z47" s="811">
        <f t="shared" si="41"/>
        <v>-21710829.739346236</v>
      </c>
      <c r="AA47" s="811">
        <f t="shared" si="41"/>
        <v>-12161395.940000001</v>
      </c>
      <c r="AB47" s="811">
        <f t="shared" si="41"/>
        <v>21855451.606060505</v>
      </c>
      <c r="AC47" s="811">
        <f t="shared" si="41"/>
        <v>18973908.625310712</v>
      </c>
      <c r="AD47" s="811">
        <f t="shared" si="41"/>
        <v>-1869225.3490781109</v>
      </c>
      <c r="AE47" s="811">
        <f t="shared" si="41"/>
        <v>403267.26383839984</v>
      </c>
      <c r="AF47" s="811">
        <f t="shared" si="41"/>
        <v>-314258</v>
      </c>
      <c r="AG47" s="811">
        <f t="shared" si="41"/>
        <v>0</v>
      </c>
      <c r="AH47" s="829">
        <f t="shared" si="41"/>
        <v>-1151700.0852397112</v>
      </c>
      <c r="AI47" s="814">
        <f t="shared" si="41"/>
        <v>18973908.625310712</v>
      </c>
      <c r="AJ47" s="811">
        <f t="shared" si="41"/>
        <v>29323629.309305929</v>
      </c>
      <c r="AK47" s="811">
        <f t="shared" si="41"/>
        <v>62178051.848973073</v>
      </c>
      <c r="AL47" s="811">
        <f t="shared" si="41"/>
        <v>-17636242.906059742</v>
      </c>
      <c r="AM47" s="811">
        <f t="shared" si="41"/>
        <v>-31516756.820416167</v>
      </c>
      <c r="AN47" s="811">
        <f t="shared" si="41"/>
        <v>-1151700.0852397112</v>
      </c>
      <c r="AO47" s="811">
        <f t="shared" si="41"/>
        <v>-507974.25792501133</v>
      </c>
      <c r="AP47" s="811">
        <f t="shared" si="41"/>
        <v>1964458.5877687288</v>
      </c>
      <c r="AQ47" s="811">
        <f t="shared" si="41"/>
        <v>0</v>
      </c>
      <c r="AR47" s="829">
        <f t="shared" si="41"/>
        <v>-3624132.9309334508</v>
      </c>
      <c r="AS47" s="814">
        <f t="shared" si="41"/>
        <v>-31516756.820416167</v>
      </c>
      <c r="AT47" s="811">
        <f t="shared" si="41"/>
        <v>70795749.513522387</v>
      </c>
      <c r="AU47" s="811">
        <f t="shared" si="41"/>
        <v>-19303735.904977571</v>
      </c>
      <c r="AV47" s="811">
        <f t="shared" si="41"/>
        <v>-7113585.5664583445</v>
      </c>
      <c r="AW47" s="811">
        <f t="shared" si="41"/>
        <v>51469143.031625427</v>
      </c>
      <c r="AX47" s="811">
        <f t="shared" si="41"/>
        <v>-3624132.9309334508</v>
      </c>
      <c r="AY47" s="811">
        <f t="shared" si="41"/>
        <v>-154428.15339524415</v>
      </c>
      <c r="AZ47" s="811">
        <f t="shared" si="41"/>
        <v>1067798.0808793453</v>
      </c>
      <c r="BA47" s="811">
        <f t="shared" si="41"/>
        <v>0</v>
      </c>
      <c r="BB47" s="829">
        <f t="shared" si="41"/>
        <v>-4846359.1652080407</v>
      </c>
      <c r="BC47" s="814">
        <f t="shared" si="41"/>
        <v>51469143.031625427</v>
      </c>
      <c r="BD47" s="811">
        <f t="shared" si="41"/>
        <v>137111081.72615004</v>
      </c>
      <c r="BE47" s="811">
        <f t="shared" si="41"/>
        <v>31422955.32</v>
      </c>
      <c r="BF47" s="811">
        <f t="shared" si="41"/>
        <v>7330185.8222040078</v>
      </c>
      <c r="BG47" s="811">
        <f t="shared" si="41"/>
        <v>164487455.25997949</v>
      </c>
      <c r="BH47" s="811">
        <f t="shared" si="41"/>
        <v>-4846359.1652080407</v>
      </c>
      <c r="BI47" s="811">
        <f t="shared" si="41"/>
        <v>2345977.147911719</v>
      </c>
      <c r="BJ47" s="811">
        <f t="shared" si="41"/>
        <v>1993945.3096311707</v>
      </c>
      <c r="BK47" s="811">
        <f t="shared" si="41"/>
        <v>3076529.1905111633</v>
      </c>
      <c r="BL47" s="829">
        <f t="shared" si="41"/>
        <v>-1417798.1364163305</v>
      </c>
      <c r="BW47" s="814">
        <f t="shared" si="41"/>
        <v>100993914</v>
      </c>
      <c r="BX47" s="811">
        <f t="shared" si="41"/>
        <v>7241393</v>
      </c>
      <c r="BY47" s="811">
        <f t="shared" si="41"/>
        <v>25030206.318423018</v>
      </c>
      <c r="BZ47" s="829">
        <f t="shared" si="41"/>
        <v>-10651376.202359457</v>
      </c>
      <c r="CA47" s="811">
        <f t="shared" si="41"/>
        <v>3426718.5341941752</v>
      </c>
      <c r="CB47" s="811">
        <f t="shared" si="41"/>
        <v>0</v>
      </c>
      <c r="CC47" s="811">
        <f t="shared" si="41"/>
        <v>-7224657.6681652814</v>
      </c>
      <c r="CD47" s="873"/>
      <c r="CE47" s="873"/>
      <c r="CF47" s="829"/>
      <c r="CG47" s="829"/>
      <c r="CH47" s="839"/>
      <c r="CM47" s="302"/>
    </row>
    <row r="48" spans="1:91" s="811" customFormat="1" ht="14.5" hidden="1" thickBot="1" x14ac:dyDescent="0.35">
      <c r="A48" s="871"/>
      <c r="B48" s="871"/>
      <c r="C48" s="633" t="s">
        <v>3065</v>
      </c>
      <c r="D48" s="872"/>
      <c r="E48" s="814">
        <f>E47-E49</f>
        <v>-93180330.522185713</v>
      </c>
      <c r="F48" s="811">
        <f>F47-F49</f>
        <v>-22339668.254477099</v>
      </c>
      <c r="G48" s="811">
        <f t="shared" ref="G48:M48" si="42">G47-G49</f>
        <v>-70692141.303513452</v>
      </c>
      <c r="H48" s="811">
        <f t="shared" si="42"/>
        <v>0</v>
      </c>
      <c r="I48" s="811">
        <f t="shared" si="42"/>
        <v>-44827857.473149374</v>
      </c>
      <c r="J48" s="811">
        <f t="shared" si="42"/>
        <v>-2984480.0050444016</v>
      </c>
      <c r="K48" s="811">
        <f t="shared" si="42"/>
        <v>-874740.01455699955</v>
      </c>
      <c r="L48" s="811">
        <f t="shared" si="42"/>
        <v>-2629876.9096754366</v>
      </c>
      <c r="M48" s="811">
        <f t="shared" si="42"/>
        <v>-184466.37839828493</v>
      </c>
      <c r="N48" s="829">
        <f>N47-N49</f>
        <v>-1413809.4883242501</v>
      </c>
      <c r="O48" s="814">
        <f>O47-O49</f>
        <v>-44827857.473149374</v>
      </c>
      <c r="P48" s="811">
        <f t="shared" ref="P48:CA48" si="43">P47-P49</f>
        <v>75296594.690480292</v>
      </c>
      <c r="Q48" s="811">
        <f t="shared" si="43"/>
        <v>6456347.550242722</v>
      </c>
      <c r="R48" s="811">
        <f t="shared" si="43"/>
        <v>0</v>
      </c>
      <c r="S48" s="811">
        <f t="shared" si="43"/>
        <v>24012389.667088185</v>
      </c>
      <c r="T48" s="811">
        <f t="shared" si="43"/>
        <v>-1413809.4883242501</v>
      </c>
      <c r="U48" s="811">
        <f t="shared" si="43"/>
        <v>-1114952.3661461985</v>
      </c>
      <c r="V48" s="811">
        <f t="shared" si="43"/>
        <v>-165779</v>
      </c>
      <c r="W48" s="811">
        <f t="shared" si="43"/>
        <v>0</v>
      </c>
      <c r="X48" s="829">
        <f t="shared" si="43"/>
        <v>-2362982.8544704486</v>
      </c>
      <c r="Y48" s="814">
        <f t="shared" si="43"/>
        <v>24012389.667088185</v>
      </c>
      <c r="Z48" s="811">
        <f t="shared" si="43"/>
        <v>-30240257.940850273</v>
      </c>
      <c r="AA48" s="811">
        <f t="shared" si="43"/>
        <v>-18715420.48</v>
      </c>
      <c r="AB48" s="811">
        <f t="shared" si="43"/>
        <v>11758215.795371056</v>
      </c>
      <c r="AC48" s="811">
        <f t="shared" si="43"/>
        <v>24245768.00160896</v>
      </c>
      <c r="AD48" s="811">
        <f t="shared" si="43"/>
        <v>-2362982.8544704486</v>
      </c>
      <c r="AE48" s="811">
        <f t="shared" si="43"/>
        <v>266906.75975930633</v>
      </c>
      <c r="AF48" s="811">
        <f t="shared" si="43"/>
        <v>-655696</v>
      </c>
      <c r="AG48" s="811">
        <f t="shared" si="43"/>
        <v>0</v>
      </c>
      <c r="AH48" s="829">
        <f t="shared" si="43"/>
        <v>-1440380.0947111426</v>
      </c>
      <c r="AI48" s="814">
        <f t="shared" si="43"/>
        <v>24245768.00160896</v>
      </c>
      <c r="AJ48" s="811">
        <f t="shared" si="43"/>
        <v>18673691.239305921</v>
      </c>
      <c r="AK48" s="811">
        <f t="shared" si="43"/>
        <v>86076575.238973081</v>
      </c>
      <c r="AL48" s="811">
        <f t="shared" si="43"/>
        <v>-5377148.3767781258</v>
      </c>
      <c r="AM48" s="811">
        <f t="shared" si="43"/>
        <v>-48534264.374836311</v>
      </c>
      <c r="AN48" s="811">
        <f t="shared" si="43"/>
        <v>-1440380.0947111426</v>
      </c>
      <c r="AO48" s="811">
        <f t="shared" si="43"/>
        <v>-864152.24801154004</v>
      </c>
      <c r="AP48" s="811">
        <f t="shared" si="43"/>
        <v>2436089.7177687287</v>
      </c>
      <c r="AQ48" s="811">
        <f t="shared" si="43"/>
        <v>0</v>
      </c>
      <c r="AR48" s="829">
        <f t="shared" si="43"/>
        <v>-4740622.060491411</v>
      </c>
      <c r="AS48" s="814">
        <f t="shared" si="43"/>
        <v>-48534264.374836311</v>
      </c>
      <c r="AT48" s="811">
        <f t="shared" si="43"/>
        <v>87410359.033522427</v>
      </c>
      <c r="AU48" s="811">
        <f t="shared" si="43"/>
        <v>-37930399.914977573</v>
      </c>
      <c r="AV48" s="811">
        <f t="shared" si="43"/>
        <v>-7482299.1374692917</v>
      </c>
      <c r="AW48" s="811">
        <f t="shared" si="43"/>
        <v>69324195.436194375</v>
      </c>
      <c r="AX48" s="811">
        <f t="shared" si="43"/>
        <v>-4740622.060491411</v>
      </c>
      <c r="AY48" s="811">
        <f t="shared" si="43"/>
        <v>-99457.213672675891</v>
      </c>
      <c r="AZ48" s="811">
        <f t="shared" si="43"/>
        <v>138201.62087934534</v>
      </c>
      <c r="BA48" s="811">
        <f t="shared" si="43"/>
        <v>0</v>
      </c>
      <c r="BB48" s="829">
        <f t="shared" si="43"/>
        <v>-4978280.8950434327</v>
      </c>
      <c r="BC48" s="814">
        <f t="shared" si="43"/>
        <v>69324195.436194375</v>
      </c>
      <c r="BD48" s="811">
        <f t="shared" si="43"/>
        <v>141053322.13615006</v>
      </c>
      <c r="BE48" s="811">
        <f t="shared" si="43"/>
        <v>31422955.32</v>
      </c>
      <c r="BF48" s="811">
        <f t="shared" si="43"/>
        <v>10791442.803074675</v>
      </c>
      <c r="BG48" s="811">
        <f t="shared" si="43"/>
        <v>189746005.05541912</v>
      </c>
      <c r="BH48" s="811">
        <f t="shared" si="43"/>
        <v>-4978280.8950434327</v>
      </c>
      <c r="BI48" s="811">
        <f t="shared" si="43"/>
        <v>2730573.2599998564</v>
      </c>
      <c r="BJ48" s="811">
        <f t="shared" si="43"/>
        <v>1993945.3096311707</v>
      </c>
      <c r="BK48" s="811">
        <f t="shared" si="43"/>
        <v>3076529.1905111633</v>
      </c>
      <c r="BL48" s="829">
        <f t="shared" si="43"/>
        <v>-1165123.7541635849</v>
      </c>
      <c r="BW48" s="814">
        <f t="shared" si="43"/>
        <v>100993914</v>
      </c>
      <c r="BX48" s="811">
        <f t="shared" si="43"/>
        <v>7241393</v>
      </c>
      <c r="BY48" s="811">
        <f t="shared" si="43"/>
        <v>17407963.84272239</v>
      </c>
      <c r="BZ48" s="829">
        <f t="shared" si="43"/>
        <v>-11510442.406239334</v>
      </c>
      <c r="CA48" s="811">
        <f t="shared" si="43"/>
        <v>3413150.6232826235</v>
      </c>
      <c r="CB48" s="811">
        <f>CB47-CB49</f>
        <v>0</v>
      </c>
      <c r="CC48" s="811">
        <f>CC47-CC49</f>
        <v>-8097291.7829567101</v>
      </c>
      <c r="CD48" s="873"/>
      <c r="CE48" s="873"/>
      <c r="CF48" s="829"/>
      <c r="CG48" s="829"/>
      <c r="CH48" s="839"/>
      <c r="CM48" s="302"/>
    </row>
    <row r="49" spans="1:94" s="811" customFormat="1" ht="14.5" hidden="1" thickBot="1" x14ac:dyDescent="0.35">
      <c r="A49" s="871"/>
      <c r="B49" s="871"/>
      <c r="C49" s="632" t="s">
        <v>3066</v>
      </c>
      <c r="D49" s="872">
        <v>1589</v>
      </c>
      <c r="E49" s="814">
        <f>E32</f>
        <v>81084945.187807471</v>
      </c>
      <c r="F49" s="811">
        <f>F32</f>
        <v>56920193.873523325</v>
      </c>
      <c r="G49" s="811">
        <f t="shared" ref="G49:M49" si="44">G32</f>
        <v>94368615.590372935</v>
      </c>
      <c r="H49" s="811">
        <f t="shared" si="44"/>
        <v>0</v>
      </c>
      <c r="I49" s="811">
        <f t="shared" si="44"/>
        <v>43636523.47095786</v>
      </c>
      <c r="J49" s="811">
        <f t="shared" si="44"/>
        <v>4942712.4797376487</v>
      </c>
      <c r="K49" s="811">
        <f t="shared" si="44"/>
        <v>274057.45635962492</v>
      </c>
      <c r="L49" s="811">
        <f t="shared" si="44"/>
        <v>4812604.2228053827</v>
      </c>
      <c r="M49" s="811">
        <f t="shared" si="44"/>
        <v>0</v>
      </c>
      <c r="N49" s="829">
        <f>N32</f>
        <v>404165.71329189092</v>
      </c>
      <c r="O49" s="814">
        <f>O32</f>
        <v>43636523.47095786</v>
      </c>
      <c r="P49" s="811">
        <f t="shared" ref="P49:CC49" si="45">P32</f>
        <v>-23898524.263523288</v>
      </c>
      <c r="Q49" s="811">
        <f t="shared" si="45"/>
        <v>-13283671.27407369</v>
      </c>
      <c r="R49" s="811">
        <f t="shared" si="45"/>
        <v>-50366169.329999998</v>
      </c>
      <c r="S49" s="811">
        <f t="shared" si="45"/>
        <v>-17344498.848491736</v>
      </c>
      <c r="T49" s="811">
        <f t="shared" si="45"/>
        <v>404165.71329189092</v>
      </c>
      <c r="U49" s="811">
        <f t="shared" si="45"/>
        <v>274389.79210044688</v>
      </c>
      <c r="V49" s="811">
        <f t="shared" si="45"/>
        <v>57211</v>
      </c>
      <c r="W49" s="811">
        <f t="shared" si="45"/>
        <v>-127587</v>
      </c>
      <c r="X49" s="829">
        <f t="shared" si="45"/>
        <v>493757.5053923378</v>
      </c>
      <c r="Y49" s="814">
        <f t="shared" si="45"/>
        <v>-17344498.848491736</v>
      </c>
      <c r="Z49" s="811">
        <f t="shared" si="45"/>
        <v>8529428.2015040368</v>
      </c>
      <c r="AA49" s="811">
        <f t="shared" si="45"/>
        <v>6554024.54</v>
      </c>
      <c r="AB49" s="811">
        <f t="shared" si="45"/>
        <v>10097235.810689449</v>
      </c>
      <c r="AC49" s="811">
        <f t="shared" si="45"/>
        <v>-5271859.3762982488</v>
      </c>
      <c r="AD49" s="811">
        <f t="shared" si="45"/>
        <v>493757.5053923378</v>
      </c>
      <c r="AE49" s="811">
        <f t="shared" si="45"/>
        <v>136360.50407909352</v>
      </c>
      <c r="AF49" s="811">
        <f t="shared" si="45"/>
        <v>341438</v>
      </c>
      <c r="AG49" s="811">
        <f t="shared" si="45"/>
        <v>0</v>
      </c>
      <c r="AH49" s="829">
        <f t="shared" si="45"/>
        <v>288680.00947143137</v>
      </c>
      <c r="AI49" s="814">
        <f t="shared" si="45"/>
        <v>-5271859.3762982488</v>
      </c>
      <c r="AJ49" s="811">
        <f t="shared" si="45"/>
        <v>10649938.070000006</v>
      </c>
      <c r="AK49" s="811">
        <f t="shared" si="45"/>
        <v>-23898523.390000001</v>
      </c>
      <c r="AL49" s="811">
        <f t="shared" si="45"/>
        <v>-12259094.529281616</v>
      </c>
      <c r="AM49" s="811">
        <f t="shared" si="45"/>
        <v>17017507.554420143</v>
      </c>
      <c r="AN49" s="811">
        <f t="shared" si="45"/>
        <v>288680.00947143137</v>
      </c>
      <c r="AO49" s="811">
        <f t="shared" si="45"/>
        <v>356177.99008652871</v>
      </c>
      <c r="AP49" s="811">
        <f t="shared" si="45"/>
        <v>-471631.13</v>
      </c>
      <c r="AQ49" s="811">
        <f t="shared" si="45"/>
        <v>0</v>
      </c>
      <c r="AR49" s="829">
        <f t="shared" si="45"/>
        <v>1116489.1295579602</v>
      </c>
      <c r="AS49" s="814">
        <f t="shared" si="45"/>
        <v>17017507.554420143</v>
      </c>
      <c r="AT49" s="811">
        <f t="shared" si="45"/>
        <v>-16614609.520000033</v>
      </c>
      <c r="AU49" s="811">
        <f t="shared" si="45"/>
        <v>18626664.010000002</v>
      </c>
      <c r="AV49" s="811">
        <f t="shared" si="45"/>
        <v>368713.57101094723</v>
      </c>
      <c r="AW49" s="811">
        <f t="shared" si="45"/>
        <v>-17855052.404568944</v>
      </c>
      <c r="AX49" s="811">
        <f t="shared" si="45"/>
        <v>1116489.1295579602</v>
      </c>
      <c r="AY49" s="811">
        <f t="shared" si="45"/>
        <v>-54970.93972256827</v>
      </c>
      <c r="AZ49" s="811">
        <f t="shared" si="45"/>
        <v>929596.46</v>
      </c>
      <c r="BA49" s="811">
        <f t="shared" si="45"/>
        <v>0</v>
      </c>
      <c r="BB49" s="829">
        <f t="shared" si="45"/>
        <v>131921.72983539198</v>
      </c>
      <c r="BC49" s="814">
        <f t="shared" si="45"/>
        <v>-17855052.404568944</v>
      </c>
      <c r="BD49" s="811">
        <f t="shared" si="45"/>
        <v>-3942240.4100000188</v>
      </c>
      <c r="BE49" s="811">
        <f t="shared" si="45"/>
        <v>0</v>
      </c>
      <c r="BF49" s="811">
        <f t="shared" si="45"/>
        <v>-3461256.9808706669</v>
      </c>
      <c r="BG49" s="811">
        <f t="shared" si="45"/>
        <v>-25258549.795439631</v>
      </c>
      <c r="BH49" s="811">
        <f t="shared" si="45"/>
        <v>131921.72983539198</v>
      </c>
      <c r="BI49" s="811">
        <f t="shared" si="45"/>
        <v>-384596.11208813754</v>
      </c>
      <c r="BJ49" s="811">
        <f t="shared" si="45"/>
        <v>0</v>
      </c>
      <c r="BK49" s="811">
        <f t="shared" si="45"/>
        <v>0</v>
      </c>
      <c r="BL49" s="829">
        <f t="shared" si="45"/>
        <v>-252674.38225274556</v>
      </c>
      <c r="BW49" s="814">
        <f t="shared" si="45"/>
        <v>0</v>
      </c>
      <c r="BX49" s="811">
        <f t="shared" si="45"/>
        <v>0</v>
      </c>
      <c r="BY49" s="811">
        <f t="shared" si="45"/>
        <v>7622242.475700628</v>
      </c>
      <c r="BZ49" s="829">
        <f t="shared" si="45"/>
        <v>859066.20387987699</v>
      </c>
      <c r="CA49" s="811">
        <f t="shared" si="45"/>
        <v>13567.910911551673</v>
      </c>
      <c r="CB49" s="811">
        <f t="shared" si="45"/>
        <v>0</v>
      </c>
      <c r="CC49" s="811">
        <f t="shared" si="45"/>
        <v>872634.11479142867</v>
      </c>
      <c r="CD49" s="873"/>
      <c r="CE49" s="873"/>
      <c r="CF49" s="829"/>
      <c r="CG49" s="829"/>
      <c r="CH49" s="839"/>
      <c r="CM49" s="302"/>
    </row>
    <row r="50" spans="1:94" s="819" customFormat="1" ht="14.5" thickBot="1" x14ac:dyDescent="0.35">
      <c r="A50"/>
      <c r="B50"/>
      <c r="C50" s="875"/>
      <c r="D50" s="876"/>
      <c r="E50" s="877"/>
      <c r="F50" s="878"/>
      <c r="G50" s="878"/>
      <c r="H50" s="878"/>
      <c r="I50" s="878"/>
      <c r="J50" s="878"/>
      <c r="K50" s="878"/>
      <c r="L50" s="878"/>
      <c r="M50" s="878"/>
      <c r="N50" s="878"/>
      <c r="O50" s="879"/>
      <c r="P50" s="878"/>
      <c r="Q50" s="878"/>
      <c r="R50" s="878"/>
      <c r="S50" s="878"/>
      <c r="T50" s="878"/>
      <c r="U50" s="878"/>
      <c r="V50" s="878"/>
      <c r="W50" s="878"/>
      <c r="X50" s="878"/>
      <c r="Y50" s="879"/>
      <c r="Z50" s="878"/>
      <c r="AA50" s="878"/>
      <c r="AB50" s="878"/>
      <c r="AC50" s="878"/>
      <c r="AD50" s="878"/>
      <c r="AE50" s="878"/>
      <c r="AF50" s="878"/>
      <c r="AG50" s="878"/>
      <c r="AH50" s="878"/>
      <c r="AI50" s="879"/>
      <c r="AJ50" s="878"/>
      <c r="AK50" s="878"/>
      <c r="AL50" s="878"/>
      <c r="AM50" s="878"/>
      <c r="AN50" s="878"/>
      <c r="AO50" s="878"/>
      <c r="AP50" s="878"/>
      <c r="AQ50" s="878"/>
      <c r="AR50" s="878"/>
      <c r="AS50" s="879"/>
      <c r="AT50" s="878"/>
      <c r="AU50" s="878"/>
      <c r="AV50" s="878"/>
      <c r="AW50" s="878"/>
      <c r="AX50" s="878"/>
      <c r="AY50" s="878"/>
      <c r="AZ50" s="878"/>
      <c r="BA50" s="878"/>
      <c r="BB50" s="878"/>
      <c r="BC50" s="879"/>
      <c r="BD50" s="878"/>
      <c r="BE50" s="878"/>
      <c r="BF50" s="878"/>
      <c r="BG50" s="878"/>
      <c r="BH50" s="878"/>
      <c r="BI50" s="878"/>
      <c r="BJ50" s="878"/>
      <c r="BK50" s="878"/>
      <c r="BL50" s="878"/>
      <c r="BM50" s="878"/>
      <c r="BN50" s="878"/>
      <c r="BO50" s="878"/>
      <c r="BP50" s="878"/>
      <c r="BQ50" s="878"/>
      <c r="BR50" s="878"/>
      <c r="BS50" s="878"/>
      <c r="BT50" s="878"/>
      <c r="BU50" s="878"/>
      <c r="BV50" s="878"/>
      <c r="BW50" s="879"/>
      <c r="BX50" s="878"/>
      <c r="BY50" s="878"/>
      <c r="BZ50" s="878"/>
      <c r="CA50" s="879"/>
      <c r="CB50" s="878"/>
      <c r="CC50" s="878"/>
      <c r="CD50" s="880"/>
      <c r="CE50" s="880"/>
      <c r="CF50" s="880"/>
      <c r="CG50" s="881"/>
      <c r="CH50" s="822"/>
      <c r="CM50" s="300"/>
    </row>
    <row r="53" spans="1:94" ht="30.75" customHeight="1" x14ac:dyDescent="0.3">
      <c r="B53" s="882"/>
      <c r="C53" s="1131" t="s">
        <v>160</v>
      </c>
      <c r="D53" s="1131"/>
      <c r="E53" s="1131"/>
      <c r="F53" s="1131"/>
      <c r="G53" s="312"/>
      <c r="H53" s="312"/>
      <c r="I53" s="312"/>
    </row>
    <row r="54" spans="1:94" ht="29.25" customHeight="1" x14ac:dyDescent="0.3">
      <c r="A54" s="883"/>
      <c r="B54" s="884"/>
      <c r="E54" s="885"/>
      <c r="F54" s="885"/>
      <c r="G54" s="885"/>
      <c r="H54" s="885"/>
      <c r="I54" s="886"/>
      <c r="L54" s="887"/>
      <c r="M54" s="887"/>
      <c r="V54" s="887"/>
      <c r="W54" s="887"/>
      <c r="AF54" s="887"/>
      <c r="AG54" s="887"/>
      <c r="AP54" s="887"/>
      <c r="AQ54" s="887"/>
      <c r="AZ54" s="887"/>
      <c r="BA54" s="887"/>
      <c r="BJ54" s="887"/>
      <c r="BK54" s="887"/>
      <c r="BW54" s="887"/>
      <c r="BX54" s="887"/>
      <c r="BY54" s="887"/>
      <c r="BZ54" s="887"/>
    </row>
    <row r="55" spans="1:94" ht="55" customHeight="1" x14ac:dyDescent="0.3">
      <c r="A55" s="883"/>
      <c r="B55" s="884">
        <v>1</v>
      </c>
      <c r="C55" s="1124" t="s">
        <v>2909</v>
      </c>
      <c r="D55" s="1124"/>
      <c r="E55" s="886"/>
      <c r="F55" s="886"/>
      <c r="G55" s="886"/>
      <c r="H55" s="886"/>
      <c r="I55" s="886"/>
      <c r="L55" s="887"/>
      <c r="M55" s="887"/>
      <c r="V55" s="887"/>
      <c r="W55" s="887"/>
      <c r="AF55" s="887"/>
      <c r="AG55" s="887"/>
      <c r="AP55" s="887"/>
      <c r="AQ55" s="887"/>
      <c r="AZ55" s="887"/>
      <c r="BA55" s="887"/>
      <c r="BJ55" s="887"/>
      <c r="BK55" s="887"/>
      <c r="BW55" s="887"/>
      <c r="BX55" s="887"/>
      <c r="BY55" s="887"/>
      <c r="BZ55" s="887"/>
    </row>
    <row r="56" spans="1:94" s="795" customFormat="1" ht="93" customHeight="1" x14ac:dyDescent="0.3">
      <c r="A56" s="883"/>
      <c r="B56" s="884">
        <v>2</v>
      </c>
      <c r="C56" s="1124" t="s">
        <v>3427</v>
      </c>
      <c r="D56" s="1124"/>
      <c r="E56" s="888"/>
      <c r="F56" s="886"/>
      <c r="G56" s="886"/>
      <c r="H56" s="886"/>
      <c r="I56" s="886"/>
      <c r="L56" s="887"/>
      <c r="M56" s="887"/>
      <c r="V56" s="887"/>
      <c r="W56" s="887"/>
      <c r="AF56" s="887"/>
      <c r="AG56" s="887"/>
      <c r="AP56" s="887"/>
      <c r="AQ56" s="887"/>
      <c r="AZ56" s="887"/>
      <c r="BA56" s="887"/>
      <c r="BJ56" s="887"/>
      <c r="BK56" s="887"/>
      <c r="BW56" s="887"/>
      <c r="BX56" s="887"/>
      <c r="BY56" s="887"/>
      <c r="BZ56" s="887"/>
      <c r="CH56" s="796"/>
      <c r="CI56"/>
      <c r="CJ56"/>
      <c r="CK56"/>
      <c r="CL56"/>
      <c r="CM56"/>
      <c r="CN56"/>
      <c r="CO56"/>
      <c r="CP56"/>
    </row>
    <row r="57" spans="1:94" s="795" customFormat="1" ht="138.75" customHeight="1" x14ac:dyDescent="0.3">
      <c r="A57" s="883"/>
      <c r="B57" s="884">
        <v>3</v>
      </c>
      <c r="C57" s="1124" t="s">
        <v>3426</v>
      </c>
      <c r="D57" s="1124"/>
      <c r="E57" s="885"/>
      <c r="F57" s="885"/>
      <c r="G57" s="885"/>
      <c r="H57" s="885"/>
      <c r="I57" s="885"/>
      <c r="L57" s="887"/>
      <c r="M57" s="887"/>
      <c r="V57" s="887"/>
      <c r="W57" s="887"/>
      <c r="AF57" s="887"/>
      <c r="AG57" s="887"/>
      <c r="AP57" s="887"/>
      <c r="AQ57" s="887"/>
      <c r="AZ57" s="887"/>
      <c r="BA57" s="887"/>
      <c r="BJ57" s="887"/>
      <c r="BK57" s="887"/>
      <c r="BW57" s="887"/>
      <c r="BX57" s="887"/>
      <c r="BY57" s="887"/>
      <c r="BZ57" s="887"/>
      <c r="CH57" s="796"/>
      <c r="CI57"/>
      <c r="CJ57"/>
      <c r="CK57"/>
      <c r="CL57"/>
      <c r="CM57"/>
      <c r="CN57"/>
      <c r="CO57"/>
      <c r="CP57"/>
    </row>
    <row r="58" spans="1:94" s="795" customFormat="1" ht="105.4" customHeight="1" x14ac:dyDescent="0.25">
      <c r="A58" s="883"/>
      <c r="B58" s="884">
        <v>4</v>
      </c>
      <c r="C58" s="1124" t="s">
        <v>2951</v>
      </c>
      <c r="D58" s="1124"/>
      <c r="E58" s="885"/>
      <c r="F58" s="885"/>
      <c r="G58" s="885"/>
      <c r="H58" s="885"/>
      <c r="I58" s="885"/>
      <c r="CH58" s="796"/>
      <c r="CI58"/>
      <c r="CJ58"/>
      <c r="CK58"/>
      <c r="CL58"/>
      <c r="CM58"/>
      <c r="CN58"/>
      <c r="CO58"/>
      <c r="CP58"/>
    </row>
    <row r="59" spans="1:94" s="795" customFormat="1" ht="75.75" customHeight="1" x14ac:dyDescent="0.25">
      <c r="A59" s="883"/>
      <c r="B59" s="884">
        <v>5</v>
      </c>
      <c r="C59" s="1124" t="s">
        <v>3047</v>
      </c>
      <c r="D59" s="1124"/>
      <c r="E59" s="885"/>
      <c r="F59" s="885"/>
      <c r="G59" s="885"/>
      <c r="H59" s="885"/>
      <c r="I59" s="885"/>
      <c r="CH59" s="796"/>
      <c r="CI59"/>
      <c r="CJ59"/>
      <c r="CK59"/>
      <c r="CL59"/>
      <c r="CM59"/>
      <c r="CN59"/>
      <c r="CO59"/>
      <c r="CP59"/>
    </row>
    <row r="60" spans="1:94" s="795" customFormat="1" ht="39.75" customHeight="1" x14ac:dyDescent="0.25">
      <c r="A60" s="883"/>
      <c r="B60" s="884">
        <v>6</v>
      </c>
      <c r="C60" s="1124" t="s">
        <v>2952</v>
      </c>
      <c r="D60" s="1124"/>
      <c r="E60" s="885"/>
      <c r="F60" s="885"/>
      <c r="G60" s="885"/>
      <c r="H60" s="885"/>
      <c r="I60" s="885"/>
      <c r="CH60" s="796"/>
      <c r="CI60"/>
      <c r="CJ60"/>
      <c r="CK60"/>
      <c r="CL60"/>
      <c r="CM60"/>
      <c r="CN60"/>
      <c r="CO60"/>
      <c r="CP60"/>
    </row>
  </sheetData>
  <sheetProtection algorithmName="SHA-512" hashValue="fsQtB2INUvAVbg3VV7S8PlWLoCjQIfoEjI5P/JcAvDNVkxYypsXrrELDmRb/y88BDVsRuWb9ohALKJhpcnptnA==" saltValue="QXJxO7o748mDdEw41hrHOA==" spinCount="100000" sheet="1" objects="1" scenarios="1"/>
  <mergeCells count="99">
    <mergeCell ref="BM19:BV19"/>
    <mergeCell ref="BW19:BZ19"/>
    <mergeCell ref="CA19:CD19"/>
    <mergeCell ref="C20:C22"/>
    <mergeCell ref="D20:D22"/>
    <mergeCell ref="E20:E22"/>
    <mergeCell ref="F20:F22"/>
    <mergeCell ref="G20:G22"/>
    <mergeCell ref="H20:H22"/>
    <mergeCell ref="I20:I22"/>
    <mergeCell ref="E19:N19"/>
    <mergeCell ref="O19:X19"/>
    <mergeCell ref="Y19:AH19"/>
    <mergeCell ref="AI19:AR19"/>
    <mergeCell ref="AS19:BB19"/>
    <mergeCell ref="BC19:BL19"/>
    <mergeCell ref="U20:U22"/>
    <mergeCell ref="J20:J22"/>
    <mergeCell ref="K20:K22"/>
    <mergeCell ref="L20:L22"/>
    <mergeCell ref="M20:M22"/>
    <mergeCell ref="N20:N22"/>
    <mergeCell ref="O20:O22"/>
    <mergeCell ref="P20:P22"/>
    <mergeCell ref="Q20:Q22"/>
    <mergeCell ref="R20:R22"/>
    <mergeCell ref="S20:S22"/>
    <mergeCell ref="T20:T22"/>
    <mergeCell ref="AG20:AG22"/>
    <mergeCell ref="V20:V22"/>
    <mergeCell ref="W20:W22"/>
    <mergeCell ref="X20:X22"/>
    <mergeCell ref="Y20:Y22"/>
    <mergeCell ref="Z20:Z22"/>
    <mergeCell ref="AA20:AA22"/>
    <mergeCell ref="AB20:AB22"/>
    <mergeCell ref="AC20:AC22"/>
    <mergeCell ref="AD20:AD22"/>
    <mergeCell ref="AE20:AE22"/>
    <mergeCell ref="AF20:AF22"/>
    <mergeCell ref="AS20:AS22"/>
    <mergeCell ref="AH20:AH22"/>
    <mergeCell ref="AI20:AI22"/>
    <mergeCell ref="AJ20:AJ22"/>
    <mergeCell ref="AK20:AK22"/>
    <mergeCell ref="AL20:AL22"/>
    <mergeCell ref="AM20:AM22"/>
    <mergeCell ref="AN20:AN22"/>
    <mergeCell ref="AO20:AO22"/>
    <mergeCell ref="AP20:AP22"/>
    <mergeCell ref="AQ20:AQ22"/>
    <mergeCell ref="AR20:AR22"/>
    <mergeCell ref="BB20:BB22"/>
    <mergeCell ref="BC20:BC22"/>
    <mergeCell ref="BD20:BD22"/>
    <mergeCell ref="BE20:BE22"/>
    <mergeCell ref="AT20:AT22"/>
    <mergeCell ref="AU20:AU22"/>
    <mergeCell ref="AV20:AV22"/>
    <mergeCell ref="AW20:AW22"/>
    <mergeCell ref="AX20:AX22"/>
    <mergeCell ref="AY20:AY22"/>
    <mergeCell ref="C55:D55"/>
    <mergeCell ref="BX20:BX22"/>
    <mergeCell ref="BY20:BY22"/>
    <mergeCell ref="BZ20:BZ22"/>
    <mergeCell ref="CA20:CA22"/>
    <mergeCell ref="BR20:BR22"/>
    <mergeCell ref="BS20:BS22"/>
    <mergeCell ref="BT20:BT22"/>
    <mergeCell ref="BU20:BU22"/>
    <mergeCell ref="BV20:BV22"/>
    <mergeCell ref="BW20:BW22"/>
    <mergeCell ref="BL20:BL22"/>
    <mergeCell ref="BM20:BM22"/>
    <mergeCell ref="BN20:BN22"/>
    <mergeCell ref="BO20:BO22"/>
    <mergeCell ref="BP20:BP22"/>
    <mergeCell ref="CD20:CD22"/>
    <mergeCell ref="CE20:CE22"/>
    <mergeCell ref="CF20:CF22"/>
    <mergeCell ref="CG20:CG22"/>
    <mergeCell ref="C53:F53"/>
    <mergeCell ref="CB20:CB22"/>
    <mergeCell ref="CC20:CC22"/>
    <mergeCell ref="BQ20:BQ22"/>
    <mergeCell ref="BF20:BF22"/>
    <mergeCell ref="BG20:BG22"/>
    <mergeCell ref="BH20:BH22"/>
    <mergeCell ref="BI20:BI22"/>
    <mergeCell ref="BJ20:BJ22"/>
    <mergeCell ref="BK20:BK22"/>
    <mergeCell ref="AZ20:AZ22"/>
    <mergeCell ref="BA20:BA22"/>
    <mergeCell ref="C56:D56"/>
    <mergeCell ref="C57:D57"/>
    <mergeCell ref="C58:D58"/>
    <mergeCell ref="C59:D59"/>
    <mergeCell ref="C60:D60"/>
  </mergeCells>
  <conditionalFormatting sqref="F25:H25 K25:M25">
    <cfRule type="expression" dxfId="162" priority="16">
      <formula>$E$19&lt;2013</formula>
    </cfRule>
  </conditionalFormatting>
  <conditionalFormatting sqref="P25:R25 U25:W25">
    <cfRule type="expression" dxfId="161" priority="15">
      <formula>$O$19&lt;2013</formula>
    </cfRule>
  </conditionalFormatting>
  <conditionalFormatting sqref="Z25:AB25 AE25:AG25">
    <cfRule type="expression" dxfId="160" priority="14">
      <formula>$Y$19&lt;2013</formula>
    </cfRule>
  </conditionalFormatting>
  <conditionalFormatting sqref="AJ25:AL25 AO25:AQ25">
    <cfRule type="expression" dxfId="159" priority="13">
      <formula>$AI$19&lt;2013</formula>
    </cfRule>
  </conditionalFormatting>
  <conditionalFormatting sqref="AT25:AV25 AY25:BA25">
    <cfRule type="expression" dxfId="158" priority="12">
      <formula>$AS$19&lt;2013</formula>
    </cfRule>
  </conditionalFormatting>
  <conditionalFormatting sqref="BD25:BF25 BI25:BK25">
    <cfRule type="expression" dxfId="157" priority="11">
      <formula>$BC$19&lt;2013</formula>
    </cfRule>
  </conditionalFormatting>
  <conditionalFormatting sqref="U27:W28">
    <cfRule type="expression" dxfId="156" priority="10">
      <formula>$O$19&lt;2015</formula>
    </cfRule>
  </conditionalFormatting>
  <conditionalFormatting sqref="Z27:AB28 AE27:AG28">
    <cfRule type="expression" dxfId="155" priority="9">
      <formula>$Y$19&lt;2015</formula>
    </cfRule>
  </conditionalFormatting>
  <conditionalFormatting sqref="AJ27:AL28 AO27:AQ28">
    <cfRule type="expression" dxfId="154" priority="8">
      <formula>$AI$19&lt;2015</formula>
    </cfRule>
  </conditionalFormatting>
  <conditionalFormatting sqref="AT27:AV28 AY27:BA28">
    <cfRule type="expression" dxfId="153" priority="7">
      <formula>$AS$19&lt;2015</formula>
    </cfRule>
  </conditionalFormatting>
  <conditionalFormatting sqref="BD27:BF28 BI27:BK28">
    <cfRule type="expression" dxfId="152" priority="6">
      <formula>$BC$19&lt;2015</formula>
    </cfRule>
  </conditionalFormatting>
  <conditionalFormatting sqref="F24:G24">
    <cfRule type="expression" dxfId="151" priority="5">
      <formula>$E$19&lt;2013</formula>
    </cfRule>
  </conditionalFormatting>
  <conditionalFormatting sqref="BK26">
    <cfRule type="expression" dxfId="150" priority="4">
      <formula>$BC$19&lt;2015</formula>
    </cfRule>
  </conditionalFormatting>
  <conditionalFormatting sqref="BN25:BP25 BS25:BU25">
    <cfRule type="expression" dxfId="149" priority="3">
      <formula>$BC$19&lt;2013</formula>
    </cfRule>
  </conditionalFormatting>
  <conditionalFormatting sqref="BN27:BP28 BS27:BU28">
    <cfRule type="expression" dxfId="148" priority="2">
      <formula>$BC$19&lt;2015</formula>
    </cfRule>
  </conditionalFormatting>
  <conditionalFormatting sqref="BU26">
    <cfRule type="expression" dxfId="147" priority="1">
      <formula>$BC$19&lt;2015</formula>
    </cfRule>
  </conditionalFormatting>
  <dataValidations count="1">
    <dataValidation type="list" errorTitle="Selection Needed" error="Please select an option from the drop-down list." prompt="Use the following format eg: January 1, 2013" sqref="CE31:CE32 CE34:CE37" xr:uid="{3C697621-3871-421B-8A4D-56D78EDF9492}">
      <formula1>"Yes,No"</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EDAACFF67256049A485179023DD9F32" ma:contentTypeVersion="0" ma:contentTypeDescription="Create a new document." ma:contentTypeScope="" ma:versionID="8af12ab99f0670eb2585e48d1431ba03">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A3134D-A8E0-4DC5-A460-C65E1CF27963}">
  <ds:schemaRefs>
    <ds:schemaRef ds:uri="http://purl.org/dc/terms/"/>
    <ds:schemaRef ds:uri="http://schemas.microsoft.com/office/2006/documentManagement/types"/>
    <ds:schemaRef ds:uri="http://purl.org/dc/elements/1.1/"/>
    <ds:schemaRef ds:uri="http://purl.org/dc/dcmitype/"/>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12f68b52-648b-46a0-8463-d3282342a499"/>
    <ds:schemaRef ds:uri="http://schemas.microsoft.com/sharepoint/v3/fields"/>
  </ds:schemaRefs>
</ds:datastoreItem>
</file>

<file path=customXml/itemProps2.xml><?xml version="1.0" encoding="utf-8"?>
<ds:datastoreItem xmlns:ds="http://schemas.openxmlformats.org/officeDocument/2006/customXml" ds:itemID="{3214EDE0-16A6-46DF-8E84-1EC6911B53F6}"/>
</file>

<file path=customXml/itemProps3.xml><?xml version="1.0" encoding="utf-8"?>
<ds:datastoreItem xmlns:ds="http://schemas.openxmlformats.org/officeDocument/2006/customXml" ds:itemID="{8CB993BB-932C-45EA-8236-4FF8E0E01A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18</vt:i4>
      </vt:variant>
    </vt:vector>
  </HeadingPairs>
  <TitlesOfParts>
    <vt:vector size="40" baseType="lpstr">
      <vt:lpstr>Sheet1</vt:lpstr>
      <vt:lpstr>2016 List</vt:lpstr>
      <vt:lpstr>1.1 Instruction Sheet</vt:lpstr>
      <vt:lpstr>1. Information Sheet</vt:lpstr>
      <vt:lpstr>1a. Summary of Changes</vt:lpstr>
      <vt:lpstr>2a. Continuity Schedule</vt:lpstr>
      <vt:lpstr>2b. Continuity Schedule</vt:lpstr>
      <vt:lpstr>3. Appendix A</vt:lpstr>
      <vt:lpstr>2a. Continuity Schedule </vt:lpstr>
      <vt:lpstr>2b. Continuity Schedule </vt:lpstr>
      <vt:lpstr>3. Appendix A </vt:lpstr>
      <vt:lpstr>4. Billing Determinants</vt:lpstr>
      <vt:lpstr>5. Allocation of Balances_</vt:lpstr>
      <vt:lpstr>5. Allocation of Balances</vt:lpstr>
      <vt:lpstr>6. Class A Consumption Data</vt:lpstr>
      <vt:lpstr>6.1a GA Allocation</vt:lpstr>
      <vt:lpstr>6.2a CBR B_Allocation</vt:lpstr>
      <vt:lpstr>6.2 CBR B</vt:lpstr>
      <vt:lpstr>7. Rate Rider Calculations</vt:lpstr>
      <vt:lpstr>old2.1.7 Filing</vt:lpstr>
      <vt:lpstr>2.1.7 Filing</vt:lpstr>
      <vt:lpstr>Summary Sheet</vt:lpstr>
      <vt:lpstr>'4. Billing Determinants'!_GoBack</vt:lpstr>
      <vt:lpstr>'6. Class A Consumption Data'!Cust3a</vt:lpstr>
      <vt:lpstr>'6. Class A Consumption Data'!Cust3b</vt:lpstr>
      <vt:lpstr>'6. Class A Consumption Data'!G1LD</vt:lpstr>
      <vt:lpstr>'6. Class A Consumption Data'!G1LDCBR</vt:lpstr>
      <vt:lpstr>'6. Class A Consumption Data'!listdata</vt:lpstr>
      <vt:lpstr>listdata</vt:lpstr>
      <vt:lpstr>passwordlist</vt:lpstr>
      <vt:lpstr>'1. Information Sheet'!Print_Area</vt:lpstr>
      <vt:lpstr>'3. Appendix A'!Print_Area</vt:lpstr>
      <vt:lpstr>'4. Billing Determinants'!Print_Area</vt:lpstr>
      <vt:lpstr>'7. Rate Rider Calculations'!Print_Area</vt:lpstr>
      <vt:lpstr>'2a. Continuity Schedule'!Print_Titles</vt:lpstr>
      <vt:lpstr>'2b. Continuity Schedule'!Print_Titles</vt:lpstr>
      <vt:lpstr>'3. Appendix A'!Print_Titles</vt:lpstr>
      <vt:lpstr>'6. Class A Consumption Data'!TranCust</vt:lpstr>
      <vt:lpstr>'6. Class A Consumption Data'!TranCustb</vt:lpstr>
      <vt:lpstr>'6. Class A Consumption Data'!TransCust</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Theodore Antonopoulos</dc:creator>
  <cp:lastModifiedBy>Lisa Phin</cp:lastModifiedBy>
  <cp:lastPrinted>2019-07-15T14:45:48Z</cp:lastPrinted>
  <dcterms:created xsi:type="dcterms:W3CDTF">2005-04-25T20:13:02Z</dcterms:created>
  <dcterms:modified xsi:type="dcterms:W3CDTF">2024-05-06T22:27:00Z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f3ae17-4131-4cab-af65-6307e1627001_Enabled">
    <vt:lpwstr>true</vt:lpwstr>
  </property>
  <property fmtid="{D5CDD505-2E9C-101B-9397-08002B2CF9AE}" pid="3" name="MSIP_Label_84f3ae17-4131-4cab-af65-6307e1627001_SetDate">
    <vt:lpwstr>2024-03-14T17:44:37Z</vt:lpwstr>
  </property>
  <property fmtid="{D5CDD505-2E9C-101B-9397-08002B2CF9AE}" pid="4" name="MSIP_Label_84f3ae17-4131-4cab-af65-6307e1627001_Method">
    <vt:lpwstr>Privileged</vt:lpwstr>
  </property>
  <property fmtid="{D5CDD505-2E9C-101B-9397-08002B2CF9AE}" pid="5" name="MSIP_Label_84f3ae17-4131-4cab-af65-6307e1627001_Name">
    <vt:lpwstr>Confidential - Anyone (not protected)</vt:lpwstr>
  </property>
  <property fmtid="{D5CDD505-2E9C-101B-9397-08002B2CF9AE}" pid="6" name="MSIP_Label_84f3ae17-4131-4cab-af65-6307e1627001_SiteId">
    <vt:lpwstr>cecf09d6-44f1-4c40-95a1-cbafb9319d75</vt:lpwstr>
  </property>
  <property fmtid="{D5CDD505-2E9C-101B-9397-08002B2CF9AE}" pid="7" name="MSIP_Label_84f3ae17-4131-4cab-af65-6307e1627001_ActionId">
    <vt:lpwstr>e15457ee-6c91-4dd4-a3dd-588eeec373a9</vt:lpwstr>
  </property>
  <property fmtid="{D5CDD505-2E9C-101B-9397-08002B2CF9AE}" pid="8" name="MSIP_Label_84f3ae17-4131-4cab-af65-6307e1627001_ContentBits">
    <vt:lpwstr>0</vt:lpwstr>
  </property>
  <property fmtid="{D5CDD505-2E9C-101B-9397-08002B2CF9AE}" pid="9" name="ContentTypeId">
    <vt:lpwstr>0x0101002EDAACFF67256049A485179023DD9F32</vt:lpwstr>
  </property>
</Properties>
</file>